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filterPrivacy="1"/>
  <xr:revisionPtr revIDLastSave="0" documentId="13_ncr:1_{4FF09F43-DA46-1B44-B99C-07BC2E38F950}" xr6:coauthVersionLast="47" xr6:coauthVersionMax="47" xr10:uidLastSave="{00000000-0000-0000-0000-000000000000}"/>
  <bookViews>
    <workbookView xWindow="20040" yWindow="5020" windowWidth="33660" windowHeight="20200" tabRatio="758" firstSheet="1" activeTab="1" xr2:uid="{00000000-000D-0000-FFFF-FFFF00000000}"/>
  </bookViews>
  <sheets>
    <sheet name="Information" sheetId="1" r:id="rId1"/>
    <sheet name="Tables" sheetId="14" r:id="rId2"/>
    <sheet name="Income and Housing Data" sheetId="31" r:id="rId3"/>
    <sheet name="Population and Diversity Data" sheetId="27" r:id="rId4"/>
    <sheet name="Eversource&gt;&gt;" sheetId="19" r:id="rId5"/>
    <sheet name="ES Energy Burden" sheetId="34" r:id="rId6"/>
    <sheet name="CLM From Eversource" sheetId="15" r:id="rId7"/>
    <sheet name="ESSmallLoadPivot" sheetId="37" r:id="rId8"/>
    <sheet name="2.) Small Load" sheetId="16" r:id="rId9"/>
    <sheet name="3.) Large Load" sheetId="17" r:id="rId10"/>
    <sheet name="HES Report ES" sheetId="18" r:id="rId11"/>
    <sheet name="ES shutoff" sheetId="39" r:id="rId12"/>
    <sheet name="UI &gt;&gt;&gt;" sheetId="20" r:id="rId13"/>
    <sheet name="CLM from UI" sheetId="22" r:id="rId14"/>
    <sheet name="UI EnergyBurden" sheetId="35" r:id="rId15"/>
    <sheet name="Small Load" sheetId="23" r:id="rId16"/>
    <sheet name="Large Load" sheetId="24" r:id="rId17"/>
    <sheet name="HES Report UI" sheetId="25" r:id="rId18"/>
    <sheet name="Shutoff Data" sheetId="38" r:id="rId19"/>
    <sheet name="Calculation Sheets &gt;&gt;&gt;" sheetId="30" r:id="rId20"/>
    <sheet name="Housing Cost Calc" sheetId="12" r:id="rId21"/>
    <sheet name="Income Percentile Calc" sheetId="11" r:id="rId22"/>
    <sheet name="Energy Burden Calc" sheetId="28" r:id="rId23"/>
    <sheet name="Income and Housing Calcs" sheetId="7" r:id="rId24"/>
  </sheets>
  <externalReferences>
    <externalReference r:id="rId25"/>
    <externalReference r:id="rId26"/>
  </externalReferences>
  <definedNames>
    <definedName name="ID" localSheetId="8" hidden="1">"75715458-62f3-44d1-8b95-673da8f693ee"</definedName>
    <definedName name="ID" localSheetId="9" hidden="1">"84590f97-c9ba-4dca-bd4c-d56a3f7bfc07"</definedName>
    <definedName name="ID" localSheetId="10" hidden="1">"ae609d80-b602-47f0-b8ad-f29df5cdb3d7"</definedName>
    <definedName name="_xlnm.Print_Area" localSheetId="8">'2.) Small Load'!$A$1:$O$943</definedName>
    <definedName name="_xlnm.Print_Area" localSheetId="9">'3.) Large Load'!$A$1:$O$243</definedName>
    <definedName name="_xlnm.Print_Area" localSheetId="10">'HES Report ES'!$A$1:$O$944</definedName>
    <definedName name="_xlnm.Print_Titles" localSheetId="8">'2.) Small Load'!$1:$5</definedName>
    <definedName name="_xlnm.Print_Titles" localSheetId="9">'3.) Large Load'!$1:$5</definedName>
    <definedName name="_xlnm.Print_Titles" localSheetId="10">'HES Report ES'!$1:$5</definedName>
  </definedNames>
  <calcPr calcId="191028"/>
  <pivotCaches>
    <pivotCache cacheId="41"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2" i="14" l="1"/>
  <c r="N10" i="14"/>
  <c r="N8" i="14"/>
  <c r="M12" i="14"/>
  <c r="M10" i="14"/>
  <c r="BC27" i="14"/>
  <c r="BB27" i="14"/>
  <c r="BC25" i="14"/>
  <c r="BB25" i="14"/>
  <c r="BC23" i="14"/>
  <c r="BB23" i="14"/>
  <c r="E6" i="14"/>
  <c r="O868" i="18" l="1"/>
  <c r="N868" i="18"/>
  <c r="M868" i="18"/>
  <c r="L868" i="18"/>
  <c r="K868" i="18"/>
  <c r="J868" i="18"/>
  <c r="I868" i="18"/>
  <c r="H868" i="18"/>
  <c r="G868" i="18"/>
  <c r="F868" i="18"/>
  <c r="E868" i="18"/>
  <c r="D868" i="18"/>
  <c r="K867" i="18"/>
  <c r="F867" i="18"/>
  <c r="K866" i="18"/>
  <c r="F866" i="18"/>
  <c r="K865" i="18"/>
  <c r="F865" i="18"/>
  <c r="K864" i="18"/>
  <c r="F864" i="18"/>
  <c r="K863" i="18"/>
  <c r="F863" i="18"/>
  <c r="K862" i="18"/>
  <c r="F862" i="18"/>
  <c r="K861" i="18"/>
  <c r="F861" i="18"/>
  <c r="K860" i="18"/>
  <c r="F860" i="18"/>
  <c r="K859" i="18"/>
  <c r="F859" i="18"/>
  <c r="K858" i="18"/>
  <c r="F858" i="18"/>
  <c r="K857" i="18"/>
  <c r="F857" i="18"/>
  <c r="K856" i="18"/>
  <c r="F856" i="18"/>
  <c r="K855" i="18"/>
  <c r="F855" i="18"/>
  <c r="K854" i="18"/>
  <c r="F854" i="18"/>
  <c r="K853" i="18"/>
  <c r="F853" i="18"/>
  <c r="K852" i="18"/>
  <c r="F852" i="18"/>
  <c r="K851" i="18"/>
  <c r="F851" i="18"/>
  <c r="K850" i="18"/>
  <c r="F850" i="18"/>
  <c r="K849" i="18"/>
  <c r="F849" i="18"/>
  <c r="K848" i="18"/>
  <c r="F848" i="18"/>
  <c r="K847" i="18"/>
  <c r="F847" i="18"/>
  <c r="K846" i="18"/>
  <c r="F846" i="18"/>
  <c r="K845" i="18"/>
  <c r="F845" i="18"/>
  <c r="K844" i="18"/>
  <c r="F844" i="18"/>
  <c r="K843" i="18"/>
  <c r="F843" i="18"/>
  <c r="K842" i="18"/>
  <c r="F842" i="18"/>
  <c r="K841" i="18"/>
  <c r="F841" i="18"/>
  <c r="K840" i="18"/>
  <c r="F840" i="18"/>
  <c r="K839" i="18"/>
  <c r="F839" i="18"/>
  <c r="K838" i="18"/>
  <c r="F838" i="18"/>
  <c r="K837" i="18"/>
  <c r="F837" i="18"/>
  <c r="K836" i="18"/>
  <c r="F836" i="18"/>
  <c r="K835" i="18"/>
  <c r="F835" i="18"/>
  <c r="K834" i="18"/>
  <c r="F834" i="18"/>
  <c r="K833" i="18"/>
  <c r="F833" i="18"/>
  <c r="K832" i="18"/>
  <c r="F832" i="18"/>
  <c r="K831" i="18"/>
  <c r="F831" i="18"/>
  <c r="K830" i="18"/>
  <c r="F830" i="18"/>
  <c r="K829" i="18"/>
  <c r="F829" i="18"/>
  <c r="K828" i="18"/>
  <c r="F828" i="18"/>
  <c r="K827" i="18"/>
  <c r="F827" i="18"/>
  <c r="K826" i="18"/>
  <c r="F826" i="18"/>
  <c r="K825" i="18"/>
  <c r="F825" i="18"/>
  <c r="K824" i="18"/>
  <c r="F824" i="18"/>
  <c r="K823" i="18"/>
  <c r="F823" i="18"/>
  <c r="K822" i="18"/>
  <c r="F822" i="18"/>
  <c r="K821" i="18"/>
  <c r="F821" i="18"/>
  <c r="K820" i="18"/>
  <c r="F820" i="18"/>
  <c r="K819" i="18"/>
  <c r="F819" i="18"/>
  <c r="K818" i="18"/>
  <c r="F818" i="18"/>
  <c r="K817" i="18"/>
  <c r="F817" i="18"/>
  <c r="K816" i="18"/>
  <c r="F816" i="18"/>
  <c r="K815" i="18"/>
  <c r="F815" i="18"/>
  <c r="K814" i="18"/>
  <c r="F814" i="18"/>
  <c r="K813" i="18"/>
  <c r="F813" i="18"/>
  <c r="K812" i="18"/>
  <c r="F812" i="18"/>
  <c r="K811" i="18"/>
  <c r="F811" i="18"/>
  <c r="K810" i="18"/>
  <c r="F810" i="18"/>
  <c r="K809" i="18"/>
  <c r="F809" i="18"/>
  <c r="K808" i="18"/>
  <c r="F808" i="18"/>
  <c r="K807" i="18"/>
  <c r="F807" i="18"/>
  <c r="K806" i="18"/>
  <c r="F806" i="18"/>
  <c r="K805" i="18"/>
  <c r="F805" i="18"/>
  <c r="K804" i="18"/>
  <c r="F804" i="18"/>
  <c r="K803" i="18"/>
  <c r="F803" i="18"/>
  <c r="K802" i="18"/>
  <c r="F802" i="18"/>
  <c r="K801" i="18"/>
  <c r="F801" i="18"/>
  <c r="K800" i="18"/>
  <c r="F800" i="18"/>
  <c r="K799" i="18"/>
  <c r="F799" i="18"/>
  <c r="K798" i="18"/>
  <c r="F798" i="18"/>
  <c r="K797" i="18"/>
  <c r="F797" i="18"/>
  <c r="K796" i="18"/>
  <c r="F796" i="18"/>
  <c r="K795" i="18"/>
  <c r="F795" i="18"/>
  <c r="K794" i="18"/>
  <c r="F794" i="18"/>
  <c r="K793" i="18"/>
  <c r="F793" i="18"/>
  <c r="K792" i="18"/>
  <c r="F792" i="18"/>
  <c r="K791" i="18"/>
  <c r="F791" i="18"/>
  <c r="K790" i="18"/>
  <c r="F790" i="18"/>
  <c r="K789" i="18"/>
  <c r="F789" i="18"/>
  <c r="K788" i="18"/>
  <c r="F788" i="18"/>
  <c r="K787" i="18"/>
  <c r="F787" i="18"/>
  <c r="K786" i="18"/>
  <c r="F786" i="18"/>
  <c r="K785" i="18"/>
  <c r="F785" i="18"/>
  <c r="K784" i="18"/>
  <c r="F784" i="18"/>
  <c r="K783" i="18"/>
  <c r="F783" i="18"/>
  <c r="K782" i="18"/>
  <c r="F782" i="18"/>
  <c r="K781" i="18"/>
  <c r="F781" i="18"/>
  <c r="K780" i="18"/>
  <c r="F780" i="18"/>
  <c r="K779" i="18"/>
  <c r="F779" i="18"/>
  <c r="K778" i="18"/>
  <c r="F778" i="18"/>
  <c r="K777" i="18"/>
  <c r="F777" i="18"/>
  <c r="K776" i="18"/>
  <c r="F776" i="18"/>
  <c r="K775" i="18"/>
  <c r="F775" i="18"/>
  <c r="K774" i="18"/>
  <c r="F774" i="18"/>
  <c r="K773" i="18"/>
  <c r="F773" i="18"/>
  <c r="K772" i="18"/>
  <c r="F772" i="18"/>
  <c r="K771" i="18"/>
  <c r="F771" i="18"/>
  <c r="K770" i="18"/>
  <c r="F770" i="18"/>
  <c r="K769" i="18"/>
  <c r="F769" i="18"/>
  <c r="K768" i="18"/>
  <c r="F768" i="18"/>
  <c r="K767" i="18"/>
  <c r="F767" i="18"/>
  <c r="K766" i="18"/>
  <c r="F766" i="18"/>
  <c r="K765" i="18"/>
  <c r="F765" i="18"/>
  <c r="K764" i="18"/>
  <c r="F764" i="18"/>
  <c r="K763" i="18"/>
  <c r="F763" i="18"/>
  <c r="K762" i="18"/>
  <c r="F762" i="18"/>
  <c r="K761" i="18"/>
  <c r="F761" i="18"/>
  <c r="K760" i="18"/>
  <c r="F760" i="18"/>
  <c r="K759" i="18"/>
  <c r="F759" i="18"/>
  <c r="K758" i="18"/>
  <c r="F758" i="18"/>
  <c r="K757" i="18"/>
  <c r="F757" i="18"/>
  <c r="K756" i="18"/>
  <c r="F756" i="18"/>
  <c r="K755" i="18"/>
  <c r="F755" i="18"/>
  <c r="K754" i="18"/>
  <c r="F754" i="18"/>
  <c r="K753" i="18"/>
  <c r="F753" i="18"/>
  <c r="K752" i="18"/>
  <c r="F752" i="18"/>
  <c r="K751" i="18"/>
  <c r="F751" i="18"/>
  <c r="K750" i="18"/>
  <c r="F750" i="18"/>
  <c r="K749" i="18"/>
  <c r="F749" i="18"/>
  <c r="K748" i="18"/>
  <c r="F748" i="18"/>
  <c r="K747" i="18"/>
  <c r="F747" i="18"/>
  <c r="K746" i="18"/>
  <c r="F746" i="18"/>
  <c r="K745" i="18"/>
  <c r="F745" i="18"/>
  <c r="K744" i="18"/>
  <c r="F744" i="18"/>
  <c r="K743" i="18"/>
  <c r="F743" i="18"/>
  <c r="K742" i="18"/>
  <c r="F742" i="18"/>
  <c r="K741" i="18"/>
  <c r="F741" i="18"/>
  <c r="K740" i="18"/>
  <c r="F740" i="18"/>
  <c r="K739" i="18"/>
  <c r="F739" i="18"/>
  <c r="K738" i="18"/>
  <c r="F738" i="18"/>
  <c r="K737" i="18"/>
  <c r="F737" i="18"/>
  <c r="K736" i="18"/>
  <c r="F736" i="18"/>
  <c r="K735" i="18"/>
  <c r="F735" i="18"/>
  <c r="K734" i="18"/>
  <c r="F734" i="18"/>
  <c r="K733" i="18"/>
  <c r="F733" i="18"/>
  <c r="K732" i="18"/>
  <c r="F732" i="18"/>
  <c r="K731" i="18"/>
  <c r="F731" i="18"/>
  <c r="K730" i="18"/>
  <c r="F730" i="18"/>
  <c r="K729" i="18"/>
  <c r="F729" i="18"/>
  <c r="K728" i="18"/>
  <c r="F728" i="18"/>
  <c r="K727" i="18"/>
  <c r="F727" i="18"/>
  <c r="K726" i="18"/>
  <c r="F726" i="18"/>
  <c r="K725" i="18"/>
  <c r="F725" i="18"/>
  <c r="K724" i="18"/>
  <c r="F724" i="18"/>
  <c r="K723" i="18"/>
  <c r="F723" i="18"/>
  <c r="K722" i="18"/>
  <c r="F722" i="18"/>
  <c r="K721" i="18"/>
  <c r="F721" i="18"/>
  <c r="K720" i="18"/>
  <c r="F720" i="18"/>
  <c r="K719" i="18"/>
  <c r="F719" i="18"/>
  <c r="K718" i="18"/>
  <c r="F718" i="18"/>
  <c r="K717" i="18"/>
  <c r="F717" i="18"/>
  <c r="K716" i="18"/>
  <c r="F716" i="18"/>
  <c r="K715" i="18"/>
  <c r="F715" i="18"/>
  <c r="K714" i="18"/>
  <c r="F714" i="18"/>
  <c r="K713" i="18"/>
  <c r="F713" i="18"/>
  <c r="K712" i="18"/>
  <c r="F712" i="18"/>
  <c r="K711" i="18"/>
  <c r="F711" i="18"/>
  <c r="K710" i="18"/>
  <c r="F710" i="18"/>
  <c r="K709" i="18"/>
  <c r="F709" i="18"/>
  <c r="K708" i="18"/>
  <c r="F708" i="18"/>
  <c r="K707" i="18"/>
  <c r="F707" i="18"/>
  <c r="K706" i="18"/>
  <c r="F706" i="18"/>
  <c r="K705" i="18"/>
  <c r="F705" i="18"/>
  <c r="K704" i="18"/>
  <c r="F704" i="18"/>
  <c r="K703" i="18"/>
  <c r="F703" i="18"/>
  <c r="K702" i="18"/>
  <c r="F702" i="18"/>
  <c r="K701" i="18"/>
  <c r="F701" i="18"/>
  <c r="K700" i="18"/>
  <c r="F700" i="18"/>
  <c r="K699" i="18"/>
  <c r="F699" i="18"/>
  <c r="K698" i="18"/>
  <c r="F698" i="18"/>
  <c r="K697" i="18"/>
  <c r="F697" i="18"/>
  <c r="K696" i="18"/>
  <c r="F696" i="18"/>
  <c r="K695" i="18"/>
  <c r="F695" i="18"/>
  <c r="K694" i="18"/>
  <c r="F694" i="18"/>
  <c r="K693" i="18"/>
  <c r="F693" i="18"/>
  <c r="K692" i="18"/>
  <c r="F692" i="18"/>
  <c r="K691" i="18"/>
  <c r="F691" i="18"/>
  <c r="K690" i="18"/>
  <c r="F690" i="18"/>
  <c r="K689" i="18"/>
  <c r="F689" i="18"/>
  <c r="K688" i="18"/>
  <c r="F688" i="18"/>
  <c r="K687" i="18"/>
  <c r="F687" i="18"/>
  <c r="K686" i="18"/>
  <c r="F686" i="18"/>
  <c r="K685" i="18"/>
  <c r="F685" i="18"/>
  <c r="K684" i="18"/>
  <c r="F684" i="18"/>
  <c r="K683" i="18"/>
  <c r="F683" i="18"/>
  <c r="K682" i="18"/>
  <c r="F682" i="18"/>
  <c r="K681" i="18"/>
  <c r="F681" i="18"/>
  <c r="K680" i="18"/>
  <c r="F680" i="18"/>
  <c r="K679" i="18"/>
  <c r="F679" i="18"/>
  <c r="K678" i="18"/>
  <c r="F678" i="18"/>
  <c r="K677" i="18"/>
  <c r="F677" i="18"/>
  <c r="K676" i="18"/>
  <c r="F676" i="18"/>
  <c r="K675" i="18"/>
  <c r="F675" i="18"/>
  <c r="K674" i="18"/>
  <c r="F674" i="18"/>
  <c r="K673" i="18"/>
  <c r="F673" i="18"/>
  <c r="K672" i="18"/>
  <c r="F672" i="18"/>
  <c r="K671" i="18"/>
  <c r="F671" i="18"/>
  <c r="K670" i="18"/>
  <c r="F670" i="18"/>
  <c r="K669" i="18"/>
  <c r="F669" i="18"/>
  <c r="K668" i="18"/>
  <c r="F668" i="18"/>
  <c r="K667" i="18"/>
  <c r="F667" i="18"/>
  <c r="K666" i="18"/>
  <c r="F666" i="18"/>
  <c r="K665" i="18"/>
  <c r="F665" i="18"/>
  <c r="K664" i="18"/>
  <c r="F664" i="18"/>
  <c r="K663" i="18"/>
  <c r="F663" i="18"/>
  <c r="K662" i="18"/>
  <c r="F662" i="18"/>
  <c r="K661" i="18"/>
  <c r="F661" i="18"/>
  <c r="K660" i="18"/>
  <c r="F660" i="18"/>
  <c r="K659" i="18"/>
  <c r="F659" i="18"/>
  <c r="K658" i="18"/>
  <c r="F658" i="18"/>
  <c r="K657" i="18"/>
  <c r="F657" i="18"/>
  <c r="K656" i="18"/>
  <c r="F656" i="18"/>
  <c r="K655" i="18"/>
  <c r="F655" i="18"/>
  <c r="K654" i="18"/>
  <c r="F654" i="18"/>
  <c r="K653" i="18"/>
  <c r="F653" i="18"/>
  <c r="K652" i="18"/>
  <c r="F652" i="18"/>
  <c r="K651" i="18"/>
  <c r="F651" i="18"/>
  <c r="K650" i="18"/>
  <c r="F650" i="18"/>
  <c r="K649" i="18"/>
  <c r="F649" i="18"/>
  <c r="K648" i="18"/>
  <c r="F648" i="18"/>
  <c r="K647" i="18"/>
  <c r="F647" i="18"/>
  <c r="K646" i="18"/>
  <c r="F646" i="18"/>
  <c r="K645" i="18"/>
  <c r="F645" i="18"/>
  <c r="K644" i="18"/>
  <c r="F644" i="18"/>
  <c r="K643" i="18"/>
  <c r="F643" i="18"/>
  <c r="K642" i="18"/>
  <c r="F642" i="18"/>
  <c r="K641" i="18"/>
  <c r="F641" i="18"/>
  <c r="K640" i="18"/>
  <c r="F640" i="18"/>
  <c r="K639" i="18"/>
  <c r="F639" i="18"/>
  <c r="K638" i="18"/>
  <c r="F638" i="18"/>
  <c r="K637" i="18"/>
  <c r="F637" i="18"/>
  <c r="K636" i="18"/>
  <c r="F636" i="18"/>
  <c r="K635" i="18"/>
  <c r="F635" i="18"/>
  <c r="K634" i="18"/>
  <c r="F634" i="18"/>
  <c r="K633" i="18"/>
  <c r="F633" i="18"/>
  <c r="K632" i="18"/>
  <c r="F632" i="18"/>
  <c r="K631" i="18"/>
  <c r="F631" i="18"/>
  <c r="K630" i="18"/>
  <c r="F630" i="18"/>
  <c r="K629" i="18"/>
  <c r="F629" i="18"/>
  <c r="K628" i="18"/>
  <c r="F628" i="18"/>
  <c r="K627" i="18"/>
  <c r="F627" i="18"/>
  <c r="K626" i="18"/>
  <c r="F626" i="18"/>
  <c r="K625" i="18"/>
  <c r="F625" i="18"/>
  <c r="K624" i="18"/>
  <c r="F624" i="18"/>
  <c r="K623" i="18"/>
  <c r="F623" i="18"/>
  <c r="K622" i="18"/>
  <c r="F622" i="18"/>
  <c r="K621" i="18"/>
  <c r="F621" i="18"/>
  <c r="K620" i="18"/>
  <c r="F620" i="18"/>
  <c r="K619" i="18"/>
  <c r="F619" i="18"/>
  <c r="K618" i="18"/>
  <c r="F618" i="18"/>
  <c r="K617" i="18"/>
  <c r="F617" i="18"/>
  <c r="K616" i="18"/>
  <c r="F616" i="18"/>
  <c r="K615" i="18"/>
  <c r="F615" i="18"/>
  <c r="K614" i="18"/>
  <c r="F614" i="18"/>
  <c r="K613" i="18"/>
  <c r="F613" i="18"/>
  <c r="K612" i="18"/>
  <c r="F612" i="18"/>
  <c r="K611" i="18"/>
  <c r="F611" i="18"/>
  <c r="K610" i="18"/>
  <c r="F610" i="18"/>
  <c r="K609" i="18"/>
  <c r="F609" i="18"/>
  <c r="K608" i="18"/>
  <c r="F608" i="18"/>
  <c r="K607" i="18"/>
  <c r="F607" i="18"/>
  <c r="K606" i="18"/>
  <c r="F606" i="18"/>
  <c r="K605" i="18"/>
  <c r="F605" i="18"/>
  <c r="K604" i="18"/>
  <c r="F604" i="18"/>
  <c r="K603" i="18"/>
  <c r="F603" i="18"/>
  <c r="K602" i="18"/>
  <c r="F602" i="18"/>
  <c r="K601" i="18"/>
  <c r="F601" i="18"/>
  <c r="K600" i="18"/>
  <c r="F600" i="18"/>
  <c r="K599" i="18"/>
  <c r="F599" i="18"/>
  <c r="K598" i="18"/>
  <c r="F598" i="18"/>
  <c r="K597" i="18"/>
  <c r="F597" i="18"/>
  <c r="K596" i="18"/>
  <c r="F596" i="18"/>
  <c r="K595" i="18"/>
  <c r="F595" i="18"/>
  <c r="K594" i="18"/>
  <c r="F594" i="18"/>
  <c r="K593" i="18"/>
  <c r="F593" i="18"/>
  <c r="K592" i="18"/>
  <c r="F592" i="18"/>
  <c r="K591" i="18"/>
  <c r="F591" i="18"/>
  <c r="K590" i="18"/>
  <c r="F590" i="18"/>
  <c r="K589" i="18"/>
  <c r="F589" i="18"/>
  <c r="K588" i="18"/>
  <c r="F588" i="18"/>
  <c r="K587" i="18"/>
  <c r="F587" i="18"/>
  <c r="K586" i="18"/>
  <c r="F586" i="18"/>
  <c r="K585" i="18"/>
  <c r="F585" i="18"/>
  <c r="K584" i="18"/>
  <c r="F584" i="18"/>
  <c r="K583" i="18"/>
  <c r="F583" i="18"/>
  <c r="K582" i="18"/>
  <c r="F582" i="18"/>
  <c r="K581" i="18"/>
  <c r="F581" i="18"/>
  <c r="K580" i="18"/>
  <c r="F580" i="18"/>
  <c r="K579" i="18"/>
  <c r="F579" i="18"/>
  <c r="K578" i="18"/>
  <c r="F578" i="18"/>
  <c r="K577" i="18"/>
  <c r="F577" i="18"/>
  <c r="K576" i="18"/>
  <c r="F576" i="18"/>
  <c r="K575" i="18"/>
  <c r="F575" i="18"/>
  <c r="K574" i="18"/>
  <c r="F574" i="18"/>
  <c r="K573" i="18"/>
  <c r="F573" i="18"/>
  <c r="K572" i="18"/>
  <c r="F572" i="18"/>
  <c r="K571" i="18"/>
  <c r="F571" i="18"/>
  <c r="K570" i="18"/>
  <c r="F570" i="18"/>
  <c r="K569" i="18"/>
  <c r="F569" i="18"/>
  <c r="K568" i="18"/>
  <c r="F568" i="18"/>
  <c r="K567" i="18"/>
  <c r="F567" i="18"/>
  <c r="K566" i="18"/>
  <c r="F566" i="18"/>
  <c r="K565" i="18"/>
  <c r="F565" i="18"/>
  <c r="K564" i="18"/>
  <c r="F564" i="18"/>
  <c r="K563" i="18"/>
  <c r="F563" i="18"/>
  <c r="K562" i="18"/>
  <c r="F562" i="18"/>
  <c r="K561" i="18"/>
  <c r="F561" i="18"/>
  <c r="K560" i="18"/>
  <c r="F560" i="18"/>
  <c r="K559" i="18"/>
  <c r="F559" i="18"/>
  <c r="K558" i="18"/>
  <c r="F558" i="18"/>
  <c r="K557" i="18"/>
  <c r="F557" i="18"/>
  <c r="K556" i="18"/>
  <c r="F556" i="18"/>
  <c r="K555" i="18"/>
  <c r="F555" i="18"/>
  <c r="K554" i="18"/>
  <c r="F554" i="18"/>
  <c r="K553" i="18"/>
  <c r="F553" i="18"/>
  <c r="K552" i="18"/>
  <c r="F552" i="18"/>
  <c r="K551" i="18"/>
  <c r="F551" i="18"/>
  <c r="K550" i="18"/>
  <c r="F550" i="18"/>
  <c r="K549" i="18"/>
  <c r="F549" i="18"/>
  <c r="K548" i="18"/>
  <c r="F548" i="18"/>
  <c r="K547" i="18"/>
  <c r="F547" i="18"/>
  <c r="K546" i="18"/>
  <c r="F546" i="18"/>
  <c r="K545" i="18"/>
  <c r="F545" i="18"/>
  <c r="K544" i="18"/>
  <c r="F544" i="18"/>
  <c r="K543" i="18"/>
  <c r="F543" i="18"/>
  <c r="K542" i="18"/>
  <c r="F542" i="18"/>
  <c r="K541" i="18"/>
  <c r="F541" i="18"/>
  <c r="K540" i="18"/>
  <c r="F540" i="18"/>
  <c r="K539" i="18"/>
  <c r="F539" i="18"/>
  <c r="K538" i="18"/>
  <c r="F538" i="18"/>
  <c r="K537" i="18"/>
  <c r="F537" i="18"/>
  <c r="K536" i="18"/>
  <c r="F536" i="18"/>
  <c r="K535" i="18"/>
  <c r="F535" i="18"/>
  <c r="K534" i="18"/>
  <c r="F534" i="18"/>
  <c r="K533" i="18"/>
  <c r="F533" i="18"/>
  <c r="K532" i="18"/>
  <c r="F532" i="18"/>
  <c r="K531" i="18"/>
  <c r="F531" i="18"/>
  <c r="K530" i="18"/>
  <c r="F530" i="18"/>
  <c r="K529" i="18"/>
  <c r="F529" i="18"/>
  <c r="K528" i="18"/>
  <c r="F528" i="18"/>
  <c r="K527" i="18"/>
  <c r="F527" i="18"/>
  <c r="K526" i="18"/>
  <c r="F526" i="18"/>
  <c r="K525" i="18"/>
  <c r="F525" i="18"/>
  <c r="K524" i="18"/>
  <c r="F524" i="18"/>
  <c r="K523" i="18"/>
  <c r="F523" i="18"/>
  <c r="K522" i="18"/>
  <c r="F522" i="18"/>
  <c r="K521" i="18"/>
  <c r="F521" i="18"/>
  <c r="K520" i="18"/>
  <c r="F520" i="18"/>
  <c r="K519" i="18"/>
  <c r="F519" i="18"/>
  <c r="K518" i="18"/>
  <c r="F518" i="18"/>
  <c r="K517" i="18"/>
  <c r="F517" i="18"/>
  <c r="K516" i="18"/>
  <c r="F516" i="18"/>
  <c r="K515" i="18"/>
  <c r="F515" i="18"/>
  <c r="K514" i="18"/>
  <c r="F514" i="18"/>
  <c r="K513" i="18"/>
  <c r="F513" i="18"/>
  <c r="K512" i="18"/>
  <c r="F512" i="18"/>
  <c r="K511" i="18"/>
  <c r="F511" i="18"/>
  <c r="K510" i="18"/>
  <c r="F510" i="18"/>
  <c r="K509" i="18"/>
  <c r="F509" i="18"/>
  <c r="K508" i="18"/>
  <c r="F508" i="18"/>
  <c r="K507" i="18"/>
  <c r="F507" i="18"/>
  <c r="K506" i="18"/>
  <c r="F506" i="18"/>
  <c r="K505" i="18"/>
  <c r="F505" i="18"/>
  <c r="K504" i="18"/>
  <c r="F504" i="18"/>
  <c r="K503" i="18"/>
  <c r="F503" i="18"/>
  <c r="K502" i="18"/>
  <c r="F502" i="18"/>
  <c r="K501" i="18"/>
  <c r="F501" i="18"/>
  <c r="K500" i="18"/>
  <c r="F500" i="18"/>
  <c r="K499" i="18"/>
  <c r="F499" i="18"/>
  <c r="K498" i="18"/>
  <c r="F498" i="18"/>
  <c r="K497" i="18"/>
  <c r="F497" i="18"/>
  <c r="K496" i="18"/>
  <c r="F496" i="18"/>
  <c r="K495" i="18"/>
  <c r="F495" i="18"/>
  <c r="K494" i="18"/>
  <c r="F494" i="18"/>
  <c r="K493" i="18"/>
  <c r="F493" i="18"/>
  <c r="K492" i="18"/>
  <c r="F492" i="18"/>
  <c r="K491" i="18"/>
  <c r="F491" i="18"/>
  <c r="K490" i="18"/>
  <c r="F490" i="18"/>
  <c r="K489" i="18"/>
  <c r="F489" i="18"/>
  <c r="K488" i="18"/>
  <c r="F488" i="18"/>
  <c r="K487" i="18"/>
  <c r="F487" i="18"/>
  <c r="K486" i="18"/>
  <c r="F486" i="18"/>
  <c r="K485" i="18"/>
  <c r="F485" i="18"/>
  <c r="K484" i="18"/>
  <c r="F484" i="18"/>
  <c r="K483" i="18"/>
  <c r="F483" i="18"/>
  <c r="K482" i="18"/>
  <c r="F482" i="18"/>
  <c r="K481" i="18"/>
  <c r="F481" i="18"/>
  <c r="K480" i="18"/>
  <c r="F480" i="18"/>
  <c r="K479" i="18"/>
  <c r="F479" i="18"/>
  <c r="K478" i="18"/>
  <c r="F478" i="18"/>
  <c r="K477" i="18"/>
  <c r="F477" i="18"/>
  <c r="K476" i="18"/>
  <c r="F476" i="18"/>
  <c r="K475" i="18"/>
  <c r="F475" i="18"/>
  <c r="K474" i="18"/>
  <c r="F474" i="18"/>
  <c r="K473" i="18"/>
  <c r="F473" i="18"/>
  <c r="K472" i="18"/>
  <c r="F472" i="18"/>
  <c r="K471" i="18"/>
  <c r="F471" i="18"/>
  <c r="K470" i="18"/>
  <c r="F470" i="18"/>
  <c r="K469" i="18"/>
  <c r="F469" i="18"/>
  <c r="K468" i="18"/>
  <c r="F468" i="18"/>
  <c r="K467" i="18"/>
  <c r="F467" i="18"/>
  <c r="K466" i="18"/>
  <c r="F466" i="18"/>
  <c r="K465" i="18"/>
  <c r="F465" i="18"/>
  <c r="K464" i="18"/>
  <c r="F464" i="18"/>
  <c r="K463" i="18"/>
  <c r="F463" i="18"/>
  <c r="K462" i="18"/>
  <c r="F462" i="18"/>
  <c r="K461" i="18"/>
  <c r="F461" i="18"/>
  <c r="K460" i="18"/>
  <c r="F460" i="18"/>
  <c r="K459" i="18"/>
  <c r="F459" i="18"/>
  <c r="K458" i="18"/>
  <c r="F458" i="18"/>
  <c r="K457" i="18"/>
  <c r="F457" i="18"/>
  <c r="K456" i="18"/>
  <c r="F456" i="18"/>
  <c r="K455" i="18"/>
  <c r="F455" i="18"/>
  <c r="K454" i="18"/>
  <c r="F454" i="18"/>
  <c r="K453" i="18"/>
  <c r="F453" i="18"/>
  <c r="K452" i="18"/>
  <c r="F452" i="18"/>
  <c r="K451" i="18"/>
  <c r="F451" i="18"/>
  <c r="K450" i="18"/>
  <c r="F450" i="18"/>
  <c r="K449" i="18"/>
  <c r="F449" i="18"/>
  <c r="K448" i="18"/>
  <c r="F448" i="18"/>
  <c r="K447" i="18"/>
  <c r="F447" i="18"/>
  <c r="K446" i="18"/>
  <c r="F446" i="18"/>
  <c r="K445" i="18"/>
  <c r="F445" i="18"/>
  <c r="K444" i="18"/>
  <c r="F444" i="18"/>
  <c r="K443" i="18"/>
  <c r="F443" i="18"/>
  <c r="K442" i="18"/>
  <c r="F442" i="18"/>
  <c r="K441" i="18"/>
  <c r="F441" i="18"/>
  <c r="K440" i="18"/>
  <c r="F440" i="18"/>
  <c r="K439" i="18"/>
  <c r="F439" i="18"/>
  <c r="K438" i="18"/>
  <c r="F438" i="18"/>
  <c r="K437" i="18"/>
  <c r="F437" i="18"/>
  <c r="K436" i="18"/>
  <c r="F436" i="18"/>
  <c r="K435" i="18"/>
  <c r="F435" i="18"/>
  <c r="K434" i="18"/>
  <c r="F434" i="18"/>
  <c r="K433" i="18"/>
  <c r="F433" i="18"/>
  <c r="K432" i="18"/>
  <c r="F432" i="18"/>
  <c r="K431" i="18"/>
  <c r="F431" i="18"/>
  <c r="K430" i="18"/>
  <c r="F430" i="18"/>
  <c r="K429" i="18"/>
  <c r="F429" i="18"/>
  <c r="K428" i="18"/>
  <c r="F428" i="18"/>
  <c r="K427" i="18"/>
  <c r="F427" i="18"/>
  <c r="K426" i="18"/>
  <c r="F426" i="18"/>
  <c r="K425" i="18"/>
  <c r="F425" i="18"/>
  <c r="K424" i="18"/>
  <c r="F424" i="18"/>
  <c r="K423" i="18"/>
  <c r="F423" i="18"/>
  <c r="K422" i="18"/>
  <c r="F422" i="18"/>
  <c r="K421" i="18"/>
  <c r="F421" i="18"/>
  <c r="K420" i="18"/>
  <c r="F420" i="18"/>
  <c r="K419" i="18"/>
  <c r="F419" i="18"/>
  <c r="K418" i="18"/>
  <c r="F418" i="18"/>
  <c r="K417" i="18"/>
  <c r="F417" i="18"/>
  <c r="K416" i="18"/>
  <c r="F416" i="18"/>
  <c r="K415" i="18"/>
  <c r="F415" i="18"/>
  <c r="K414" i="18"/>
  <c r="F414" i="18"/>
  <c r="K413" i="18"/>
  <c r="F413" i="18"/>
  <c r="K412" i="18"/>
  <c r="F412" i="18"/>
  <c r="K411" i="18"/>
  <c r="F411" i="18"/>
  <c r="K410" i="18"/>
  <c r="F410" i="18"/>
  <c r="K409" i="18"/>
  <c r="F409" i="18"/>
  <c r="K408" i="18"/>
  <c r="F408" i="18"/>
  <c r="K407" i="18"/>
  <c r="F407" i="18"/>
  <c r="K406" i="18"/>
  <c r="F406" i="18"/>
  <c r="K405" i="18"/>
  <c r="F405" i="18"/>
  <c r="K404" i="18"/>
  <c r="F404" i="18"/>
  <c r="K403" i="18"/>
  <c r="F403" i="18"/>
  <c r="K402" i="18"/>
  <c r="F402" i="18"/>
  <c r="K401" i="18"/>
  <c r="F401" i="18"/>
  <c r="K400" i="18"/>
  <c r="F400" i="18"/>
  <c r="K399" i="18"/>
  <c r="F399" i="18"/>
  <c r="K398" i="18"/>
  <c r="F398" i="18"/>
  <c r="K397" i="18"/>
  <c r="F397" i="18"/>
  <c r="K396" i="18"/>
  <c r="F396" i="18"/>
  <c r="K395" i="18"/>
  <c r="F395" i="18"/>
  <c r="K394" i="18"/>
  <c r="F394" i="18"/>
  <c r="K393" i="18"/>
  <c r="F393" i="18"/>
  <c r="K392" i="18"/>
  <c r="F392" i="18"/>
  <c r="K391" i="18"/>
  <c r="F391" i="18"/>
  <c r="K390" i="18"/>
  <c r="F390" i="18"/>
  <c r="K389" i="18"/>
  <c r="F389" i="18"/>
  <c r="K388" i="18"/>
  <c r="F388" i="18"/>
  <c r="K387" i="18"/>
  <c r="F387" i="18"/>
  <c r="K386" i="18"/>
  <c r="F386" i="18"/>
  <c r="K385" i="18"/>
  <c r="F385" i="18"/>
  <c r="K384" i="18"/>
  <c r="F384" i="18"/>
  <c r="K383" i="18"/>
  <c r="F383" i="18"/>
  <c r="K382" i="18"/>
  <c r="F382" i="18"/>
  <c r="K381" i="18"/>
  <c r="F381" i="18"/>
  <c r="K380" i="18"/>
  <c r="F380" i="18"/>
  <c r="K379" i="18"/>
  <c r="F379" i="18"/>
  <c r="K378" i="18"/>
  <c r="F378" i="18"/>
  <c r="K377" i="18"/>
  <c r="F377" i="18"/>
  <c r="K376" i="18"/>
  <c r="F376" i="18"/>
  <c r="K375" i="18"/>
  <c r="F375" i="18"/>
  <c r="K374" i="18"/>
  <c r="F374" i="18"/>
  <c r="K373" i="18"/>
  <c r="F373" i="18"/>
  <c r="K372" i="18"/>
  <c r="F372" i="18"/>
  <c r="K371" i="18"/>
  <c r="F371" i="18"/>
  <c r="K370" i="18"/>
  <c r="F370" i="18"/>
  <c r="K369" i="18"/>
  <c r="F369" i="18"/>
  <c r="K368" i="18"/>
  <c r="F368" i="18"/>
  <c r="K367" i="18"/>
  <c r="F367" i="18"/>
  <c r="K366" i="18"/>
  <c r="F366" i="18"/>
  <c r="K365" i="18"/>
  <c r="F365" i="18"/>
  <c r="K364" i="18"/>
  <c r="F364" i="18"/>
  <c r="K363" i="18"/>
  <c r="F363" i="18"/>
  <c r="K362" i="18"/>
  <c r="F362" i="18"/>
  <c r="K361" i="18"/>
  <c r="F361" i="18"/>
  <c r="K360" i="18"/>
  <c r="F360" i="18"/>
  <c r="K359" i="18"/>
  <c r="F359" i="18"/>
  <c r="K358" i="18"/>
  <c r="F358" i="18"/>
  <c r="K357" i="18"/>
  <c r="F357" i="18"/>
  <c r="K356" i="18"/>
  <c r="F356" i="18"/>
  <c r="K355" i="18"/>
  <c r="F355" i="18"/>
  <c r="K354" i="18"/>
  <c r="F354" i="18"/>
  <c r="K353" i="18"/>
  <c r="F353" i="18"/>
  <c r="K352" i="18"/>
  <c r="F352" i="18"/>
  <c r="K351" i="18"/>
  <c r="F351" i="18"/>
  <c r="K350" i="18"/>
  <c r="F350" i="18"/>
  <c r="K349" i="18"/>
  <c r="F349" i="18"/>
  <c r="K348" i="18"/>
  <c r="F348" i="18"/>
  <c r="K347" i="18"/>
  <c r="F347" i="18"/>
  <c r="K346" i="18"/>
  <c r="F346" i="18"/>
  <c r="K345" i="18"/>
  <c r="F345" i="18"/>
  <c r="K344" i="18"/>
  <c r="F344" i="18"/>
  <c r="K343" i="18"/>
  <c r="F343" i="18"/>
  <c r="K342" i="18"/>
  <c r="F342" i="18"/>
  <c r="K341" i="18"/>
  <c r="F341" i="18"/>
  <c r="K340" i="18"/>
  <c r="F340" i="18"/>
  <c r="K339" i="18"/>
  <c r="F339" i="18"/>
  <c r="K338" i="18"/>
  <c r="F338" i="18"/>
  <c r="K337" i="18"/>
  <c r="F337" i="18"/>
  <c r="K336" i="18"/>
  <c r="F336" i="18"/>
  <c r="K335" i="18"/>
  <c r="F335" i="18"/>
  <c r="K334" i="18"/>
  <c r="F334" i="18"/>
  <c r="K333" i="18"/>
  <c r="F333" i="18"/>
  <c r="K332" i="18"/>
  <c r="F332" i="18"/>
  <c r="K331" i="18"/>
  <c r="F331" i="18"/>
  <c r="K330" i="18"/>
  <c r="F330" i="18"/>
  <c r="K329" i="18"/>
  <c r="F329" i="18"/>
  <c r="K328" i="18"/>
  <c r="F328" i="18"/>
  <c r="K327" i="18"/>
  <c r="F327" i="18"/>
  <c r="K326" i="18"/>
  <c r="F326" i="18"/>
  <c r="K325" i="18"/>
  <c r="F325" i="18"/>
  <c r="K324" i="18"/>
  <c r="F324" i="18"/>
  <c r="K323" i="18"/>
  <c r="F323" i="18"/>
  <c r="K322" i="18"/>
  <c r="F322" i="18"/>
  <c r="K321" i="18"/>
  <c r="F321" i="18"/>
  <c r="K320" i="18"/>
  <c r="F320" i="18"/>
  <c r="K319" i="18"/>
  <c r="F319" i="18"/>
  <c r="K318" i="18"/>
  <c r="F318" i="18"/>
  <c r="K317" i="18"/>
  <c r="F317" i="18"/>
  <c r="K316" i="18"/>
  <c r="F316" i="18"/>
  <c r="K315" i="18"/>
  <c r="F315" i="18"/>
  <c r="K314" i="18"/>
  <c r="F314" i="18"/>
  <c r="K313" i="18"/>
  <c r="F313" i="18"/>
  <c r="K312" i="18"/>
  <c r="F312" i="18"/>
  <c r="K311" i="18"/>
  <c r="F311" i="18"/>
  <c r="K310" i="18"/>
  <c r="F310" i="18"/>
  <c r="K309" i="18"/>
  <c r="F309" i="18"/>
  <c r="K308" i="18"/>
  <c r="F308" i="18"/>
  <c r="K307" i="18"/>
  <c r="F307" i="18"/>
  <c r="K306" i="18"/>
  <c r="F306" i="18"/>
  <c r="K305" i="18"/>
  <c r="F305" i="18"/>
  <c r="K304" i="18"/>
  <c r="F304" i="18"/>
  <c r="K303" i="18"/>
  <c r="F303" i="18"/>
  <c r="K302" i="18"/>
  <c r="F302" i="18"/>
  <c r="K301" i="18"/>
  <c r="F301" i="18"/>
  <c r="K300" i="18"/>
  <c r="F300" i="18"/>
  <c r="K299" i="18"/>
  <c r="F299" i="18"/>
  <c r="K298" i="18"/>
  <c r="F298" i="18"/>
  <c r="K297" i="18"/>
  <c r="F297" i="18"/>
  <c r="K296" i="18"/>
  <c r="F296" i="18"/>
  <c r="K295" i="18"/>
  <c r="F295" i="18"/>
  <c r="K294" i="18"/>
  <c r="F294" i="18"/>
  <c r="K293" i="18"/>
  <c r="F293" i="18"/>
  <c r="K292" i="18"/>
  <c r="F292" i="18"/>
  <c r="K291" i="18"/>
  <c r="F291" i="18"/>
  <c r="K290" i="18"/>
  <c r="F290" i="18"/>
  <c r="K289" i="18"/>
  <c r="F289" i="18"/>
  <c r="K288" i="18"/>
  <c r="F288" i="18"/>
  <c r="K287" i="18"/>
  <c r="F287" i="18"/>
  <c r="K286" i="18"/>
  <c r="F286" i="18"/>
  <c r="K285" i="18"/>
  <c r="F285" i="18"/>
  <c r="K284" i="18"/>
  <c r="F284" i="18"/>
  <c r="K283" i="18"/>
  <c r="F283" i="18"/>
  <c r="K282" i="18"/>
  <c r="F282" i="18"/>
  <c r="K281" i="18"/>
  <c r="F281" i="18"/>
  <c r="K280" i="18"/>
  <c r="F280" i="18"/>
  <c r="K279" i="18"/>
  <c r="F279" i="18"/>
  <c r="K278" i="18"/>
  <c r="F278" i="18"/>
  <c r="K277" i="18"/>
  <c r="F277" i="18"/>
  <c r="K276" i="18"/>
  <c r="F276" i="18"/>
  <c r="K275" i="18"/>
  <c r="F275" i="18"/>
  <c r="K274" i="18"/>
  <c r="F274" i="18"/>
  <c r="K273" i="18"/>
  <c r="F273" i="18"/>
  <c r="K272" i="18"/>
  <c r="F272" i="18"/>
  <c r="K271" i="18"/>
  <c r="F271" i="18"/>
  <c r="K270" i="18"/>
  <c r="F270" i="18"/>
  <c r="K269" i="18"/>
  <c r="F269" i="18"/>
  <c r="K268" i="18"/>
  <c r="F268" i="18"/>
  <c r="K267" i="18"/>
  <c r="F267" i="18"/>
  <c r="K266" i="18"/>
  <c r="F266" i="18"/>
  <c r="K265" i="18"/>
  <c r="F265" i="18"/>
  <c r="K264" i="18"/>
  <c r="F264" i="18"/>
  <c r="K263" i="18"/>
  <c r="F263" i="18"/>
  <c r="K262" i="18"/>
  <c r="F262" i="18"/>
  <c r="K261" i="18"/>
  <c r="F261" i="18"/>
  <c r="K260" i="18"/>
  <c r="F260" i="18"/>
  <c r="K259" i="18"/>
  <c r="F259" i="18"/>
  <c r="K258" i="18"/>
  <c r="F258" i="18"/>
  <c r="K257" i="18"/>
  <c r="F257" i="18"/>
  <c r="K256" i="18"/>
  <c r="F256" i="18"/>
  <c r="K255" i="18"/>
  <c r="F255" i="18"/>
  <c r="K254" i="18"/>
  <c r="F254" i="18"/>
  <c r="K253" i="18"/>
  <c r="F253" i="18"/>
  <c r="K252" i="18"/>
  <c r="F252" i="18"/>
  <c r="K251" i="18"/>
  <c r="F251" i="18"/>
  <c r="K250" i="18"/>
  <c r="F250" i="18"/>
  <c r="K249" i="18"/>
  <c r="F249" i="18"/>
  <c r="K248" i="18"/>
  <c r="F248" i="18"/>
  <c r="K247" i="18"/>
  <c r="F247" i="18"/>
  <c r="K246" i="18"/>
  <c r="F246" i="18"/>
  <c r="K245" i="18"/>
  <c r="F245" i="18"/>
  <c r="K244" i="18"/>
  <c r="F244" i="18"/>
  <c r="K243" i="18"/>
  <c r="F243" i="18"/>
  <c r="K242" i="18"/>
  <c r="F242" i="18"/>
  <c r="K241" i="18"/>
  <c r="F241" i="18"/>
  <c r="K240" i="18"/>
  <c r="F240" i="18"/>
  <c r="K239" i="18"/>
  <c r="F239" i="18"/>
  <c r="K238" i="18"/>
  <c r="F238" i="18"/>
  <c r="K237" i="18"/>
  <c r="F237" i="18"/>
  <c r="K236" i="18"/>
  <c r="F236" i="18"/>
  <c r="K235" i="18"/>
  <c r="F235" i="18"/>
  <c r="K234" i="18"/>
  <c r="F234" i="18"/>
  <c r="K233" i="18"/>
  <c r="F233" i="18"/>
  <c r="K232" i="18"/>
  <c r="F232" i="18"/>
  <c r="K231" i="18"/>
  <c r="F231" i="18"/>
  <c r="K230" i="18"/>
  <c r="F230" i="18"/>
  <c r="K229" i="18"/>
  <c r="F229" i="18"/>
  <c r="K228" i="18"/>
  <c r="F228" i="18"/>
  <c r="K227" i="18"/>
  <c r="F227" i="18"/>
  <c r="K226" i="18"/>
  <c r="F226" i="18"/>
  <c r="K225" i="18"/>
  <c r="F225" i="18"/>
  <c r="K224" i="18"/>
  <c r="F224" i="18"/>
  <c r="K223" i="18"/>
  <c r="F223" i="18"/>
  <c r="K222" i="18"/>
  <c r="F222" i="18"/>
  <c r="K221" i="18"/>
  <c r="F221" i="18"/>
  <c r="K220" i="18"/>
  <c r="F220" i="18"/>
  <c r="K219" i="18"/>
  <c r="F219" i="18"/>
  <c r="K218" i="18"/>
  <c r="F218" i="18"/>
  <c r="K217" i="18"/>
  <c r="F217" i="18"/>
  <c r="K216" i="18"/>
  <c r="F216" i="18"/>
  <c r="K215" i="18"/>
  <c r="F215" i="18"/>
  <c r="K214" i="18"/>
  <c r="F214" i="18"/>
  <c r="K213" i="18"/>
  <c r="F213" i="18"/>
  <c r="K212" i="18"/>
  <c r="F212" i="18"/>
  <c r="K211" i="18"/>
  <c r="F211" i="18"/>
  <c r="K210" i="18"/>
  <c r="F210" i="18"/>
  <c r="K209" i="18"/>
  <c r="F209" i="18"/>
  <c r="K208" i="18"/>
  <c r="F208" i="18"/>
  <c r="K207" i="18"/>
  <c r="F207" i="18"/>
  <c r="K206" i="18"/>
  <c r="F206" i="18"/>
  <c r="K205" i="18"/>
  <c r="F205" i="18"/>
  <c r="K204" i="18"/>
  <c r="F204" i="18"/>
  <c r="K203" i="18"/>
  <c r="F203" i="18"/>
  <c r="K202" i="18"/>
  <c r="F202" i="18"/>
  <c r="K201" i="18"/>
  <c r="F201" i="18"/>
  <c r="K200" i="18"/>
  <c r="F200" i="18"/>
  <c r="K199" i="18"/>
  <c r="F199" i="18"/>
  <c r="K198" i="18"/>
  <c r="F198" i="18"/>
  <c r="K197" i="18"/>
  <c r="F197" i="18"/>
  <c r="K196" i="18"/>
  <c r="F196" i="18"/>
  <c r="K195" i="18"/>
  <c r="F195" i="18"/>
  <c r="K194" i="18"/>
  <c r="F194" i="18"/>
  <c r="K193" i="18"/>
  <c r="F193" i="18"/>
  <c r="K192" i="18"/>
  <c r="F192" i="18"/>
  <c r="K191" i="18"/>
  <c r="F191" i="18"/>
  <c r="K190" i="18"/>
  <c r="F190" i="18"/>
  <c r="K189" i="18"/>
  <c r="F189" i="18"/>
  <c r="K188" i="18"/>
  <c r="F188" i="18"/>
  <c r="K187" i="18"/>
  <c r="F187" i="18"/>
  <c r="K186" i="18"/>
  <c r="F186" i="18"/>
  <c r="K185" i="18"/>
  <c r="F185" i="18"/>
  <c r="K184" i="18"/>
  <c r="F184" i="18"/>
  <c r="K183" i="18"/>
  <c r="F183" i="18"/>
  <c r="K182" i="18"/>
  <c r="F182" i="18"/>
  <c r="K181" i="18"/>
  <c r="F181" i="18"/>
  <c r="K180" i="18"/>
  <c r="F180" i="18"/>
  <c r="K179" i="18"/>
  <c r="F179" i="18"/>
  <c r="K178" i="18"/>
  <c r="F178" i="18"/>
  <c r="K177" i="18"/>
  <c r="F177" i="18"/>
  <c r="K176" i="18"/>
  <c r="F176" i="18"/>
  <c r="K175" i="18"/>
  <c r="F175" i="18"/>
  <c r="K174" i="18"/>
  <c r="F174" i="18"/>
  <c r="K173" i="18"/>
  <c r="F173" i="18"/>
  <c r="K172" i="18"/>
  <c r="F172" i="18"/>
  <c r="K171" i="18"/>
  <c r="F171" i="18"/>
  <c r="K170" i="18"/>
  <c r="F170" i="18"/>
  <c r="K169" i="18"/>
  <c r="F169" i="18"/>
  <c r="K168" i="18"/>
  <c r="F168" i="18"/>
  <c r="K167" i="18"/>
  <c r="F167" i="18"/>
  <c r="K166" i="18"/>
  <c r="F166" i="18"/>
  <c r="K165" i="18"/>
  <c r="F165" i="18"/>
  <c r="K164" i="18"/>
  <c r="F164" i="18"/>
  <c r="K163" i="18"/>
  <c r="F163" i="18"/>
  <c r="K162" i="18"/>
  <c r="F162" i="18"/>
  <c r="K161" i="18"/>
  <c r="F161" i="18"/>
  <c r="K160" i="18"/>
  <c r="F160" i="18"/>
  <c r="K159" i="18"/>
  <c r="F159" i="18"/>
  <c r="K158" i="18"/>
  <c r="F158" i="18"/>
  <c r="K157" i="18"/>
  <c r="F157" i="18"/>
  <c r="K156" i="18"/>
  <c r="F156" i="18"/>
  <c r="K155" i="18"/>
  <c r="F155" i="18"/>
  <c r="K154" i="18"/>
  <c r="F154" i="18"/>
  <c r="K153" i="18"/>
  <c r="F153" i="18"/>
  <c r="K152" i="18"/>
  <c r="F152" i="18"/>
  <c r="K151" i="18"/>
  <c r="F151" i="18"/>
  <c r="K150" i="18"/>
  <c r="F150" i="18"/>
  <c r="K149" i="18"/>
  <c r="F149" i="18"/>
  <c r="K148" i="18"/>
  <c r="F148" i="18"/>
  <c r="K147" i="18"/>
  <c r="F147" i="18"/>
  <c r="K146" i="18"/>
  <c r="F146" i="18"/>
  <c r="K145" i="18"/>
  <c r="F145" i="18"/>
  <c r="K144" i="18"/>
  <c r="F144" i="18"/>
  <c r="K143" i="18"/>
  <c r="F143" i="18"/>
  <c r="K142" i="18"/>
  <c r="F142" i="18"/>
  <c r="K141" i="18"/>
  <c r="F141" i="18"/>
  <c r="K140" i="18"/>
  <c r="F140" i="18"/>
  <c r="K139" i="18"/>
  <c r="F139" i="18"/>
  <c r="K138" i="18"/>
  <c r="F138" i="18"/>
  <c r="K137" i="18"/>
  <c r="F137" i="18"/>
  <c r="K136" i="18"/>
  <c r="F136" i="18"/>
  <c r="K135" i="18"/>
  <c r="F135" i="18"/>
  <c r="K134" i="18"/>
  <c r="F134" i="18"/>
  <c r="K133" i="18"/>
  <c r="F133" i="18"/>
  <c r="K132" i="18"/>
  <c r="F132" i="18"/>
  <c r="K131" i="18"/>
  <c r="F131" i="18"/>
  <c r="K130" i="18"/>
  <c r="F130" i="18"/>
  <c r="K129" i="18"/>
  <c r="F129" i="18"/>
  <c r="K128" i="18"/>
  <c r="F128" i="18"/>
  <c r="K127" i="18"/>
  <c r="F127" i="18"/>
  <c r="K126" i="18"/>
  <c r="F126" i="18"/>
  <c r="K125" i="18"/>
  <c r="F125" i="18"/>
  <c r="K124" i="18"/>
  <c r="F124" i="18"/>
  <c r="K123" i="18"/>
  <c r="F123" i="18"/>
  <c r="K122" i="18"/>
  <c r="F122" i="18"/>
  <c r="K121" i="18"/>
  <c r="F121" i="18"/>
  <c r="K120" i="18"/>
  <c r="F120" i="18"/>
  <c r="K119" i="18"/>
  <c r="F119" i="18"/>
  <c r="K118" i="18"/>
  <c r="F118" i="18"/>
  <c r="K117" i="18"/>
  <c r="F117" i="18"/>
  <c r="K116" i="18"/>
  <c r="F116" i="18"/>
  <c r="K115" i="18"/>
  <c r="F115" i="18"/>
  <c r="K114" i="18"/>
  <c r="F114" i="18"/>
  <c r="K113" i="18"/>
  <c r="F113" i="18"/>
  <c r="K112" i="18"/>
  <c r="F112" i="18"/>
  <c r="K111" i="18"/>
  <c r="F111" i="18"/>
  <c r="K110" i="18"/>
  <c r="F110" i="18"/>
  <c r="K109" i="18"/>
  <c r="F109" i="18"/>
  <c r="K108" i="18"/>
  <c r="F108" i="18"/>
  <c r="K107" i="18"/>
  <c r="F107" i="18"/>
  <c r="K106" i="18"/>
  <c r="F106" i="18"/>
  <c r="K105" i="18"/>
  <c r="F105" i="18"/>
  <c r="K104" i="18"/>
  <c r="F104" i="18"/>
  <c r="K103" i="18"/>
  <c r="F103" i="18"/>
  <c r="K102" i="18"/>
  <c r="F102" i="18"/>
  <c r="K101" i="18"/>
  <c r="F101" i="18"/>
  <c r="K100" i="18"/>
  <c r="F100" i="18"/>
  <c r="K99" i="18"/>
  <c r="F99" i="18"/>
  <c r="K98" i="18"/>
  <c r="F98" i="18"/>
  <c r="K97" i="18"/>
  <c r="F97" i="18"/>
  <c r="K96" i="18"/>
  <c r="F96" i="18"/>
  <c r="K95" i="18"/>
  <c r="F95" i="18"/>
  <c r="K94" i="18"/>
  <c r="F94" i="18"/>
  <c r="K93" i="18"/>
  <c r="F93" i="18"/>
  <c r="K92" i="18"/>
  <c r="F92" i="18"/>
  <c r="K91" i="18"/>
  <c r="F91" i="18"/>
  <c r="K90" i="18"/>
  <c r="F90" i="18"/>
  <c r="K89" i="18"/>
  <c r="F89" i="18"/>
  <c r="K88" i="18"/>
  <c r="F88" i="18"/>
  <c r="K87" i="18"/>
  <c r="F87" i="18"/>
  <c r="K86" i="18"/>
  <c r="F86" i="18"/>
  <c r="K85" i="18"/>
  <c r="F85" i="18"/>
  <c r="K84" i="18"/>
  <c r="F84" i="18"/>
  <c r="K83" i="18"/>
  <c r="F83" i="18"/>
  <c r="K82" i="18"/>
  <c r="F82" i="18"/>
  <c r="K81" i="18"/>
  <c r="F81" i="18"/>
  <c r="K80" i="18"/>
  <c r="F80" i="18"/>
  <c r="K79" i="18"/>
  <c r="F79" i="18"/>
  <c r="K78" i="18"/>
  <c r="F78" i="18"/>
  <c r="K77" i="18"/>
  <c r="F77" i="18"/>
  <c r="K76" i="18"/>
  <c r="F76" i="18"/>
  <c r="K75" i="18"/>
  <c r="F75" i="18"/>
  <c r="K74" i="18"/>
  <c r="F74" i="18"/>
  <c r="K73" i="18"/>
  <c r="F73" i="18"/>
  <c r="K72" i="18"/>
  <c r="F72" i="18"/>
  <c r="K71" i="18"/>
  <c r="F71" i="18"/>
  <c r="K70" i="18"/>
  <c r="F70" i="18"/>
  <c r="K69" i="18"/>
  <c r="F69" i="18"/>
  <c r="K68" i="18"/>
  <c r="F68" i="18"/>
  <c r="K67" i="18"/>
  <c r="F67" i="18"/>
  <c r="K66" i="18"/>
  <c r="F66" i="18"/>
  <c r="K65" i="18"/>
  <c r="F65" i="18"/>
  <c r="K64" i="18"/>
  <c r="F64" i="18"/>
  <c r="K63" i="18"/>
  <c r="F63" i="18"/>
  <c r="K62" i="18"/>
  <c r="F62" i="18"/>
  <c r="K61" i="18"/>
  <c r="F61" i="18"/>
  <c r="K60" i="18"/>
  <c r="F60" i="18"/>
  <c r="K59" i="18"/>
  <c r="F59" i="18"/>
  <c r="K58" i="18"/>
  <c r="F58" i="18"/>
  <c r="K57" i="18"/>
  <c r="F57" i="18"/>
  <c r="K56" i="18"/>
  <c r="F56" i="18"/>
  <c r="K55" i="18"/>
  <c r="F55" i="18"/>
  <c r="K54" i="18"/>
  <c r="F54" i="18"/>
  <c r="K53" i="18"/>
  <c r="F53" i="18"/>
  <c r="K52" i="18"/>
  <c r="F52" i="18"/>
  <c r="K51" i="18"/>
  <c r="F51" i="18"/>
  <c r="K50" i="18"/>
  <c r="F50" i="18"/>
  <c r="K49" i="18"/>
  <c r="F49" i="18"/>
  <c r="K48" i="18"/>
  <c r="F48" i="18"/>
  <c r="K47" i="18"/>
  <c r="F47" i="18"/>
  <c r="K46" i="18"/>
  <c r="F46" i="18"/>
  <c r="K45" i="18"/>
  <c r="F45" i="18"/>
  <c r="K44" i="18"/>
  <c r="F44" i="18"/>
  <c r="K43" i="18"/>
  <c r="F43" i="18"/>
  <c r="K42" i="18"/>
  <c r="F42" i="18"/>
  <c r="K41" i="18"/>
  <c r="F41" i="18"/>
  <c r="K40" i="18"/>
  <c r="F40" i="18"/>
  <c r="K39" i="18"/>
  <c r="F39" i="18"/>
  <c r="K38" i="18"/>
  <c r="F38" i="18"/>
  <c r="K37" i="18"/>
  <c r="F37" i="18"/>
  <c r="K36" i="18"/>
  <c r="F36" i="18"/>
  <c r="K35" i="18"/>
  <c r="F35" i="18"/>
  <c r="K34" i="18"/>
  <c r="F34" i="18"/>
  <c r="K33" i="18"/>
  <c r="F33" i="18"/>
  <c r="K32" i="18"/>
  <c r="F32" i="18"/>
  <c r="K31" i="18"/>
  <c r="F31" i="18"/>
  <c r="K30" i="18"/>
  <c r="F30" i="18"/>
  <c r="K29" i="18"/>
  <c r="F29" i="18"/>
  <c r="K28" i="18"/>
  <c r="F28" i="18"/>
  <c r="K27" i="18"/>
  <c r="F27" i="18"/>
  <c r="K26" i="18"/>
  <c r="F26" i="18"/>
  <c r="K25" i="18"/>
  <c r="F25" i="18"/>
  <c r="K24" i="18"/>
  <c r="F24" i="18"/>
  <c r="K23" i="18"/>
  <c r="F23" i="18"/>
  <c r="K22" i="18"/>
  <c r="F22" i="18"/>
  <c r="K21" i="18"/>
  <c r="F21" i="18"/>
  <c r="K20" i="18"/>
  <c r="F20" i="18"/>
  <c r="K19" i="18"/>
  <c r="F19" i="18"/>
  <c r="K18" i="18"/>
  <c r="F18" i="18"/>
  <c r="K17" i="18"/>
  <c r="F17" i="18"/>
  <c r="K16" i="18"/>
  <c r="F16" i="18"/>
  <c r="K15" i="18"/>
  <c r="F15" i="18"/>
  <c r="K14" i="18"/>
  <c r="F14" i="18"/>
  <c r="K13" i="18"/>
  <c r="F13" i="18"/>
  <c r="K12" i="18"/>
  <c r="F12" i="18"/>
  <c r="K11" i="18"/>
  <c r="F11" i="18"/>
  <c r="K10" i="18"/>
  <c r="F10" i="18"/>
  <c r="K9" i="18"/>
  <c r="F9" i="18"/>
  <c r="K8" i="18"/>
  <c r="F8" i="18"/>
  <c r="K7" i="18"/>
  <c r="F7" i="18"/>
  <c r="K6" i="18"/>
  <c r="F6" i="18"/>
  <c r="O278" i="17"/>
  <c r="N278" i="17"/>
  <c r="M278" i="17"/>
  <c r="L278" i="17"/>
  <c r="K278" i="17"/>
  <c r="J278" i="17"/>
  <c r="I278" i="17"/>
  <c r="H278" i="17"/>
  <c r="G278" i="17"/>
  <c r="E278" i="17"/>
  <c r="O277" i="17"/>
  <c r="M277" i="17"/>
  <c r="K277" i="17"/>
  <c r="I277" i="17"/>
  <c r="G277" i="17"/>
  <c r="F277" i="17"/>
  <c r="E277" i="17"/>
  <c r="D277" i="17"/>
  <c r="O276" i="17"/>
  <c r="M276" i="17"/>
  <c r="K276" i="17"/>
  <c r="I276" i="17"/>
  <c r="G276" i="17"/>
  <c r="F276" i="17"/>
  <c r="E276" i="17"/>
  <c r="D276" i="17"/>
  <c r="O275" i="17"/>
  <c r="M275" i="17"/>
  <c r="K275" i="17"/>
  <c r="I275" i="17"/>
  <c r="G275" i="17"/>
  <c r="F275" i="17"/>
  <c r="E275" i="17"/>
  <c r="D275" i="17"/>
  <c r="O274" i="17"/>
  <c r="M274" i="17"/>
  <c r="K274" i="17"/>
  <c r="I274" i="17"/>
  <c r="G274" i="17"/>
  <c r="F274" i="17"/>
  <c r="E274" i="17"/>
  <c r="D274" i="17"/>
  <c r="O273" i="17"/>
  <c r="M273" i="17"/>
  <c r="K273" i="17"/>
  <c r="I273" i="17"/>
  <c r="G273" i="17"/>
  <c r="F273" i="17"/>
  <c r="E273" i="17"/>
  <c r="D273" i="17"/>
  <c r="O272" i="17"/>
  <c r="M272" i="17"/>
  <c r="K272" i="17"/>
  <c r="I272" i="17"/>
  <c r="G272" i="17"/>
  <c r="F272" i="17"/>
  <c r="E272" i="17"/>
  <c r="D272" i="17"/>
  <c r="O271" i="17"/>
  <c r="M271" i="17"/>
  <c r="K271" i="17"/>
  <c r="I271" i="17"/>
  <c r="G271" i="17"/>
  <c r="F271" i="17"/>
  <c r="E271" i="17"/>
  <c r="D271" i="17"/>
  <c r="O270" i="17"/>
  <c r="M270" i="17"/>
  <c r="K270" i="17"/>
  <c r="I270" i="17"/>
  <c r="G270" i="17"/>
  <c r="F270" i="17"/>
  <c r="E270" i="17"/>
  <c r="D270" i="17"/>
  <c r="O269" i="17"/>
  <c r="M269" i="17"/>
  <c r="K269" i="17"/>
  <c r="I269" i="17"/>
  <c r="G269" i="17"/>
  <c r="F269" i="17"/>
  <c r="E269" i="17"/>
  <c r="D269" i="17"/>
  <c r="O268" i="17"/>
  <c r="M268" i="17"/>
  <c r="K268" i="17"/>
  <c r="I268" i="17"/>
  <c r="G268" i="17"/>
  <c r="F268" i="17"/>
  <c r="E268" i="17"/>
  <c r="D268" i="17"/>
  <c r="O267" i="17"/>
  <c r="M267" i="17"/>
  <c r="K267" i="17"/>
  <c r="I267" i="17"/>
  <c r="G267" i="17"/>
  <c r="F267" i="17"/>
  <c r="E267" i="17"/>
  <c r="D267" i="17"/>
  <c r="O266" i="17"/>
  <c r="M266" i="17"/>
  <c r="K266" i="17"/>
  <c r="I266" i="17"/>
  <c r="G266" i="17"/>
  <c r="F266" i="17"/>
  <c r="E266" i="17"/>
  <c r="D266" i="17"/>
  <c r="O265" i="17"/>
  <c r="M265" i="17"/>
  <c r="K265" i="17"/>
  <c r="I265" i="17"/>
  <c r="G265" i="17"/>
  <c r="F265" i="17"/>
  <c r="E265" i="17"/>
  <c r="D265" i="17"/>
  <c r="O264" i="17"/>
  <c r="M264" i="17"/>
  <c r="K264" i="17"/>
  <c r="I264" i="17"/>
  <c r="G264" i="17"/>
  <c r="F264" i="17"/>
  <c r="E264" i="17"/>
  <c r="D264" i="17"/>
  <c r="O263" i="17"/>
  <c r="M263" i="17"/>
  <c r="K263" i="17"/>
  <c r="I263" i="17"/>
  <c r="G263" i="17"/>
  <c r="F263" i="17"/>
  <c r="E263" i="17"/>
  <c r="D263" i="17"/>
  <c r="O262" i="17"/>
  <c r="M262" i="17"/>
  <c r="K262" i="17"/>
  <c r="I262" i="17"/>
  <c r="G262" i="17"/>
  <c r="F262" i="17"/>
  <c r="E262" i="17"/>
  <c r="D262" i="17"/>
  <c r="O261" i="17"/>
  <c r="M261" i="17"/>
  <c r="K261" i="17"/>
  <c r="I261" i="17"/>
  <c r="G261" i="17"/>
  <c r="F261" i="17"/>
  <c r="E261" i="17"/>
  <c r="D261" i="17"/>
  <c r="O260" i="17"/>
  <c r="M260" i="17"/>
  <c r="K260" i="17"/>
  <c r="I260" i="17"/>
  <c r="G260" i="17"/>
  <c r="F260" i="17"/>
  <c r="E260" i="17"/>
  <c r="D260" i="17"/>
  <c r="O259" i="17"/>
  <c r="M259" i="17"/>
  <c r="K259" i="17"/>
  <c r="I259" i="17"/>
  <c r="G259" i="17"/>
  <c r="F259" i="17"/>
  <c r="E259" i="17"/>
  <c r="D259" i="17"/>
  <c r="O258" i="17"/>
  <c r="M258" i="17"/>
  <c r="K258" i="17"/>
  <c r="I258" i="17"/>
  <c r="G258" i="17"/>
  <c r="F258" i="17"/>
  <c r="E258" i="17"/>
  <c r="D258" i="17"/>
  <c r="O257" i="17"/>
  <c r="M257" i="17"/>
  <c r="K257" i="17"/>
  <c r="I257" i="17"/>
  <c r="G257" i="17"/>
  <c r="F257" i="17"/>
  <c r="E257" i="17"/>
  <c r="D257" i="17"/>
  <c r="O256" i="17"/>
  <c r="M256" i="17"/>
  <c r="K256" i="17"/>
  <c r="I256" i="17"/>
  <c r="G256" i="17"/>
  <c r="F256" i="17"/>
  <c r="E256" i="17"/>
  <c r="D256" i="17"/>
  <c r="O255" i="17"/>
  <c r="M255" i="17"/>
  <c r="K255" i="17"/>
  <c r="I255" i="17"/>
  <c r="G255" i="17"/>
  <c r="F255" i="17"/>
  <c r="E255" i="17"/>
  <c r="D255" i="17"/>
  <c r="O254" i="17"/>
  <c r="M254" i="17"/>
  <c r="K254" i="17"/>
  <c r="I254" i="17"/>
  <c r="G254" i="17"/>
  <c r="F254" i="17"/>
  <c r="E254" i="17"/>
  <c r="D254" i="17"/>
  <c r="O253" i="17"/>
  <c r="M253" i="17"/>
  <c r="K253" i="17"/>
  <c r="I253" i="17"/>
  <c r="G253" i="17"/>
  <c r="F253" i="17"/>
  <c r="E253" i="17"/>
  <c r="D253" i="17"/>
  <c r="O252" i="17"/>
  <c r="M252" i="17"/>
  <c r="K252" i="17"/>
  <c r="I252" i="17"/>
  <c r="G252" i="17"/>
  <c r="F252" i="17"/>
  <c r="E252" i="17"/>
  <c r="D252" i="17"/>
  <c r="O251" i="17"/>
  <c r="M251" i="17"/>
  <c r="K251" i="17"/>
  <c r="I251" i="17"/>
  <c r="G251" i="17"/>
  <c r="F251" i="17"/>
  <c r="E251" i="17"/>
  <c r="D251" i="17"/>
  <c r="O250" i="17"/>
  <c r="M250" i="17"/>
  <c r="K250" i="17"/>
  <c r="I250" i="17"/>
  <c r="G250" i="17"/>
  <c r="F250" i="17"/>
  <c r="E250" i="17"/>
  <c r="D250" i="17"/>
  <c r="O249" i="17"/>
  <c r="M249" i="17"/>
  <c r="K249" i="17"/>
  <c r="I249" i="17"/>
  <c r="G249" i="17"/>
  <c r="F249" i="17"/>
  <c r="E249" i="17"/>
  <c r="D249" i="17"/>
  <c r="O248" i="17"/>
  <c r="M248" i="17"/>
  <c r="K248" i="17"/>
  <c r="I248" i="17"/>
  <c r="G248" i="17"/>
  <c r="F248" i="17"/>
  <c r="E248" i="17"/>
  <c r="D248" i="17"/>
  <c r="O247" i="17"/>
  <c r="M247" i="17"/>
  <c r="K247" i="17"/>
  <c r="I247" i="17"/>
  <c r="G247" i="17"/>
  <c r="F247" i="17"/>
  <c r="E247" i="17"/>
  <c r="D247" i="17"/>
  <c r="O246" i="17"/>
  <c r="M246" i="17"/>
  <c r="K246" i="17"/>
  <c r="I246" i="17"/>
  <c r="G246" i="17"/>
  <c r="F246" i="17"/>
  <c r="E246" i="17"/>
  <c r="D246" i="17"/>
  <c r="O245" i="17"/>
  <c r="M245" i="17"/>
  <c r="K245" i="17"/>
  <c r="I245" i="17"/>
  <c r="G245" i="17"/>
  <c r="F245" i="17"/>
  <c r="E245" i="17"/>
  <c r="D245" i="17"/>
  <c r="O244" i="17"/>
  <c r="M244" i="17"/>
  <c r="K244" i="17"/>
  <c r="I244" i="17"/>
  <c r="G244" i="17"/>
  <c r="F244" i="17"/>
  <c r="E244" i="17"/>
  <c r="D244" i="17"/>
  <c r="O243" i="17"/>
  <c r="M243" i="17"/>
  <c r="K243" i="17"/>
  <c r="I243" i="17"/>
  <c r="G243" i="17"/>
  <c r="F243" i="17"/>
  <c r="E243" i="17"/>
  <c r="D243" i="17"/>
  <c r="O242" i="17"/>
  <c r="M242" i="17"/>
  <c r="K242" i="17"/>
  <c r="I242" i="17"/>
  <c r="G242" i="17"/>
  <c r="F242" i="17"/>
  <c r="E242" i="17"/>
  <c r="D242" i="17"/>
  <c r="O241" i="17"/>
  <c r="M241" i="17"/>
  <c r="K241" i="17"/>
  <c r="I241" i="17"/>
  <c r="G241" i="17"/>
  <c r="F241" i="17"/>
  <c r="E241" i="17"/>
  <c r="D241" i="17"/>
  <c r="O240" i="17"/>
  <c r="M240" i="17"/>
  <c r="K240" i="17"/>
  <c r="I240" i="17"/>
  <c r="G240" i="17"/>
  <c r="F240" i="17"/>
  <c r="E240" i="17"/>
  <c r="D240" i="17"/>
  <c r="O239" i="17"/>
  <c r="M239" i="17"/>
  <c r="K239" i="17"/>
  <c r="I239" i="17"/>
  <c r="G239" i="17"/>
  <c r="F239" i="17"/>
  <c r="E239" i="17"/>
  <c r="D239" i="17"/>
  <c r="O238" i="17"/>
  <c r="M238" i="17"/>
  <c r="K238" i="17"/>
  <c r="I238" i="17"/>
  <c r="G238" i="17"/>
  <c r="F238" i="17"/>
  <c r="E238" i="17"/>
  <c r="D238" i="17"/>
  <c r="O237" i="17"/>
  <c r="M237" i="17"/>
  <c r="K237" i="17"/>
  <c r="I237" i="17"/>
  <c r="G237" i="17"/>
  <c r="F237" i="17"/>
  <c r="E237" i="17"/>
  <c r="D237" i="17"/>
  <c r="O236" i="17"/>
  <c r="M236" i="17"/>
  <c r="K236" i="17"/>
  <c r="I236" i="17"/>
  <c r="G236" i="17"/>
  <c r="F236" i="17"/>
  <c r="E236" i="17"/>
  <c r="D236" i="17"/>
  <c r="O235" i="17"/>
  <c r="M235" i="17"/>
  <c r="K235" i="17"/>
  <c r="I235" i="17"/>
  <c r="G235" i="17"/>
  <c r="F235" i="17"/>
  <c r="E235" i="17"/>
  <c r="D235" i="17"/>
  <c r="O234" i="17"/>
  <c r="M234" i="17"/>
  <c r="K234" i="17"/>
  <c r="I234" i="17"/>
  <c r="G234" i="17"/>
  <c r="F234" i="17"/>
  <c r="E234" i="17"/>
  <c r="D234" i="17"/>
  <c r="O233" i="17"/>
  <c r="M233" i="17"/>
  <c r="K233" i="17"/>
  <c r="I233" i="17"/>
  <c r="G233" i="17"/>
  <c r="F233" i="17"/>
  <c r="E233" i="17"/>
  <c r="D233" i="17"/>
  <c r="O232" i="17"/>
  <c r="M232" i="17"/>
  <c r="K232" i="17"/>
  <c r="I232" i="17"/>
  <c r="G232" i="17"/>
  <c r="F232" i="17"/>
  <c r="E232" i="17"/>
  <c r="D232" i="17"/>
  <c r="O231" i="17"/>
  <c r="M231" i="17"/>
  <c r="K231" i="17"/>
  <c r="I231" i="17"/>
  <c r="G231" i="17"/>
  <c r="F231" i="17"/>
  <c r="E231" i="17"/>
  <c r="D231" i="17"/>
  <c r="O230" i="17"/>
  <c r="M230" i="17"/>
  <c r="K230" i="17"/>
  <c r="I230" i="17"/>
  <c r="G230" i="17"/>
  <c r="F230" i="17"/>
  <c r="E230" i="17"/>
  <c r="D230" i="17"/>
  <c r="O229" i="17"/>
  <c r="M229" i="17"/>
  <c r="K229" i="17"/>
  <c r="I229" i="17"/>
  <c r="G229" i="17"/>
  <c r="F229" i="17"/>
  <c r="E229" i="17"/>
  <c r="D229" i="17"/>
  <c r="O228" i="17"/>
  <c r="M228" i="17"/>
  <c r="K228" i="17"/>
  <c r="I228" i="17"/>
  <c r="G228" i="17"/>
  <c r="F228" i="17"/>
  <c r="E228" i="17"/>
  <c r="D228" i="17"/>
  <c r="O227" i="17"/>
  <c r="M227" i="17"/>
  <c r="K227" i="17"/>
  <c r="I227" i="17"/>
  <c r="G227" i="17"/>
  <c r="F227" i="17"/>
  <c r="E227" i="17"/>
  <c r="D227" i="17"/>
  <c r="O226" i="17"/>
  <c r="M226" i="17"/>
  <c r="K226" i="17"/>
  <c r="I226" i="17"/>
  <c r="G226" i="17"/>
  <c r="F226" i="17"/>
  <c r="E226" i="17"/>
  <c r="D226" i="17"/>
  <c r="O225" i="17"/>
  <c r="M225" i="17"/>
  <c r="K225" i="17"/>
  <c r="I225" i="17"/>
  <c r="G225" i="17"/>
  <c r="F225" i="17"/>
  <c r="E225" i="17"/>
  <c r="D225" i="17"/>
  <c r="O224" i="17"/>
  <c r="M224" i="17"/>
  <c r="K224" i="17"/>
  <c r="I224" i="17"/>
  <c r="G224" i="17"/>
  <c r="F224" i="17"/>
  <c r="E224" i="17"/>
  <c r="D224" i="17"/>
  <c r="O223" i="17"/>
  <c r="M223" i="17"/>
  <c r="K223" i="17"/>
  <c r="I223" i="17"/>
  <c r="G223" i="17"/>
  <c r="F223" i="17"/>
  <c r="E223" i="17"/>
  <c r="D223" i="17"/>
  <c r="O222" i="17"/>
  <c r="M222" i="17"/>
  <c r="K222" i="17"/>
  <c r="I222" i="17"/>
  <c r="G222" i="17"/>
  <c r="F222" i="17"/>
  <c r="E222" i="17"/>
  <c r="D222" i="17"/>
  <c r="O221" i="17"/>
  <c r="M221" i="17"/>
  <c r="K221" i="17"/>
  <c r="I221" i="17"/>
  <c r="G221" i="17"/>
  <c r="F221" i="17"/>
  <c r="E221" i="17"/>
  <c r="D221" i="17"/>
  <c r="O220" i="17"/>
  <c r="M220" i="17"/>
  <c r="K220" i="17"/>
  <c r="I220" i="17"/>
  <c r="G220" i="17"/>
  <c r="F220" i="17"/>
  <c r="E220" i="17"/>
  <c r="D220" i="17"/>
  <c r="O219" i="17"/>
  <c r="M219" i="17"/>
  <c r="K219" i="17"/>
  <c r="I219" i="17"/>
  <c r="G219" i="17"/>
  <c r="F219" i="17"/>
  <c r="E219" i="17"/>
  <c r="D219" i="17"/>
  <c r="O218" i="17"/>
  <c r="M218" i="17"/>
  <c r="K218" i="17"/>
  <c r="I218" i="17"/>
  <c r="G218" i="17"/>
  <c r="F218" i="17"/>
  <c r="E218" i="17"/>
  <c r="D218" i="17"/>
  <c r="O217" i="17"/>
  <c r="M217" i="17"/>
  <c r="K217" i="17"/>
  <c r="I217" i="17"/>
  <c r="G217" i="17"/>
  <c r="F217" i="17"/>
  <c r="E217" i="17"/>
  <c r="D217" i="17"/>
  <c r="O216" i="17"/>
  <c r="M216" i="17"/>
  <c r="K216" i="17"/>
  <c r="I216" i="17"/>
  <c r="G216" i="17"/>
  <c r="F216" i="17"/>
  <c r="E216" i="17"/>
  <c r="D216" i="17"/>
  <c r="O215" i="17"/>
  <c r="M215" i="17"/>
  <c r="K215" i="17"/>
  <c r="I215" i="17"/>
  <c r="G215" i="17"/>
  <c r="F215" i="17"/>
  <c r="E215" i="17"/>
  <c r="D215" i="17"/>
  <c r="O214" i="17"/>
  <c r="M214" i="17"/>
  <c r="K214" i="17"/>
  <c r="I214" i="17"/>
  <c r="G214" i="17"/>
  <c r="F214" i="17"/>
  <c r="E214" i="17"/>
  <c r="D214" i="17"/>
  <c r="O213" i="17"/>
  <c r="M213" i="17"/>
  <c r="K213" i="17"/>
  <c r="I213" i="17"/>
  <c r="G213" i="17"/>
  <c r="F213" i="17"/>
  <c r="E213" i="17"/>
  <c r="D213" i="17"/>
  <c r="O212" i="17"/>
  <c r="M212" i="17"/>
  <c r="K212" i="17"/>
  <c r="I212" i="17"/>
  <c r="G212" i="17"/>
  <c r="F212" i="17"/>
  <c r="E212" i="17"/>
  <c r="D212" i="17"/>
  <c r="O211" i="17"/>
  <c r="M211" i="17"/>
  <c r="K211" i="17"/>
  <c r="I211" i="17"/>
  <c r="G211" i="17"/>
  <c r="F211" i="17"/>
  <c r="E211" i="17"/>
  <c r="D211" i="17"/>
  <c r="O210" i="17"/>
  <c r="M210" i="17"/>
  <c r="K210" i="17"/>
  <c r="I210" i="17"/>
  <c r="G210" i="17"/>
  <c r="F210" i="17"/>
  <c r="E210" i="17"/>
  <c r="D210" i="17"/>
  <c r="O209" i="17"/>
  <c r="M209" i="17"/>
  <c r="K209" i="17"/>
  <c r="I209" i="17"/>
  <c r="G209" i="17"/>
  <c r="F209" i="17"/>
  <c r="E209" i="17"/>
  <c r="D209" i="17"/>
  <c r="O208" i="17"/>
  <c r="M208" i="17"/>
  <c r="K208" i="17"/>
  <c r="I208" i="17"/>
  <c r="G208" i="17"/>
  <c r="F208" i="17"/>
  <c r="E208" i="17"/>
  <c r="D208" i="17"/>
  <c r="O207" i="17"/>
  <c r="M207" i="17"/>
  <c r="K207" i="17"/>
  <c r="I207" i="17"/>
  <c r="G207" i="17"/>
  <c r="F207" i="17"/>
  <c r="E207" i="17"/>
  <c r="D207" i="17"/>
  <c r="O206" i="17"/>
  <c r="M206" i="17"/>
  <c r="K206" i="17"/>
  <c r="I206" i="17"/>
  <c r="G206" i="17"/>
  <c r="F206" i="17"/>
  <c r="E206" i="17"/>
  <c r="D206" i="17"/>
  <c r="O205" i="17"/>
  <c r="M205" i="17"/>
  <c r="K205" i="17"/>
  <c r="I205" i="17"/>
  <c r="G205" i="17"/>
  <c r="F205" i="17"/>
  <c r="E205" i="17"/>
  <c r="D205" i="17"/>
  <c r="O204" i="17"/>
  <c r="M204" i="17"/>
  <c r="K204" i="17"/>
  <c r="I204" i="17"/>
  <c r="G204" i="17"/>
  <c r="F204" i="17"/>
  <c r="E204" i="17"/>
  <c r="D204" i="17"/>
  <c r="O203" i="17"/>
  <c r="M203" i="17"/>
  <c r="K203" i="17"/>
  <c r="I203" i="17"/>
  <c r="G203" i="17"/>
  <c r="F203" i="17"/>
  <c r="E203" i="17"/>
  <c r="D203" i="17"/>
  <c r="O202" i="17"/>
  <c r="M202" i="17"/>
  <c r="K202" i="17"/>
  <c r="I202" i="17"/>
  <c r="G202" i="17"/>
  <c r="F202" i="17"/>
  <c r="E202" i="17"/>
  <c r="D202" i="17"/>
  <c r="O201" i="17"/>
  <c r="M201" i="17"/>
  <c r="K201" i="17"/>
  <c r="I201" i="17"/>
  <c r="G201" i="17"/>
  <c r="F201" i="17"/>
  <c r="E201" i="17"/>
  <c r="D201" i="17"/>
  <c r="O200" i="17"/>
  <c r="M200" i="17"/>
  <c r="K200" i="17"/>
  <c r="I200" i="17"/>
  <c r="G200" i="17"/>
  <c r="F200" i="17"/>
  <c r="E200" i="17"/>
  <c r="D200" i="17"/>
  <c r="O199" i="17"/>
  <c r="M199" i="17"/>
  <c r="K199" i="17"/>
  <c r="I199" i="17"/>
  <c r="G199" i="17"/>
  <c r="F199" i="17"/>
  <c r="E199" i="17"/>
  <c r="D199" i="17"/>
  <c r="O198" i="17"/>
  <c r="M198" i="17"/>
  <c r="K198" i="17"/>
  <c r="I198" i="17"/>
  <c r="G198" i="17"/>
  <c r="F198" i="17"/>
  <c r="E198" i="17"/>
  <c r="D198" i="17"/>
  <c r="O197" i="17"/>
  <c r="M197" i="17"/>
  <c r="K197" i="17"/>
  <c r="I197" i="17"/>
  <c r="G197" i="17"/>
  <c r="F197" i="17"/>
  <c r="E197" i="17"/>
  <c r="D197" i="17"/>
  <c r="O196" i="17"/>
  <c r="M196" i="17"/>
  <c r="K196" i="17"/>
  <c r="I196" i="17"/>
  <c r="G196" i="17"/>
  <c r="F196" i="17"/>
  <c r="E196" i="17"/>
  <c r="D196" i="17"/>
  <c r="O195" i="17"/>
  <c r="M195" i="17"/>
  <c r="K195" i="17"/>
  <c r="I195" i="17"/>
  <c r="G195" i="17"/>
  <c r="F195" i="17"/>
  <c r="E195" i="17"/>
  <c r="D195" i="17"/>
  <c r="O194" i="17"/>
  <c r="M194" i="17"/>
  <c r="K194" i="17"/>
  <c r="I194" i="17"/>
  <c r="G194" i="17"/>
  <c r="F194" i="17"/>
  <c r="E194" i="17"/>
  <c r="D194" i="17"/>
  <c r="O193" i="17"/>
  <c r="M193" i="17"/>
  <c r="K193" i="17"/>
  <c r="I193" i="17"/>
  <c r="G193" i="17"/>
  <c r="F193" i="17"/>
  <c r="E193" i="17"/>
  <c r="D193" i="17"/>
  <c r="O192" i="17"/>
  <c r="M192" i="17"/>
  <c r="K192" i="17"/>
  <c r="I192" i="17"/>
  <c r="G192" i="17"/>
  <c r="F192" i="17"/>
  <c r="E192" i="17"/>
  <c r="D192" i="17"/>
  <c r="O191" i="17"/>
  <c r="M191" i="17"/>
  <c r="K191" i="17"/>
  <c r="I191" i="17"/>
  <c r="G191" i="17"/>
  <c r="F191" i="17"/>
  <c r="E191" i="17"/>
  <c r="D191" i="17"/>
  <c r="O190" i="17"/>
  <c r="M190" i="17"/>
  <c r="K190" i="17"/>
  <c r="I190" i="17"/>
  <c r="G190" i="17"/>
  <c r="F190" i="17"/>
  <c r="E190" i="17"/>
  <c r="D190" i="17"/>
  <c r="O189" i="17"/>
  <c r="M189" i="17"/>
  <c r="K189" i="17"/>
  <c r="I189" i="17"/>
  <c r="G189" i="17"/>
  <c r="F189" i="17"/>
  <c r="E189" i="17"/>
  <c r="D189" i="17"/>
  <c r="O188" i="17"/>
  <c r="M188" i="17"/>
  <c r="K188" i="17"/>
  <c r="I188" i="17"/>
  <c r="G188" i="17"/>
  <c r="F188" i="17"/>
  <c r="E188" i="17"/>
  <c r="D188" i="17"/>
  <c r="O187" i="17"/>
  <c r="M187" i="17"/>
  <c r="K187" i="17"/>
  <c r="I187" i="17"/>
  <c r="G187" i="17"/>
  <c r="F187" i="17"/>
  <c r="E187" i="17"/>
  <c r="D187" i="17"/>
  <c r="O186" i="17"/>
  <c r="M186" i="17"/>
  <c r="K186" i="17"/>
  <c r="I186" i="17"/>
  <c r="G186" i="17"/>
  <c r="F186" i="17"/>
  <c r="E186" i="17"/>
  <c r="D186" i="17"/>
  <c r="O185" i="17"/>
  <c r="M185" i="17"/>
  <c r="K185" i="17"/>
  <c r="I185" i="17"/>
  <c r="G185" i="17"/>
  <c r="F185" i="17"/>
  <c r="E185" i="17"/>
  <c r="D185" i="17"/>
  <c r="O184" i="17"/>
  <c r="M184" i="17"/>
  <c r="K184" i="17"/>
  <c r="I184" i="17"/>
  <c r="G184" i="17"/>
  <c r="F184" i="17"/>
  <c r="E184" i="17"/>
  <c r="D184" i="17"/>
  <c r="O183" i="17"/>
  <c r="M183" i="17"/>
  <c r="K183" i="17"/>
  <c r="I183" i="17"/>
  <c r="G183" i="17"/>
  <c r="F183" i="17"/>
  <c r="E183" i="17"/>
  <c r="D183" i="17"/>
  <c r="O182" i="17"/>
  <c r="M182" i="17"/>
  <c r="K182" i="17"/>
  <c r="I182" i="17"/>
  <c r="G182" i="17"/>
  <c r="F182" i="17"/>
  <c r="E182" i="17"/>
  <c r="D182" i="17"/>
  <c r="O181" i="17"/>
  <c r="M181" i="17"/>
  <c r="K181" i="17"/>
  <c r="I181" i="17"/>
  <c r="G181" i="17"/>
  <c r="F181" i="17"/>
  <c r="E181" i="17"/>
  <c r="D181" i="17"/>
  <c r="O180" i="17"/>
  <c r="M180" i="17"/>
  <c r="K180" i="17"/>
  <c r="I180" i="17"/>
  <c r="G180" i="17"/>
  <c r="F180" i="17"/>
  <c r="E180" i="17"/>
  <c r="D180" i="17"/>
  <c r="O179" i="17"/>
  <c r="M179" i="17"/>
  <c r="K179" i="17"/>
  <c r="I179" i="17"/>
  <c r="G179" i="17"/>
  <c r="F179" i="17"/>
  <c r="E179" i="17"/>
  <c r="D179" i="17"/>
  <c r="O178" i="17"/>
  <c r="M178" i="17"/>
  <c r="K178" i="17"/>
  <c r="I178" i="17"/>
  <c r="G178" i="17"/>
  <c r="F178" i="17"/>
  <c r="E178" i="17"/>
  <c r="D178" i="17"/>
  <c r="O177" i="17"/>
  <c r="M177" i="17"/>
  <c r="K177" i="17"/>
  <c r="I177" i="17"/>
  <c r="G177" i="17"/>
  <c r="F177" i="17"/>
  <c r="E177" i="17"/>
  <c r="D177" i="17"/>
  <c r="O176" i="17"/>
  <c r="M176" i="17"/>
  <c r="K176" i="17"/>
  <c r="I176" i="17"/>
  <c r="G176" i="17"/>
  <c r="F176" i="17"/>
  <c r="E176" i="17"/>
  <c r="D176" i="17"/>
  <c r="O175" i="17"/>
  <c r="M175" i="17"/>
  <c r="K175" i="17"/>
  <c r="I175" i="17"/>
  <c r="G175" i="17"/>
  <c r="F175" i="17"/>
  <c r="E175" i="17"/>
  <c r="D175" i="17"/>
  <c r="O174" i="17"/>
  <c r="M174" i="17"/>
  <c r="K174" i="17"/>
  <c r="I174" i="17"/>
  <c r="G174" i="17"/>
  <c r="F174" i="17"/>
  <c r="E174" i="17"/>
  <c r="D174" i="17"/>
  <c r="O173" i="17"/>
  <c r="M173" i="17"/>
  <c r="K173" i="17"/>
  <c r="I173" i="17"/>
  <c r="G173" i="17"/>
  <c r="F173" i="17"/>
  <c r="E173" i="17"/>
  <c r="D173" i="17"/>
  <c r="O172" i="17"/>
  <c r="M172" i="17"/>
  <c r="K172" i="17"/>
  <c r="I172" i="17"/>
  <c r="G172" i="17"/>
  <c r="F172" i="17"/>
  <c r="E172" i="17"/>
  <c r="D172" i="17"/>
  <c r="O171" i="17"/>
  <c r="M171" i="17"/>
  <c r="K171" i="17"/>
  <c r="I171" i="17"/>
  <c r="G171" i="17"/>
  <c r="F171" i="17"/>
  <c r="E171" i="17"/>
  <c r="D171" i="17"/>
  <c r="O170" i="17"/>
  <c r="M170" i="17"/>
  <c r="K170" i="17"/>
  <c r="I170" i="17"/>
  <c r="G170" i="17"/>
  <c r="F170" i="17"/>
  <c r="E170" i="17"/>
  <c r="D170" i="17"/>
  <c r="O169" i="17"/>
  <c r="M169" i="17"/>
  <c r="K169" i="17"/>
  <c r="I169" i="17"/>
  <c r="G169" i="17"/>
  <c r="F169" i="17"/>
  <c r="E169" i="17"/>
  <c r="D169" i="17"/>
  <c r="O168" i="17"/>
  <c r="M168" i="17"/>
  <c r="K168" i="17"/>
  <c r="I168" i="17"/>
  <c r="G168" i="17"/>
  <c r="F168" i="17"/>
  <c r="E168" i="17"/>
  <c r="D168" i="17"/>
  <c r="O167" i="17"/>
  <c r="M167" i="17"/>
  <c r="K167" i="17"/>
  <c r="I167" i="17"/>
  <c r="G167" i="17"/>
  <c r="F167" i="17"/>
  <c r="E167" i="17"/>
  <c r="D167" i="17"/>
  <c r="O166" i="17"/>
  <c r="M166" i="17"/>
  <c r="K166" i="17"/>
  <c r="I166" i="17"/>
  <c r="G166" i="17"/>
  <c r="F166" i="17"/>
  <c r="E166" i="17"/>
  <c r="D166" i="17"/>
  <c r="O165" i="17"/>
  <c r="M165" i="17"/>
  <c r="K165" i="17"/>
  <c r="I165" i="17"/>
  <c r="G165" i="17"/>
  <c r="F165" i="17"/>
  <c r="E165" i="17"/>
  <c r="D165" i="17"/>
  <c r="O164" i="17"/>
  <c r="M164" i="17"/>
  <c r="K164" i="17"/>
  <c r="I164" i="17"/>
  <c r="G164" i="17"/>
  <c r="F164" i="17"/>
  <c r="E164" i="17"/>
  <c r="D164" i="17"/>
  <c r="O163" i="17"/>
  <c r="M163" i="17"/>
  <c r="K163" i="17"/>
  <c r="I163" i="17"/>
  <c r="G163" i="17"/>
  <c r="F163" i="17"/>
  <c r="E163" i="17"/>
  <c r="D163" i="17"/>
  <c r="O162" i="17"/>
  <c r="M162" i="17"/>
  <c r="K162" i="17"/>
  <c r="I162" i="17"/>
  <c r="G162" i="17"/>
  <c r="F162" i="17"/>
  <c r="E162" i="17"/>
  <c r="D162" i="17"/>
  <c r="O161" i="17"/>
  <c r="M161" i="17"/>
  <c r="K161" i="17"/>
  <c r="I161" i="17"/>
  <c r="G161" i="17"/>
  <c r="F161" i="17"/>
  <c r="E161" i="17"/>
  <c r="D161" i="17"/>
  <c r="O160" i="17"/>
  <c r="M160" i="17"/>
  <c r="K160" i="17"/>
  <c r="I160" i="17"/>
  <c r="G160" i="17"/>
  <c r="F160" i="17"/>
  <c r="E160" i="17"/>
  <c r="D160" i="17"/>
  <c r="O159" i="17"/>
  <c r="M159" i="17"/>
  <c r="K159" i="17"/>
  <c r="I159" i="17"/>
  <c r="G159" i="17"/>
  <c r="F159" i="17"/>
  <c r="E159" i="17"/>
  <c r="D159" i="17"/>
  <c r="O158" i="17"/>
  <c r="M158" i="17"/>
  <c r="K158" i="17"/>
  <c r="I158" i="17"/>
  <c r="G158" i="17"/>
  <c r="F158" i="17"/>
  <c r="E158" i="17"/>
  <c r="D158" i="17"/>
  <c r="O157" i="17"/>
  <c r="M157" i="17"/>
  <c r="K157" i="17"/>
  <c r="I157" i="17"/>
  <c r="G157" i="17"/>
  <c r="F157" i="17"/>
  <c r="E157" i="17"/>
  <c r="D157" i="17"/>
  <c r="O156" i="17"/>
  <c r="M156" i="17"/>
  <c r="K156" i="17"/>
  <c r="I156" i="17"/>
  <c r="G156" i="17"/>
  <c r="F156" i="17"/>
  <c r="E156" i="17"/>
  <c r="D156" i="17"/>
  <c r="O155" i="17"/>
  <c r="M155" i="17"/>
  <c r="K155" i="17"/>
  <c r="I155" i="17"/>
  <c r="G155" i="17"/>
  <c r="F155" i="17"/>
  <c r="E155" i="17"/>
  <c r="D155" i="17"/>
  <c r="O154" i="17"/>
  <c r="M154" i="17"/>
  <c r="K154" i="17"/>
  <c r="I154" i="17"/>
  <c r="G154" i="17"/>
  <c r="F154" i="17"/>
  <c r="E154" i="17"/>
  <c r="D154" i="17"/>
  <c r="O153" i="17"/>
  <c r="M153" i="17"/>
  <c r="K153" i="17"/>
  <c r="I153" i="17"/>
  <c r="G153" i="17"/>
  <c r="F153" i="17"/>
  <c r="E153" i="17"/>
  <c r="D153" i="17"/>
  <c r="O152" i="17"/>
  <c r="M152" i="17"/>
  <c r="K152" i="17"/>
  <c r="I152" i="17"/>
  <c r="G152" i="17"/>
  <c r="F152" i="17"/>
  <c r="E152" i="17"/>
  <c r="D152" i="17"/>
  <c r="O151" i="17"/>
  <c r="M151" i="17"/>
  <c r="K151" i="17"/>
  <c r="I151" i="17"/>
  <c r="G151" i="17"/>
  <c r="F151" i="17"/>
  <c r="E151" i="17"/>
  <c r="D151" i="17"/>
  <c r="O150" i="17"/>
  <c r="M150" i="17"/>
  <c r="K150" i="17"/>
  <c r="I150" i="17"/>
  <c r="G150" i="17"/>
  <c r="F150" i="17"/>
  <c r="E150" i="17"/>
  <c r="D150" i="17"/>
  <c r="O149" i="17"/>
  <c r="M149" i="17"/>
  <c r="K149" i="17"/>
  <c r="I149" i="17"/>
  <c r="G149" i="17"/>
  <c r="F149" i="17"/>
  <c r="E149" i="17"/>
  <c r="D149" i="17"/>
  <c r="O148" i="17"/>
  <c r="M148" i="17"/>
  <c r="K148" i="17"/>
  <c r="I148" i="17"/>
  <c r="G148" i="17"/>
  <c r="F148" i="17"/>
  <c r="E148" i="17"/>
  <c r="D148" i="17"/>
  <c r="O147" i="17"/>
  <c r="M147" i="17"/>
  <c r="K147" i="17"/>
  <c r="I147" i="17"/>
  <c r="G147" i="17"/>
  <c r="F147" i="17"/>
  <c r="E147" i="17"/>
  <c r="D147" i="17"/>
  <c r="O146" i="17"/>
  <c r="M146" i="17"/>
  <c r="K146" i="17"/>
  <c r="I146" i="17"/>
  <c r="G146" i="17"/>
  <c r="F146" i="17"/>
  <c r="E146" i="17"/>
  <c r="D146" i="17"/>
  <c r="O145" i="17"/>
  <c r="M145" i="17"/>
  <c r="K145" i="17"/>
  <c r="I145" i="17"/>
  <c r="G145" i="17"/>
  <c r="F145" i="17"/>
  <c r="E145" i="17"/>
  <c r="D145" i="17"/>
  <c r="O144" i="17"/>
  <c r="M144" i="17"/>
  <c r="K144" i="17"/>
  <c r="I144" i="17"/>
  <c r="G144" i="17"/>
  <c r="F144" i="17"/>
  <c r="E144" i="17"/>
  <c r="D144" i="17"/>
  <c r="O143" i="17"/>
  <c r="M143" i="17"/>
  <c r="K143" i="17"/>
  <c r="I143" i="17"/>
  <c r="G143" i="17"/>
  <c r="F143" i="17"/>
  <c r="E143" i="17"/>
  <c r="D143" i="17"/>
  <c r="O142" i="17"/>
  <c r="M142" i="17"/>
  <c r="K142" i="17"/>
  <c r="I142" i="17"/>
  <c r="G142" i="17"/>
  <c r="F142" i="17"/>
  <c r="E142" i="17"/>
  <c r="D142" i="17"/>
  <c r="O141" i="17"/>
  <c r="M141" i="17"/>
  <c r="K141" i="17"/>
  <c r="I141" i="17"/>
  <c r="G141" i="17"/>
  <c r="F141" i="17"/>
  <c r="E141" i="17"/>
  <c r="D141" i="17"/>
  <c r="O140" i="17"/>
  <c r="M140" i="17"/>
  <c r="K140" i="17"/>
  <c r="I140" i="17"/>
  <c r="G140" i="17"/>
  <c r="F140" i="17"/>
  <c r="E140" i="17"/>
  <c r="D140" i="17"/>
  <c r="O139" i="17"/>
  <c r="M139" i="17"/>
  <c r="K139" i="17"/>
  <c r="I139" i="17"/>
  <c r="G139" i="17"/>
  <c r="F139" i="17"/>
  <c r="E139" i="17"/>
  <c r="D139" i="17"/>
  <c r="O138" i="17"/>
  <c r="M138" i="17"/>
  <c r="K138" i="17"/>
  <c r="I138" i="17"/>
  <c r="G138" i="17"/>
  <c r="F138" i="17"/>
  <c r="E138" i="17"/>
  <c r="D138" i="17"/>
  <c r="O137" i="17"/>
  <c r="M137" i="17"/>
  <c r="K137" i="17"/>
  <c r="I137" i="17"/>
  <c r="G137" i="17"/>
  <c r="F137" i="17"/>
  <c r="E137" i="17"/>
  <c r="D137" i="17"/>
  <c r="O136" i="17"/>
  <c r="M136" i="17"/>
  <c r="K136" i="17"/>
  <c r="I136" i="17"/>
  <c r="G136" i="17"/>
  <c r="F136" i="17"/>
  <c r="E136" i="17"/>
  <c r="D136" i="17"/>
  <c r="O135" i="17"/>
  <c r="M135" i="17"/>
  <c r="K135" i="17"/>
  <c r="I135" i="17"/>
  <c r="G135" i="17"/>
  <c r="F135" i="17"/>
  <c r="E135" i="17"/>
  <c r="D135" i="17"/>
  <c r="O134" i="17"/>
  <c r="M134" i="17"/>
  <c r="K134" i="17"/>
  <c r="I134" i="17"/>
  <c r="G134" i="17"/>
  <c r="F134" i="17"/>
  <c r="E134" i="17"/>
  <c r="D134" i="17"/>
  <c r="O133" i="17"/>
  <c r="M133" i="17"/>
  <c r="K133" i="17"/>
  <c r="I133" i="17"/>
  <c r="G133" i="17"/>
  <c r="F133" i="17"/>
  <c r="E133" i="17"/>
  <c r="D133" i="17"/>
  <c r="O132" i="17"/>
  <c r="M132" i="17"/>
  <c r="K132" i="17"/>
  <c r="I132" i="17"/>
  <c r="G132" i="17"/>
  <c r="F132" i="17"/>
  <c r="E132" i="17"/>
  <c r="D132" i="17"/>
  <c r="O131" i="17"/>
  <c r="M131" i="17"/>
  <c r="K131" i="17"/>
  <c r="I131" i="17"/>
  <c r="G131" i="17"/>
  <c r="F131" i="17"/>
  <c r="E131" i="17"/>
  <c r="D131" i="17"/>
  <c r="O130" i="17"/>
  <c r="M130" i="17"/>
  <c r="K130" i="17"/>
  <c r="I130" i="17"/>
  <c r="G130" i="17"/>
  <c r="F130" i="17"/>
  <c r="E130" i="17"/>
  <c r="D130" i="17"/>
  <c r="O129" i="17"/>
  <c r="M129" i="17"/>
  <c r="K129" i="17"/>
  <c r="I129" i="17"/>
  <c r="G129" i="17"/>
  <c r="F129" i="17"/>
  <c r="E129" i="17"/>
  <c r="D129" i="17"/>
  <c r="O128" i="17"/>
  <c r="M128" i="17"/>
  <c r="K128" i="17"/>
  <c r="I128" i="17"/>
  <c r="G128" i="17"/>
  <c r="F128" i="17"/>
  <c r="E128" i="17"/>
  <c r="D128" i="17"/>
  <c r="O127" i="17"/>
  <c r="M127" i="17"/>
  <c r="K127" i="17"/>
  <c r="I127" i="17"/>
  <c r="G127" i="17"/>
  <c r="F127" i="17"/>
  <c r="E127" i="17"/>
  <c r="D127" i="17"/>
  <c r="O126" i="17"/>
  <c r="M126" i="17"/>
  <c r="K126" i="17"/>
  <c r="I126" i="17"/>
  <c r="G126" i="17"/>
  <c r="F126" i="17"/>
  <c r="E126" i="17"/>
  <c r="D126" i="17"/>
  <c r="O125" i="17"/>
  <c r="M125" i="17"/>
  <c r="K125" i="17"/>
  <c r="I125" i="17"/>
  <c r="G125" i="17"/>
  <c r="F125" i="17"/>
  <c r="E125" i="17"/>
  <c r="D125" i="17"/>
  <c r="O124" i="17"/>
  <c r="M124" i="17"/>
  <c r="K124" i="17"/>
  <c r="I124" i="17"/>
  <c r="G124" i="17"/>
  <c r="F124" i="17"/>
  <c r="E124" i="17"/>
  <c r="D124" i="17"/>
  <c r="O123" i="17"/>
  <c r="M123" i="17"/>
  <c r="K123" i="17"/>
  <c r="I123" i="17"/>
  <c r="G123" i="17"/>
  <c r="F123" i="17"/>
  <c r="E123" i="17"/>
  <c r="D123" i="17"/>
  <c r="O122" i="17"/>
  <c r="M122" i="17"/>
  <c r="K122" i="17"/>
  <c r="I122" i="17"/>
  <c r="G122" i="17"/>
  <c r="F122" i="17"/>
  <c r="E122" i="17"/>
  <c r="D122" i="17"/>
  <c r="O121" i="17"/>
  <c r="M121" i="17"/>
  <c r="K121" i="17"/>
  <c r="I121" i="17"/>
  <c r="G121" i="17"/>
  <c r="F121" i="17"/>
  <c r="E121" i="17"/>
  <c r="D121" i="17"/>
  <c r="O120" i="17"/>
  <c r="M120" i="17"/>
  <c r="K120" i="17"/>
  <c r="I120" i="17"/>
  <c r="G120" i="17"/>
  <c r="F120" i="17"/>
  <c r="E120" i="17"/>
  <c r="D120" i="17"/>
  <c r="O119" i="17"/>
  <c r="M119" i="17"/>
  <c r="K119" i="17"/>
  <c r="I119" i="17"/>
  <c r="G119" i="17"/>
  <c r="F119" i="17"/>
  <c r="E119" i="17"/>
  <c r="D119" i="17"/>
  <c r="O118" i="17"/>
  <c r="M118" i="17"/>
  <c r="K118" i="17"/>
  <c r="I118" i="17"/>
  <c r="G118" i="17"/>
  <c r="F118" i="17"/>
  <c r="E118" i="17"/>
  <c r="D118" i="17"/>
  <c r="O117" i="17"/>
  <c r="M117" i="17"/>
  <c r="K117" i="17"/>
  <c r="I117" i="17"/>
  <c r="G117" i="17"/>
  <c r="F117" i="17"/>
  <c r="E117" i="17"/>
  <c r="D117" i="17"/>
  <c r="O116" i="17"/>
  <c r="M116" i="17"/>
  <c r="K116" i="17"/>
  <c r="I116" i="17"/>
  <c r="G116" i="17"/>
  <c r="F116" i="17"/>
  <c r="E116" i="17"/>
  <c r="D116" i="17"/>
  <c r="O115" i="17"/>
  <c r="M115" i="17"/>
  <c r="K115" i="17"/>
  <c r="I115" i="17"/>
  <c r="G115" i="17"/>
  <c r="F115" i="17"/>
  <c r="E115" i="17"/>
  <c r="D115" i="17"/>
  <c r="O114" i="17"/>
  <c r="M114" i="17"/>
  <c r="K114" i="17"/>
  <c r="I114" i="17"/>
  <c r="G114" i="17"/>
  <c r="F114" i="17"/>
  <c r="E114" i="17"/>
  <c r="D114" i="17"/>
  <c r="O113" i="17"/>
  <c r="M113" i="17"/>
  <c r="K113" i="17"/>
  <c r="I113" i="17"/>
  <c r="G113" i="17"/>
  <c r="F113" i="17"/>
  <c r="E113" i="17"/>
  <c r="D113" i="17"/>
  <c r="O112" i="17"/>
  <c r="M112" i="17"/>
  <c r="K112" i="17"/>
  <c r="I112" i="17"/>
  <c r="G112" i="17"/>
  <c r="F112" i="17"/>
  <c r="E112" i="17"/>
  <c r="D112" i="17"/>
  <c r="O111" i="17"/>
  <c r="M111" i="17"/>
  <c r="K111" i="17"/>
  <c r="I111" i="17"/>
  <c r="G111" i="17"/>
  <c r="F111" i="17"/>
  <c r="E111" i="17"/>
  <c r="D111" i="17"/>
  <c r="O110" i="17"/>
  <c r="M110" i="17"/>
  <c r="K110" i="17"/>
  <c r="I110" i="17"/>
  <c r="G110" i="17"/>
  <c r="F110" i="17"/>
  <c r="E110" i="17"/>
  <c r="D110" i="17"/>
  <c r="O109" i="17"/>
  <c r="M109" i="17"/>
  <c r="K109" i="17"/>
  <c r="I109" i="17"/>
  <c r="G109" i="17"/>
  <c r="F109" i="17"/>
  <c r="E109" i="17"/>
  <c r="D109" i="17"/>
  <c r="O108" i="17"/>
  <c r="M108" i="17"/>
  <c r="K108" i="17"/>
  <c r="I108" i="17"/>
  <c r="G108" i="17"/>
  <c r="F108" i="17"/>
  <c r="E108" i="17"/>
  <c r="D108" i="17"/>
  <c r="O107" i="17"/>
  <c r="M107" i="17"/>
  <c r="K107" i="17"/>
  <c r="I107" i="17"/>
  <c r="G107" i="17"/>
  <c r="F107" i="17"/>
  <c r="E107" i="17"/>
  <c r="D107" i="17"/>
  <c r="O106" i="17"/>
  <c r="M106" i="17"/>
  <c r="K106" i="17"/>
  <c r="I106" i="17"/>
  <c r="G106" i="17"/>
  <c r="F106" i="17"/>
  <c r="E106" i="17"/>
  <c r="D106" i="17"/>
  <c r="O105" i="17"/>
  <c r="M105" i="17"/>
  <c r="K105" i="17"/>
  <c r="I105" i="17"/>
  <c r="G105" i="17"/>
  <c r="F105" i="17"/>
  <c r="E105" i="17"/>
  <c r="D105" i="17"/>
  <c r="O104" i="17"/>
  <c r="M104" i="17"/>
  <c r="K104" i="17"/>
  <c r="I104" i="17"/>
  <c r="G104" i="17"/>
  <c r="F104" i="17"/>
  <c r="E104" i="17"/>
  <c r="D104" i="17"/>
  <c r="O103" i="17"/>
  <c r="M103" i="17"/>
  <c r="K103" i="17"/>
  <c r="I103" i="17"/>
  <c r="G103" i="17"/>
  <c r="F103" i="17"/>
  <c r="E103" i="17"/>
  <c r="D103" i="17"/>
  <c r="O102" i="17"/>
  <c r="M102" i="17"/>
  <c r="K102" i="17"/>
  <c r="I102" i="17"/>
  <c r="G102" i="17"/>
  <c r="F102" i="17"/>
  <c r="E102" i="17"/>
  <c r="D102" i="17"/>
  <c r="O101" i="17"/>
  <c r="M101" i="17"/>
  <c r="K101" i="17"/>
  <c r="I101" i="17"/>
  <c r="G101" i="17"/>
  <c r="F101" i="17"/>
  <c r="E101" i="17"/>
  <c r="D101" i="17"/>
  <c r="O100" i="17"/>
  <c r="M100" i="17"/>
  <c r="K100" i="17"/>
  <c r="I100" i="17"/>
  <c r="G100" i="17"/>
  <c r="F100" i="17"/>
  <c r="E100" i="17"/>
  <c r="D100" i="17"/>
  <c r="O99" i="17"/>
  <c r="M99" i="17"/>
  <c r="K99" i="17"/>
  <c r="I99" i="17"/>
  <c r="G99" i="17"/>
  <c r="F99" i="17"/>
  <c r="E99" i="17"/>
  <c r="D99" i="17"/>
  <c r="O98" i="17"/>
  <c r="M98" i="17"/>
  <c r="K98" i="17"/>
  <c r="I98" i="17"/>
  <c r="G98" i="17"/>
  <c r="F98" i="17"/>
  <c r="E98" i="17"/>
  <c r="D98" i="17"/>
  <c r="O97" i="17"/>
  <c r="M97" i="17"/>
  <c r="K97" i="17"/>
  <c r="I97" i="17"/>
  <c r="G97" i="17"/>
  <c r="F97" i="17"/>
  <c r="E97" i="17"/>
  <c r="D97" i="17"/>
  <c r="O96" i="17"/>
  <c r="M96" i="17"/>
  <c r="K96" i="17"/>
  <c r="I96" i="17"/>
  <c r="G96" i="17"/>
  <c r="F96" i="17"/>
  <c r="E96" i="17"/>
  <c r="D96" i="17"/>
  <c r="O95" i="17"/>
  <c r="M95" i="17"/>
  <c r="K95" i="17"/>
  <c r="I95" i="17"/>
  <c r="G95" i="17"/>
  <c r="F95" i="17"/>
  <c r="E95" i="17"/>
  <c r="D95" i="17"/>
  <c r="O94" i="17"/>
  <c r="M94" i="17"/>
  <c r="K94" i="17"/>
  <c r="I94" i="17"/>
  <c r="G94" i="17"/>
  <c r="F94" i="17"/>
  <c r="E94" i="17"/>
  <c r="D94" i="17"/>
  <c r="O93" i="17"/>
  <c r="M93" i="17"/>
  <c r="K93" i="17"/>
  <c r="I93" i="17"/>
  <c r="G93" i="17"/>
  <c r="F93" i="17"/>
  <c r="E93" i="17"/>
  <c r="D93" i="17"/>
  <c r="O92" i="17"/>
  <c r="M92" i="17"/>
  <c r="K92" i="17"/>
  <c r="I92" i="17"/>
  <c r="G92" i="17"/>
  <c r="F92" i="17"/>
  <c r="E92" i="17"/>
  <c r="D92" i="17"/>
  <c r="O91" i="17"/>
  <c r="M91" i="17"/>
  <c r="K91" i="17"/>
  <c r="I91" i="17"/>
  <c r="G91" i="17"/>
  <c r="F91" i="17"/>
  <c r="E91" i="17"/>
  <c r="D91" i="17"/>
  <c r="O90" i="17"/>
  <c r="M90" i="17"/>
  <c r="K90" i="17"/>
  <c r="I90" i="17"/>
  <c r="G90" i="17"/>
  <c r="F90" i="17"/>
  <c r="E90" i="17"/>
  <c r="D90" i="17"/>
  <c r="O89" i="17"/>
  <c r="M89" i="17"/>
  <c r="K89" i="17"/>
  <c r="I89" i="17"/>
  <c r="G89" i="17"/>
  <c r="F89" i="17"/>
  <c r="E89" i="17"/>
  <c r="D89" i="17"/>
  <c r="O88" i="17"/>
  <c r="M88" i="17"/>
  <c r="K88" i="17"/>
  <c r="I88" i="17"/>
  <c r="G88" i="17"/>
  <c r="F88" i="17"/>
  <c r="E88" i="17"/>
  <c r="D88" i="17"/>
  <c r="O87" i="17"/>
  <c r="M87" i="17"/>
  <c r="K87" i="17"/>
  <c r="I87" i="17"/>
  <c r="G87" i="17"/>
  <c r="F87" i="17"/>
  <c r="E87" i="17"/>
  <c r="D87" i="17"/>
  <c r="O86" i="17"/>
  <c r="M86" i="17"/>
  <c r="K86" i="17"/>
  <c r="I86" i="17"/>
  <c r="G86" i="17"/>
  <c r="F86" i="17"/>
  <c r="E86" i="17"/>
  <c r="D86" i="17"/>
  <c r="O85" i="17"/>
  <c r="M85" i="17"/>
  <c r="K85" i="17"/>
  <c r="I85" i="17"/>
  <c r="G85" i="17"/>
  <c r="F85" i="17"/>
  <c r="E85" i="17"/>
  <c r="D85" i="17"/>
  <c r="O84" i="17"/>
  <c r="M84" i="17"/>
  <c r="K84" i="17"/>
  <c r="I84" i="17"/>
  <c r="G84" i="17"/>
  <c r="F84" i="17"/>
  <c r="E84" i="17"/>
  <c r="D84" i="17"/>
  <c r="O83" i="17"/>
  <c r="M83" i="17"/>
  <c r="K83" i="17"/>
  <c r="I83" i="17"/>
  <c r="G83" i="17"/>
  <c r="F83" i="17"/>
  <c r="E83" i="17"/>
  <c r="D83" i="17"/>
  <c r="O82" i="17"/>
  <c r="M82" i="17"/>
  <c r="K82" i="17"/>
  <c r="I82" i="17"/>
  <c r="G82" i="17"/>
  <c r="F82" i="17"/>
  <c r="E82" i="17"/>
  <c r="D82" i="17"/>
  <c r="O81" i="17"/>
  <c r="M81" i="17"/>
  <c r="K81" i="17"/>
  <c r="I81" i="17"/>
  <c r="G81" i="17"/>
  <c r="F81" i="17"/>
  <c r="E81" i="17"/>
  <c r="D81" i="17"/>
  <c r="O80" i="17"/>
  <c r="M80" i="17"/>
  <c r="K80" i="17"/>
  <c r="I80" i="17"/>
  <c r="G80" i="17"/>
  <c r="F80" i="17"/>
  <c r="E80" i="17"/>
  <c r="D80" i="17"/>
  <c r="O79" i="17"/>
  <c r="M79" i="17"/>
  <c r="K79" i="17"/>
  <c r="I79" i="17"/>
  <c r="G79" i="17"/>
  <c r="F79" i="17"/>
  <c r="E79" i="17"/>
  <c r="D79" i="17"/>
  <c r="O78" i="17"/>
  <c r="M78" i="17"/>
  <c r="K78" i="17"/>
  <c r="I78" i="17"/>
  <c r="G78" i="17"/>
  <c r="F78" i="17"/>
  <c r="E78" i="17"/>
  <c r="D78" i="17"/>
  <c r="O77" i="17"/>
  <c r="M77" i="17"/>
  <c r="K77" i="17"/>
  <c r="I77" i="17"/>
  <c r="G77" i="17"/>
  <c r="F77" i="17"/>
  <c r="E77" i="17"/>
  <c r="D77" i="17"/>
  <c r="O76" i="17"/>
  <c r="M76" i="17"/>
  <c r="K76" i="17"/>
  <c r="I76" i="17"/>
  <c r="G76" i="17"/>
  <c r="F76" i="17"/>
  <c r="E76" i="17"/>
  <c r="D76" i="17"/>
  <c r="O75" i="17"/>
  <c r="M75" i="17"/>
  <c r="K75" i="17"/>
  <c r="I75" i="17"/>
  <c r="G75" i="17"/>
  <c r="F75" i="17"/>
  <c r="E75" i="17"/>
  <c r="D75" i="17"/>
  <c r="O74" i="17"/>
  <c r="M74" i="17"/>
  <c r="K74" i="17"/>
  <c r="I74" i="17"/>
  <c r="G74" i="17"/>
  <c r="F74" i="17"/>
  <c r="E74" i="17"/>
  <c r="D74" i="17"/>
  <c r="O73" i="17"/>
  <c r="M73" i="17"/>
  <c r="K73" i="17"/>
  <c r="I73" i="17"/>
  <c r="G73" i="17"/>
  <c r="F73" i="17"/>
  <c r="E73" i="17"/>
  <c r="D73" i="17"/>
  <c r="O72" i="17"/>
  <c r="M72" i="17"/>
  <c r="K72" i="17"/>
  <c r="I72" i="17"/>
  <c r="G72" i="17"/>
  <c r="F72" i="17"/>
  <c r="E72" i="17"/>
  <c r="D72" i="17"/>
  <c r="O71" i="17"/>
  <c r="M71" i="17"/>
  <c r="K71" i="17"/>
  <c r="I71" i="17"/>
  <c r="G71" i="17"/>
  <c r="F71" i="17"/>
  <c r="E71" i="17"/>
  <c r="D71" i="17"/>
  <c r="O70" i="17"/>
  <c r="M70" i="17"/>
  <c r="K70" i="17"/>
  <c r="I70" i="17"/>
  <c r="G70" i="17"/>
  <c r="F70" i="17"/>
  <c r="E70" i="17"/>
  <c r="D70" i="17"/>
  <c r="O69" i="17"/>
  <c r="M69" i="17"/>
  <c r="K69" i="17"/>
  <c r="I69" i="17"/>
  <c r="G69" i="17"/>
  <c r="F69" i="17"/>
  <c r="E69" i="17"/>
  <c r="D69" i="17"/>
  <c r="O68" i="17"/>
  <c r="M68" i="17"/>
  <c r="K68" i="17"/>
  <c r="I68" i="17"/>
  <c r="G68" i="17"/>
  <c r="F68" i="17"/>
  <c r="E68" i="17"/>
  <c r="D68" i="17"/>
  <c r="O67" i="17"/>
  <c r="M67" i="17"/>
  <c r="K67" i="17"/>
  <c r="I67" i="17"/>
  <c r="G67" i="17"/>
  <c r="F67" i="17"/>
  <c r="E67" i="17"/>
  <c r="D67" i="17"/>
  <c r="O66" i="17"/>
  <c r="M66" i="17"/>
  <c r="K66" i="17"/>
  <c r="I66" i="17"/>
  <c r="G66" i="17"/>
  <c r="F66" i="17"/>
  <c r="E66" i="17"/>
  <c r="D66" i="17"/>
  <c r="O65" i="17"/>
  <c r="M65" i="17"/>
  <c r="K65" i="17"/>
  <c r="I65" i="17"/>
  <c r="G65" i="17"/>
  <c r="F65" i="17"/>
  <c r="E65" i="17"/>
  <c r="D65" i="17"/>
  <c r="O64" i="17"/>
  <c r="M64" i="17"/>
  <c r="K64" i="17"/>
  <c r="I64" i="17"/>
  <c r="G64" i="17"/>
  <c r="F64" i="17"/>
  <c r="E64" i="17"/>
  <c r="D64" i="17"/>
  <c r="O63" i="17"/>
  <c r="M63" i="17"/>
  <c r="K63" i="17"/>
  <c r="I63" i="17"/>
  <c r="G63" i="17"/>
  <c r="F63" i="17"/>
  <c r="E63" i="17"/>
  <c r="D63" i="17"/>
  <c r="O62" i="17"/>
  <c r="M62" i="17"/>
  <c r="K62" i="17"/>
  <c r="I62" i="17"/>
  <c r="G62" i="17"/>
  <c r="F62" i="17"/>
  <c r="E62" i="17"/>
  <c r="D62" i="17"/>
  <c r="O61" i="17"/>
  <c r="M61" i="17"/>
  <c r="K61" i="17"/>
  <c r="I61" i="17"/>
  <c r="G61" i="17"/>
  <c r="F61" i="17"/>
  <c r="E61" i="17"/>
  <c r="D61" i="17"/>
  <c r="O60" i="17"/>
  <c r="M60" i="17"/>
  <c r="K60" i="17"/>
  <c r="I60" i="17"/>
  <c r="G60" i="17"/>
  <c r="F60" i="17"/>
  <c r="E60" i="17"/>
  <c r="D60" i="17"/>
  <c r="O59" i="17"/>
  <c r="M59" i="17"/>
  <c r="K59" i="17"/>
  <c r="I59" i="17"/>
  <c r="G59" i="17"/>
  <c r="F59" i="17"/>
  <c r="E59" i="17"/>
  <c r="D59" i="17"/>
  <c r="O58" i="17"/>
  <c r="M58" i="17"/>
  <c r="K58" i="17"/>
  <c r="I58" i="17"/>
  <c r="G58" i="17"/>
  <c r="F58" i="17"/>
  <c r="E58" i="17"/>
  <c r="D58" i="17"/>
  <c r="O57" i="17"/>
  <c r="M57" i="17"/>
  <c r="K57" i="17"/>
  <c r="I57" i="17"/>
  <c r="G57" i="17"/>
  <c r="F57" i="17"/>
  <c r="E57" i="17"/>
  <c r="D57" i="17"/>
  <c r="O56" i="17"/>
  <c r="M56" i="17"/>
  <c r="K56" i="17"/>
  <c r="I56" i="17"/>
  <c r="G56" i="17"/>
  <c r="F56" i="17"/>
  <c r="E56" i="17"/>
  <c r="D56" i="17"/>
  <c r="O55" i="17"/>
  <c r="M55" i="17"/>
  <c r="K55" i="17"/>
  <c r="I55" i="17"/>
  <c r="G55" i="17"/>
  <c r="F55" i="17"/>
  <c r="E55" i="17"/>
  <c r="D55" i="17"/>
  <c r="O54" i="17"/>
  <c r="M54" i="17"/>
  <c r="K54" i="17"/>
  <c r="I54" i="17"/>
  <c r="G54" i="17"/>
  <c r="F54" i="17"/>
  <c r="E54" i="17"/>
  <c r="D54" i="17"/>
  <c r="O53" i="17"/>
  <c r="M53" i="17"/>
  <c r="K53" i="17"/>
  <c r="I53" i="17"/>
  <c r="G53" i="17"/>
  <c r="F53" i="17"/>
  <c r="E53" i="17"/>
  <c r="D53" i="17"/>
  <c r="O52" i="17"/>
  <c r="M52" i="17"/>
  <c r="K52" i="17"/>
  <c r="I52" i="17"/>
  <c r="G52" i="17"/>
  <c r="F52" i="17"/>
  <c r="E52" i="17"/>
  <c r="D52" i="17"/>
  <c r="O51" i="17"/>
  <c r="M51" i="17"/>
  <c r="K51" i="17"/>
  <c r="I51" i="17"/>
  <c r="G51" i="17"/>
  <c r="F51" i="17"/>
  <c r="E51" i="17"/>
  <c r="D51" i="17"/>
  <c r="O50" i="17"/>
  <c r="M50" i="17"/>
  <c r="K50" i="17"/>
  <c r="I50" i="17"/>
  <c r="G50" i="17"/>
  <c r="F50" i="17"/>
  <c r="E50" i="17"/>
  <c r="D50" i="17"/>
  <c r="O49" i="17"/>
  <c r="M49" i="17"/>
  <c r="K49" i="17"/>
  <c r="I49" i="17"/>
  <c r="G49" i="17"/>
  <c r="F49" i="17"/>
  <c r="E49" i="17"/>
  <c r="D49" i="17"/>
  <c r="O48" i="17"/>
  <c r="M48" i="17"/>
  <c r="K48" i="17"/>
  <c r="I48" i="17"/>
  <c r="G48" i="17"/>
  <c r="F48" i="17"/>
  <c r="E48" i="17"/>
  <c r="D48" i="17"/>
  <c r="O47" i="17"/>
  <c r="M47" i="17"/>
  <c r="K47" i="17"/>
  <c r="I47" i="17"/>
  <c r="G47" i="17"/>
  <c r="F47" i="17"/>
  <c r="E47" i="17"/>
  <c r="D47" i="17"/>
  <c r="O46" i="17"/>
  <c r="M46" i="17"/>
  <c r="K46" i="17"/>
  <c r="I46" i="17"/>
  <c r="G46" i="17"/>
  <c r="F46" i="17"/>
  <c r="E46" i="17"/>
  <c r="D46" i="17"/>
  <c r="O45" i="17"/>
  <c r="M45" i="17"/>
  <c r="K45" i="17"/>
  <c r="I45" i="17"/>
  <c r="G45" i="17"/>
  <c r="F45" i="17"/>
  <c r="E45" i="17"/>
  <c r="D45" i="17"/>
  <c r="O44" i="17"/>
  <c r="M44" i="17"/>
  <c r="K44" i="17"/>
  <c r="I44" i="17"/>
  <c r="G44" i="17"/>
  <c r="F44" i="17"/>
  <c r="E44" i="17"/>
  <c r="D44" i="17"/>
  <c r="O43" i="17"/>
  <c r="M43" i="17"/>
  <c r="K43" i="17"/>
  <c r="I43" i="17"/>
  <c r="G43" i="17"/>
  <c r="F43" i="17"/>
  <c r="E43" i="17"/>
  <c r="D43" i="17"/>
  <c r="O42" i="17"/>
  <c r="M42" i="17"/>
  <c r="K42" i="17"/>
  <c r="I42" i="17"/>
  <c r="G42" i="17"/>
  <c r="F42" i="17"/>
  <c r="E42" i="17"/>
  <c r="D42" i="17"/>
  <c r="O41" i="17"/>
  <c r="M41" i="17"/>
  <c r="K41" i="17"/>
  <c r="I41" i="17"/>
  <c r="G41" i="17"/>
  <c r="F41" i="17"/>
  <c r="E41" i="17"/>
  <c r="D41" i="17"/>
  <c r="O40" i="17"/>
  <c r="M40" i="17"/>
  <c r="K40" i="17"/>
  <c r="I40" i="17"/>
  <c r="G40" i="17"/>
  <c r="F40" i="17"/>
  <c r="E40" i="17"/>
  <c r="D40" i="17"/>
  <c r="O39" i="17"/>
  <c r="M39" i="17"/>
  <c r="K39" i="17"/>
  <c r="I39" i="17"/>
  <c r="G39" i="17"/>
  <c r="F39" i="17"/>
  <c r="E39" i="17"/>
  <c r="D39" i="17"/>
  <c r="O38" i="17"/>
  <c r="M38" i="17"/>
  <c r="K38" i="17"/>
  <c r="I38" i="17"/>
  <c r="G38" i="17"/>
  <c r="F38" i="17"/>
  <c r="E38" i="17"/>
  <c r="D38" i="17"/>
  <c r="O37" i="17"/>
  <c r="M37" i="17"/>
  <c r="K37" i="17"/>
  <c r="I37" i="17"/>
  <c r="G37" i="17"/>
  <c r="F37" i="17"/>
  <c r="E37" i="17"/>
  <c r="D37" i="17"/>
  <c r="O36" i="17"/>
  <c r="M36" i="17"/>
  <c r="K36" i="17"/>
  <c r="I36" i="17"/>
  <c r="G36" i="17"/>
  <c r="F36" i="17"/>
  <c r="E36" i="17"/>
  <c r="D36" i="17"/>
  <c r="O35" i="17"/>
  <c r="M35" i="17"/>
  <c r="K35" i="17"/>
  <c r="I35" i="17"/>
  <c r="G35" i="17"/>
  <c r="F35" i="17"/>
  <c r="E35" i="17"/>
  <c r="D35" i="17"/>
  <c r="O34" i="17"/>
  <c r="M34" i="17"/>
  <c r="K34" i="17"/>
  <c r="I34" i="17"/>
  <c r="G34" i="17"/>
  <c r="F34" i="17"/>
  <c r="E34" i="17"/>
  <c r="D34" i="17"/>
  <c r="O33" i="17"/>
  <c r="M33" i="17"/>
  <c r="K33" i="17"/>
  <c r="I33" i="17"/>
  <c r="G33" i="17"/>
  <c r="F33" i="17"/>
  <c r="E33" i="17"/>
  <c r="D33" i="17"/>
  <c r="O32" i="17"/>
  <c r="M32" i="17"/>
  <c r="K32" i="17"/>
  <c r="I32" i="17"/>
  <c r="G32" i="17"/>
  <c r="F32" i="17"/>
  <c r="E32" i="17"/>
  <c r="D32" i="17"/>
  <c r="O31" i="17"/>
  <c r="M31" i="17"/>
  <c r="K31" i="17"/>
  <c r="I31" i="17"/>
  <c r="G31" i="17"/>
  <c r="F31" i="17"/>
  <c r="E31" i="17"/>
  <c r="D31" i="17"/>
  <c r="O30" i="17"/>
  <c r="M30" i="17"/>
  <c r="K30" i="17"/>
  <c r="I30" i="17"/>
  <c r="G30" i="17"/>
  <c r="F30" i="17"/>
  <c r="E30" i="17"/>
  <c r="D30" i="17"/>
  <c r="O29" i="17"/>
  <c r="M29" i="17"/>
  <c r="K29" i="17"/>
  <c r="I29" i="17"/>
  <c r="G29" i="17"/>
  <c r="F29" i="17"/>
  <c r="E29" i="17"/>
  <c r="D29" i="17"/>
  <c r="O28" i="17"/>
  <c r="M28" i="17"/>
  <c r="K28" i="17"/>
  <c r="I28" i="17"/>
  <c r="G28" i="17"/>
  <c r="F28" i="17"/>
  <c r="E28" i="17"/>
  <c r="D28" i="17"/>
  <c r="O27" i="17"/>
  <c r="M27" i="17"/>
  <c r="K27" i="17"/>
  <c r="I27" i="17"/>
  <c r="G27" i="17"/>
  <c r="F27" i="17"/>
  <c r="E27" i="17"/>
  <c r="D27" i="17"/>
  <c r="O26" i="17"/>
  <c r="M26" i="17"/>
  <c r="K26" i="17"/>
  <c r="I26" i="17"/>
  <c r="G26" i="17"/>
  <c r="F26" i="17"/>
  <c r="E26" i="17"/>
  <c r="D26" i="17"/>
  <c r="O25" i="17"/>
  <c r="M25" i="17"/>
  <c r="K25" i="17"/>
  <c r="I25" i="17"/>
  <c r="G25" i="17"/>
  <c r="F25" i="17"/>
  <c r="E25" i="17"/>
  <c r="D25" i="17"/>
  <c r="O24" i="17"/>
  <c r="M24" i="17"/>
  <c r="K24" i="17"/>
  <c r="I24" i="17"/>
  <c r="G24" i="17"/>
  <c r="F24" i="17"/>
  <c r="E24" i="17"/>
  <c r="D24" i="17"/>
  <c r="O23" i="17"/>
  <c r="M23" i="17"/>
  <c r="K23" i="17"/>
  <c r="I23" i="17"/>
  <c r="G23" i="17"/>
  <c r="F23" i="17"/>
  <c r="E23" i="17"/>
  <c r="D23" i="17"/>
  <c r="O22" i="17"/>
  <c r="M22" i="17"/>
  <c r="K22" i="17"/>
  <c r="I22" i="17"/>
  <c r="G22" i="17"/>
  <c r="F22" i="17"/>
  <c r="E22" i="17"/>
  <c r="D22" i="17"/>
  <c r="O21" i="17"/>
  <c r="M21" i="17"/>
  <c r="K21" i="17"/>
  <c r="I21" i="17"/>
  <c r="G21" i="17"/>
  <c r="F21" i="17"/>
  <c r="E21" i="17"/>
  <c r="D21" i="17"/>
  <c r="O20" i="17"/>
  <c r="M20" i="17"/>
  <c r="K20" i="17"/>
  <c r="I20" i="17"/>
  <c r="G20" i="17"/>
  <c r="F20" i="17"/>
  <c r="E20" i="17"/>
  <c r="D20" i="17"/>
  <c r="O19" i="17"/>
  <c r="M19" i="17"/>
  <c r="K19" i="17"/>
  <c r="I19" i="17"/>
  <c r="G19" i="17"/>
  <c r="F19" i="17"/>
  <c r="E19" i="17"/>
  <c r="D19" i="17"/>
  <c r="O18" i="17"/>
  <c r="M18" i="17"/>
  <c r="K18" i="17"/>
  <c r="I18" i="17"/>
  <c r="G18" i="17"/>
  <c r="F18" i="17"/>
  <c r="E18" i="17"/>
  <c r="D18" i="17"/>
  <c r="O17" i="17"/>
  <c r="M17" i="17"/>
  <c r="K17" i="17"/>
  <c r="I17" i="17"/>
  <c r="G17" i="17"/>
  <c r="F17" i="17"/>
  <c r="E17" i="17"/>
  <c r="D17" i="17"/>
  <c r="O16" i="17"/>
  <c r="M16" i="17"/>
  <c r="K16" i="17"/>
  <c r="I16" i="17"/>
  <c r="G16" i="17"/>
  <c r="F16" i="17"/>
  <c r="E16" i="17"/>
  <c r="D16" i="17"/>
  <c r="O15" i="17"/>
  <c r="M15" i="17"/>
  <c r="K15" i="17"/>
  <c r="I15" i="17"/>
  <c r="G15" i="17"/>
  <c r="F15" i="17"/>
  <c r="E15" i="17"/>
  <c r="D15" i="17"/>
  <c r="O14" i="17"/>
  <c r="M14" i="17"/>
  <c r="K14" i="17"/>
  <c r="I14" i="17"/>
  <c r="G14" i="17"/>
  <c r="F14" i="17"/>
  <c r="E14" i="17"/>
  <c r="D14" i="17"/>
  <c r="O13" i="17"/>
  <c r="M13" i="17"/>
  <c r="K13" i="17"/>
  <c r="I13" i="17"/>
  <c r="G13" i="17"/>
  <c r="F13" i="17"/>
  <c r="E13" i="17"/>
  <c r="D13" i="17"/>
  <c r="O12" i="17"/>
  <c r="M12" i="17"/>
  <c r="K12" i="17"/>
  <c r="I12" i="17"/>
  <c r="G12" i="17"/>
  <c r="F12" i="17"/>
  <c r="E12" i="17"/>
  <c r="D12" i="17"/>
  <c r="O11" i="17"/>
  <c r="M11" i="17"/>
  <c r="K11" i="17"/>
  <c r="I11" i="17"/>
  <c r="G11" i="17"/>
  <c r="F11" i="17"/>
  <c r="E11" i="17"/>
  <c r="D11" i="17"/>
  <c r="O10" i="17"/>
  <c r="M10" i="17"/>
  <c r="K10" i="17"/>
  <c r="I10" i="17"/>
  <c r="G10" i="17"/>
  <c r="F10" i="17"/>
  <c r="E10" i="17"/>
  <c r="D10" i="17"/>
  <c r="O9" i="17"/>
  <c r="M9" i="17"/>
  <c r="K9" i="17"/>
  <c r="I9" i="17"/>
  <c r="G9" i="17"/>
  <c r="F9" i="17"/>
  <c r="E9" i="17"/>
  <c r="D9" i="17"/>
  <c r="O8" i="17"/>
  <c r="M8" i="17"/>
  <c r="K8" i="17"/>
  <c r="I8" i="17"/>
  <c r="G8" i="17"/>
  <c r="F8" i="17"/>
  <c r="E8" i="17"/>
  <c r="D8" i="17"/>
  <c r="O7" i="17"/>
  <c r="M7" i="17"/>
  <c r="K7" i="17"/>
  <c r="I7" i="17"/>
  <c r="G7" i="17"/>
  <c r="F7" i="17"/>
  <c r="E7" i="17"/>
  <c r="D7" i="17"/>
  <c r="O6" i="17"/>
  <c r="M6" i="17"/>
  <c r="K6" i="17"/>
  <c r="I6" i="17"/>
  <c r="G6" i="17"/>
  <c r="F6" i="17"/>
  <c r="F278" i="17" s="1"/>
  <c r="E6" i="17"/>
  <c r="D6" i="17"/>
  <c r="D278" i="17" s="1"/>
  <c r="N868" i="16"/>
  <c r="O868" i="16" s="1"/>
  <c r="L868" i="16"/>
  <c r="M868" i="16" s="1"/>
  <c r="J868" i="16"/>
  <c r="K868" i="16" s="1"/>
  <c r="H868" i="16"/>
  <c r="I868" i="16" s="1"/>
  <c r="F868" i="16"/>
  <c r="G868" i="16" s="1"/>
  <c r="D868" i="16"/>
  <c r="E868" i="16" s="1"/>
  <c r="O867" i="16"/>
  <c r="M867" i="16"/>
  <c r="K867" i="16"/>
  <c r="I867" i="16"/>
  <c r="G867" i="16"/>
  <c r="F867" i="16"/>
  <c r="E867" i="16"/>
  <c r="D867" i="16"/>
  <c r="O866" i="16"/>
  <c r="M866" i="16"/>
  <c r="K866" i="16"/>
  <c r="I866" i="16"/>
  <c r="G866" i="16"/>
  <c r="F866" i="16"/>
  <c r="E866" i="16"/>
  <c r="D866" i="16"/>
  <c r="O865" i="16"/>
  <c r="M865" i="16"/>
  <c r="K865" i="16"/>
  <c r="I865" i="16"/>
  <c r="G865" i="16"/>
  <c r="F865" i="16"/>
  <c r="E865" i="16"/>
  <c r="D865" i="16"/>
  <c r="O864" i="16"/>
  <c r="M864" i="16"/>
  <c r="K864" i="16"/>
  <c r="I864" i="16"/>
  <c r="G864" i="16"/>
  <c r="F864" i="16"/>
  <c r="E864" i="16"/>
  <c r="D864" i="16"/>
  <c r="O863" i="16"/>
  <c r="M863" i="16"/>
  <c r="K863" i="16"/>
  <c r="I863" i="16"/>
  <c r="G863" i="16"/>
  <c r="F863" i="16"/>
  <c r="E863" i="16"/>
  <c r="D863" i="16"/>
  <c r="O862" i="16"/>
  <c r="M862" i="16"/>
  <c r="K862" i="16"/>
  <c r="I862" i="16"/>
  <c r="G862" i="16"/>
  <c r="F862" i="16"/>
  <c r="E862" i="16"/>
  <c r="D862" i="16"/>
  <c r="O861" i="16"/>
  <c r="M861" i="16"/>
  <c r="K861" i="16"/>
  <c r="I861" i="16"/>
  <c r="G861" i="16"/>
  <c r="F861" i="16"/>
  <c r="E861" i="16"/>
  <c r="D861" i="16"/>
  <c r="O860" i="16"/>
  <c r="M860" i="16"/>
  <c r="K860" i="16"/>
  <c r="I860" i="16"/>
  <c r="G860" i="16"/>
  <c r="F860" i="16"/>
  <c r="E860" i="16"/>
  <c r="D860" i="16"/>
  <c r="O859" i="16"/>
  <c r="M859" i="16"/>
  <c r="K859" i="16"/>
  <c r="I859" i="16"/>
  <c r="G859" i="16"/>
  <c r="F859" i="16"/>
  <c r="E859" i="16"/>
  <c r="D859" i="16"/>
  <c r="O858" i="16"/>
  <c r="M858" i="16"/>
  <c r="K858" i="16"/>
  <c r="I858" i="16"/>
  <c r="G858" i="16"/>
  <c r="F858" i="16"/>
  <c r="E858" i="16"/>
  <c r="D858" i="16"/>
  <c r="O857" i="16"/>
  <c r="M857" i="16"/>
  <c r="K857" i="16"/>
  <c r="I857" i="16"/>
  <c r="G857" i="16"/>
  <c r="F857" i="16"/>
  <c r="E857" i="16"/>
  <c r="D857" i="16"/>
  <c r="O856" i="16"/>
  <c r="M856" i="16"/>
  <c r="K856" i="16"/>
  <c r="I856" i="16"/>
  <c r="G856" i="16"/>
  <c r="F856" i="16"/>
  <c r="E856" i="16"/>
  <c r="D856" i="16"/>
  <c r="O855" i="16"/>
  <c r="M855" i="16"/>
  <c r="K855" i="16"/>
  <c r="I855" i="16"/>
  <c r="G855" i="16"/>
  <c r="F855" i="16"/>
  <c r="E855" i="16"/>
  <c r="D855" i="16"/>
  <c r="O854" i="16"/>
  <c r="M854" i="16"/>
  <c r="K854" i="16"/>
  <c r="I854" i="16"/>
  <c r="G854" i="16"/>
  <c r="F854" i="16"/>
  <c r="E854" i="16"/>
  <c r="D854" i="16"/>
  <c r="O853" i="16"/>
  <c r="M853" i="16"/>
  <c r="K853" i="16"/>
  <c r="I853" i="16"/>
  <c r="G853" i="16"/>
  <c r="F853" i="16"/>
  <c r="E853" i="16"/>
  <c r="D853" i="16"/>
  <c r="O852" i="16"/>
  <c r="M852" i="16"/>
  <c r="K852" i="16"/>
  <c r="I852" i="16"/>
  <c r="G852" i="16"/>
  <c r="F852" i="16"/>
  <c r="E852" i="16"/>
  <c r="D852" i="16"/>
  <c r="O851" i="16"/>
  <c r="M851" i="16"/>
  <c r="K851" i="16"/>
  <c r="I851" i="16"/>
  <c r="G851" i="16"/>
  <c r="F851" i="16"/>
  <c r="E851" i="16"/>
  <c r="D851" i="16"/>
  <c r="O850" i="16"/>
  <c r="M850" i="16"/>
  <c r="K850" i="16"/>
  <c r="I850" i="16"/>
  <c r="G850" i="16"/>
  <c r="F850" i="16"/>
  <c r="E850" i="16"/>
  <c r="D850" i="16"/>
  <c r="O849" i="16"/>
  <c r="M849" i="16"/>
  <c r="K849" i="16"/>
  <c r="I849" i="16"/>
  <c r="G849" i="16"/>
  <c r="F849" i="16"/>
  <c r="E849" i="16"/>
  <c r="D849" i="16"/>
  <c r="O848" i="16"/>
  <c r="M848" i="16"/>
  <c r="K848" i="16"/>
  <c r="I848" i="16"/>
  <c r="G848" i="16"/>
  <c r="F848" i="16"/>
  <c r="E848" i="16"/>
  <c r="D848" i="16"/>
  <c r="O847" i="16"/>
  <c r="M847" i="16"/>
  <c r="K847" i="16"/>
  <c r="I847" i="16"/>
  <c r="G847" i="16"/>
  <c r="F847" i="16"/>
  <c r="E847" i="16"/>
  <c r="D847" i="16"/>
  <c r="O846" i="16"/>
  <c r="M846" i="16"/>
  <c r="K846" i="16"/>
  <c r="I846" i="16"/>
  <c r="G846" i="16"/>
  <c r="F846" i="16"/>
  <c r="E846" i="16"/>
  <c r="D846" i="16"/>
  <c r="O845" i="16"/>
  <c r="M845" i="16"/>
  <c r="K845" i="16"/>
  <c r="I845" i="16"/>
  <c r="G845" i="16"/>
  <c r="F845" i="16"/>
  <c r="E845" i="16"/>
  <c r="D845" i="16"/>
  <c r="O844" i="16"/>
  <c r="M844" i="16"/>
  <c r="K844" i="16"/>
  <c r="I844" i="16"/>
  <c r="G844" i="16"/>
  <c r="F844" i="16"/>
  <c r="E844" i="16"/>
  <c r="D844" i="16"/>
  <c r="O843" i="16"/>
  <c r="M843" i="16"/>
  <c r="K843" i="16"/>
  <c r="I843" i="16"/>
  <c r="G843" i="16"/>
  <c r="F843" i="16"/>
  <c r="E843" i="16"/>
  <c r="D843" i="16"/>
  <c r="O842" i="16"/>
  <c r="M842" i="16"/>
  <c r="K842" i="16"/>
  <c r="I842" i="16"/>
  <c r="G842" i="16"/>
  <c r="F842" i="16"/>
  <c r="E842" i="16"/>
  <c r="D842" i="16"/>
  <c r="O841" i="16"/>
  <c r="M841" i="16"/>
  <c r="K841" i="16"/>
  <c r="I841" i="16"/>
  <c r="G841" i="16"/>
  <c r="F841" i="16"/>
  <c r="E841" i="16"/>
  <c r="D841" i="16"/>
  <c r="O840" i="16"/>
  <c r="M840" i="16"/>
  <c r="K840" i="16"/>
  <c r="I840" i="16"/>
  <c r="G840" i="16"/>
  <c r="F840" i="16"/>
  <c r="E840" i="16"/>
  <c r="D840" i="16"/>
  <c r="O839" i="16"/>
  <c r="M839" i="16"/>
  <c r="K839" i="16"/>
  <c r="I839" i="16"/>
  <c r="G839" i="16"/>
  <c r="F839" i="16"/>
  <c r="E839" i="16"/>
  <c r="D839" i="16"/>
  <c r="O838" i="16"/>
  <c r="M838" i="16"/>
  <c r="K838" i="16"/>
  <c r="I838" i="16"/>
  <c r="G838" i="16"/>
  <c r="F838" i="16"/>
  <c r="E838" i="16"/>
  <c r="D838" i="16"/>
  <c r="O837" i="16"/>
  <c r="M837" i="16"/>
  <c r="K837" i="16"/>
  <c r="I837" i="16"/>
  <c r="G837" i="16"/>
  <c r="F837" i="16"/>
  <c r="E837" i="16"/>
  <c r="D837" i="16"/>
  <c r="O836" i="16"/>
  <c r="M836" i="16"/>
  <c r="K836" i="16"/>
  <c r="I836" i="16"/>
  <c r="G836" i="16"/>
  <c r="F836" i="16"/>
  <c r="E836" i="16"/>
  <c r="D836" i="16"/>
  <c r="O835" i="16"/>
  <c r="M835" i="16"/>
  <c r="K835" i="16"/>
  <c r="I835" i="16"/>
  <c r="G835" i="16"/>
  <c r="F835" i="16"/>
  <c r="E835" i="16"/>
  <c r="D835" i="16"/>
  <c r="O834" i="16"/>
  <c r="M834" i="16"/>
  <c r="K834" i="16"/>
  <c r="I834" i="16"/>
  <c r="G834" i="16"/>
  <c r="F834" i="16"/>
  <c r="E834" i="16"/>
  <c r="D834" i="16"/>
  <c r="O833" i="16"/>
  <c r="M833" i="16"/>
  <c r="K833" i="16"/>
  <c r="I833" i="16"/>
  <c r="G833" i="16"/>
  <c r="F833" i="16"/>
  <c r="E833" i="16"/>
  <c r="D833" i="16"/>
  <c r="O832" i="16"/>
  <c r="M832" i="16"/>
  <c r="K832" i="16"/>
  <c r="I832" i="16"/>
  <c r="G832" i="16"/>
  <c r="F832" i="16"/>
  <c r="E832" i="16"/>
  <c r="D832" i="16"/>
  <c r="O831" i="16"/>
  <c r="M831" i="16"/>
  <c r="K831" i="16"/>
  <c r="I831" i="16"/>
  <c r="G831" i="16"/>
  <c r="F831" i="16"/>
  <c r="E831" i="16"/>
  <c r="D831" i="16"/>
  <c r="O830" i="16"/>
  <c r="M830" i="16"/>
  <c r="K830" i="16"/>
  <c r="I830" i="16"/>
  <c r="G830" i="16"/>
  <c r="F830" i="16"/>
  <c r="E830" i="16"/>
  <c r="D830" i="16"/>
  <c r="O829" i="16"/>
  <c r="M829" i="16"/>
  <c r="K829" i="16"/>
  <c r="I829" i="16"/>
  <c r="G829" i="16"/>
  <c r="F829" i="16"/>
  <c r="E829" i="16"/>
  <c r="D829" i="16"/>
  <c r="O828" i="16"/>
  <c r="M828" i="16"/>
  <c r="K828" i="16"/>
  <c r="I828" i="16"/>
  <c r="G828" i="16"/>
  <c r="F828" i="16"/>
  <c r="E828" i="16"/>
  <c r="D828" i="16"/>
  <c r="O827" i="16"/>
  <c r="M827" i="16"/>
  <c r="K827" i="16"/>
  <c r="I827" i="16"/>
  <c r="G827" i="16"/>
  <c r="F827" i="16"/>
  <c r="E827" i="16"/>
  <c r="D827" i="16"/>
  <c r="O826" i="16"/>
  <c r="M826" i="16"/>
  <c r="K826" i="16"/>
  <c r="I826" i="16"/>
  <c r="G826" i="16"/>
  <c r="F826" i="16"/>
  <c r="E826" i="16"/>
  <c r="D826" i="16"/>
  <c r="O825" i="16"/>
  <c r="M825" i="16"/>
  <c r="K825" i="16"/>
  <c r="I825" i="16"/>
  <c r="G825" i="16"/>
  <c r="F825" i="16"/>
  <c r="E825" i="16"/>
  <c r="D825" i="16"/>
  <c r="O824" i="16"/>
  <c r="M824" i="16"/>
  <c r="K824" i="16"/>
  <c r="I824" i="16"/>
  <c r="G824" i="16"/>
  <c r="F824" i="16"/>
  <c r="E824" i="16"/>
  <c r="D824" i="16"/>
  <c r="O823" i="16"/>
  <c r="M823" i="16"/>
  <c r="K823" i="16"/>
  <c r="I823" i="16"/>
  <c r="G823" i="16"/>
  <c r="F823" i="16"/>
  <c r="E823" i="16"/>
  <c r="D823" i="16"/>
  <c r="O822" i="16"/>
  <c r="M822" i="16"/>
  <c r="K822" i="16"/>
  <c r="I822" i="16"/>
  <c r="G822" i="16"/>
  <c r="F822" i="16"/>
  <c r="E822" i="16"/>
  <c r="D822" i="16"/>
  <c r="O821" i="16"/>
  <c r="M821" i="16"/>
  <c r="K821" i="16"/>
  <c r="I821" i="16"/>
  <c r="G821" i="16"/>
  <c r="F821" i="16"/>
  <c r="E821" i="16"/>
  <c r="D821" i="16"/>
  <c r="O820" i="16"/>
  <c r="M820" i="16"/>
  <c r="K820" i="16"/>
  <c r="I820" i="16"/>
  <c r="G820" i="16"/>
  <c r="F820" i="16"/>
  <c r="E820" i="16"/>
  <c r="D820" i="16"/>
  <c r="O819" i="16"/>
  <c r="M819" i="16"/>
  <c r="K819" i="16"/>
  <c r="I819" i="16"/>
  <c r="G819" i="16"/>
  <c r="F819" i="16"/>
  <c r="E819" i="16"/>
  <c r="D819" i="16"/>
  <c r="O818" i="16"/>
  <c r="M818" i="16"/>
  <c r="K818" i="16"/>
  <c r="I818" i="16"/>
  <c r="G818" i="16"/>
  <c r="F818" i="16"/>
  <c r="E818" i="16"/>
  <c r="D818" i="16"/>
  <c r="O817" i="16"/>
  <c r="M817" i="16"/>
  <c r="K817" i="16"/>
  <c r="I817" i="16"/>
  <c r="G817" i="16"/>
  <c r="F817" i="16"/>
  <c r="E817" i="16"/>
  <c r="D817" i="16"/>
  <c r="O816" i="16"/>
  <c r="M816" i="16"/>
  <c r="K816" i="16"/>
  <c r="I816" i="16"/>
  <c r="G816" i="16"/>
  <c r="F816" i="16"/>
  <c r="E816" i="16"/>
  <c r="D816" i="16"/>
  <c r="O815" i="16"/>
  <c r="M815" i="16"/>
  <c r="K815" i="16"/>
  <c r="I815" i="16"/>
  <c r="G815" i="16"/>
  <c r="F815" i="16"/>
  <c r="E815" i="16"/>
  <c r="D815" i="16"/>
  <c r="O814" i="16"/>
  <c r="M814" i="16"/>
  <c r="K814" i="16"/>
  <c r="I814" i="16"/>
  <c r="G814" i="16"/>
  <c r="F814" i="16"/>
  <c r="E814" i="16"/>
  <c r="D814" i="16"/>
  <c r="O813" i="16"/>
  <c r="M813" i="16"/>
  <c r="K813" i="16"/>
  <c r="I813" i="16"/>
  <c r="G813" i="16"/>
  <c r="F813" i="16"/>
  <c r="E813" i="16"/>
  <c r="D813" i="16"/>
  <c r="O812" i="16"/>
  <c r="M812" i="16"/>
  <c r="K812" i="16"/>
  <c r="I812" i="16"/>
  <c r="G812" i="16"/>
  <c r="F812" i="16"/>
  <c r="E812" i="16"/>
  <c r="D812" i="16"/>
  <c r="O811" i="16"/>
  <c r="M811" i="16"/>
  <c r="K811" i="16"/>
  <c r="I811" i="16"/>
  <c r="G811" i="16"/>
  <c r="F811" i="16"/>
  <c r="E811" i="16"/>
  <c r="D811" i="16"/>
  <c r="O810" i="16"/>
  <c r="M810" i="16"/>
  <c r="K810" i="16"/>
  <c r="I810" i="16"/>
  <c r="G810" i="16"/>
  <c r="F810" i="16"/>
  <c r="E810" i="16"/>
  <c r="D810" i="16"/>
  <c r="O809" i="16"/>
  <c r="M809" i="16"/>
  <c r="K809" i="16"/>
  <c r="I809" i="16"/>
  <c r="G809" i="16"/>
  <c r="F809" i="16"/>
  <c r="E809" i="16"/>
  <c r="D809" i="16"/>
  <c r="O808" i="16"/>
  <c r="M808" i="16"/>
  <c r="K808" i="16"/>
  <c r="I808" i="16"/>
  <c r="G808" i="16"/>
  <c r="F808" i="16"/>
  <c r="E808" i="16"/>
  <c r="D808" i="16"/>
  <c r="O807" i="16"/>
  <c r="M807" i="16"/>
  <c r="K807" i="16"/>
  <c r="I807" i="16"/>
  <c r="G807" i="16"/>
  <c r="F807" i="16"/>
  <c r="E807" i="16"/>
  <c r="D807" i="16"/>
  <c r="O806" i="16"/>
  <c r="M806" i="16"/>
  <c r="K806" i="16"/>
  <c r="I806" i="16"/>
  <c r="G806" i="16"/>
  <c r="F806" i="16"/>
  <c r="E806" i="16"/>
  <c r="D806" i="16"/>
  <c r="O805" i="16"/>
  <c r="M805" i="16"/>
  <c r="K805" i="16"/>
  <c r="I805" i="16"/>
  <c r="G805" i="16"/>
  <c r="F805" i="16"/>
  <c r="E805" i="16"/>
  <c r="D805" i="16"/>
  <c r="O804" i="16"/>
  <c r="M804" i="16"/>
  <c r="K804" i="16"/>
  <c r="I804" i="16"/>
  <c r="G804" i="16"/>
  <c r="F804" i="16"/>
  <c r="E804" i="16"/>
  <c r="D804" i="16"/>
  <c r="O803" i="16"/>
  <c r="M803" i="16"/>
  <c r="K803" i="16"/>
  <c r="I803" i="16"/>
  <c r="G803" i="16"/>
  <c r="F803" i="16"/>
  <c r="E803" i="16"/>
  <c r="D803" i="16"/>
  <c r="O802" i="16"/>
  <c r="M802" i="16"/>
  <c r="K802" i="16"/>
  <c r="I802" i="16"/>
  <c r="G802" i="16"/>
  <c r="F802" i="16"/>
  <c r="E802" i="16"/>
  <c r="D802" i="16"/>
  <c r="O801" i="16"/>
  <c r="M801" i="16"/>
  <c r="K801" i="16"/>
  <c r="I801" i="16"/>
  <c r="G801" i="16"/>
  <c r="F801" i="16"/>
  <c r="E801" i="16"/>
  <c r="D801" i="16"/>
  <c r="O800" i="16"/>
  <c r="M800" i="16"/>
  <c r="K800" i="16"/>
  <c r="I800" i="16"/>
  <c r="G800" i="16"/>
  <c r="F800" i="16"/>
  <c r="E800" i="16"/>
  <c r="D800" i="16"/>
  <c r="O799" i="16"/>
  <c r="M799" i="16"/>
  <c r="K799" i="16"/>
  <c r="I799" i="16"/>
  <c r="G799" i="16"/>
  <c r="F799" i="16"/>
  <c r="E799" i="16"/>
  <c r="D799" i="16"/>
  <c r="O798" i="16"/>
  <c r="M798" i="16"/>
  <c r="K798" i="16"/>
  <c r="I798" i="16"/>
  <c r="G798" i="16"/>
  <c r="F798" i="16"/>
  <c r="E798" i="16"/>
  <c r="D798" i="16"/>
  <c r="O797" i="16"/>
  <c r="M797" i="16"/>
  <c r="K797" i="16"/>
  <c r="I797" i="16"/>
  <c r="G797" i="16"/>
  <c r="F797" i="16"/>
  <c r="E797" i="16"/>
  <c r="D797" i="16"/>
  <c r="O796" i="16"/>
  <c r="M796" i="16"/>
  <c r="K796" i="16"/>
  <c r="I796" i="16"/>
  <c r="G796" i="16"/>
  <c r="F796" i="16"/>
  <c r="E796" i="16"/>
  <c r="D796" i="16"/>
  <c r="O795" i="16"/>
  <c r="M795" i="16"/>
  <c r="K795" i="16"/>
  <c r="I795" i="16"/>
  <c r="G795" i="16"/>
  <c r="F795" i="16"/>
  <c r="E795" i="16"/>
  <c r="D795" i="16"/>
  <c r="O794" i="16"/>
  <c r="M794" i="16"/>
  <c r="K794" i="16"/>
  <c r="I794" i="16"/>
  <c r="G794" i="16"/>
  <c r="F794" i="16"/>
  <c r="E794" i="16"/>
  <c r="D794" i="16"/>
  <c r="O793" i="16"/>
  <c r="M793" i="16"/>
  <c r="K793" i="16"/>
  <c r="I793" i="16"/>
  <c r="G793" i="16"/>
  <c r="F793" i="16"/>
  <c r="E793" i="16"/>
  <c r="D793" i="16"/>
  <c r="O792" i="16"/>
  <c r="M792" i="16"/>
  <c r="K792" i="16"/>
  <c r="I792" i="16"/>
  <c r="G792" i="16"/>
  <c r="F792" i="16"/>
  <c r="E792" i="16"/>
  <c r="D792" i="16"/>
  <c r="O791" i="16"/>
  <c r="M791" i="16"/>
  <c r="K791" i="16"/>
  <c r="I791" i="16"/>
  <c r="G791" i="16"/>
  <c r="F791" i="16"/>
  <c r="E791" i="16"/>
  <c r="D791" i="16"/>
  <c r="O790" i="16"/>
  <c r="M790" i="16"/>
  <c r="K790" i="16"/>
  <c r="I790" i="16"/>
  <c r="G790" i="16"/>
  <c r="F790" i="16"/>
  <c r="E790" i="16"/>
  <c r="D790" i="16"/>
  <c r="O789" i="16"/>
  <c r="M789" i="16"/>
  <c r="K789" i="16"/>
  <c r="I789" i="16"/>
  <c r="G789" i="16"/>
  <c r="F789" i="16"/>
  <c r="E789" i="16"/>
  <c r="D789" i="16"/>
  <c r="O788" i="16"/>
  <c r="M788" i="16"/>
  <c r="K788" i="16"/>
  <c r="I788" i="16"/>
  <c r="G788" i="16"/>
  <c r="F788" i="16"/>
  <c r="E788" i="16"/>
  <c r="D788" i="16"/>
  <c r="O787" i="16"/>
  <c r="M787" i="16"/>
  <c r="K787" i="16"/>
  <c r="I787" i="16"/>
  <c r="G787" i="16"/>
  <c r="F787" i="16"/>
  <c r="E787" i="16"/>
  <c r="D787" i="16"/>
  <c r="O786" i="16"/>
  <c r="M786" i="16"/>
  <c r="K786" i="16"/>
  <c r="I786" i="16"/>
  <c r="G786" i="16"/>
  <c r="F786" i="16"/>
  <c r="E786" i="16"/>
  <c r="D786" i="16"/>
  <c r="O785" i="16"/>
  <c r="M785" i="16"/>
  <c r="K785" i="16"/>
  <c r="I785" i="16"/>
  <c r="G785" i="16"/>
  <c r="F785" i="16"/>
  <c r="E785" i="16"/>
  <c r="D785" i="16"/>
  <c r="O784" i="16"/>
  <c r="M784" i="16"/>
  <c r="K784" i="16"/>
  <c r="I784" i="16"/>
  <c r="G784" i="16"/>
  <c r="F784" i="16"/>
  <c r="E784" i="16"/>
  <c r="D784" i="16"/>
  <c r="O783" i="16"/>
  <c r="M783" i="16"/>
  <c r="K783" i="16"/>
  <c r="I783" i="16"/>
  <c r="G783" i="16"/>
  <c r="F783" i="16"/>
  <c r="E783" i="16"/>
  <c r="D783" i="16"/>
  <c r="O782" i="16"/>
  <c r="M782" i="16"/>
  <c r="K782" i="16"/>
  <c r="I782" i="16"/>
  <c r="G782" i="16"/>
  <c r="F782" i="16"/>
  <c r="E782" i="16"/>
  <c r="D782" i="16"/>
  <c r="O781" i="16"/>
  <c r="M781" i="16"/>
  <c r="K781" i="16"/>
  <c r="I781" i="16"/>
  <c r="G781" i="16"/>
  <c r="F781" i="16"/>
  <c r="E781" i="16"/>
  <c r="D781" i="16"/>
  <c r="O780" i="16"/>
  <c r="M780" i="16"/>
  <c r="K780" i="16"/>
  <c r="I780" i="16"/>
  <c r="G780" i="16"/>
  <c r="F780" i="16"/>
  <c r="E780" i="16"/>
  <c r="D780" i="16"/>
  <c r="O779" i="16"/>
  <c r="M779" i="16"/>
  <c r="K779" i="16"/>
  <c r="I779" i="16"/>
  <c r="G779" i="16"/>
  <c r="F779" i="16"/>
  <c r="E779" i="16"/>
  <c r="D779" i="16"/>
  <c r="O778" i="16"/>
  <c r="M778" i="16"/>
  <c r="K778" i="16"/>
  <c r="I778" i="16"/>
  <c r="G778" i="16"/>
  <c r="F778" i="16"/>
  <c r="E778" i="16"/>
  <c r="D778" i="16"/>
  <c r="O777" i="16"/>
  <c r="M777" i="16"/>
  <c r="K777" i="16"/>
  <c r="I777" i="16"/>
  <c r="G777" i="16"/>
  <c r="F777" i="16"/>
  <c r="E777" i="16"/>
  <c r="D777" i="16"/>
  <c r="O776" i="16"/>
  <c r="M776" i="16"/>
  <c r="K776" i="16"/>
  <c r="I776" i="16"/>
  <c r="G776" i="16"/>
  <c r="F776" i="16"/>
  <c r="E776" i="16"/>
  <c r="D776" i="16"/>
  <c r="O775" i="16"/>
  <c r="M775" i="16"/>
  <c r="K775" i="16"/>
  <c r="I775" i="16"/>
  <c r="G775" i="16"/>
  <c r="F775" i="16"/>
  <c r="E775" i="16"/>
  <c r="D775" i="16"/>
  <c r="O774" i="16"/>
  <c r="M774" i="16"/>
  <c r="K774" i="16"/>
  <c r="I774" i="16"/>
  <c r="G774" i="16"/>
  <c r="F774" i="16"/>
  <c r="E774" i="16"/>
  <c r="D774" i="16"/>
  <c r="O773" i="16"/>
  <c r="M773" i="16"/>
  <c r="K773" i="16"/>
  <c r="I773" i="16"/>
  <c r="G773" i="16"/>
  <c r="F773" i="16"/>
  <c r="E773" i="16"/>
  <c r="D773" i="16"/>
  <c r="O772" i="16"/>
  <c r="M772" i="16"/>
  <c r="K772" i="16"/>
  <c r="I772" i="16"/>
  <c r="G772" i="16"/>
  <c r="F772" i="16"/>
  <c r="E772" i="16"/>
  <c r="D772" i="16"/>
  <c r="O771" i="16"/>
  <c r="M771" i="16"/>
  <c r="K771" i="16"/>
  <c r="I771" i="16"/>
  <c r="G771" i="16"/>
  <c r="F771" i="16"/>
  <c r="E771" i="16"/>
  <c r="D771" i="16"/>
  <c r="O770" i="16"/>
  <c r="M770" i="16"/>
  <c r="K770" i="16"/>
  <c r="I770" i="16"/>
  <c r="G770" i="16"/>
  <c r="F770" i="16"/>
  <c r="E770" i="16"/>
  <c r="D770" i="16"/>
  <c r="O769" i="16"/>
  <c r="M769" i="16"/>
  <c r="K769" i="16"/>
  <c r="I769" i="16"/>
  <c r="G769" i="16"/>
  <c r="F769" i="16"/>
  <c r="E769" i="16"/>
  <c r="D769" i="16"/>
  <c r="O768" i="16"/>
  <c r="M768" i="16"/>
  <c r="K768" i="16"/>
  <c r="I768" i="16"/>
  <c r="G768" i="16"/>
  <c r="F768" i="16"/>
  <c r="E768" i="16"/>
  <c r="D768" i="16"/>
  <c r="O767" i="16"/>
  <c r="M767" i="16"/>
  <c r="K767" i="16"/>
  <c r="I767" i="16"/>
  <c r="G767" i="16"/>
  <c r="F767" i="16"/>
  <c r="E767" i="16"/>
  <c r="D767" i="16"/>
  <c r="O766" i="16"/>
  <c r="M766" i="16"/>
  <c r="K766" i="16"/>
  <c r="I766" i="16"/>
  <c r="G766" i="16"/>
  <c r="F766" i="16"/>
  <c r="E766" i="16"/>
  <c r="D766" i="16"/>
  <c r="O765" i="16"/>
  <c r="M765" i="16"/>
  <c r="K765" i="16"/>
  <c r="I765" i="16"/>
  <c r="G765" i="16"/>
  <c r="F765" i="16"/>
  <c r="E765" i="16"/>
  <c r="D765" i="16"/>
  <c r="O764" i="16"/>
  <c r="M764" i="16"/>
  <c r="K764" i="16"/>
  <c r="I764" i="16"/>
  <c r="G764" i="16"/>
  <c r="F764" i="16"/>
  <c r="E764" i="16"/>
  <c r="D764" i="16"/>
  <c r="O763" i="16"/>
  <c r="M763" i="16"/>
  <c r="K763" i="16"/>
  <c r="I763" i="16"/>
  <c r="G763" i="16"/>
  <c r="F763" i="16"/>
  <c r="E763" i="16"/>
  <c r="D763" i="16"/>
  <c r="O762" i="16"/>
  <c r="M762" i="16"/>
  <c r="K762" i="16"/>
  <c r="I762" i="16"/>
  <c r="G762" i="16"/>
  <c r="F762" i="16"/>
  <c r="E762" i="16"/>
  <c r="D762" i="16"/>
  <c r="O761" i="16"/>
  <c r="M761" i="16"/>
  <c r="K761" i="16"/>
  <c r="I761" i="16"/>
  <c r="G761" i="16"/>
  <c r="F761" i="16"/>
  <c r="E761" i="16"/>
  <c r="D761" i="16"/>
  <c r="O760" i="16"/>
  <c r="M760" i="16"/>
  <c r="K760" i="16"/>
  <c r="I760" i="16"/>
  <c r="G760" i="16"/>
  <c r="F760" i="16"/>
  <c r="E760" i="16"/>
  <c r="D760" i="16"/>
  <c r="O759" i="16"/>
  <c r="M759" i="16"/>
  <c r="K759" i="16"/>
  <c r="I759" i="16"/>
  <c r="G759" i="16"/>
  <c r="F759" i="16"/>
  <c r="E759" i="16"/>
  <c r="D759" i="16"/>
  <c r="O758" i="16"/>
  <c r="M758" i="16"/>
  <c r="K758" i="16"/>
  <c r="I758" i="16"/>
  <c r="G758" i="16"/>
  <c r="F758" i="16"/>
  <c r="E758" i="16"/>
  <c r="D758" i="16"/>
  <c r="O757" i="16"/>
  <c r="M757" i="16"/>
  <c r="K757" i="16"/>
  <c r="I757" i="16"/>
  <c r="G757" i="16"/>
  <c r="F757" i="16"/>
  <c r="E757" i="16"/>
  <c r="D757" i="16"/>
  <c r="O756" i="16"/>
  <c r="M756" i="16"/>
  <c r="K756" i="16"/>
  <c r="I756" i="16"/>
  <c r="G756" i="16"/>
  <c r="F756" i="16"/>
  <c r="E756" i="16"/>
  <c r="D756" i="16"/>
  <c r="O755" i="16"/>
  <c r="M755" i="16"/>
  <c r="K755" i="16"/>
  <c r="I755" i="16"/>
  <c r="G755" i="16"/>
  <c r="F755" i="16"/>
  <c r="E755" i="16"/>
  <c r="D755" i="16"/>
  <c r="O754" i="16"/>
  <c r="M754" i="16"/>
  <c r="K754" i="16"/>
  <c r="I754" i="16"/>
  <c r="G754" i="16"/>
  <c r="F754" i="16"/>
  <c r="E754" i="16"/>
  <c r="D754" i="16"/>
  <c r="O753" i="16"/>
  <c r="M753" i="16"/>
  <c r="K753" i="16"/>
  <c r="I753" i="16"/>
  <c r="G753" i="16"/>
  <c r="F753" i="16"/>
  <c r="E753" i="16"/>
  <c r="D753" i="16"/>
  <c r="O752" i="16"/>
  <c r="M752" i="16"/>
  <c r="K752" i="16"/>
  <c r="I752" i="16"/>
  <c r="G752" i="16"/>
  <c r="F752" i="16"/>
  <c r="E752" i="16"/>
  <c r="D752" i="16"/>
  <c r="O751" i="16"/>
  <c r="M751" i="16"/>
  <c r="K751" i="16"/>
  <c r="I751" i="16"/>
  <c r="G751" i="16"/>
  <c r="F751" i="16"/>
  <c r="E751" i="16"/>
  <c r="D751" i="16"/>
  <c r="O750" i="16"/>
  <c r="M750" i="16"/>
  <c r="K750" i="16"/>
  <c r="I750" i="16"/>
  <c r="G750" i="16"/>
  <c r="F750" i="16"/>
  <c r="E750" i="16"/>
  <c r="D750" i="16"/>
  <c r="O749" i="16"/>
  <c r="M749" i="16"/>
  <c r="K749" i="16"/>
  <c r="I749" i="16"/>
  <c r="G749" i="16"/>
  <c r="F749" i="16"/>
  <c r="E749" i="16"/>
  <c r="D749" i="16"/>
  <c r="O748" i="16"/>
  <c r="M748" i="16"/>
  <c r="K748" i="16"/>
  <c r="I748" i="16"/>
  <c r="G748" i="16"/>
  <c r="F748" i="16"/>
  <c r="E748" i="16"/>
  <c r="D748" i="16"/>
  <c r="O747" i="16"/>
  <c r="M747" i="16"/>
  <c r="K747" i="16"/>
  <c r="I747" i="16"/>
  <c r="G747" i="16"/>
  <c r="F747" i="16"/>
  <c r="E747" i="16"/>
  <c r="D747" i="16"/>
  <c r="O746" i="16"/>
  <c r="M746" i="16"/>
  <c r="K746" i="16"/>
  <c r="I746" i="16"/>
  <c r="G746" i="16"/>
  <c r="F746" i="16"/>
  <c r="E746" i="16"/>
  <c r="D746" i="16"/>
  <c r="O745" i="16"/>
  <c r="M745" i="16"/>
  <c r="K745" i="16"/>
  <c r="I745" i="16"/>
  <c r="G745" i="16"/>
  <c r="F745" i="16"/>
  <c r="E745" i="16"/>
  <c r="D745" i="16"/>
  <c r="O744" i="16"/>
  <c r="M744" i="16"/>
  <c r="K744" i="16"/>
  <c r="I744" i="16"/>
  <c r="G744" i="16"/>
  <c r="F744" i="16"/>
  <c r="E744" i="16"/>
  <c r="D744" i="16"/>
  <c r="O743" i="16"/>
  <c r="M743" i="16"/>
  <c r="K743" i="16"/>
  <c r="I743" i="16"/>
  <c r="G743" i="16"/>
  <c r="F743" i="16"/>
  <c r="E743" i="16"/>
  <c r="D743" i="16"/>
  <c r="O742" i="16"/>
  <c r="M742" i="16"/>
  <c r="K742" i="16"/>
  <c r="I742" i="16"/>
  <c r="G742" i="16"/>
  <c r="F742" i="16"/>
  <c r="E742" i="16"/>
  <c r="D742" i="16"/>
  <c r="O741" i="16"/>
  <c r="M741" i="16"/>
  <c r="K741" i="16"/>
  <c r="I741" i="16"/>
  <c r="G741" i="16"/>
  <c r="F741" i="16"/>
  <c r="E741" i="16"/>
  <c r="D741" i="16"/>
  <c r="O740" i="16"/>
  <c r="M740" i="16"/>
  <c r="K740" i="16"/>
  <c r="I740" i="16"/>
  <c r="G740" i="16"/>
  <c r="F740" i="16"/>
  <c r="E740" i="16"/>
  <c r="D740" i="16"/>
  <c r="O739" i="16"/>
  <c r="M739" i="16"/>
  <c r="K739" i="16"/>
  <c r="I739" i="16"/>
  <c r="G739" i="16"/>
  <c r="F739" i="16"/>
  <c r="E739" i="16"/>
  <c r="D739" i="16"/>
  <c r="O738" i="16"/>
  <c r="M738" i="16"/>
  <c r="K738" i="16"/>
  <c r="I738" i="16"/>
  <c r="G738" i="16"/>
  <c r="F738" i="16"/>
  <c r="E738" i="16"/>
  <c r="D738" i="16"/>
  <c r="O737" i="16"/>
  <c r="M737" i="16"/>
  <c r="K737" i="16"/>
  <c r="I737" i="16"/>
  <c r="G737" i="16"/>
  <c r="F737" i="16"/>
  <c r="E737" i="16"/>
  <c r="D737" i="16"/>
  <c r="O736" i="16"/>
  <c r="M736" i="16"/>
  <c r="K736" i="16"/>
  <c r="I736" i="16"/>
  <c r="G736" i="16"/>
  <c r="F736" i="16"/>
  <c r="E736" i="16"/>
  <c r="D736" i="16"/>
  <c r="O735" i="16"/>
  <c r="M735" i="16"/>
  <c r="K735" i="16"/>
  <c r="I735" i="16"/>
  <c r="G735" i="16"/>
  <c r="F735" i="16"/>
  <c r="E735" i="16"/>
  <c r="D735" i="16"/>
  <c r="O734" i="16"/>
  <c r="M734" i="16"/>
  <c r="K734" i="16"/>
  <c r="I734" i="16"/>
  <c r="G734" i="16"/>
  <c r="F734" i="16"/>
  <c r="E734" i="16"/>
  <c r="D734" i="16"/>
  <c r="O733" i="16"/>
  <c r="M733" i="16"/>
  <c r="K733" i="16"/>
  <c r="I733" i="16"/>
  <c r="G733" i="16"/>
  <c r="F733" i="16"/>
  <c r="E733" i="16"/>
  <c r="D733" i="16"/>
  <c r="O732" i="16"/>
  <c r="M732" i="16"/>
  <c r="K732" i="16"/>
  <c r="I732" i="16"/>
  <c r="G732" i="16"/>
  <c r="F732" i="16"/>
  <c r="E732" i="16"/>
  <c r="D732" i="16"/>
  <c r="O731" i="16"/>
  <c r="M731" i="16"/>
  <c r="K731" i="16"/>
  <c r="I731" i="16"/>
  <c r="G731" i="16"/>
  <c r="F731" i="16"/>
  <c r="E731" i="16"/>
  <c r="D731" i="16"/>
  <c r="O730" i="16"/>
  <c r="M730" i="16"/>
  <c r="K730" i="16"/>
  <c r="I730" i="16"/>
  <c r="G730" i="16"/>
  <c r="F730" i="16"/>
  <c r="E730" i="16"/>
  <c r="D730" i="16"/>
  <c r="O729" i="16"/>
  <c r="M729" i="16"/>
  <c r="K729" i="16"/>
  <c r="I729" i="16"/>
  <c r="G729" i="16"/>
  <c r="F729" i="16"/>
  <c r="E729" i="16"/>
  <c r="D729" i="16"/>
  <c r="O728" i="16"/>
  <c r="M728" i="16"/>
  <c r="K728" i="16"/>
  <c r="I728" i="16"/>
  <c r="G728" i="16"/>
  <c r="F728" i="16"/>
  <c r="E728" i="16"/>
  <c r="D728" i="16"/>
  <c r="O727" i="16"/>
  <c r="M727" i="16"/>
  <c r="K727" i="16"/>
  <c r="I727" i="16"/>
  <c r="G727" i="16"/>
  <c r="F727" i="16"/>
  <c r="E727" i="16"/>
  <c r="D727" i="16"/>
  <c r="O726" i="16"/>
  <c r="M726" i="16"/>
  <c r="K726" i="16"/>
  <c r="I726" i="16"/>
  <c r="G726" i="16"/>
  <c r="F726" i="16"/>
  <c r="E726" i="16"/>
  <c r="D726" i="16"/>
  <c r="O725" i="16"/>
  <c r="M725" i="16"/>
  <c r="K725" i="16"/>
  <c r="I725" i="16"/>
  <c r="G725" i="16"/>
  <c r="F725" i="16"/>
  <c r="E725" i="16"/>
  <c r="D725" i="16"/>
  <c r="O724" i="16"/>
  <c r="M724" i="16"/>
  <c r="K724" i="16"/>
  <c r="I724" i="16"/>
  <c r="G724" i="16"/>
  <c r="F724" i="16"/>
  <c r="E724" i="16"/>
  <c r="D724" i="16"/>
  <c r="O723" i="16"/>
  <c r="M723" i="16"/>
  <c r="K723" i="16"/>
  <c r="I723" i="16"/>
  <c r="G723" i="16"/>
  <c r="F723" i="16"/>
  <c r="E723" i="16"/>
  <c r="D723" i="16"/>
  <c r="O722" i="16"/>
  <c r="M722" i="16"/>
  <c r="K722" i="16"/>
  <c r="I722" i="16"/>
  <c r="G722" i="16"/>
  <c r="F722" i="16"/>
  <c r="E722" i="16"/>
  <c r="D722" i="16"/>
  <c r="O721" i="16"/>
  <c r="M721" i="16"/>
  <c r="K721" i="16"/>
  <c r="I721" i="16"/>
  <c r="G721" i="16"/>
  <c r="F721" i="16"/>
  <c r="E721" i="16"/>
  <c r="D721" i="16"/>
  <c r="O720" i="16"/>
  <c r="M720" i="16"/>
  <c r="K720" i="16"/>
  <c r="I720" i="16"/>
  <c r="G720" i="16"/>
  <c r="F720" i="16"/>
  <c r="E720" i="16"/>
  <c r="D720" i="16"/>
  <c r="O719" i="16"/>
  <c r="M719" i="16"/>
  <c r="K719" i="16"/>
  <c r="I719" i="16"/>
  <c r="G719" i="16"/>
  <c r="F719" i="16"/>
  <c r="E719" i="16"/>
  <c r="D719" i="16"/>
  <c r="O718" i="16"/>
  <c r="M718" i="16"/>
  <c r="K718" i="16"/>
  <c r="I718" i="16"/>
  <c r="G718" i="16"/>
  <c r="F718" i="16"/>
  <c r="E718" i="16"/>
  <c r="D718" i="16"/>
  <c r="O717" i="16"/>
  <c r="M717" i="16"/>
  <c r="K717" i="16"/>
  <c r="I717" i="16"/>
  <c r="G717" i="16"/>
  <c r="F717" i="16"/>
  <c r="E717" i="16"/>
  <c r="D717" i="16"/>
  <c r="O716" i="16"/>
  <c r="M716" i="16"/>
  <c r="K716" i="16"/>
  <c r="I716" i="16"/>
  <c r="G716" i="16"/>
  <c r="F716" i="16"/>
  <c r="E716" i="16"/>
  <c r="D716" i="16"/>
  <c r="O715" i="16"/>
  <c r="M715" i="16"/>
  <c r="K715" i="16"/>
  <c r="I715" i="16"/>
  <c r="G715" i="16"/>
  <c r="F715" i="16"/>
  <c r="E715" i="16"/>
  <c r="D715" i="16"/>
  <c r="O714" i="16"/>
  <c r="M714" i="16"/>
  <c r="K714" i="16"/>
  <c r="I714" i="16"/>
  <c r="G714" i="16"/>
  <c r="F714" i="16"/>
  <c r="E714" i="16"/>
  <c r="D714" i="16"/>
  <c r="O713" i="16"/>
  <c r="M713" i="16"/>
  <c r="K713" i="16"/>
  <c r="I713" i="16"/>
  <c r="G713" i="16"/>
  <c r="F713" i="16"/>
  <c r="E713" i="16"/>
  <c r="D713" i="16"/>
  <c r="O712" i="16"/>
  <c r="M712" i="16"/>
  <c r="K712" i="16"/>
  <c r="I712" i="16"/>
  <c r="G712" i="16"/>
  <c r="F712" i="16"/>
  <c r="E712" i="16"/>
  <c r="D712" i="16"/>
  <c r="O711" i="16"/>
  <c r="M711" i="16"/>
  <c r="K711" i="16"/>
  <c r="I711" i="16"/>
  <c r="G711" i="16"/>
  <c r="F711" i="16"/>
  <c r="E711" i="16"/>
  <c r="D711" i="16"/>
  <c r="O710" i="16"/>
  <c r="M710" i="16"/>
  <c r="K710" i="16"/>
  <c r="I710" i="16"/>
  <c r="G710" i="16"/>
  <c r="F710" i="16"/>
  <c r="E710" i="16"/>
  <c r="D710" i="16"/>
  <c r="O709" i="16"/>
  <c r="M709" i="16"/>
  <c r="K709" i="16"/>
  <c r="I709" i="16"/>
  <c r="G709" i="16"/>
  <c r="F709" i="16"/>
  <c r="E709" i="16"/>
  <c r="D709" i="16"/>
  <c r="O708" i="16"/>
  <c r="M708" i="16"/>
  <c r="K708" i="16"/>
  <c r="I708" i="16"/>
  <c r="G708" i="16"/>
  <c r="F708" i="16"/>
  <c r="E708" i="16"/>
  <c r="D708" i="16"/>
  <c r="O707" i="16"/>
  <c r="M707" i="16"/>
  <c r="K707" i="16"/>
  <c r="I707" i="16"/>
  <c r="G707" i="16"/>
  <c r="F707" i="16"/>
  <c r="E707" i="16"/>
  <c r="D707" i="16"/>
  <c r="O706" i="16"/>
  <c r="M706" i="16"/>
  <c r="K706" i="16"/>
  <c r="I706" i="16"/>
  <c r="G706" i="16"/>
  <c r="F706" i="16"/>
  <c r="E706" i="16"/>
  <c r="D706" i="16"/>
  <c r="O705" i="16"/>
  <c r="M705" i="16"/>
  <c r="K705" i="16"/>
  <c r="I705" i="16"/>
  <c r="G705" i="16"/>
  <c r="F705" i="16"/>
  <c r="E705" i="16"/>
  <c r="D705" i="16"/>
  <c r="O704" i="16"/>
  <c r="M704" i="16"/>
  <c r="K704" i="16"/>
  <c r="I704" i="16"/>
  <c r="G704" i="16"/>
  <c r="F704" i="16"/>
  <c r="E704" i="16"/>
  <c r="D704" i="16"/>
  <c r="O703" i="16"/>
  <c r="M703" i="16"/>
  <c r="K703" i="16"/>
  <c r="I703" i="16"/>
  <c r="G703" i="16"/>
  <c r="F703" i="16"/>
  <c r="E703" i="16"/>
  <c r="D703" i="16"/>
  <c r="O702" i="16"/>
  <c r="M702" i="16"/>
  <c r="K702" i="16"/>
  <c r="I702" i="16"/>
  <c r="G702" i="16"/>
  <c r="F702" i="16"/>
  <c r="E702" i="16"/>
  <c r="D702" i="16"/>
  <c r="O701" i="16"/>
  <c r="M701" i="16"/>
  <c r="K701" i="16"/>
  <c r="I701" i="16"/>
  <c r="G701" i="16"/>
  <c r="F701" i="16"/>
  <c r="E701" i="16"/>
  <c r="D701" i="16"/>
  <c r="O700" i="16"/>
  <c r="M700" i="16"/>
  <c r="K700" i="16"/>
  <c r="I700" i="16"/>
  <c r="G700" i="16"/>
  <c r="F700" i="16"/>
  <c r="E700" i="16"/>
  <c r="D700" i="16"/>
  <c r="O699" i="16"/>
  <c r="M699" i="16"/>
  <c r="K699" i="16"/>
  <c r="I699" i="16"/>
  <c r="G699" i="16"/>
  <c r="F699" i="16"/>
  <c r="E699" i="16"/>
  <c r="D699" i="16"/>
  <c r="O698" i="16"/>
  <c r="M698" i="16"/>
  <c r="K698" i="16"/>
  <c r="I698" i="16"/>
  <c r="G698" i="16"/>
  <c r="F698" i="16"/>
  <c r="E698" i="16"/>
  <c r="D698" i="16"/>
  <c r="O697" i="16"/>
  <c r="M697" i="16"/>
  <c r="K697" i="16"/>
  <c r="I697" i="16"/>
  <c r="G697" i="16"/>
  <c r="F697" i="16"/>
  <c r="E697" i="16"/>
  <c r="D697" i="16"/>
  <c r="O696" i="16"/>
  <c r="M696" i="16"/>
  <c r="K696" i="16"/>
  <c r="I696" i="16"/>
  <c r="G696" i="16"/>
  <c r="F696" i="16"/>
  <c r="E696" i="16"/>
  <c r="D696" i="16"/>
  <c r="O695" i="16"/>
  <c r="M695" i="16"/>
  <c r="K695" i="16"/>
  <c r="I695" i="16"/>
  <c r="G695" i="16"/>
  <c r="F695" i="16"/>
  <c r="E695" i="16"/>
  <c r="D695" i="16"/>
  <c r="O694" i="16"/>
  <c r="M694" i="16"/>
  <c r="K694" i="16"/>
  <c r="I694" i="16"/>
  <c r="G694" i="16"/>
  <c r="F694" i="16"/>
  <c r="E694" i="16"/>
  <c r="D694" i="16"/>
  <c r="O693" i="16"/>
  <c r="M693" i="16"/>
  <c r="K693" i="16"/>
  <c r="I693" i="16"/>
  <c r="G693" i="16"/>
  <c r="F693" i="16"/>
  <c r="E693" i="16"/>
  <c r="D693" i="16"/>
  <c r="O692" i="16"/>
  <c r="M692" i="16"/>
  <c r="K692" i="16"/>
  <c r="I692" i="16"/>
  <c r="G692" i="16"/>
  <c r="F692" i="16"/>
  <c r="E692" i="16"/>
  <c r="D692" i="16"/>
  <c r="O691" i="16"/>
  <c r="M691" i="16"/>
  <c r="K691" i="16"/>
  <c r="I691" i="16"/>
  <c r="G691" i="16"/>
  <c r="F691" i="16"/>
  <c r="E691" i="16"/>
  <c r="D691" i="16"/>
  <c r="O690" i="16"/>
  <c r="M690" i="16"/>
  <c r="K690" i="16"/>
  <c r="I690" i="16"/>
  <c r="G690" i="16"/>
  <c r="F690" i="16"/>
  <c r="E690" i="16"/>
  <c r="D690" i="16"/>
  <c r="O689" i="16"/>
  <c r="M689" i="16"/>
  <c r="K689" i="16"/>
  <c r="I689" i="16"/>
  <c r="G689" i="16"/>
  <c r="F689" i="16"/>
  <c r="E689" i="16"/>
  <c r="D689" i="16"/>
  <c r="O688" i="16"/>
  <c r="M688" i="16"/>
  <c r="K688" i="16"/>
  <c r="I688" i="16"/>
  <c r="G688" i="16"/>
  <c r="F688" i="16"/>
  <c r="E688" i="16"/>
  <c r="D688" i="16"/>
  <c r="O687" i="16"/>
  <c r="M687" i="16"/>
  <c r="K687" i="16"/>
  <c r="I687" i="16"/>
  <c r="G687" i="16"/>
  <c r="F687" i="16"/>
  <c r="E687" i="16"/>
  <c r="D687" i="16"/>
  <c r="O686" i="16"/>
  <c r="M686" i="16"/>
  <c r="K686" i="16"/>
  <c r="I686" i="16"/>
  <c r="G686" i="16"/>
  <c r="F686" i="16"/>
  <c r="E686" i="16"/>
  <c r="D686" i="16"/>
  <c r="O685" i="16"/>
  <c r="M685" i="16"/>
  <c r="K685" i="16"/>
  <c r="I685" i="16"/>
  <c r="G685" i="16"/>
  <c r="F685" i="16"/>
  <c r="E685" i="16"/>
  <c r="D685" i="16"/>
  <c r="O684" i="16"/>
  <c r="M684" i="16"/>
  <c r="K684" i="16"/>
  <c r="I684" i="16"/>
  <c r="G684" i="16"/>
  <c r="F684" i="16"/>
  <c r="E684" i="16"/>
  <c r="D684" i="16"/>
  <c r="O683" i="16"/>
  <c r="M683" i="16"/>
  <c r="K683" i="16"/>
  <c r="I683" i="16"/>
  <c r="G683" i="16"/>
  <c r="F683" i="16"/>
  <c r="E683" i="16"/>
  <c r="D683" i="16"/>
  <c r="O682" i="16"/>
  <c r="M682" i="16"/>
  <c r="K682" i="16"/>
  <c r="I682" i="16"/>
  <c r="G682" i="16"/>
  <c r="F682" i="16"/>
  <c r="E682" i="16"/>
  <c r="D682" i="16"/>
  <c r="O681" i="16"/>
  <c r="M681" i="16"/>
  <c r="K681" i="16"/>
  <c r="I681" i="16"/>
  <c r="G681" i="16"/>
  <c r="F681" i="16"/>
  <c r="E681" i="16"/>
  <c r="D681" i="16"/>
  <c r="O680" i="16"/>
  <c r="M680" i="16"/>
  <c r="K680" i="16"/>
  <c r="I680" i="16"/>
  <c r="G680" i="16"/>
  <c r="F680" i="16"/>
  <c r="E680" i="16"/>
  <c r="D680" i="16"/>
  <c r="O679" i="16"/>
  <c r="M679" i="16"/>
  <c r="K679" i="16"/>
  <c r="I679" i="16"/>
  <c r="G679" i="16"/>
  <c r="F679" i="16"/>
  <c r="E679" i="16"/>
  <c r="D679" i="16"/>
  <c r="O678" i="16"/>
  <c r="M678" i="16"/>
  <c r="K678" i="16"/>
  <c r="I678" i="16"/>
  <c r="G678" i="16"/>
  <c r="F678" i="16"/>
  <c r="E678" i="16"/>
  <c r="D678" i="16"/>
  <c r="O677" i="16"/>
  <c r="M677" i="16"/>
  <c r="K677" i="16"/>
  <c r="I677" i="16"/>
  <c r="G677" i="16"/>
  <c r="F677" i="16"/>
  <c r="E677" i="16"/>
  <c r="D677" i="16"/>
  <c r="O676" i="16"/>
  <c r="M676" i="16"/>
  <c r="K676" i="16"/>
  <c r="I676" i="16"/>
  <c r="G676" i="16"/>
  <c r="F676" i="16"/>
  <c r="E676" i="16"/>
  <c r="D676" i="16"/>
  <c r="O675" i="16"/>
  <c r="M675" i="16"/>
  <c r="K675" i="16"/>
  <c r="I675" i="16"/>
  <c r="G675" i="16"/>
  <c r="F675" i="16"/>
  <c r="E675" i="16"/>
  <c r="D675" i="16"/>
  <c r="O674" i="16"/>
  <c r="M674" i="16"/>
  <c r="K674" i="16"/>
  <c r="I674" i="16"/>
  <c r="G674" i="16"/>
  <c r="F674" i="16"/>
  <c r="E674" i="16"/>
  <c r="D674" i="16"/>
  <c r="O673" i="16"/>
  <c r="M673" i="16"/>
  <c r="K673" i="16"/>
  <c r="I673" i="16"/>
  <c r="G673" i="16"/>
  <c r="F673" i="16"/>
  <c r="E673" i="16"/>
  <c r="D673" i="16"/>
  <c r="O672" i="16"/>
  <c r="M672" i="16"/>
  <c r="K672" i="16"/>
  <c r="I672" i="16"/>
  <c r="G672" i="16"/>
  <c r="F672" i="16"/>
  <c r="E672" i="16"/>
  <c r="D672" i="16"/>
  <c r="O671" i="16"/>
  <c r="M671" i="16"/>
  <c r="K671" i="16"/>
  <c r="I671" i="16"/>
  <c r="G671" i="16"/>
  <c r="F671" i="16"/>
  <c r="E671" i="16"/>
  <c r="D671" i="16"/>
  <c r="O670" i="16"/>
  <c r="M670" i="16"/>
  <c r="K670" i="16"/>
  <c r="I670" i="16"/>
  <c r="G670" i="16"/>
  <c r="F670" i="16"/>
  <c r="E670" i="16"/>
  <c r="D670" i="16"/>
  <c r="O669" i="16"/>
  <c r="M669" i="16"/>
  <c r="K669" i="16"/>
  <c r="I669" i="16"/>
  <c r="G669" i="16"/>
  <c r="F669" i="16"/>
  <c r="E669" i="16"/>
  <c r="D669" i="16"/>
  <c r="O668" i="16"/>
  <c r="M668" i="16"/>
  <c r="K668" i="16"/>
  <c r="I668" i="16"/>
  <c r="G668" i="16"/>
  <c r="F668" i="16"/>
  <c r="E668" i="16"/>
  <c r="D668" i="16"/>
  <c r="O667" i="16"/>
  <c r="M667" i="16"/>
  <c r="K667" i="16"/>
  <c r="I667" i="16"/>
  <c r="G667" i="16"/>
  <c r="F667" i="16"/>
  <c r="E667" i="16"/>
  <c r="D667" i="16"/>
  <c r="O666" i="16"/>
  <c r="M666" i="16"/>
  <c r="K666" i="16"/>
  <c r="I666" i="16"/>
  <c r="G666" i="16"/>
  <c r="F666" i="16"/>
  <c r="E666" i="16"/>
  <c r="D666" i="16"/>
  <c r="O665" i="16"/>
  <c r="M665" i="16"/>
  <c r="K665" i="16"/>
  <c r="I665" i="16"/>
  <c r="G665" i="16"/>
  <c r="F665" i="16"/>
  <c r="E665" i="16"/>
  <c r="D665" i="16"/>
  <c r="O664" i="16"/>
  <c r="M664" i="16"/>
  <c r="K664" i="16"/>
  <c r="I664" i="16"/>
  <c r="G664" i="16"/>
  <c r="F664" i="16"/>
  <c r="E664" i="16"/>
  <c r="D664" i="16"/>
  <c r="O663" i="16"/>
  <c r="M663" i="16"/>
  <c r="K663" i="16"/>
  <c r="I663" i="16"/>
  <c r="G663" i="16"/>
  <c r="F663" i="16"/>
  <c r="E663" i="16"/>
  <c r="D663" i="16"/>
  <c r="O662" i="16"/>
  <c r="M662" i="16"/>
  <c r="K662" i="16"/>
  <c r="I662" i="16"/>
  <c r="G662" i="16"/>
  <c r="F662" i="16"/>
  <c r="E662" i="16"/>
  <c r="D662" i="16"/>
  <c r="O661" i="16"/>
  <c r="M661" i="16"/>
  <c r="K661" i="16"/>
  <c r="I661" i="16"/>
  <c r="G661" i="16"/>
  <c r="F661" i="16"/>
  <c r="E661" i="16"/>
  <c r="D661" i="16"/>
  <c r="O660" i="16"/>
  <c r="M660" i="16"/>
  <c r="K660" i="16"/>
  <c r="I660" i="16"/>
  <c r="G660" i="16"/>
  <c r="F660" i="16"/>
  <c r="E660" i="16"/>
  <c r="D660" i="16"/>
  <c r="O659" i="16"/>
  <c r="M659" i="16"/>
  <c r="K659" i="16"/>
  <c r="I659" i="16"/>
  <c r="G659" i="16"/>
  <c r="F659" i="16"/>
  <c r="E659" i="16"/>
  <c r="D659" i="16"/>
  <c r="O658" i="16"/>
  <c r="M658" i="16"/>
  <c r="K658" i="16"/>
  <c r="I658" i="16"/>
  <c r="G658" i="16"/>
  <c r="F658" i="16"/>
  <c r="E658" i="16"/>
  <c r="D658" i="16"/>
  <c r="O657" i="16"/>
  <c r="M657" i="16"/>
  <c r="K657" i="16"/>
  <c r="I657" i="16"/>
  <c r="G657" i="16"/>
  <c r="F657" i="16"/>
  <c r="E657" i="16"/>
  <c r="D657" i="16"/>
  <c r="O656" i="16"/>
  <c r="M656" i="16"/>
  <c r="K656" i="16"/>
  <c r="I656" i="16"/>
  <c r="G656" i="16"/>
  <c r="F656" i="16"/>
  <c r="E656" i="16"/>
  <c r="D656" i="16"/>
  <c r="O655" i="16"/>
  <c r="M655" i="16"/>
  <c r="K655" i="16"/>
  <c r="I655" i="16"/>
  <c r="G655" i="16"/>
  <c r="F655" i="16"/>
  <c r="E655" i="16"/>
  <c r="D655" i="16"/>
  <c r="O654" i="16"/>
  <c r="M654" i="16"/>
  <c r="K654" i="16"/>
  <c r="I654" i="16"/>
  <c r="G654" i="16"/>
  <c r="F654" i="16"/>
  <c r="E654" i="16"/>
  <c r="D654" i="16"/>
  <c r="O653" i="16"/>
  <c r="M653" i="16"/>
  <c r="K653" i="16"/>
  <c r="I653" i="16"/>
  <c r="G653" i="16"/>
  <c r="F653" i="16"/>
  <c r="E653" i="16"/>
  <c r="D653" i="16"/>
  <c r="O652" i="16"/>
  <c r="M652" i="16"/>
  <c r="K652" i="16"/>
  <c r="I652" i="16"/>
  <c r="G652" i="16"/>
  <c r="F652" i="16"/>
  <c r="E652" i="16"/>
  <c r="D652" i="16"/>
  <c r="O651" i="16"/>
  <c r="M651" i="16"/>
  <c r="K651" i="16"/>
  <c r="I651" i="16"/>
  <c r="G651" i="16"/>
  <c r="F651" i="16"/>
  <c r="E651" i="16"/>
  <c r="D651" i="16"/>
  <c r="O650" i="16"/>
  <c r="M650" i="16"/>
  <c r="K650" i="16"/>
  <c r="I650" i="16"/>
  <c r="G650" i="16"/>
  <c r="F650" i="16"/>
  <c r="E650" i="16"/>
  <c r="D650" i="16"/>
  <c r="O649" i="16"/>
  <c r="M649" i="16"/>
  <c r="K649" i="16"/>
  <c r="I649" i="16"/>
  <c r="G649" i="16"/>
  <c r="F649" i="16"/>
  <c r="E649" i="16"/>
  <c r="D649" i="16"/>
  <c r="O648" i="16"/>
  <c r="M648" i="16"/>
  <c r="K648" i="16"/>
  <c r="I648" i="16"/>
  <c r="G648" i="16"/>
  <c r="F648" i="16"/>
  <c r="E648" i="16"/>
  <c r="D648" i="16"/>
  <c r="O647" i="16"/>
  <c r="M647" i="16"/>
  <c r="K647" i="16"/>
  <c r="I647" i="16"/>
  <c r="G647" i="16"/>
  <c r="F647" i="16"/>
  <c r="E647" i="16"/>
  <c r="D647" i="16"/>
  <c r="O646" i="16"/>
  <c r="M646" i="16"/>
  <c r="K646" i="16"/>
  <c r="I646" i="16"/>
  <c r="G646" i="16"/>
  <c r="F646" i="16"/>
  <c r="E646" i="16"/>
  <c r="D646" i="16"/>
  <c r="O645" i="16"/>
  <c r="M645" i="16"/>
  <c r="K645" i="16"/>
  <c r="I645" i="16"/>
  <c r="G645" i="16"/>
  <c r="F645" i="16"/>
  <c r="E645" i="16"/>
  <c r="D645" i="16"/>
  <c r="O644" i="16"/>
  <c r="M644" i="16"/>
  <c r="K644" i="16"/>
  <c r="I644" i="16"/>
  <c r="G644" i="16"/>
  <c r="F644" i="16"/>
  <c r="E644" i="16"/>
  <c r="D644" i="16"/>
  <c r="O643" i="16"/>
  <c r="M643" i="16"/>
  <c r="K643" i="16"/>
  <c r="I643" i="16"/>
  <c r="G643" i="16"/>
  <c r="F643" i="16"/>
  <c r="E643" i="16"/>
  <c r="D643" i="16"/>
  <c r="O642" i="16"/>
  <c r="M642" i="16"/>
  <c r="K642" i="16"/>
  <c r="I642" i="16"/>
  <c r="G642" i="16"/>
  <c r="F642" i="16"/>
  <c r="E642" i="16"/>
  <c r="D642" i="16"/>
  <c r="O641" i="16"/>
  <c r="M641" i="16"/>
  <c r="K641" i="16"/>
  <c r="I641" i="16"/>
  <c r="G641" i="16"/>
  <c r="F641" i="16"/>
  <c r="E641" i="16"/>
  <c r="D641" i="16"/>
  <c r="O640" i="16"/>
  <c r="M640" i="16"/>
  <c r="K640" i="16"/>
  <c r="I640" i="16"/>
  <c r="G640" i="16"/>
  <c r="F640" i="16"/>
  <c r="E640" i="16"/>
  <c r="D640" i="16"/>
  <c r="O639" i="16"/>
  <c r="M639" i="16"/>
  <c r="K639" i="16"/>
  <c r="I639" i="16"/>
  <c r="G639" i="16"/>
  <c r="F639" i="16"/>
  <c r="E639" i="16"/>
  <c r="D639" i="16"/>
  <c r="O638" i="16"/>
  <c r="M638" i="16"/>
  <c r="K638" i="16"/>
  <c r="I638" i="16"/>
  <c r="G638" i="16"/>
  <c r="F638" i="16"/>
  <c r="E638" i="16"/>
  <c r="D638" i="16"/>
  <c r="O637" i="16"/>
  <c r="M637" i="16"/>
  <c r="K637" i="16"/>
  <c r="I637" i="16"/>
  <c r="G637" i="16"/>
  <c r="F637" i="16"/>
  <c r="E637" i="16"/>
  <c r="D637" i="16"/>
  <c r="O636" i="16"/>
  <c r="M636" i="16"/>
  <c r="K636" i="16"/>
  <c r="I636" i="16"/>
  <c r="G636" i="16"/>
  <c r="F636" i="16"/>
  <c r="E636" i="16"/>
  <c r="D636" i="16"/>
  <c r="O635" i="16"/>
  <c r="M635" i="16"/>
  <c r="K635" i="16"/>
  <c r="I635" i="16"/>
  <c r="G635" i="16"/>
  <c r="F635" i="16"/>
  <c r="E635" i="16"/>
  <c r="D635" i="16"/>
  <c r="O634" i="16"/>
  <c r="M634" i="16"/>
  <c r="K634" i="16"/>
  <c r="I634" i="16"/>
  <c r="G634" i="16"/>
  <c r="F634" i="16"/>
  <c r="E634" i="16"/>
  <c r="D634" i="16"/>
  <c r="O633" i="16"/>
  <c r="M633" i="16"/>
  <c r="K633" i="16"/>
  <c r="I633" i="16"/>
  <c r="G633" i="16"/>
  <c r="F633" i="16"/>
  <c r="E633" i="16"/>
  <c r="D633" i="16"/>
  <c r="O632" i="16"/>
  <c r="M632" i="16"/>
  <c r="K632" i="16"/>
  <c r="I632" i="16"/>
  <c r="G632" i="16"/>
  <c r="F632" i="16"/>
  <c r="E632" i="16"/>
  <c r="D632" i="16"/>
  <c r="O631" i="16"/>
  <c r="M631" i="16"/>
  <c r="K631" i="16"/>
  <c r="I631" i="16"/>
  <c r="G631" i="16"/>
  <c r="F631" i="16"/>
  <c r="E631" i="16"/>
  <c r="D631" i="16"/>
  <c r="O630" i="16"/>
  <c r="M630" i="16"/>
  <c r="K630" i="16"/>
  <c r="I630" i="16"/>
  <c r="G630" i="16"/>
  <c r="F630" i="16"/>
  <c r="E630" i="16"/>
  <c r="D630" i="16"/>
  <c r="O629" i="16"/>
  <c r="M629" i="16"/>
  <c r="K629" i="16"/>
  <c r="I629" i="16"/>
  <c r="G629" i="16"/>
  <c r="F629" i="16"/>
  <c r="E629" i="16"/>
  <c r="D629" i="16"/>
  <c r="O628" i="16"/>
  <c r="M628" i="16"/>
  <c r="K628" i="16"/>
  <c r="I628" i="16"/>
  <c r="G628" i="16"/>
  <c r="F628" i="16"/>
  <c r="E628" i="16"/>
  <c r="D628" i="16"/>
  <c r="O627" i="16"/>
  <c r="M627" i="16"/>
  <c r="K627" i="16"/>
  <c r="I627" i="16"/>
  <c r="G627" i="16"/>
  <c r="F627" i="16"/>
  <c r="E627" i="16"/>
  <c r="D627" i="16"/>
  <c r="O626" i="16"/>
  <c r="M626" i="16"/>
  <c r="K626" i="16"/>
  <c r="I626" i="16"/>
  <c r="G626" i="16"/>
  <c r="F626" i="16"/>
  <c r="E626" i="16"/>
  <c r="D626" i="16"/>
  <c r="O625" i="16"/>
  <c r="M625" i="16"/>
  <c r="K625" i="16"/>
  <c r="I625" i="16"/>
  <c r="G625" i="16"/>
  <c r="F625" i="16"/>
  <c r="E625" i="16"/>
  <c r="D625" i="16"/>
  <c r="O624" i="16"/>
  <c r="M624" i="16"/>
  <c r="K624" i="16"/>
  <c r="I624" i="16"/>
  <c r="G624" i="16"/>
  <c r="F624" i="16"/>
  <c r="E624" i="16"/>
  <c r="D624" i="16"/>
  <c r="O623" i="16"/>
  <c r="M623" i="16"/>
  <c r="K623" i="16"/>
  <c r="I623" i="16"/>
  <c r="G623" i="16"/>
  <c r="F623" i="16"/>
  <c r="E623" i="16"/>
  <c r="D623" i="16"/>
  <c r="O622" i="16"/>
  <c r="M622" i="16"/>
  <c r="K622" i="16"/>
  <c r="I622" i="16"/>
  <c r="G622" i="16"/>
  <c r="F622" i="16"/>
  <c r="E622" i="16"/>
  <c r="D622" i="16"/>
  <c r="O621" i="16"/>
  <c r="M621" i="16"/>
  <c r="K621" i="16"/>
  <c r="I621" i="16"/>
  <c r="G621" i="16"/>
  <c r="F621" i="16"/>
  <c r="E621" i="16"/>
  <c r="D621" i="16"/>
  <c r="O620" i="16"/>
  <c r="M620" i="16"/>
  <c r="K620" i="16"/>
  <c r="I620" i="16"/>
  <c r="G620" i="16"/>
  <c r="F620" i="16"/>
  <c r="E620" i="16"/>
  <c r="D620" i="16"/>
  <c r="O619" i="16"/>
  <c r="M619" i="16"/>
  <c r="K619" i="16"/>
  <c r="I619" i="16"/>
  <c r="G619" i="16"/>
  <c r="F619" i="16"/>
  <c r="E619" i="16"/>
  <c r="D619" i="16"/>
  <c r="O618" i="16"/>
  <c r="M618" i="16"/>
  <c r="K618" i="16"/>
  <c r="I618" i="16"/>
  <c r="G618" i="16"/>
  <c r="F618" i="16"/>
  <c r="E618" i="16"/>
  <c r="D618" i="16"/>
  <c r="O617" i="16"/>
  <c r="M617" i="16"/>
  <c r="K617" i="16"/>
  <c r="I617" i="16"/>
  <c r="G617" i="16"/>
  <c r="F617" i="16"/>
  <c r="E617" i="16"/>
  <c r="D617" i="16"/>
  <c r="O616" i="16"/>
  <c r="M616" i="16"/>
  <c r="K616" i="16"/>
  <c r="I616" i="16"/>
  <c r="G616" i="16"/>
  <c r="F616" i="16"/>
  <c r="E616" i="16"/>
  <c r="D616" i="16"/>
  <c r="O615" i="16"/>
  <c r="M615" i="16"/>
  <c r="K615" i="16"/>
  <c r="I615" i="16"/>
  <c r="G615" i="16"/>
  <c r="F615" i="16"/>
  <c r="E615" i="16"/>
  <c r="D615" i="16"/>
  <c r="O614" i="16"/>
  <c r="M614" i="16"/>
  <c r="K614" i="16"/>
  <c r="I614" i="16"/>
  <c r="G614" i="16"/>
  <c r="F614" i="16"/>
  <c r="E614" i="16"/>
  <c r="D614" i="16"/>
  <c r="O613" i="16"/>
  <c r="M613" i="16"/>
  <c r="K613" i="16"/>
  <c r="I613" i="16"/>
  <c r="G613" i="16"/>
  <c r="F613" i="16"/>
  <c r="E613" i="16"/>
  <c r="D613" i="16"/>
  <c r="O612" i="16"/>
  <c r="M612" i="16"/>
  <c r="K612" i="16"/>
  <c r="I612" i="16"/>
  <c r="G612" i="16"/>
  <c r="F612" i="16"/>
  <c r="E612" i="16"/>
  <c r="D612" i="16"/>
  <c r="O611" i="16"/>
  <c r="M611" i="16"/>
  <c r="K611" i="16"/>
  <c r="I611" i="16"/>
  <c r="G611" i="16"/>
  <c r="F611" i="16"/>
  <c r="E611" i="16"/>
  <c r="D611" i="16"/>
  <c r="O610" i="16"/>
  <c r="M610" i="16"/>
  <c r="K610" i="16"/>
  <c r="I610" i="16"/>
  <c r="G610" i="16"/>
  <c r="F610" i="16"/>
  <c r="E610" i="16"/>
  <c r="D610" i="16"/>
  <c r="O609" i="16"/>
  <c r="M609" i="16"/>
  <c r="K609" i="16"/>
  <c r="I609" i="16"/>
  <c r="G609" i="16"/>
  <c r="F609" i="16"/>
  <c r="E609" i="16"/>
  <c r="D609" i="16"/>
  <c r="O608" i="16"/>
  <c r="M608" i="16"/>
  <c r="K608" i="16"/>
  <c r="I608" i="16"/>
  <c r="G608" i="16"/>
  <c r="F608" i="16"/>
  <c r="E608" i="16"/>
  <c r="D608" i="16"/>
  <c r="O607" i="16"/>
  <c r="M607" i="16"/>
  <c r="K607" i="16"/>
  <c r="I607" i="16"/>
  <c r="G607" i="16"/>
  <c r="F607" i="16"/>
  <c r="E607" i="16"/>
  <c r="D607" i="16"/>
  <c r="O606" i="16"/>
  <c r="M606" i="16"/>
  <c r="K606" i="16"/>
  <c r="I606" i="16"/>
  <c r="G606" i="16"/>
  <c r="F606" i="16"/>
  <c r="E606" i="16"/>
  <c r="D606" i="16"/>
  <c r="O605" i="16"/>
  <c r="M605" i="16"/>
  <c r="K605" i="16"/>
  <c r="I605" i="16"/>
  <c r="G605" i="16"/>
  <c r="F605" i="16"/>
  <c r="E605" i="16"/>
  <c r="D605" i="16"/>
  <c r="O604" i="16"/>
  <c r="M604" i="16"/>
  <c r="K604" i="16"/>
  <c r="I604" i="16"/>
  <c r="G604" i="16"/>
  <c r="F604" i="16"/>
  <c r="E604" i="16"/>
  <c r="D604" i="16"/>
  <c r="O603" i="16"/>
  <c r="M603" i="16"/>
  <c r="K603" i="16"/>
  <c r="I603" i="16"/>
  <c r="G603" i="16"/>
  <c r="F603" i="16"/>
  <c r="E603" i="16"/>
  <c r="D603" i="16"/>
  <c r="O602" i="16"/>
  <c r="M602" i="16"/>
  <c r="K602" i="16"/>
  <c r="I602" i="16"/>
  <c r="G602" i="16"/>
  <c r="F602" i="16"/>
  <c r="E602" i="16"/>
  <c r="D602" i="16"/>
  <c r="O601" i="16"/>
  <c r="M601" i="16"/>
  <c r="K601" i="16"/>
  <c r="I601" i="16"/>
  <c r="G601" i="16"/>
  <c r="F601" i="16"/>
  <c r="E601" i="16"/>
  <c r="D601" i="16"/>
  <c r="O600" i="16"/>
  <c r="M600" i="16"/>
  <c r="K600" i="16"/>
  <c r="I600" i="16"/>
  <c r="G600" i="16"/>
  <c r="F600" i="16"/>
  <c r="E600" i="16"/>
  <c r="D600" i="16"/>
  <c r="O599" i="16"/>
  <c r="M599" i="16"/>
  <c r="K599" i="16"/>
  <c r="I599" i="16"/>
  <c r="G599" i="16"/>
  <c r="F599" i="16"/>
  <c r="E599" i="16"/>
  <c r="D599" i="16"/>
  <c r="O598" i="16"/>
  <c r="M598" i="16"/>
  <c r="K598" i="16"/>
  <c r="I598" i="16"/>
  <c r="G598" i="16"/>
  <c r="F598" i="16"/>
  <c r="E598" i="16"/>
  <c r="D598" i="16"/>
  <c r="O597" i="16"/>
  <c r="M597" i="16"/>
  <c r="K597" i="16"/>
  <c r="I597" i="16"/>
  <c r="G597" i="16"/>
  <c r="F597" i="16"/>
  <c r="E597" i="16"/>
  <c r="D597" i="16"/>
  <c r="O596" i="16"/>
  <c r="M596" i="16"/>
  <c r="K596" i="16"/>
  <c r="I596" i="16"/>
  <c r="G596" i="16"/>
  <c r="F596" i="16"/>
  <c r="E596" i="16"/>
  <c r="D596" i="16"/>
  <c r="O595" i="16"/>
  <c r="M595" i="16"/>
  <c r="K595" i="16"/>
  <c r="I595" i="16"/>
  <c r="G595" i="16"/>
  <c r="F595" i="16"/>
  <c r="E595" i="16"/>
  <c r="D595" i="16"/>
  <c r="O594" i="16"/>
  <c r="M594" i="16"/>
  <c r="K594" i="16"/>
  <c r="I594" i="16"/>
  <c r="G594" i="16"/>
  <c r="F594" i="16"/>
  <c r="E594" i="16"/>
  <c r="D594" i="16"/>
  <c r="O593" i="16"/>
  <c r="M593" i="16"/>
  <c r="K593" i="16"/>
  <c r="I593" i="16"/>
  <c r="G593" i="16"/>
  <c r="F593" i="16"/>
  <c r="E593" i="16"/>
  <c r="D593" i="16"/>
  <c r="O592" i="16"/>
  <c r="M592" i="16"/>
  <c r="K592" i="16"/>
  <c r="I592" i="16"/>
  <c r="G592" i="16"/>
  <c r="F592" i="16"/>
  <c r="E592" i="16"/>
  <c r="D592" i="16"/>
  <c r="O591" i="16"/>
  <c r="M591" i="16"/>
  <c r="K591" i="16"/>
  <c r="I591" i="16"/>
  <c r="G591" i="16"/>
  <c r="F591" i="16"/>
  <c r="E591" i="16"/>
  <c r="D591" i="16"/>
  <c r="O590" i="16"/>
  <c r="M590" i="16"/>
  <c r="K590" i="16"/>
  <c r="I590" i="16"/>
  <c r="G590" i="16"/>
  <c r="F590" i="16"/>
  <c r="E590" i="16"/>
  <c r="D590" i="16"/>
  <c r="O589" i="16"/>
  <c r="M589" i="16"/>
  <c r="K589" i="16"/>
  <c r="I589" i="16"/>
  <c r="G589" i="16"/>
  <c r="F589" i="16"/>
  <c r="E589" i="16"/>
  <c r="D589" i="16"/>
  <c r="O588" i="16"/>
  <c r="M588" i="16"/>
  <c r="K588" i="16"/>
  <c r="I588" i="16"/>
  <c r="G588" i="16"/>
  <c r="F588" i="16"/>
  <c r="E588" i="16"/>
  <c r="D588" i="16"/>
  <c r="O587" i="16"/>
  <c r="M587" i="16"/>
  <c r="K587" i="16"/>
  <c r="I587" i="16"/>
  <c r="G587" i="16"/>
  <c r="F587" i="16"/>
  <c r="E587" i="16"/>
  <c r="D587" i="16"/>
  <c r="O586" i="16"/>
  <c r="M586" i="16"/>
  <c r="K586" i="16"/>
  <c r="I586" i="16"/>
  <c r="G586" i="16"/>
  <c r="F586" i="16"/>
  <c r="E586" i="16"/>
  <c r="D586" i="16"/>
  <c r="O585" i="16"/>
  <c r="M585" i="16"/>
  <c r="K585" i="16"/>
  <c r="I585" i="16"/>
  <c r="G585" i="16"/>
  <c r="F585" i="16"/>
  <c r="E585" i="16"/>
  <c r="D585" i="16"/>
  <c r="O584" i="16"/>
  <c r="M584" i="16"/>
  <c r="K584" i="16"/>
  <c r="I584" i="16"/>
  <c r="G584" i="16"/>
  <c r="F584" i="16"/>
  <c r="E584" i="16"/>
  <c r="D584" i="16"/>
  <c r="O583" i="16"/>
  <c r="M583" i="16"/>
  <c r="K583" i="16"/>
  <c r="I583" i="16"/>
  <c r="G583" i="16"/>
  <c r="F583" i="16"/>
  <c r="E583" i="16"/>
  <c r="D583" i="16"/>
  <c r="O582" i="16"/>
  <c r="M582" i="16"/>
  <c r="K582" i="16"/>
  <c r="I582" i="16"/>
  <c r="G582" i="16"/>
  <c r="F582" i="16"/>
  <c r="E582" i="16"/>
  <c r="D582" i="16"/>
  <c r="O581" i="16"/>
  <c r="M581" i="16"/>
  <c r="K581" i="16"/>
  <c r="I581" i="16"/>
  <c r="G581" i="16"/>
  <c r="F581" i="16"/>
  <c r="E581" i="16"/>
  <c r="D581" i="16"/>
  <c r="O580" i="16"/>
  <c r="M580" i="16"/>
  <c r="K580" i="16"/>
  <c r="I580" i="16"/>
  <c r="G580" i="16"/>
  <c r="F580" i="16"/>
  <c r="E580" i="16"/>
  <c r="D580" i="16"/>
  <c r="O579" i="16"/>
  <c r="M579" i="16"/>
  <c r="K579" i="16"/>
  <c r="I579" i="16"/>
  <c r="G579" i="16"/>
  <c r="F579" i="16"/>
  <c r="E579" i="16"/>
  <c r="D579" i="16"/>
  <c r="O578" i="16"/>
  <c r="M578" i="16"/>
  <c r="K578" i="16"/>
  <c r="I578" i="16"/>
  <c r="G578" i="16"/>
  <c r="F578" i="16"/>
  <c r="E578" i="16"/>
  <c r="D578" i="16"/>
  <c r="O577" i="16"/>
  <c r="M577" i="16"/>
  <c r="K577" i="16"/>
  <c r="I577" i="16"/>
  <c r="G577" i="16"/>
  <c r="F577" i="16"/>
  <c r="E577" i="16"/>
  <c r="D577" i="16"/>
  <c r="O576" i="16"/>
  <c r="M576" i="16"/>
  <c r="K576" i="16"/>
  <c r="I576" i="16"/>
  <c r="G576" i="16"/>
  <c r="F576" i="16"/>
  <c r="E576" i="16"/>
  <c r="D576" i="16"/>
  <c r="O575" i="16"/>
  <c r="M575" i="16"/>
  <c r="K575" i="16"/>
  <c r="I575" i="16"/>
  <c r="G575" i="16"/>
  <c r="F575" i="16"/>
  <c r="E575" i="16"/>
  <c r="D575" i="16"/>
  <c r="O574" i="16"/>
  <c r="M574" i="16"/>
  <c r="K574" i="16"/>
  <c r="I574" i="16"/>
  <c r="G574" i="16"/>
  <c r="F574" i="16"/>
  <c r="E574" i="16"/>
  <c r="D574" i="16"/>
  <c r="O573" i="16"/>
  <c r="M573" i="16"/>
  <c r="K573" i="16"/>
  <c r="I573" i="16"/>
  <c r="G573" i="16"/>
  <c r="F573" i="16"/>
  <c r="E573" i="16"/>
  <c r="D573" i="16"/>
  <c r="O572" i="16"/>
  <c r="M572" i="16"/>
  <c r="K572" i="16"/>
  <c r="I572" i="16"/>
  <c r="G572" i="16"/>
  <c r="F572" i="16"/>
  <c r="E572" i="16"/>
  <c r="D572" i="16"/>
  <c r="O571" i="16"/>
  <c r="M571" i="16"/>
  <c r="K571" i="16"/>
  <c r="I571" i="16"/>
  <c r="G571" i="16"/>
  <c r="F571" i="16"/>
  <c r="E571" i="16"/>
  <c r="D571" i="16"/>
  <c r="O570" i="16"/>
  <c r="M570" i="16"/>
  <c r="K570" i="16"/>
  <c r="I570" i="16"/>
  <c r="G570" i="16"/>
  <c r="F570" i="16"/>
  <c r="E570" i="16"/>
  <c r="D570" i="16"/>
  <c r="O569" i="16"/>
  <c r="M569" i="16"/>
  <c r="K569" i="16"/>
  <c r="I569" i="16"/>
  <c r="G569" i="16"/>
  <c r="F569" i="16"/>
  <c r="E569" i="16"/>
  <c r="D569" i="16"/>
  <c r="O568" i="16"/>
  <c r="M568" i="16"/>
  <c r="K568" i="16"/>
  <c r="I568" i="16"/>
  <c r="G568" i="16"/>
  <c r="F568" i="16"/>
  <c r="E568" i="16"/>
  <c r="D568" i="16"/>
  <c r="O567" i="16"/>
  <c r="M567" i="16"/>
  <c r="K567" i="16"/>
  <c r="I567" i="16"/>
  <c r="G567" i="16"/>
  <c r="F567" i="16"/>
  <c r="E567" i="16"/>
  <c r="D567" i="16"/>
  <c r="O566" i="16"/>
  <c r="M566" i="16"/>
  <c r="K566" i="16"/>
  <c r="I566" i="16"/>
  <c r="G566" i="16"/>
  <c r="F566" i="16"/>
  <c r="E566" i="16"/>
  <c r="D566" i="16"/>
  <c r="O565" i="16"/>
  <c r="M565" i="16"/>
  <c r="K565" i="16"/>
  <c r="I565" i="16"/>
  <c r="G565" i="16"/>
  <c r="F565" i="16"/>
  <c r="E565" i="16"/>
  <c r="D565" i="16"/>
  <c r="O564" i="16"/>
  <c r="M564" i="16"/>
  <c r="K564" i="16"/>
  <c r="I564" i="16"/>
  <c r="G564" i="16"/>
  <c r="F564" i="16"/>
  <c r="E564" i="16"/>
  <c r="D564" i="16"/>
  <c r="O563" i="16"/>
  <c r="M563" i="16"/>
  <c r="K563" i="16"/>
  <c r="I563" i="16"/>
  <c r="G563" i="16"/>
  <c r="F563" i="16"/>
  <c r="E563" i="16"/>
  <c r="D563" i="16"/>
  <c r="O562" i="16"/>
  <c r="M562" i="16"/>
  <c r="K562" i="16"/>
  <c r="I562" i="16"/>
  <c r="G562" i="16"/>
  <c r="F562" i="16"/>
  <c r="E562" i="16"/>
  <c r="D562" i="16"/>
  <c r="O561" i="16"/>
  <c r="M561" i="16"/>
  <c r="K561" i="16"/>
  <c r="I561" i="16"/>
  <c r="G561" i="16"/>
  <c r="F561" i="16"/>
  <c r="E561" i="16"/>
  <c r="D561" i="16"/>
  <c r="O560" i="16"/>
  <c r="M560" i="16"/>
  <c r="K560" i="16"/>
  <c r="I560" i="16"/>
  <c r="G560" i="16"/>
  <c r="F560" i="16"/>
  <c r="E560" i="16"/>
  <c r="D560" i="16"/>
  <c r="O559" i="16"/>
  <c r="M559" i="16"/>
  <c r="K559" i="16"/>
  <c r="I559" i="16"/>
  <c r="G559" i="16"/>
  <c r="F559" i="16"/>
  <c r="E559" i="16"/>
  <c r="D559" i="16"/>
  <c r="O558" i="16"/>
  <c r="M558" i="16"/>
  <c r="K558" i="16"/>
  <c r="I558" i="16"/>
  <c r="G558" i="16"/>
  <c r="F558" i="16"/>
  <c r="E558" i="16"/>
  <c r="D558" i="16"/>
  <c r="O557" i="16"/>
  <c r="M557" i="16"/>
  <c r="K557" i="16"/>
  <c r="I557" i="16"/>
  <c r="G557" i="16"/>
  <c r="F557" i="16"/>
  <c r="E557" i="16"/>
  <c r="D557" i="16"/>
  <c r="O556" i="16"/>
  <c r="M556" i="16"/>
  <c r="K556" i="16"/>
  <c r="I556" i="16"/>
  <c r="G556" i="16"/>
  <c r="F556" i="16"/>
  <c r="E556" i="16"/>
  <c r="D556" i="16"/>
  <c r="O555" i="16"/>
  <c r="M555" i="16"/>
  <c r="K555" i="16"/>
  <c r="I555" i="16"/>
  <c r="G555" i="16"/>
  <c r="F555" i="16"/>
  <c r="E555" i="16"/>
  <c r="D555" i="16"/>
  <c r="O554" i="16"/>
  <c r="M554" i="16"/>
  <c r="K554" i="16"/>
  <c r="I554" i="16"/>
  <c r="G554" i="16"/>
  <c r="F554" i="16"/>
  <c r="E554" i="16"/>
  <c r="D554" i="16"/>
  <c r="O553" i="16"/>
  <c r="M553" i="16"/>
  <c r="K553" i="16"/>
  <c r="I553" i="16"/>
  <c r="G553" i="16"/>
  <c r="F553" i="16"/>
  <c r="E553" i="16"/>
  <c r="D553" i="16"/>
  <c r="O552" i="16"/>
  <c r="M552" i="16"/>
  <c r="K552" i="16"/>
  <c r="I552" i="16"/>
  <c r="G552" i="16"/>
  <c r="F552" i="16"/>
  <c r="E552" i="16"/>
  <c r="D552" i="16"/>
  <c r="O551" i="16"/>
  <c r="M551" i="16"/>
  <c r="K551" i="16"/>
  <c r="I551" i="16"/>
  <c r="G551" i="16"/>
  <c r="F551" i="16"/>
  <c r="E551" i="16"/>
  <c r="D551" i="16"/>
  <c r="O550" i="16"/>
  <c r="M550" i="16"/>
  <c r="K550" i="16"/>
  <c r="I550" i="16"/>
  <c r="G550" i="16"/>
  <c r="F550" i="16"/>
  <c r="E550" i="16"/>
  <c r="D550" i="16"/>
  <c r="O549" i="16"/>
  <c r="M549" i="16"/>
  <c r="K549" i="16"/>
  <c r="I549" i="16"/>
  <c r="G549" i="16"/>
  <c r="F549" i="16"/>
  <c r="E549" i="16"/>
  <c r="D549" i="16"/>
  <c r="O548" i="16"/>
  <c r="M548" i="16"/>
  <c r="K548" i="16"/>
  <c r="I548" i="16"/>
  <c r="G548" i="16"/>
  <c r="F548" i="16"/>
  <c r="E548" i="16"/>
  <c r="D548" i="16"/>
  <c r="O547" i="16"/>
  <c r="M547" i="16"/>
  <c r="K547" i="16"/>
  <c r="I547" i="16"/>
  <c r="G547" i="16"/>
  <c r="F547" i="16"/>
  <c r="E547" i="16"/>
  <c r="D547" i="16"/>
  <c r="O546" i="16"/>
  <c r="M546" i="16"/>
  <c r="K546" i="16"/>
  <c r="I546" i="16"/>
  <c r="G546" i="16"/>
  <c r="F546" i="16"/>
  <c r="E546" i="16"/>
  <c r="D546" i="16"/>
  <c r="O545" i="16"/>
  <c r="M545" i="16"/>
  <c r="K545" i="16"/>
  <c r="I545" i="16"/>
  <c r="G545" i="16"/>
  <c r="F545" i="16"/>
  <c r="E545" i="16"/>
  <c r="D545" i="16"/>
  <c r="O544" i="16"/>
  <c r="M544" i="16"/>
  <c r="K544" i="16"/>
  <c r="I544" i="16"/>
  <c r="G544" i="16"/>
  <c r="F544" i="16"/>
  <c r="E544" i="16"/>
  <c r="D544" i="16"/>
  <c r="O543" i="16"/>
  <c r="M543" i="16"/>
  <c r="K543" i="16"/>
  <c r="I543" i="16"/>
  <c r="G543" i="16"/>
  <c r="F543" i="16"/>
  <c r="E543" i="16"/>
  <c r="D543" i="16"/>
  <c r="O542" i="16"/>
  <c r="M542" i="16"/>
  <c r="K542" i="16"/>
  <c r="I542" i="16"/>
  <c r="G542" i="16"/>
  <c r="F542" i="16"/>
  <c r="E542" i="16"/>
  <c r="D542" i="16"/>
  <c r="O541" i="16"/>
  <c r="M541" i="16"/>
  <c r="K541" i="16"/>
  <c r="I541" i="16"/>
  <c r="G541" i="16"/>
  <c r="F541" i="16"/>
  <c r="E541" i="16"/>
  <c r="D541" i="16"/>
  <c r="O540" i="16"/>
  <c r="M540" i="16"/>
  <c r="K540" i="16"/>
  <c r="I540" i="16"/>
  <c r="G540" i="16"/>
  <c r="F540" i="16"/>
  <c r="E540" i="16"/>
  <c r="D540" i="16"/>
  <c r="O539" i="16"/>
  <c r="M539" i="16"/>
  <c r="K539" i="16"/>
  <c r="I539" i="16"/>
  <c r="G539" i="16"/>
  <c r="F539" i="16"/>
  <c r="E539" i="16"/>
  <c r="D539" i="16"/>
  <c r="O538" i="16"/>
  <c r="M538" i="16"/>
  <c r="K538" i="16"/>
  <c r="I538" i="16"/>
  <c r="G538" i="16"/>
  <c r="F538" i="16"/>
  <c r="E538" i="16"/>
  <c r="D538" i="16"/>
  <c r="O537" i="16"/>
  <c r="M537" i="16"/>
  <c r="K537" i="16"/>
  <c r="I537" i="16"/>
  <c r="G537" i="16"/>
  <c r="F537" i="16"/>
  <c r="E537" i="16"/>
  <c r="D537" i="16"/>
  <c r="O536" i="16"/>
  <c r="M536" i="16"/>
  <c r="K536" i="16"/>
  <c r="I536" i="16"/>
  <c r="G536" i="16"/>
  <c r="F536" i="16"/>
  <c r="E536" i="16"/>
  <c r="D536" i="16"/>
  <c r="O535" i="16"/>
  <c r="M535" i="16"/>
  <c r="K535" i="16"/>
  <c r="I535" i="16"/>
  <c r="G535" i="16"/>
  <c r="F535" i="16"/>
  <c r="E535" i="16"/>
  <c r="D535" i="16"/>
  <c r="O534" i="16"/>
  <c r="M534" i="16"/>
  <c r="K534" i="16"/>
  <c r="I534" i="16"/>
  <c r="G534" i="16"/>
  <c r="F534" i="16"/>
  <c r="E534" i="16"/>
  <c r="D534" i="16"/>
  <c r="O533" i="16"/>
  <c r="M533" i="16"/>
  <c r="K533" i="16"/>
  <c r="I533" i="16"/>
  <c r="G533" i="16"/>
  <c r="F533" i="16"/>
  <c r="E533" i="16"/>
  <c r="D533" i="16"/>
  <c r="O532" i="16"/>
  <c r="M532" i="16"/>
  <c r="K532" i="16"/>
  <c r="I532" i="16"/>
  <c r="G532" i="16"/>
  <c r="F532" i="16"/>
  <c r="E532" i="16"/>
  <c r="D532" i="16"/>
  <c r="O531" i="16"/>
  <c r="M531" i="16"/>
  <c r="K531" i="16"/>
  <c r="I531" i="16"/>
  <c r="G531" i="16"/>
  <c r="F531" i="16"/>
  <c r="E531" i="16"/>
  <c r="D531" i="16"/>
  <c r="O530" i="16"/>
  <c r="M530" i="16"/>
  <c r="K530" i="16"/>
  <c r="I530" i="16"/>
  <c r="G530" i="16"/>
  <c r="F530" i="16"/>
  <c r="E530" i="16"/>
  <c r="D530" i="16"/>
  <c r="O529" i="16"/>
  <c r="M529" i="16"/>
  <c r="K529" i="16"/>
  <c r="I529" i="16"/>
  <c r="G529" i="16"/>
  <c r="F529" i="16"/>
  <c r="E529" i="16"/>
  <c r="D529" i="16"/>
  <c r="O528" i="16"/>
  <c r="M528" i="16"/>
  <c r="K528" i="16"/>
  <c r="I528" i="16"/>
  <c r="G528" i="16"/>
  <c r="F528" i="16"/>
  <c r="E528" i="16"/>
  <c r="D528" i="16"/>
  <c r="O527" i="16"/>
  <c r="M527" i="16"/>
  <c r="K527" i="16"/>
  <c r="I527" i="16"/>
  <c r="G527" i="16"/>
  <c r="F527" i="16"/>
  <c r="E527" i="16"/>
  <c r="D527" i="16"/>
  <c r="O526" i="16"/>
  <c r="M526" i="16"/>
  <c r="K526" i="16"/>
  <c r="I526" i="16"/>
  <c r="G526" i="16"/>
  <c r="F526" i="16"/>
  <c r="E526" i="16"/>
  <c r="D526" i="16"/>
  <c r="O525" i="16"/>
  <c r="M525" i="16"/>
  <c r="K525" i="16"/>
  <c r="I525" i="16"/>
  <c r="G525" i="16"/>
  <c r="F525" i="16"/>
  <c r="E525" i="16"/>
  <c r="D525" i="16"/>
  <c r="O524" i="16"/>
  <c r="M524" i="16"/>
  <c r="K524" i="16"/>
  <c r="I524" i="16"/>
  <c r="G524" i="16"/>
  <c r="F524" i="16"/>
  <c r="E524" i="16"/>
  <c r="D524" i="16"/>
  <c r="O523" i="16"/>
  <c r="M523" i="16"/>
  <c r="K523" i="16"/>
  <c r="I523" i="16"/>
  <c r="G523" i="16"/>
  <c r="F523" i="16"/>
  <c r="E523" i="16"/>
  <c r="D523" i="16"/>
  <c r="O522" i="16"/>
  <c r="M522" i="16"/>
  <c r="K522" i="16"/>
  <c r="I522" i="16"/>
  <c r="G522" i="16"/>
  <c r="F522" i="16"/>
  <c r="E522" i="16"/>
  <c r="D522" i="16"/>
  <c r="O521" i="16"/>
  <c r="M521" i="16"/>
  <c r="K521" i="16"/>
  <c r="I521" i="16"/>
  <c r="G521" i="16"/>
  <c r="F521" i="16"/>
  <c r="E521" i="16"/>
  <c r="D521" i="16"/>
  <c r="O520" i="16"/>
  <c r="M520" i="16"/>
  <c r="K520" i="16"/>
  <c r="I520" i="16"/>
  <c r="G520" i="16"/>
  <c r="F520" i="16"/>
  <c r="E520" i="16"/>
  <c r="D520" i="16"/>
  <c r="O519" i="16"/>
  <c r="M519" i="16"/>
  <c r="K519" i="16"/>
  <c r="I519" i="16"/>
  <c r="G519" i="16"/>
  <c r="F519" i="16"/>
  <c r="E519" i="16"/>
  <c r="D519" i="16"/>
  <c r="O518" i="16"/>
  <c r="M518" i="16"/>
  <c r="K518" i="16"/>
  <c r="I518" i="16"/>
  <c r="G518" i="16"/>
  <c r="F518" i="16"/>
  <c r="E518" i="16"/>
  <c r="D518" i="16"/>
  <c r="O517" i="16"/>
  <c r="M517" i="16"/>
  <c r="K517" i="16"/>
  <c r="I517" i="16"/>
  <c r="G517" i="16"/>
  <c r="F517" i="16"/>
  <c r="E517" i="16"/>
  <c r="D517" i="16"/>
  <c r="O516" i="16"/>
  <c r="M516" i="16"/>
  <c r="K516" i="16"/>
  <c r="I516" i="16"/>
  <c r="G516" i="16"/>
  <c r="F516" i="16"/>
  <c r="E516" i="16"/>
  <c r="D516" i="16"/>
  <c r="O515" i="16"/>
  <c r="M515" i="16"/>
  <c r="K515" i="16"/>
  <c r="I515" i="16"/>
  <c r="G515" i="16"/>
  <c r="F515" i="16"/>
  <c r="E515" i="16"/>
  <c r="D515" i="16"/>
  <c r="O514" i="16"/>
  <c r="M514" i="16"/>
  <c r="K514" i="16"/>
  <c r="I514" i="16"/>
  <c r="G514" i="16"/>
  <c r="F514" i="16"/>
  <c r="E514" i="16"/>
  <c r="D514" i="16"/>
  <c r="O513" i="16"/>
  <c r="M513" i="16"/>
  <c r="K513" i="16"/>
  <c r="I513" i="16"/>
  <c r="G513" i="16"/>
  <c r="F513" i="16"/>
  <c r="E513" i="16"/>
  <c r="D513" i="16"/>
  <c r="O512" i="16"/>
  <c r="M512" i="16"/>
  <c r="K512" i="16"/>
  <c r="I512" i="16"/>
  <c r="G512" i="16"/>
  <c r="F512" i="16"/>
  <c r="E512" i="16"/>
  <c r="D512" i="16"/>
  <c r="O511" i="16"/>
  <c r="M511" i="16"/>
  <c r="K511" i="16"/>
  <c r="I511" i="16"/>
  <c r="G511" i="16"/>
  <c r="F511" i="16"/>
  <c r="E511" i="16"/>
  <c r="D511" i="16"/>
  <c r="O510" i="16"/>
  <c r="M510" i="16"/>
  <c r="K510" i="16"/>
  <c r="I510" i="16"/>
  <c r="G510" i="16"/>
  <c r="F510" i="16"/>
  <c r="E510" i="16"/>
  <c r="D510" i="16"/>
  <c r="O509" i="16"/>
  <c r="M509" i="16"/>
  <c r="K509" i="16"/>
  <c r="I509" i="16"/>
  <c r="G509" i="16"/>
  <c r="F509" i="16"/>
  <c r="E509" i="16"/>
  <c r="D509" i="16"/>
  <c r="O508" i="16"/>
  <c r="M508" i="16"/>
  <c r="K508" i="16"/>
  <c r="I508" i="16"/>
  <c r="G508" i="16"/>
  <c r="F508" i="16"/>
  <c r="E508" i="16"/>
  <c r="D508" i="16"/>
  <c r="O507" i="16"/>
  <c r="M507" i="16"/>
  <c r="K507" i="16"/>
  <c r="I507" i="16"/>
  <c r="G507" i="16"/>
  <c r="F507" i="16"/>
  <c r="E507" i="16"/>
  <c r="D507" i="16"/>
  <c r="O506" i="16"/>
  <c r="M506" i="16"/>
  <c r="K506" i="16"/>
  <c r="I506" i="16"/>
  <c r="G506" i="16"/>
  <c r="F506" i="16"/>
  <c r="E506" i="16"/>
  <c r="D506" i="16"/>
  <c r="O505" i="16"/>
  <c r="M505" i="16"/>
  <c r="K505" i="16"/>
  <c r="I505" i="16"/>
  <c r="G505" i="16"/>
  <c r="F505" i="16"/>
  <c r="E505" i="16"/>
  <c r="D505" i="16"/>
  <c r="O504" i="16"/>
  <c r="M504" i="16"/>
  <c r="K504" i="16"/>
  <c r="I504" i="16"/>
  <c r="G504" i="16"/>
  <c r="F504" i="16"/>
  <c r="E504" i="16"/>
  <c r="D504" i="16"/>
  <c r="O503" i="16"/>
  <c r="M503" i="16"/>
  <c r="K503" i="16"/>
  <c r="I503" i="16"/>
  <c r="G503" i="16"/>
  <c r="F503" i="16"/>
  <c r="E503" i="16"/>
  <c r="D503" i="16"/>
  <c r="O502" i="16"/>
  <c r="M502" i="16"/>
  <c r="K502" i="16"/>
  <c r="I502" i="16"/>
  <c r="G502" i="16"/>
  <c r="F502" i="16"/>
  <c r="E502" i="16"/>
  <c r="D502" i="16"/>
  <c r="O501" i="16"/>
  <c r="M501" i="16"/>
  <c r="K501" i="16"/>
  <c r="I501" i="16"/>
  <c r="G501" i="16"/>
  <c r="F501" i="16"/>
  <c r="E501" i="16"/>
  <c r="D501" i="16"/>
  <c r="O500" i="16"/>
  <c r="M500" i="16"/>
  <c r="K500" i="16"/>
  <c r="I500" i="16"/>
  <c r="G500" i="16"/>
  <c r="F500" i="16"/>
  <c r="E500" i="16"/>
  <c r="D500" i="16"/>
  <c r="O499" i="16"/>
  <c r="M499" i="16"/>
  <c r="K499" i="16"/>
  <c r="I499" i="16"/>
  <c r="G499" i="16"/>
  <c r="F499" i="16"/>
  <c r="E499" i="16"/>
  <c r="D499" i="16"/>
  <c r="O498" i="16"/>
  <c r="M498" i="16"/>
  <c r="K498" i="16"/>
  <c r="I498" i="16"/>
  <c r="G498" i="16"/>
  <c r="F498" i="16"/>
  <c r="E498" i="16"/>
  <c r="D498" i="16"/>
  <c r="O497" i="16"/>
  <c r="M497" i="16"/>
  <c r="K497" i="16"/>
  <c r="I497" i="16"/>
  <c r="G497" i="16"/>
  <c r="F497" i="16"/>
  <c r="E497" i="16"/>
  <c r="D497" i="16"/>
  <c r="O496" i="16"/>
  <c r="M496" i="16"/>
  <c r="K496" i="16"/>
  <c r="I496" i="16"/>
  <c r="G496" i="16"/>
  <c r="F496" i="16"/>
  <c r="E496" i="16"/>
  <c r="D496" i="16"/>
  <c r="O495" i="16"/>
  <c r="M495" i="16"/>
  <c r="K495" i="16"/>
  <c r="I495" i="16"/>
  <c r="G495" i="16"/>
  <c r="F495" i="16"/>
  <c r="E495" i="16"/>
  <c r="D495" i="16"/>
  <c r="O494" i="16"/>
  <c r="M494" i="16"/>
  <c r="K494" i="16"/>
  <c r="I494" i="16"/>
  <c r="G494" i="16"/>
  <c r="F494" i="16"/>
  <c r="E494" i="16"/>
  <c r="D494" i="16"/>
  <c r="O493" i="16"/>
  <c r="M493" i="16"/>
  <c r="K493" i="16"/>
  <c r="I493" i="16"/>
  <c r="G493" i="16"/>
  <c r="F493" i="16"/>
  <c r="E493" i="16"/>
  <c r="D493" i="16"/>
  <c r="O492" i="16"/>
  <c r="M492" i="16"/>
  <c r="K492" i="16"/>
  <c r="I492" i="16"/>
  <c r="G492" i="16"/>
  <c r="F492" i="16"/>
  <c r="E492" i="16"/>
  <c r="D492" i="16"/>
  <c r="O491" i="16"/>
  <c r="M491" i="16"/>
  <c r="K491" i="16"/>
  <c r="I491" i="16"/>
  <c r="G491" i="16"/>
  <c r="F491" i="16"/>
  <c r="E491" i="16"/>
  <c r="D491" i="16"/>
  <c r="O490" i="16"/>
  <c r="M490" i="16"/>
  <c r="K490" i="16"/>
  <c r="I490" i="16"/>
  <c r="G490" i="16"/>
  <c r="F490" i="16"/>
  <c r="E490" i="16"/>
  <c r="D490" i="16"/>
  <c r="O489" i="16"/>
  <c r="M489" i="16"/>
  <c r="K489" i="16"/>
  <c r="I489" i="16"/>
  <c r="G489" i="16"/>
  <c r="F489" i="16"/>
  <c r="E489" i="16"/>
  <c r="D489" i="16"/>
  <c r="O488" i="16"/>
  <c r="M488" i="16"/>
  <c r="K488" i="16"/>
  <c r="I488" i="16"/>
  <c r="G488" i="16"/>
  <c r="F488" i="16"/>
  <c r="E488" i="16"/>
  <c r="D488" i="16"/>
  <c r="O487" i="16"/>
  <c r="M487" i="16"/>
  <c r="K487" i="16"/>
  <c r="I487" i="16"/>
  <c r="G487" i="16"/>
  <c r="F487" i="16"/>
  <c r="E487" i="16"/>
  <c r="D487" i="16"/>
  <c r="O486" i="16"/>
  <c r="M486" i="16"/>
  <c r="K486" i="16"/>
  <c r="I486" i="16"/>
  <c r="G486" i="16"/>
  <c r="F486" i="16"/>
  <c r="E486" i="16"/>
  <c r="D486" i="16"/>
  <c r="O485" i="16"/>
  <c r="M485" i="16"/>
  <c r="K485" i="16"/>
  <c r="I485" i="16"/>
  <c r="G485" i="16"/>
  <c r="F485" i="16"/>
  <c r="E485" i="16"/>
  <c r="D485" i="16"/>
  <c r="O484" i="16"/>
  <c r="M484" i="16"/>
  <c r="K484" i="16"/>
  <c r="I484" i="16"/>
  <c r="G484" i="16"/>
  <c r="F484" i="16"/>
  <c r="E484" i="16"/>
  <c r="D484" i="16"/>
  <c r="O483" i="16"/>
  <c r="M483" i="16"/>
  <c r="K483" i="16"/>
  <c r="I483" i="16"/>
  <c r="G483" i="16"/>
  <c r="F483" i="16"/>
  <c r="E483" i="16"/>
  <c r="D483" i="16"/>
  <c r="O482" i="16"/>
  <c r="M482" i="16"/>
  <c r="K482" i="16"/>
  <c r="I482" i="16"/>
  <c r="G482" i="16"/>
  <c r="F482" i="16"/>
  <c r="E482" i="16"/>
  <c r="D482" i="16"/>
  <c r="O481" i="16"/>
  <c r="M481" i="16"/>
  <c r="K481" i="16"/>
  <c r="I481" i="16"/>
  <c r="G481" i="16"/>
  <c r="F481" i="16"/>
  <c r="E481" i="16"/>
  <c r="D481" i="16"/>
  <c r="O480" i="16"/>
  <c r="M480" i="16"/>
  <c r="K480" i="16"/>
  <c r="I480" i="16"/>
  <c r="G480" i="16"/>
  <c r="F480" i="16"/>
  <c r="E480" i="16"/>
  <c r="D480" i="16"/>
  <c r="O479" i="16"/>
  <c r="M479" i="16"/>
  <c r="K479" i="16"/>
  <c r="I479" i="16"/>
  <c r="G479" i="16"/>
  <c r="F479" i="16"/>
  <c r="E479" i="16"/>
  <c r="D479" i="16"/>
  <c r="O478" i="16"/>
  <c r="M478" i="16"/>
  <c r="K478" i="16"/>
  <c r="I478" i="16"/>
  <c r="G478" i="16"/>
  <c r="F478" i="16"/>
  <c r="E478" i="16"/>
  <c r="D478" i="16"/>
  <c r="O477" i="16"/>
  <c r="M477" i="16"/>
  <c r="K477" i="16"/>
  <c r="I477" i="16"/>
  <c r="G477" i="16"/>
  <c r="F477" i="16"/>
  <c r="E477" i="16"/>
  <c r="D477" i="16"/>
  <c r="O476" i="16"/>
  <c r="M476" i="16"/>
  <c r="K476" i="16"/>
  <c r="I476" i="16"/>
  <c r="G476" i="16"/>
  <c r="F476" i="16"/>
  <c r="E476" i="16"/>
  <c r="D476" i="16"/>
  <c r="O475" i="16"/>
  <c r="M475" i="16"/>
  <c r="K475" i="16"/>
  <c r="I475" i="16"/>
  <c r="G475" i="16"/>
  <c r="F475" i="16"/>
  <c r="E475" i="16"/>
  <c r="D475" i="16"/>
  <c r="O474" i="16"/>
  <c r="M474" i="16"/>
  <c r="K474" i="16"/>
  <c r="I474" i="16"/>
  <c r="G474" i="16"/>
  <c r="F474" i="16"/>
  <c r="E474" i="16"/>
  <c r="D474" i="16"/>
  <c r="O473" i="16"/>
  <c r="M473" i="16"/>
  <c r="K473" i="16"/>
  <c r="I473" i="16"/>
  <c r="G473" i="16"/>
  <c r="F473" i="16"/>
  <c r="E473" i="16"/>
  <c r="D473" i="16"/>
  <c r="O472" i="16"/>
  <c r="M472" i="16"/>
  <c r="K472" i="16"/>
  <c r="I472" i="16"/>
  <c r="G472" i="16"/>
  <c r="F472" i="16"/>
  <c r="E472" i="16"/>
  <c r="D472" i="16"/>
  <c r="O471" i="16"/>
  <c r="M471" i="16"/>
  <c r="K471" i="16"/>
  <c r="I471" i="16"/>
  <c r="G471" i="16"/>
  <c r="F471" i="16"/>
  <c r="E471" i="16"/>
  <c r="D471" i="16"/>
  <c r="O470" i="16"/>
  <c r="M470" i="16"/>
  <c r="K470" i="16"/>
  <c r="I470" i="16"/>
  <c r="G470" i="16"/>
  <c r="F470" i="16"/>
  <c r="E470" i="16"/>
  <c r="D470" i="16"/>
  <c r="O469" i="16"/>
  <c r="M469" i="16"/>
  <c r="K469" i="16"/>
  <c r="I469" i="16"/>
  <c r="G469" i="16"/>
  <c r="F469" i="16"/>
  <c r="E469" i="16"/>
  <c r="D469" i="16"/>
  <c r="O468" i="16"/>
  <c r="M468" i="16"/>
  <c r="K468" i="16"/>
  <c r="I468" i="16"/>
  <c r="G468" i="16"/>
  <c r="F468" i="16"/>
  <c r="E468" i="16"/>
  <c r="D468" i="16"/>
  <c r="O467" i="16"/>
  <c r="M467" i="16"/>
  <c r="K467" i="16"/>
  <c r="I467" i="16"/>
  <c r="G467" i="16"/>
  <c r="F467" i="16"/>
  <c r="E467" i="16"/>
  <c r="D467" i="16"/>
  <c r="O466" i="16"/>
  <c r="M466" i="16"/>
  <c r="K466" i="16"/>
  <c r="I466" i="16"/>
  <c r="G466" i="16"/>
  <c r="F466" i="16"/>
  <c r="E466" i="16"/>
  <c r="D466" i="16"/>
  <c r="O465" i="16"/>
  <c r="M465" i="16"/>
  <c r="K465" i="16"/>
  <c r="I465" i="16"/>
  <c r="G465" i="16"/>
  <c r="F465" i="16"/>
  <c r="E465" i="16"/>
  <c r="D465" i="16"/>
  <c r="O464" i="16"/>
  <c r="M464" i="16"/>
  <c r="K464" i="16"/>
  <c r="I464" i="16"/>
  <c r="G464" i="16"/>
  <c r="F464" i="16"/>
  <c r="E464" i="16"/>
  <c r="D464" i="16"/>
  <c r="O463" i="16"/>
  <c r="M463" i="16"/>
  <c r="K463" i="16"/>
  <c r="I463" i="16"/>
  <c r="G463" i="16"/>
  <c r="F463" i="16"/>
  <c r="E463" i="16"/>
  <c r="D463" i="16"/>
  <c r="O462" i="16"/>
  <c r="M462" i="16"/>
  <c r="K462" i="16"/>
  <c r="I462" i="16"/>
  <c r="G462" i="16"/>
  <c r="F462" i="16"/>
  <c r="E462" i="16"/>
  <c r="D462" i="16"/>
  <c r="O461" i="16"/>
  <c r="M461" i="16"/>
  <c r="K461" i="16"/>
  <c r="I461" i="16"/>
  <c r="G461" i="16"/>
  <c r="F461" i="16"/>
  <c r="E461" i="16"/>
  <c r="D461" i="16"/>
  <c r="O460" i="16"/>
  <c r="M460" i="16"/>
  <c r="K460" i="16"/>
  <c r="I460" i="16"/>
  <c r="G460" i="16"/>
  <c r="F460" i="16"/>
  <c r="E460" i="16"/>
  <c r="D460" i="16"/>
  <c r="O459" i="16"/>
  <c r="M459" i="16"/>
  <c r="K459" i="16"/>
  <c r="I459" i="16"/>
  <c r="G459" i="16"/>
  <c r="F459" i="16"/>
  <c r="E459" i="16"/>
  <c r="D459" i="16"/>
  <c r="O458" i="16"/>
  <c r="M458" i="16"/>
  <c r="K458" i="16"/>
  <c r="I458" i="16"/>
  <c r="G458" i="16"/>
  <c r="F458" i="16"/>
  <c r="E458" i="16"/>
  <c r="D458" i="16"/>
  <c r="O457" i="16"/>
  <c r="M457" i="16"/>
  <c r="K457" i="16"/>
  <c r="I457" i="16"/>
  <c r="G457" i="16"/>
  <c r="F457" i="16"/>
  <c r="E457" i="16"/>
  <c r="D457" i="16"/>
  <c r="O456" i="16"/>
  <c r="M456" i="16"/>
  <c r="K456" i="16"/>
  <c r="I456" i="16"/>
  <c r="G456" i="16"/>
  <c r="F456" i="16"/>
  <c r="E456" i="16"/>
  <c r="D456" i="16"/>
  <c r="O455" i="16"/>
  <c r="M455" i="16"/>
  <c r="K455" i="16"/>
  <c r="I455" i="16"/>
  <c r="G455" i="16"/>
  <c r="F455" i="16"/>
  <c r="E455" i="16"/>
  <c r="D455" i="16"/>
  <c r="O454" i="16"/>
  <c r="M454" i="16"/>
  <c r="K454" i="16"/>
  <c r="I454" i="16"/>
  <c r="G454" i="16"/>
  <c r="F454" i="16"/>
  <c r="E454" i="16"/>
  <c r="D454" i="16"/>
  <c r="O453" i="16"/>
  <c r="M453" i="16"/>
  <c r="K453" i="16"/>
  <c r="I453" i="16"/>
  <c r="G453" i="16"/>
  <c r="F453" i="16"/>
  <c r="E453" i="16"/>
  <c r="D453" i="16"/>
  <c r="O452" i="16"/>
  <c r="M452" i="16"/>
  <c r="K452" i="16"/>
  <c r="I452" i="16"/>
  <c r="G452" i="16"/>
  <c r="F452" i="16"/>
  <c r="E452" i="16"/>
  <c r="D452" i="16"/>
  <c r="O451" i="16"/>
  <c r="M451" i="16"/>
  <c r="K451" i="16"/>
  <c r="I451" i="16"/>
  <c r="G451" i="16"/>
  <c r="F451" i="16"/>
  <c r="E451" i="16"/>
  <c r="D451" i="16"/>
  <c r="O450" i="16"/>
  <c r="M450" i="16"/>
  <c r="K450" i="16"/>
  <c r="I450" i="16"/>
  <c r="G450" i="16"/>
  <c r="F450" i="16"/>
  <c r="E450" i="16"/>
  <c r="D450" i="16"/>
  <c r="O449" i="16"/>
  <c r="M449" i="16"/>
  <c r="K449" i="16"/>
  <c r="I449" i="16"/>
  <c r="G449" i="16"/>
  <c r="F449" i="16"/>
  <c r="E449" i="16"/>
  <c r="D449" i="16"/>
  <c r="O448" i="16"/>
  <c r="M448" i="16"/>
  <c r="K448" i="16"/>
  <c r="I448" i="16"/>
  <c r="G448" i="16"/>
  <c r="F448" i="16"/>
  <c r="E448" i="16"/>
  <c r="D448" i="16"/>
  <c r="O447" i="16"/>
  <c r="M447" i="16"/>
  <c r="K447" i="16"/>
  <c r="I447" i="16"/>
  <c r="G447" i="16"/>
  <c r="F447" i="16"/>
  <c r="E447" i="16"/>
  <c r="D447" i="16"/>
  <c r="O446" i="16"/>
  <c r="M446" i="16"/>
  <c r="K446" i="16"/>
  <c r="I446" i="16"/>
  <c r="G446" i="16"/>
  <c r="F446" i="16"/>
  <c r="E446" i="16"/>
  <c r="D446" i="16"/>
  <c r="O445" i="16"/>
  <c r="M445" i="16"/>
  <c r="K445" i="16"/>
  <c r="I445" i="16"/>
  <c r="G445" i="16"/>
  <c r="F445" i="16"/>
  <c r="E445" i="16"/>
  <c r="D445" i="16"/>
  <c r="O444" i="16"/>
  <c r="M444" i="16"/>
  <c r="K444" i="16"/>
  <c r="I444" i="16"/>
  <c r="G444" i="16"/>
  <c r="F444" i="16"/>
  <c r="E444" i="16"/>
  <c r="D444" i="16"/>
  <c r="O443" i="16"/>
  <c r="M443" i="16"/>
  <c r="K443" i="16"/>
  <c r="I443" i="16"/>
  <c r="G443" i="16"/>
  <c r="F443" i="16"/>
  <c r="E443" i="16"/>
  <c r="D443" i="16"/>
  <c r="O442" i="16"/>
  <c r="M442" i="16"/>
  <c r="K442" i="16"/>
  <c r="I442" i="16"/>
  <c r="G442" i="16"/>
  <c r="F442" i="16"/>
  <c r="E442" i="16"/>
  <c r="D442" i="16"/>
  <c r="O441" i="16"/>
  <c r="M441" i="16"/>
  <c r="K441" i="16"/>
  <c r="I441" i="16"/>
  <c r="G441" i="16"/>
  <c r="F441" i="16"/>
  <c r="E441" i="16"/>
  <c r="D441" i="16"/>
  <c r="O440" i="16"/>
  <c r="M440" i="16"/>
  <c r="K440" i="16"/>
  <c r="I440" i="16"/>
  <c r="G440" i="16"/>
  <c r="F440" i="16"/>
  <c r="E440" i="16"/>
  <c r="D440" i="16"/>
  <c r="O439" i="16"/>
  <c r="M439" i="16"/>
  <c r="K439" i="16"/>
  <c r="I439" i="16"/>
  <c r="G439" i="16"/>
  <c r="F439" i="16"/>
  <c r="E439" i="16"/>
  <c r="D439" i="16"/>
  <c r="O438" i="16"/>
  <c r="M438" i="16"/>
  <c r="K438" i="16"/>
  <c r="I438" i="16"/>
  <c r="G438" i="16"/>
  <c r="F438" i="16"/>
  <c r="E438" i="16"/>
  <c r="D438" i="16"/>
  <c r="O437" i="16"/>
  <c r="M437" i="16"/>
  <c r="K437" i="16"/>
  <c r="I437" i="16"/>
  <c r="G437" i="16"/>
  <c r="F437" i="16"/>
  <c r="E437" i="16"/>
  <c r="D437" i="16"/>
  <c r="O436" i="16"/>
  <c r="M436" i="16"/>
  <c r="K436" i="16"/>
  <c r="I436" i="16"/>
  <c r="G436" i="16"/>
  <c r="F436" i="16"/>
  <c r="E436" i="16"/>
  <c r="D436" i="16"/>
  <c r="O435" i="16"/>
  <c r="M435" i="16"/>
  <c r="K435" i="16"/>
  <c r="I435" i="16"/>
  <c r="G435" i="16"/>
  <c r="F435" i="16"/>
  <c r="E435" i="16"/>
  <c r="D435" i="16"/>
  <c r="O434" i="16"/>
  <c r="M434" i="16"/>
  <c r="K434" i="16"/>
  <c r="I434" i="16"/>
  <c r="G434" i="16"/>
  <c r="F434" i="16"/>
  <c r="E434" i="16"/>
  <c r="D434" i="16"/>
  <c r="O433" i="16"/>
  <c r="M433" i="16"/>
  <c r="K433" i="16"/>
  <c r="I433" i="16"/>
  <c r="G433" i="16"/>
  <c r="F433" i="16"/>
  <c r="E433" i="16"/>
  <c r="D433" i="16"/>
  <c r="O432" i="16"/>
  <c r="M432" i="16"/>
  <c r="K432" i="16"/>
  <c r="I432" i="16"/>
  <c r="G432" i="16"/>
  <c r="F432" i="16"/>
  <c r="E432" i="16"/>
  <c r="D432" i="16"/>
  <c r="O431" i="16"/>
  <c r="M431" i="16"/>
  <c r="K431" i="16"/>
  <c r="I431" i="16"/>
  <c r="G431" i="16"/>
  <c r="F431" i="16"/>
  <c r="E431" i="16"/>
  <c r="D431" i="16"/>
  <c r="O430" i="16"/>
  <c r="M430" i="16"/>
  <c r="K430" i="16"/>
  <c r="I430" i="16"/>
  <c r="G430" i="16"/>
  <c r="F430" i="16"/>
  <c r="E430" i="16"/>
  <c r="D430" i="16"/>
  <c r="O429" i="16"/>
  <c r="M429" i="16"/>
  <c r="K429" i="16"/>
  <c r="I429" i="16"/>
  <c r="G429" i="16"/>
  <c r="F429" i="16"/>
  <c r="E429" i="16"/>
  <c r="D429" i="16"/>
  <c r="O428" i="16"/>
  <c r="M428" i="16"/>
  <c r="K428" i="16"/>
  <c r="I428" i="16"/>
  <c r="G428" i="16"/>
  <c r="F428" i="16"/>
  <c r="E428" i="16"/>
  <c r="D428" i="16"/>
  <c r="O427" i="16"/>
  <c r="M427" i="16"/>
  <c r="K427" i="16"/>
  <c r="I427" i="16"/>
  <c r="G427" i="16"/>
  <c r="F427" i="16"/>
  <c r="E427" i="16"/>
  <c r="D427" i="16"/>
  <c r="O426" i="16"/>
  <c r="M426" i="16"/>
  <c r="K426" i="16"/>
  <c r="I426" i="16"/>
  <c r="G426" i="16"/>
  <c r="F426" i="16"/>
  <c r="E426" i="16"/>
  <c r="D426" i="16"/>
  <c r="O425" i="16"/>
  <c r="M425" i="16"/>
  <c r="K425" i="16"/>
  <c r="I425" i="16"/>
  <c r="G425" i="16"/>
  <c r="F425" i="16"/>
  <c r="E425" i="16"/>
  <c r="D425" i="16"/>
  <c r="O424" i="16"/>
  <c r="M424" i="16"/>
  <c r="K424" i="16"/>
  <c r="I424" i="16"/>
  <c r="G424" i="16"/>
  <c r="F424" i="16"/>
  <c r="E424" i="16"/>
  <c r="D424" i="16"/>
  <c r="O423" i="16"/>
  <c r="M423" i="16"/>
  <c r="K423" i="16"/>
  <c r="I423" i="16"/>
  <c r="G423" i="16"/>
  <c r="F423" i="16"/>
  <c r="E423" i="16"/>
  <c r="D423" i="16"/>
  <c r="O422" i="16"/>
  <c r="M422" i="16"/>
  <c r="K422" i="16"/>
  <c r="I422" i="16"/>
  <c r="G422" i="16"/>
  <c r="F422" i="16"/>
  <c r="E422" i="16"/>
  <c r="D422" i="16"/>
  <c r="O421" i="16"/>
  <c r="M421" i="16"/>
  <c r="K421" i="16"/>
  <c r="I421" i="16"/>
  <c r="G421" i="16"/>
  <c r="F421" i="16"/>
  <c r="E421" i="16"/>
  <c r="D421" i="16"/>
  <c r="O420" i="16"/>
  <c r="M420" i="16"/>
  <c r="K420" i="16"/>
  <c r="I420" i="16"/>
  <c r="G420" i="16"/>
  <c r="F420" i="16"/>
  <c r="E420" i="16"/>
  <c r="D420" i="16"/>
  <c r="O419" i="16"/>
  <c r="M419" i="16"/>
  <c r="K419" i="16"/>
  <c r="I419" i="16"/>
  <c r="G419" i="16"/>
  <c r="F419" i="16"/>
  <c r="E419" i="16"/>
  <c r="D419" i="16"/>
  <c r="O418" i="16"/>
  <c r="M418" i="16"/>
  <c r="K418" i="16"/>
  <c r="I418" i="16"/>
  <c r="G418" i="16"/>
  <c r="F418" i="16"/>
  <c r="E418" i="16"/>
  <c r="D418" i="16"/>
  <c r="O417" i="16"/>
  <c r="M417" i="16"/>
  <c r="K417" i="16"/>
  <c r="I417" i="16"/>
  <c r="G417" i="16"/>
  <c r="F417" i="16"/>
  <c r="E417" i="16"/>
  <c r="D417" i="16"/>
  <c r="O416" i="16"/>
  <c r="M416" i="16"/>
  <c r="K416" i="16"/>
  <c r="I416" i="16"/>
  <c r="G416" i="16"/>
  <c r="F416" i="16"/>
  <c r="E416" i="16"/>
  <c r="D416" i="16"/>
  <c r="O415" i="16"/>
  <c r="M415" i="16"/>
  <c r="K415" i="16"/>
  <c r="I415" i="16"/>
  <c r="G415" i="16"/>
  <c r="F415" i="16"/>
  <c r="E415" i="16"/>
  <c r="D415" i="16"/>
  <c r="O414" i="16"/>
  <c r="M414" i="16"/>
  <c r="K414" i="16"/>
  <c r="I414" i="16"/>
  <c r="G414" i="16"/>
  <c r="F414" i="16"/>
  <c r="E414" i="16"/>
  <c r="D414" i="16"/>
  <c r="O413" i="16"/>
  <c r="M413" i="16"/>
  <c r="K413" i="16"/>
  <c r="I413" i="16"/>
  <c r="G413" i="16"/>
  <c r="F413" i="16"/>
  <c r="E413" i="16"/>
  <c r="D413" i="16"/>
  <c r="O412" i="16"/>
  <c r="M412" i="16"/>
  <c r="K412" i="16"/>
  <c r="I412" i="16"/>
  <c r="G412" i="16"/>
  <c r="F412" i="16"/>
  <c r="E412" i="16"/>
  <c r="D412" i="16"/>
  <c r="O411" i="16"/>
  <c r="M411" i="16"/>
  <c r="K411" i="16"/>
  <c r="I411" i="16"/>
  <c r="G411" i="16"/>
  <c r="F411" i="16"/>
  <c r="E411" i="16"/>
  <c r="D411" i="16"/>
  <c r="O410" i="16"/>
  <c r="M410" i="16"/>
  <c r="K410" i="16"/>
  <c r="I410" i="16"/>
  <c r="G410" i="16"/>
  <c r="F410" i="16"/>
  <c r="E410" i="16"/>
  <c r="D410" i="16"/>
  <c r="O409" i="16"/>
  <c r="M409" i="16"/>
  <c r="K409" i="16"/>
  <c r="I409" i="16"/>
  <c r="G409" i="16"/>
  <c r="F409" i="16"/>
  <c r="E409" i="16"/>
  <c r="D409" i="16"/>
  <c r="O408" i="16"/>
  <c r="M408" i="16"/>
  <c r="K408" i="16"/>
  <c r="I408" i="16"/>
  <c r="G408" i="16"/>
  <c r="F408" i="16"/>
  <c r="E408" i="16"/>
  <c r="D408" i="16"/>
  <c r="O407" i="16"/>
  <c r="M407" i="16"/>
  <c r="K407" i="16"/>
  <c r="I407" i="16"/>
  <c r="G407" i="16"/>
  <c r="F407" i="16"/>
  <c r="E407" i="16"/>
  <c r="D407" i="16"/>
  <c r="O406" i="16"/>
  <c r="M406" i="16"/>
  <c r="K406" i="16"/>
  <c r="I406" i="16"/>
  <c r="G406" i="16"/>
  <c r="F406" i="16"/>
  <c r="E406" i="16"/>
  <c r="D406" i="16"/>
  <c r="O405" i="16"/>
  <c r="M405" i="16"/>
  <c r="K405" i="16"/>
  <c r="I405" i="16"/>
  <c r="G405" i="16"/>
  <c r="F405" i="16"/>
  <c r="E405" i="16"/>
  <c r="D405" i="16"/>
  <c r="O404" i="16"/>
  <c r="M404" i="16"/>
  <c r="K404" i="16"/>
  <c r="I404" i="16"/>
  <c r="G404" i="16"/>
  <c r="F404" i="16"/>
  <c r="E404" i="16"/>
  <c r="D404" i="16"/>
  <c r="O403" i="16"/>
  <c r="M403" i="16"/>
  <c r="K403" i="16"/>
  <c r="I403" i="16"/>
  <c r="G403" i="16"/>
  <c r="F403" i="16"/>
  <c r="E403" i="16"/>
  <c r="D403" i="16"/>
  <c r="O402" i="16"/>
  <c r="M402" i="16"/>
  <c r="K402" i="16"/>
  <c r="I402" i="16"/>
  <c r="G402" i="16"/>
  <c r="F402" i="16"/>
  <c r="E402" i="16"/>
  <c r="D402" i="16"/>
  <c r="O401" i="16"/>
  <c r="M401" i="16"/>
  <c r="K401" i="16"/>
  <c r="I401" i="16"/>
  <c r="G401" i="16"/>
  <c r="F401" i="16"/>
  <c r="E401" i="16"/>
  <c r="D401" i="16"/>
  <c r="O400" i="16"/>
  <c r="M400" i="16"/>
  <c r="K400" i="16"/>
  <c r="I400" i="16"/>
  <c r="G400" i="16"/>
  <c r="F400" i="16"/>
  <c r="E400" i="16"/>
  <c r="D400" i="16"/>
  <c r="O399" i="16"/>
  <c r="M399" i="16"/>
  <c r="K399" i="16"/>
  <c r="I399" i="16"/>
  <c r="G399" i="16"/>
  <c r="F399" i="16"/>
  <c r="E399" i="16"/>
  <c r="D399" i="16"/>
  <c r="O398" i="16"/>
  <c r="M398" i="16"/>
  <c r="K398" i="16"/>
  <c r="I398" i="16"/>
  <c r="G398" i="16"/>
  <c r="F398" i="16"/>
  <c r="E398" i="16"/>
  <c r="D398" i="16"/>
  <c r="O397" i="16"/>
  <c r="M397" i="16"/>
  <c r="K397" i="16"/>
  <c r="I397" i="16"/>
  <c r="G397" i="16"/>
  <c r="F397" i="16"/>
  <c r="E397" i="16"/>
  <c r="D397" i="16"/>
  <c r="O396" i="16"/>
  <c r="M396" i="16"/>
  <c r="K396" i="16"/>
  <c r="I396" i="16"/>
  <c r="G396" i="16"/>
  <c r="F396" i="16"/>
  <c r="E396" i="16"/>
  <c r="D396" i="16"/>
  <c r="O395" i="16"/>
  <c r="M395" i="16"/>
  <c r="K395" i="16"/>
  <c r="I395" i="16"/>
  <c r="G395" i="16"/>
  <c r="F395" i="16"/>
  <c r="E395" i="16"/>
  <c r="D395" i="16"/>
  <c r="O394" i="16"/>
  <c r="M394" i="16"/>
  <c r="K394" i="16"/>
  <c r="I394" i="16"/>
  <c r="G394" i="16"/>
  <c r="F394" i="16"/>
  <c r="E394" i="16"/>
  <c r="D394" i="16"/>
  <c r="O393" i="16"/>
  <c r="M393" i="16"/>
  <c r="K393" i="16"/>
  <c r="I393" i="16"/>
  <c r="G393" i="16"/>
  <c r="F393" i="16"/>
  <c r="E393" i="16"/>
  <c r="D393" i="16"/>
  <c r="O392" i="16"/>
  <c r="M392" i="16"/>
  <c r="K392" i="16"/>
  <c r="I392" i="16"/>
  <c r="G392" i="16"/>
  <c r="F392" i="16"/>
  <c r="E392" i="16"/>
  <c r="D392" i="16"/>
  <c r="O391" i="16"/>
  <c r="M391" i="16"/>
  <c r="K391" i="16"/>
  <c r="I391" i="16"/>
  <c r="G391" i="16"/>
  <c r="F391" i="16"/>
  <c r="E391" i="16"/>
  <c r="D391" i="16"/>
  <c r="O390" i="16"/>
  <c r="M390" i="16"/>
  <c r="K390" i="16"/>
  <c r="I390" i="16"/>
  <c r="G390" i="16"/>
  <c r="F390" i="16"/>
  <c r="E390" i="16"/>
  <c r="D390" i="16"/>
  <c r="O389" i="16"/>
  <c r="M389" i="16"/>
  <c r="K389" i="16"/>
  <c r="I389" i="16"/>
  <c r="G389" i="16"/>
  <c r="F389" i="16"/>
  <c r="E389" i="16"/>
  <c r="D389" i="16"/>
  <c r="O388" i="16"/>
  <c r="M388" i="16"/>
  <c r="K388" i="16"/>
  <c r="I388" i="16"/>
  <c r="G388" i="16"/>
  <c r="F388" i="16"/>
  <c r="E388" i="16"/>
  <c r="D388" i="16"/>
  <c r="O387" i="16"/>
  <c r="M387" i="16"/>
  <c r="K387" i="16"/>
  <c r="I387" i="16"/>
  <c r="G387" i="16"/>
  <c r="F387" i="16"/>
  <c r="E387" i="16"/>
  <c r="D387" i="16"/>
  <c r="O386" i="16"/>
  <c r="M386" i="16"/>
  <c r="K386" i="16"/>
  <c r="I386" i="16"/>
  <c r="G386" i="16"/>
  <c r="F386" i="16"/>
  <c r="E386" i="16"/>
  <c r="D386" i="16"/>
  <c r="O385" i="16"/>
  <c r="M385" i="16"/>
  <c r="K385" i="16"/>
  <c r="I385" i="16"/>
  <c r="G385" i="16"/>
  <c r="F385" i="16"/>
  <c r="E385" i="16"/>
  <c r="D385" i="16"/>
  <c r="O384" i="16"/>
  <c r="M384" i="16"/>
  <c r="K384" i="16"/>
  <c r="I384" i="16"/>
  <c r="G384" i="16"/>
  <c r="F384" i="16"/>
  <c r="E384" i="16"/>
  <c r="D384" i="16"/>
  <c r="O383" i="16"/>
  <c r="M383" i="16"/>
  <c r="K383" i="16"/>
  <c r="I383" i="16"/>
  <c r="G383" i="16"/>
  <c r="F383" i="16"/>
  <c r="E383" i="16"/>
  <c r="D383" i="16"/>
  <c r="O382" i="16"/>
  <c r="M382" i="16"/>
  <c r="K382" i="16"/>
  <c r="I382" i="16"/>
  <c r="G382" i="16"/>
  <c r="F382" i="16"/>
  <c r="E382" i="16"/>
  <c r="D382" i="16"/>
  <c r="O381" i="16"/>
  <c r="M381" i="16"/>
  <c r="K381" i="16"/>
  <c r="I381" i="16"/>
  <c r="G381" i="16"/>
  <c r="F381" i="16"/>
  <c r="E381" i="16"/>
  <c r="D381" i="16"/>
  <c r="O380" i="16"/>
  <c r="M380" i="16"/>
  <c r="K380" i="16"/>
  <c r="I380" i="16"/>
  <c r="G380" i="16"/>
  <c r="F380" i="16"/>
  <c r="E380" i="16"/>
  <c r="D380" i="16"/>
  <c r="O379" i="16"/>
  <c r="M379" i="16"/>
  <c r="K379" i="16"/>
  <c r="I379" i="16"/>
  <c r="G379" i="16"/>
  <c r="F379" i="16"/>
  <c r="E379" i="16"/>
  <c r="D379" i="16"/>
  <c r="O378" i="16"/>
  <c r="M378" i="16"/>
  <c r="K378" i="16"/>
  <c r="I378" i="16"/>
  <c r="G378" i="16"/>
  <c r="F378" i="16"/>
  <c r="E378" i="16"/>
  <c r="D378" i="16"/>
  <c r="O377" i="16"/>
  <c r="M377" i="16"/>
  <c r="K377" i="16"/>
  <c r="I377" i="16"/>
  <c r="G377" i="16"/>
  <c r="F377" i="16"/>
  <c r="E377" i="16"/>
  <c r="D377" i="16"/>
  <c r="O376" i="16"/>
  <c r="M376" i="16"/>
  <c r="K376" i="16"/>
  <c r="I376" i="16"/>
  <c r="G376" i="16"/>
  <c r="F376" i="16"/>
  <c r="E376" i="16"/>
  <c r="D376" i="16"/>
  <c r="O375" i="16"/>
  <c r="M375" i="16"/>
  <c r="K375" i="16"/>
  <c r="I375" i="16"/>
  <c r="G375" i="16"/>
  <c r="F375" i="16"/>
  <c r="E375" i="16"/>
  <c r="D375" i="16"/>
  <c r="O374" i="16"/>
  <c r="M374" i="16"/>
  <c r="K374" i="16"/>
  <c r="I374" i="16"/>
  <c r="G374" i="16"/>
  <c r="F374" i="16"/>
  <c r="E374" i="16"/>
  <c r="D374" i="16"/>
  <c r="O373" i="16"/>
  <c r="M373" i="16"/>
  <c r="K373" i="16"/>
  <c r="I373" i="16"/>
  <c r="G373" i="16"/>
  <c r="F373" i="16"/>
  <c r="E373" i="16"/>
  <c r="D373" i="16"/>
  <c r="O372" i="16"/>
  <c r="M372" i="16"/>
  <c r="K372" i="16"/>
  <c r="I372" i="16"/>
  <c r="G372" i="16"/>
  <c r="F372" i="16"/>
  <c r="E372" i="16"/>
  <c r="D372" i="16"/>
  <c r="O371" i="16"/>
  <c r="M371" i="16"/>
  <c r="K371" i="16"/>
  <c r="I371" i="16"/>
  <c r="G371" i="16"/>
  <c r="F371" i="16"/>
  <c r="E371" i="16"/>
  <c r="D371" i="16"/>
  <c r="O370" i="16"/>
  <c r="M370" i="16"/>
  <c r="K370" i="16"/>
  <c r="I370" i="16"/>
  <c r="G370" i="16"/>
  <c r="F370" i="16"/>
  <c r="E370" i="16"/>
  <c r="D370" i="16"/>
  <c r="O369" i="16"/>
  <c r="M369" i="16"/>
  <c r="K369" i="16"/>
  <c r="I369" i="16"/>
  <c r="G369" i="16"/>
  <c r="F369" i="16"/>
  <c r="E369" i="16"/>
  <c r="D369" i="16"/>
  <c r="O368" i="16"/>
  <c r="M368" i="16"/>
  <c r="K368" i="16"/>
  <c r="I368" i="16"/>
  <c r="G368" i="16"/>
  <c r="F368" i="16"/>
  <c r="E368" i="16"/>
  <c r="D368" i="16"/>
  <c r="O367" i="16"/>
  <c r="M367" i="16"/>
  <c r="K367" i="16"/>
  <c r="I367" i="16"/>
  <c r="G367" i="16"/>
  <c r="F367" i="16"/>
  <c r="E367" i="16"/>
  <c r="D367" i="16"/>
  <c r="O366" i="16"/>
  <c r="M366" i="16"/>
  <c r="K366" i="16"/>
  <c r="I366" i="16"/>
  <c r="G366" i="16"/>
  <c r="F366" i="16"/>
  <c r="E366" i="16"/>
  <c r="D366" i="16"/>
  <c r="O365" i="16"/>
  <c r="M365" i="16"/>
  <c r="K365" i="16"/>
  <c r="I365" i="16"/>
  <c r="G365" i="16"/>
  <c r="F365" i="16"/>
  <c r="E365" i="16"/>
  <c r="D365" i="16"/>
  <c r="O364" i="16"/>
  <c r="M364" i="16"/>
  <c r="K364" i="16"/>
  <c r="I364" i="16"/>
  <c r="G364" i="16"/>
  <c r="F364" i="16"/>
  <c r="E364" i="16"/>
  <c r="D364" i="16"/>
  <c r="O363" i="16"/>
  <c r="M363" i="16"/>
  <c r="K363" i="16"/>
  <c r="I363" i="16"/>
  <c r="G363" i="16"/>
  <c r="F363" i="16"/>
  <c r="E363" i="16"/>
  <c r="D363" i="16"/>
  <c r="O362" i="16"/>
  <c r="M362" i="16"/>
  <c r="K362" i="16"/>
  <c r="I362" i="16"/>
  <c r="G362" i="16"/>
  <c r="F362" i="16"/>
  <c r="E362" i="16"/>
  <c r="D362" i="16"/>
  <c r="O361" i="16"/>
  <c r="M361" i="16"/>
  <c r="K361" i="16"/>
  <c r="I361" i="16"/>
  <c r="G361" i="16"/>
  <c r="F361" i="16"/>
  <c r="E361" i="16"/>
  <c r="D361" i="16"/>
  <c r="O360" i="16"/>
  <c r="M360" i="16"/>
  <c r="K360" i="16"/>
  <c r="I360" i="16"/>
  <c r="G360" i="16"/>
  <c r="F360" i="16"/>
  <c r="E360" i="16"/>
  <c r="D360" i="16"/>
  <c r="O359" i="16"/>
  <c r="M359" i="16"/>
  <c r="K359" i="16"/>
  <c r="I359" i="16"/>
  <c r="G359" i="16"/>
  <c r="F359" i="16"/>
  <c r="E359" i="16"/>
  <c r="D359" i="16"/>
  <c r="O358" i="16"/>
  <c r="M358" i="16"/>
  <c r="K358" i="16"/>
  <c r="I358" i="16"/>
  <c r="G358" i="16"/>
  <c r="F358" i="16"/>
  <c r="E358" i="16"/>
  <c r="D358" i="16"/>
  <c r="O357" i="16"/>
  <c r="M357" i="16"/>
  <c r="K357" i="16"/>
  <c r="I357" i="16"/>
  <c r="G357" i="16"/>
  <c r="F357" i="16"/>
  <c r="E357" i="16"/>
  <c r="D357" i="16"/>
  <c r="O356" i="16"/>
  <c r="M356" i="16"/>
  <c r="K356" i="16"/>
  <c r="I356" i="16"/>
  <c r="G356" i="16"/>
  <c r="F356" i="16"/>
  <c r="E356" i="16"/>
  <c r="D356" i="16"/>
  <c r="O355" i="16"/>
  <c r="M355" i="16"/>
  <c r="K355" i="16"/>
  <c r="I355" i="16"/>
  <c r="G355" i="16"/>
  <c r="F355" i="16"/>
  <c r="E355" i="16"/>
  <c r="D355" i="16"/>
  <c r="O354" i="16"/>
  <c r="M354" i="16"/>
  <c r="K354" i="16"/>
  <c r="I354" i="16"/>
  <c r="G354" i="16"/>
  <c r="F354" i="16"/>
  <c r="E354" i="16"/>
  <c r="D354" i="16"/>
  <c r="O353" i="16"/>
  <c r="M353" i="16"/>
  <c r="K353" i="16"/>
  <c r="I353" i="16"/>
  <c r="G353" i="16"/>
  <c r="F353" i="16"/>
  <c r="E353" i="16"/>
  <c r="D353" i="16"/>
  <c r="O352" i="16"/>
  <c r="M352" i="16"/>
  <c r="K352" i="16"/>
  <c r="I352" i="16"/>
  <c r="G352" i="16"/>
  <c r="F352" i="16"/>
  <c r="E352" i="16"/>
  <c r="D352" i="16"/>
  <c r="O351" i="16"/>
  <c r="M351" i="16"/>
  <c r="K351" i="16"/>
  <c r="I351" i="16"/>
  <c r="G351" i="16"/>
  <c r="F351" i="16"/>
  <c r="E351" i="16"/>
  <c r="D351" i="16"/>
  <c r="O350" i="16"/>
  <c r="M350" i="16"/>
  <c r="K350" i="16"/>
  <c r="I350" i="16"/>
  <c r="G350" i="16"/>
  <c r="F350" i="16"/>
  <c r="E350" i="16"/>
  <c r="D350" i="16"/>
  <c r="O349" i="16"/>
  <c r="M349" i="16"/>
  <c r="K349" i="16"/>
  <c r="I349" i="16"/>
  <c r="G349" i="16"/>
  <c r="F349" i="16"/>
  <c r="E349" i="16"/>
  <c r="D349" i="16"/>
  <c r="O348" i="16"/>
  <c r="M348" i="16"/>
  <c r="K348" i="16"/>
  <c r="I348" i="16"/>
  <c r="G348" i="16"/>
  <c r="F348" i="16"/>
  <c r="E348" i="16"/>
  <c r="D348" i="16"/>
  <c r="O347" i="16"/>
  <c r="M347" i="16"/>
  <c r="K347" i="16"/>
  <c r="I347" i="16"/>
  <c r="G347" i="16"/>
  <c r="F347" i="16"/>
  <c r="E347" i="16"/>
  <c r="D347" i="16"/>
  <c r="O346" i="16"/>
  <c r="M346" i="16"/>
  <c r="K346" i="16"/>
  <c r="I346" i="16"/>
  <c r="G346" i="16"/>
  <c r="F346" i="16"/>
  <c r="E346" i="16"/>
  <c r="D346" i="16"/>
  <c r="O345" i="16"/>
  <c r="M345" i="16"/>
  <c r="K345" i="16"/>
  <c r="I345" i="16"/>
  <c r="G345" i="16"/>
  <c r="F345" i="16"/>
  <c r="E345" i="16"/>
  <c r="D345" i="16"/>
  <c r="O344" i="16"/>
  <c r="M344" i="16"/>
  <c r="K344" i="16"/>
  <c r="I344" i="16"/>
  <c r="G344" i="16"/>
  <c r="F344" i="16"/>
  <c r="E344" i="16"/>
  <c r="D344" i="16"/>
  <c r="O343" i="16"/>
  <c r="M343" i="16"/>
  <c r="K343" i="16"/>
  <c r="I343" i="16"/>
  <c r="G343" i="16"/>
  <c r="F343" i="16"/>
  <c r="E343" i="16"/>
  <c r="D343" i="16"/>
  <c r="O342" i="16"/>
  <c r="M342" i="16"/>
  <c r="K342" i="16"/>
  <c r="I342" i="16"/>
  <c r="G342" i="16"/>
  <c r="F342" i="16"/>
  <c r="E342" i="16"/>
  <c r="D342" i="16"/>
  <c r="O341" i="16"/>
  <c r="M341" i="16"/>
  <c r="K341" i="16"/>
  <c r="I341" i="16"/>
  <c r="G341" i="16"/>
  <c r="F341" i="16"/>
  <c r="E341" i="16"/>
  <c r="D341" i="16"/>
  <c r="O340" i="16"/>
  <c r="M340" i="16"/>
  <c r="K340" i="16"/>
  <c r="I340" i="16"/>
  <c r="G340" i="16"/>
  <c r="F340" i="16"/>
  <c r="E340" i="16"/>
  <c r="D340" i="16"/>
  <c r="O339" i="16"/>
  <c r="M339" i="16"/>
  <c r="K339" i="16"/>
  <c r="I339" i="16"/>
  <c r="G339" i="16"/>
  <c r="F339" i="16"/>
  <c r="E339" i="16"/>
  <c r="D339" i="16"/>
  <c r="O338" i="16"/>
  <c r="M338" i="16"/>
  <c r="K338" i="16"/>
  <c r="I338" i="16"/>
  <c r="G338" i="16"/>
  <c r="F338" i="16"/>
  <c r="E338" i="16"/>
  <c r="D338" i="16"/>
  <c r="O337" i="16"/>
  <c r="M337" i="16"/>
  <c r="K337" i="16"/>
  <c r="I337" i="16"/>
  <c r="G337" i="16"/>
  <c r="F337" i="16"/>
  <c r="E337" i="16"/>
  <c r="D337" i="16"/>
  <c r="O336" i="16"/>
  <c r="M336" i="16"/>
  <c r="K336" i="16"/>
  <c r="I336" i="16"/>
  <c r="G336" i="16"/>
  <c r="F336" i="16"/>
  <c r="E336" i="16"/>
  <c r="D336" i="16"/>
  <c r="O335" i="16"/>
  <c r="M335" i="16"/>
  <c r="K335" i="16"/>
  <c r="I335" i="16"/>
  <c r="G335" i="16"/>
  <c r="F335" i="16"/>
  <c r="E335" i="16"/>
  <c r="D335" i="16"/>
  <c r="O334" i="16"/>
  <c r="M334" i="16"/>
  <c r="K334" i="16"/>
  <c r="I334" i="16"/>
  <c r="G334" i="16"/>
  <c r="F334" i="16"/>
  <c r="E334" i="16"/>
  <c r="D334" i="16"/>
  <c r="O333" i="16"/>
  <c r="M333" i="16"/>
  <c r="K333" i="16"/>
  <c r="I333" i="16"/>
  <c r="G333" i="16"/>
  <c r="F333" i="16"/>
  <c r="E333" i="16"/>
  <c r="D333" i="16"/>
  <c r="O332" i="16"/>
  <c r="M332" i="16"/>
  <c r="K332" i="16"/>
  <c r="I332" i="16"/>
  <c r="G332" i="16"/>
  <c r="F332" i="16"/>
  <c r="E332" i="16"/>
  <c r="D332" i="16"/>
  <c r="O331" i="16"/>
  <c r="M331" i="16"/>
  <c r="K331" i="16"/>
  <c r="I331" i="16"/>
  <c r="G331" i="16"/>
  <c r="F331" i="16"/>
  <c r="E331" i="16"/>
  <c r="D331" i="16"/>
  <c r="O330" i="16"/>
  <c r="M330" i="16"/>
  <c r="K330" i="16"/>
  <c r="I330" i="16"/>
  <c r="G330" i="16"/>
  <c r="F330" i="16"/>
  <c r="E330" i="16"/>
  <c r="D330" i="16"/>
  <c r="O329" i="16"/>
  <c r="M329" i="16"/>
  <c r="K329" i="16"/>
  <c r="I329" i="16"/>
  <c r="G329" i="16"/>
  <c r="F329" i="16"/>
  <c r="E329" i="16"/>
  <c r="D329" i="16"/>
  <c r="O328" i="16"/>
  <c r="M328" i="16"/>
  <c r="K328" i="16"/>
  <c r="I328" i="16"/>
  <c r="G328" i="16"/>
  <c r="F328" i="16"/>
  <c r="E328" i="16"/>
  <c r="D328" i="16"/>
  <c r="O327" i="16"/>
  <c r="M327" i="16"/>
  <c r="K327" i="16"/>
  <c r="I327" i="16"/>
  <c r="G327" i="16"/>
  <c r="F327" i="16"/>
  <c r="E327" i="16"/>
  <c r="D327" i="16"/>
  <c r="O326" i="16"/>
  <c r="M326" i="16"/>
  <c r="K326" i="16"/>
  <c r="I326" i="16"/>
  <c r="G326" i="16"/>
  <c r="F326" i="16"/>
  <c r="E326" i="16"/>
  <c r="D326" i="16"/>
  <c r="O325" i="16"/>
  <c r="M325" i="16"/>
  <c r="K325" i="16"/>
  <c r="I325" i="16"/>
  <c r="G325" i="16"/>
  <c r="F325" i="16"/>
  <c r="E325" i="16"/>
  <c r="D325" i="16"/>
  <c r="O324" i="16"/>
  <c r="M324" i="16"/>
  <c r="K324" i="16"/>
  <c r="I324" i="16"/>
  <c r="G324" i="16"/>
  <c r="F324" i="16"/>
  <c r="E324" i="16"/>
  <c r="D324" i="16"/>
  <c r="O323" i="16"/>
  <c r="M323" i="16"/>
  <c r="K323" i="16"/>
  <c r="I323" i="16"/>
  <c r="G323" i="16"/>
  <c r="F323" i="16"/>
  <c r="E323" i="16"/>
  <c r="D323" i="16"/>
  <c r="O322" i="16"/>
  <c r="M322" i="16"/>
  <c r="K322" i="16"/>
  <c r="I322" i="16"/>
  <c r="G322" i="16"/>
  <c r="F322" i="16"/>
  <c r="E322" i="16"/>
  <c r="D322" i="16"/>
  <c r="O321" i="16"/>
  <c r="M321" i="16"/>
  <c r="K321" i="16"/>
  <c r="I321" i="16"/>
  <c r="G321" i="16"/>
  <c r="F321" i="16"/>
  <c r="E321" i="16"/>
  <c r="D321" i="16"/>
  <c r="O320" i="16"/>
  <c r="M320" i="16"/>
  <c r="K320" i="16"/>
  <c r="I320" i="16"/>
  <c r="G320" i="16"/>
  <c r="F320" i="16"/>
  <c r="E320" i="16"/>
  <c r="D320" i="16"/>
  <c r="O319" i="16"/>
  <c r="M319" i="16"/>
  <c r="K319" i="16"/>
  <c r="I319" i="16"/>
  <c r="G319" i="16"/>
  <c r="F319" i="16"/>
  <c r="E319" i="16"/>
  <c r="D319" i="16"/>
  <c r="O318" i="16"/>
  <c r="M318" i="16"/>
  <c r="K318" i="16"/>
  <c r="I318" i="16"/>
  <c r="G318" i="16"/>
  <c r="F318" i="16"/>
  <c r="E318" i="16"/>
  <c r="D318" i="16"/>
  <c r="O317" i="16"/>
  <c r="M317" i="16"/>
  <c r="K317" i="16"/>
  <c r="I317" i="16"/>
  <c r="G317" i="16"/>
  <c r="F317" i="16"/>
  <c r="E317" i="16"/>
  <c r="D317" i="16"/>
  <c r="O316" i="16"/>
  <c r="M316" i="16"/>
  <c r="K316" i="16"/>
  <c r="I316" i="16"/>
  <c r="G316" i="16"/>
  <c r="F316" i="16"/>
  <c r="E316" i="16"/>
  <c r="D316" i="16"/>
  <c r="O315" i="16"/>
  <c r="M315" i="16"/>
  <c r="K315" i="16"/>
  <c r="I315" i="16"/>
  <c r="G315" i="16"/>
  <c r="F315" i="16"/>
  <c r="E315" i="16"/>
  <c r="D315" i="16"/>
  <c r="O314" i="16"/>
  <c r="M314" i="16"/>
  <c r="K314" i="16"/>
  <c r="I314" i="16"/>
  <c r="G314" i="16"/>
  <c r="F314" i="16"/>
  <c r="E314" i="16"/>
  <c r="D314" i="16"/>
  <c r="O313" i="16"/>
  <c r="M313" i="16"/>
  <c r="K313" i="16"/>
  <c r="I313" i="16"/>
  <c r="G313" i="16"/>
  <c r="F313" i="16"/>
  <c r="E313" i="16"/>
  <c r="D313" i="16"/>
  <c r="O312" i="16"/>
  <c r="M312" i="16"/>
  <c r="K312" i="16"/>
  <c r="I312" i="16"/>
  <c r="G312" i="16"/>
  <c r="F312" i="16"/>
  <c r="E312" i="16"/>
  <c r="D312" i="16"/>
  <c r="O311" i="16"/>
  <c r="M311" i="16"/>
  <c r="K311" i="16"/>
  <c r="I311" i="16"/>
  <c r="G311" i="16"/>
  <c r="F311" i="16"/>
  <c r="E311" i="16"/>
  <c r="D311" i="16"/>
  <c r="O310" i="16"/>
  <c r="M310" i="16"/>
  <c r="K310" i="16"/>
  <c r="I310" i="16"/>
  <c r="G310" i="16"/>
  <c r="F310" i="16"/>
  <c r="E310" i="16"/>
  <c r="D310" i="16"/>
  <c r="O309" i="16"/>
  <c r="M309" i="16"/>
  <c r="K309" i="16"/>
  <c r="I309" i="16"/>
  <c r="G309" i="16"/>
  <c r="F309" i="16"/>
  <c r="E309" i="16"/>
  <c r="D309" i="16"/>
  <c r="O308" i="16"/>
  <c r="M308" i="16"/>
  <c r="K308" i="16"/>
  <c r="I308" i="16"/>
  <c r="G308" i="16"/>
  <c r="F308" i="16"/>
  <c r="E308" i="16"/>
  <c r="D308" i="16"/>
  <c r="O307" i="16"/>
  <c r="M307" i="16"/>
  <c r="K307" i="16"/>
  <c r="I307" i="16"/>
  <c r="G307" i="16"/>
  <c r="F307" i="16"/>
  <c r="E307" i="16"/>
  <c r="D307" i="16"/>
  <c r="O306" i="16"/>
  <c r="M306" i="16"/>
  <c r="K306" i="16"/>
  <c r="I306" i="16"/>
  <c r="G306" i="16"/>
  <c r="F306" i="16"/>
  <c r="E306" i="16"/>
  <c r="D306" i="16"/>
  <c r="O305" i="16"/>
  <c r="M305" i="16"/>
  <c r="K305" i="16"/>
  <c r="I305" i="16"/>
  <c r="G305" i="16"/>
  <c r="F305" i="16"/>
  <c r="E305" i="16"/>
  <c r="D305" i="16"/>
  <c r="O304" i="16"/>
  <c r="M304" i="16"/>
  <c r="K304" i="16"/>
  <c r="I304" i="16"/>
  <c r="G304" i="16"/>
  <c r="F304" i="16"/>
  <c r="E304" i="16"/>
  <c r="D304" i="16"/>
  <c r="O303" i="16"/>
  <c r="M303" i="16"/>
  <c r="K303" i="16"/>
  <c r="I303" i="16"/>
  <c r="G303" i="16"/>
  <c r="F303" i="16"/>
  <c r="E303" i="16"/>
  <c r="D303" i="16"/>
  <c r="O302" i="16"/>
  <c r="M302" i="16"/>
  <c r="K302" i="16"/>
  <c r="I302" i="16"/>
  <c r="G302" i="16"/>
  <c r="F302" i="16"/>
  <c r="E302" i="16"/>
  <c r="D302" i="16"/>
  <c r="O301" i="16"/>
  <c r="M301" i="16"/>
  <c r="K301" i="16"/>
  <c r="I301" i="16"/>
  <c r="G301" i="16"/>
  <c r="F301" i="16"/>
  <c r="E301" i="16"/>
  <c r="D301" i="16"/>
  <c r="O300" i="16"/>
  <c r="M300" i="16"/>
  <c r="K300" i="16"/>
  <c r="I300" i="16"/>
  <c r="G300" i="16"/>
  <c r="F300" i="16"/>
  <c r="E300" i="16"/>
  <c r="D300" i="16"/>
  <c r="O299" i="16"/>
  <c r="M299" i="16"/>
  <c r="K299" i="16"/>
  <c r="I299" i="16"/>
  <c r="G299" i="16"/>
  <c r="F299" i="16"/>
  <c r="E299" i="16"/>
  <c r="D299" i="16"/>
  <c r="O298" i="16"/>
  <c r="M298" i="16"/>
  <c r="K298" i="16"/>
  <c r="I298" i="16"/>
  <c r="G298" i="16"/>
  <c r="F298" i="16"/>
  <c r="E298" i="16"/>
  <c r="D298" i="16"/>
  <c r="O297" i="16"/>
  <c r="M297" i="16"/>
  <c r="K297" i="16"/>
  <c r="I297" i="16"/>
  <c r="G297" i="16"/>
  <c r="F297" i="16"/>
  <c r="E297" i="16"/>
  <c r="D297" i="16"/>
  <c r="O296" i="16"/>
  <c r="M296" i="16"/>
  <c r="K296" i="16"/>
  <c r="I296" i="16"/>
  <c r="G296" i="16"/>
  <c r="F296" i="16"/>
  <c r="E296" i="16"/>
  <c r="D296" i="16"/>
  <c r="O295" i="16"/>
  <c r="M295" i="16"/>
  <c r="K295" i="16"/>
  <c r="I295" i="16"/>
  <c r="G295" i="16"/>
  <c r="F295" i="16"/>
  <c r="E295" i="16"/>
  <c r="D295" i="16"/>
  <c r="O294" i="16"/>
  <c r="M294" i="16"/>
  <c r="K294" i="16"/>
  <c r="I294" i="16"/>
  <c r="G294" i="16"/>
  <c r="F294" i="16"/>
  <c r="E294" i="16"/>
  <c r="D294" i="16"/>
  <c r="O293" i="16"/>
  <c r="M293" i="16"/>
  <c r="K293" i="16"/>
  <c r="I293" i="16"/>
  <c r="G293" i="16"/>
  <c r="F293" i="16"/>
  <c r="E293" i="16"/>
  <c r="D293" i="16"/>
  <c r="O292" i="16"/>
  <c r="M292" i="16"/>
  <c r="K292" i="16"/>
  <c r="I292" i="16"/>
  <c r="G292" i="16"/>
  <c r="F292" i="16"/>
  <c r="E292" i="16"/>
  <c r="D292" i="16"/>
  <c r="O291" i="16"/>
  <c r="M291" i="16"/>
  <c r="K291" i="16"/>
  <c r="I291" i="16"/>
  <c r="G291" i="16"/>
  <c r="F291" i="16"/>
  <c r="E291" i="16"/>
  <c r="D291" i="16"/>
  <c r="O290" i="16"/>
  <c r="M290" i="16"/>
  <c r="K290" i="16"/>
  <c r="I290" i="16"/>
  <c r="G290" i="16"/>
  <c r="F290" i="16"/>
  <c r="E290" i="16"/>
  <c r="D290" i="16"/>
  <c r="O289" i="16"/>
  <c r="M289" i="16"/>
  <c r="K289" i="16"/>
  <c r="I289" i="16"/>
  <c r="G289" i="16"/>
  <c r="F289" i="16"/>
  <c r="E289" i="16"/>
  <c r="D289" i="16"/>
  <c r="O288" i="16"/>
  <c r="M288" i="16"/>
  <c r="K288" i="16"/>
  <c r="I288" i="16"/>
  <c r="G288" i="16"/>
  <c r="F288" i="16"/>
  <c r="E288" i="16"/>
  <c r="D288" i="16"/>
  <c r="O287" i="16"/>
  <c r="M287" i="16"/>
  <c r="K287" i="16"/>
  <c r="I287" i="16"/>
  <c r="G287" i="16"/>
  <c r="F287" i="16"/>
  <c r="E287" i="16"/>
  <c r="D287" i="16"/>
  <c r="O286" i="16"/>
  <c r="M286" i="16"/>
  <c r="K286" i="16"/>
  <c r="I286" i="16"/>
  <c r="G286" i="16"/>
  <c r="F286" i="16"/>
  <c r="E286" i="16"/>
  <c r="D286" i="16"/>
  <c r="O285" i="16"/>
  <c r="M285" i="16"/>
  <c r="K285" i="16"/>
  <c r="I285" i="16"/>
  <c r="G285" i="16"/>
  <c r="F285" i="16"/>
  <c r="E285" i="16"/>
  <c r="D285" i="16"/>
  <c r="O284" i="16"/>
  <c r="M284" i="16"/>
  <c r="K284" i="16"/>
  <c r="I284" i="16"/>
  <c r="G284" i="16"/>
  <c r="F284" i="16"/>
  <c r="E284" i="16"/>
  <c r="D284" i="16"/>
  <c r="O283" i="16"/>
  <c r="M283" i="16"/>
  <c r="K283" i="16"/>
  <c r="I283" i="16"/>
  <c r="G283" i="16"/>
  <c r="F283" i="16"/>
  <c r="E283" i="16"/>
  <c r="D283" i="16"/>
  <c r="O282" i="16"/>
  <c r="M282" i="16"/>
  <c r="K282" i="16"/>
  <c r="I282" i="16"/>
  <c r="G282" i="16"/>
  <c r="F282" i="16"/>
  <c r="E282" i="16"/>
  <c r="D282" i="16"/>
  <c r="O281" i="16"/>
  <c r="M281" i="16"/>
  <c r="K281" i="16"/>
  <c r="I281" i="16"/>
  <c r="G281" i="16"/>
  <c r="F281" i="16"/>
  <c r="E281" i="16"/>
  <c r="D281" i="16"/>
  <c r="O280" i="16"/>
  <c r="M280" i="16"/>
  <c r="K280" i="16"/>
  <c r="I280" i="16"/>
  <c r="G280" i="16"/>
  <c r="F280" i="16"/>
  <c r="E280" i="16"/>
  <c r="D280" i="16"/>
  <c r="O279" i="16"/>
  <c r="M279" i="16"/>
  <c r="K279" i="16"/>
  <c r="I279" i="16"/>
  <c r="G279" i="16"/>
  <c r="F279" i="16"/>
  <c r="E279" i="16"/>
  <c r="D279" i="16"/>
  <c r="O278" i="16"/>
  <c r="M278" i="16"/>
  <c r="K278" i="16"/>
  <c r="I278" i="16"/>
  <c r="G278" i="16"/>
  <c r="F278" i="16"/>
  <c r="E278" i="16"/>
  <c r="D278" i="16"/>
  <c r="O277" i="16"/>
  <c r="M277" i="16"/>
  <c r="K277" i="16"/>
  <c r="I277" i="16"/>
  <c r="G277" i="16"/>
  <c r="F277" i="16"/>
  <c r="E277" i="16"/>
  <c r="D277" i="16"/>
  <c r="O276" i="16"/>
  <c r="M276" i="16"/>
  <c r="K276" i="16"/>
  <c r="I276" i="16"/>
  <c r="G276" i="16"/>
  <c r="F276" i="16"/>
  <c r="E276" i="16"/>
  <c r="D276" i="16"/>
  <c r="O275" i="16"/>
  <c r="M275" i="16"/>
  <c r="K275" i="16"/>
  <c r="I275" i="16"/>
  <c r="G275" i="16"/>
  <c r="F275" i="16"/>
  <c r="E275" i="16"/>
  <c r="D275" i="16"/>
  <c r="O274" i="16"/>
  <c r="M274" i="16"/>
  <c r="K274" i="16"/>
  <c r="I274" i="16"/>
  <c r="G274" i="16"/>
  <c r="F274" i="16"/>
  <c r="E274" i="16"/>
  <c r="D274" i="16"/>
  <c r="O273" i="16"/>
  <c r="M273" i="16"/>
  <c r="K273" i="16"/>
  <c r="I273" i="16"/>
  <c r="G273" i="16"/>
  <c r="F273" i="16"/>
  <c r="E273" i="16"/>
  <c r="D273" i="16"/>
  <c r="O272" i="16"/>
  <c r="M272" i="16"/>
  <c r="K272" i="16"/>
  <c r="I272" i="16"/>
  <c r="G272" i="16"/>
  <c r="F272" i="16"/>
  <c r="E272" i="16"/>
  <c r="D272" i="16"/>
  <c r="O271" i="16"/>
  <c r="M271" i="16"/>
  <c r="K271" i="16"/>
  <c r="I271" i="16"/>
  <c r="G271" i="16"/>
  <c r="F271" i="16"/>
  <c r="E271" i="16"/>
  <c r="D271" i="16"/>
  <c r="O270" i="16"/>
  <c r="M270" i="16"/>
  <c r="K270" i="16"/>
  <c r="I270" i="16"/>
  <c r="G270" i="16"/>
  <c r="F270" i="16"/>
  <c r="E270" i="16"/>
  <c r="D270" i="16"/>
  <c r="O269" i="16"/>
  <c r="M269" i="16"/>
  <c r="K269" i="16"/>
  <c r="I269" i="16"/>
  <c r="G269" i="16"/>
  <c r="F269" i="16"/>
  <c r="E269" i="16"/>
  <c r="D269" i="16"/>
  <c r="O268" i="16"/>
  <c r="M268" i="16"/>
  <c r="K268" i="16"/>
  <c r="I268" i="16"/>
  <c r="G268" i="16"/>
  <c r="F268" i="16"/>
  <c r="E268" i="16"/>
  <c r="D268" i="16"/>
  <c r="O267" i="16"/>
  <c r="M267" i="16"/>
  <c r="K267" i="16"/>
  <c r="I267" i="16"/>
  <c r="G267" i="16"/>
  <c r="F267" i="16"/>
  <c r="E267" i="16"/>
  <c r="D267" i="16"/>
  <c r="O266" i="16"/>
  <c r="M266" i="16"/>
  <c r="K266" i="16"/>
  <c r="I266" i="16"/>
  <c r="G266" i="16"/>
  <c r="F266" i="16"/>
  <c r="E266" i="16"/>
  <c r="D266" i="16"/>
  <c r="O265" i="16"/>
  <c r="M265" i="16"/>
  <c r="K265" i="16"/>
  <c r="I265" i="16"/>
  <c r="G265" i="16"/>
  <c r="F265" i="16"/>
  <c r="E265" i="16"/>
  <c r="D265" i="16"/>
  <c r="O264" i="16"/>
  <c r="M264" i="16"/>
  <c r="K264" i="16"/>
  <c r="I264" i="16"/>
  <c r="G264" i="16"/>
  <c r="F264" i="16"/>
  <c r="E264" i="16"/>
  <c r="D264" i="16"/>
  <c r="O263" i="16"/>
  <c r="M263" i="16"/>
  <c r="K263" i="16"/>
  <c r="I263" i="16"/>
  <c r="G263" i="16"/>
  <c r="F263" i="16"/>
  <c r="E263" i="16"/>
  <c r="D263" i="16"/>
  <c r="O262" i="16"/>
  <c r="M262" i="16"/>
  <c r="K262" i="16"/>
  <c r="I262" i="16"/>
  <c r="G262" i="16"/>
  <c r="F262" i="16"/>
  <c r="E262" i="16"/>
  <c r="D262" i="16"/>
  <c r="O261" i="16"/>
  <c r="M261" i="16"/>
  <c r="K261" i="16"/>
  <c r="I261" i="16"/>
  <c r="G261" i="16"/>
  <c r="F261" i="16"/>
  <c r="E261" i="16"/>
  <c r="D261" i="16"/>
  <c r="O260" i="16"/>
  <c r="M260" i="16"/>
  <c r="K260" i="16"/>
  <c r="I260" i="16"/>
  <c r="G260" i="16"/>
  <c r="F260" i="16"/>
  <c r="E260" i="16"/>
  <c r="D260" i="16"/>
  <c r="O259" i="16"/>
  <c r="M259" i="16"/>
  <c r="K259" i="16"/>
  <c r="I259" i="16"/>
  <c r="G259" i="16"/>
  <c r="F259" i="16"/>
  <c r="E259" i="16"/>
  <c r="D259" i="16"/>
  <c r="O258" i="16"/>
  <c r="M258" i="16"/>
  <c r="K258" i="16"/>
  <c r="I258" i="16"/>
  <c r="G258" i="16"/>
  <c r="F258" i="16"/>
  <c r="E258" i="16"/>
  <c r="D258" i="16"/>
  <c r="O257" i="16"/>
  <c r="M257" i="16"/>
  <c r="K257" i="16"/>
  <c r="I257" i="16"/>
  <c r="G257" i="16"/>
  <c r="F257" i="16"/>
  <c r="E257" i="16"/>
  <c r="D257" i="16"/>
  <c r="O256" i="16"/>
  <c r="M256" i="16"/>
  <c r="K256" i="16"/>
  <c r="I256" i="16"/>
  <c r="G256" i="16"/>
  <c r="F256" i="16"/>
  <c r="E256" i="16"/>
  <c r="D256" i="16"/>
  <c r="O255" i="16"/>
  <c r="M255" i="16"/>
  <c r="K255" i="16"/>
  <c r="I255" i="16"/>
  <c r="G255" i="16"/>
  <c r="F255" i="16"/>
  <c r="E255" i="16"/>
  <c r="D255" i="16"/>
  <c r="O254" i="16"/>
  <c r="M254" i="16"/>
  <c r="K254" i="16"/>
  <c r="I254" i="16"/>
  <c r="G254" i="16"/>
  <c r="F254" i="16"/>
  <c r="E254" i="16"/>
  <c r="D254" i="16"/>
  <c r="O253" i="16"/>
  <c r="M253" i="16"/>
  <c r="K253" i="16"/>
  <c r="I253" i="16"/>
  <c r="G253" i="16"/>
  <c r="F253" i="16"/>
  <c r="E253" i="16"/>
  <c r="D253" i="16"/>
  <c r="O252" i="16"/>
  <c r="M252" i="16"/>
  <c r="K252" i="16"/>
  <c r="I252" i="16"/>
  <c r="G252" i="16"/>
  <c r="F252" i="16"/>
  <c r="E252" i="16"/>
  <c r="D252" i="16"/>
  <c r="O251" i="16"/>
  <c r="M251" i="16"/>
  <c r="K251" i="16"/>
  <c r="I251" i="16"/>
  <c r="G251" i="16"/>
  <c r="F251" i="16"/>
  <c r="E251" i="16"/>
  <c r="D251" i="16"/>
  <c r="O250" i="16"/>
  <c r="M250" i="16"/>
  <c r="K250" i="16"/>
  <c r="I250" i="16"/>
  <c r="G250" i="16"/>
  <c r="F250" i="16"/>
  <c r="E250" i="16"/>
  <c r="D250" i="16"/>
  <c r="O249" i="16"/>
  <c r="M249" i="16"/>
  <c r="K249" i="16"/>
  <c r="I249" i="16"/>
  <c r="G249" i="16"/>
  <c r="F249" i="16"/>
  <c r="E249" i="16"/>
  <c r="D249" i="16"/>
  <c r="O248" i="16"/>
  <c r="M248" i="16"/>
  <c r="K248" i="16"/>
  <c r="I248" i="16"/>
  <c r="G248" i="16"/>
  <c r="F248" i="16"/>
  <c r="E248" i="16"/>
  <c r="D248" i="16"/>
  <c r="O247" i="16"/>
  <c r="M247" i="16"/>
  <c r="K247" i="16"/>
  <c r="I247" i="16"/>
  <c r="G247" i="16"/>
  <c r="F247" i="16"/>
  <c r="E247" i="16"/>
  <c r="D247" i="16"/>
  <c r="O246" i="16"/>
  <c r="M246" i="16"/>
  <c r="K246" i="16"/>
  <c r="I246" i="16"/>
  <c r="G246" i="16"/>
  <c r="F246" i="16"/>
  <c r="E246" i="16"/>
  <c r="D246" i="16"/>
  <c r="O245" i="16"/>
  <c r="M245" i="16"/>
  <c r="K245" i="16"/>
  <c r="I245" i="16"/>
  <c r="G245" i="16"/>
  <c r="F245" i="16"/>
  <c r="E245" i="16"/>
  <c r="D245" i="16"/>
  <c r="O244" i="16"/>
  <c r="M244" i="16"/>
  <c r="K244" i="16"/>
  <c r="I244" i="16"/>
  <c r="G244" i="16"/>
  <c r="F244" i="16"/>
  <c r="E244" i="16"/>
  <c r="D244" i="16"/>
  <c r="O243" i="16"/>
  <c r="M243" i="16"/>
  <c r="K243" i="16"/>
  <c r="I243" i="16"/>
  <c r="G243" i="16"/>
  <c r="F243" i="16"/>
  <c r="E243" i="16"/>
  <c r="D243" i="16"/>
  <c r="O242" i="16"/>
  <c r="M242" i="16"/>
  <c r="K242" i="16"/>
  <c r="I242" i="16"/>
  <c r="G242" i="16"/>
  <c r="F242" i="16"/>
  <c r="E242" i="16"/>
  <c r="D242" i="16"/>
  <c r="O241" i="16"/>
  <c r="M241" i="16"/>
  <c r="K241" i="16"/>
  <c r="I241" i="16"/>
  <c r="G241" i="16"/>
  <c r="F241" i="16"/>
  <c r="E241" i="16"/>
  <c r="D241" i="16"/>
  <c r="O240" i="16"/>
  <c r="M240" i="16"/>
  <c r="K240" i="16"/>
  <c r="I240" i="16"/>
  <c r="G240" i="16"/>
  <c r="F240" i="16"/>
  <c r="E240" i="16"/>
  <c r="D240" i="16"/>
  <c r="O239" i="16"/>
  <c r="M239" i="16"/>
  <c r="K239" i="16"/>
  <c r="I239" i="16"/>
  <c r="G239" i="16"/>
  <c r="F239" i="16"/>
  <c r="E239" i="16"/>
  <c r="D239" i="16"/>
  <c r="O238" i="16"/>
  <c r="M238" i="16"/>
  <c r="K238" i="16"/>
  <c r="I238" i="16"/>
  <c r="G238" i="16"/>
  <c r="F238" i="16"/>
  <c r="E238" i="16"/>
  <c r="D238" i="16"/>
  <c r="O237" i="16"/>
  <c r="M237" i="16"/>
  <c r="K237" i="16"/>
  <c r="I237" i="16"/>
  <c r="G237" i="16"/>
  <c r="F237" i="16"/>
  <c r="E237" i="16"/>
  <c r="D237" i="16"/>
  <c r="O236" i="16"/>
  <c r="M236" i="16"/>
  <c r="K236" i="16"/>
  <c r="I236" i="16"/>
  <c r="G236" i="16"/>
  <c r="F236" i="16"/>
  <c r="E236" i="16"/>
  <c r="D236" i="16"/>
  <c r="O235" i="16"/>
  <c r="M235" i="16"/>
  <c r="K235" i="16"/>
  <c r="I235" i="16"/>
  <c r="G235" i="16"/>
  <c r="F235" i="16"/>
  <c r="E235" i="16"/>
  <c r="D235" i="16"/>
  <c r="O234" i="16"/>
  <c r="M234" i="16"/>
  <c r="K234" i="16"/>
  <c r="I234" i="16"/>
  <c r="G234" i="16"/>
  <c r="F234" i="16"/>
  <c r="E234" i="16"/>
  <c r="D234" i="16"/>
  <c r="O233" i="16"/>
  <c r="M233" i="16"/>
  <c r="K233" i="16"/>
  <c r="I233" i="16"/>
  <c r="G233" i="16"/>
  <c r="F233" i="16"/>
  <c r="E233" i="16"/>
  <c r="D233" i="16"/>
  <c r="O232" i="16"/>
  <c r="M232" i="16"/>
  <c r="K232" i="16"/>
  <c r="I232" i="16"/>
  <c r="G232" i="16"/>
  <c r="F232" i="16"/>
  <c r="E232" i="16"/>
  <c r="D232" i="16"/>
  <c r="O231" i="16"/>
  <c r="M231" i="16"/>
  <c r="K231" i="16"/>
  <c r="I231" i="16"/>
  <c r="G231" i="16"/>
  <c r="F231" i="16"/>
  <c r="E231" i="16"/>
  <c r="D231" i="16"/>
  <c r="O230" i="16"/>
  <c r="M230" i="16"/>
  <c r="K230" i="16"/>
  <c r="I230" i="16"/>
  <c r="G230" i="16"/>
  <c r="F230" i="16"/>
  <c r="E230" i="16"/>
  <c r="D230" i="16"/>
  <c r="O229" i="16"/>
  <c r="M229" i="16"/>
  <c r="K229" i="16"/>
  <c r="I229" i="16"/>
  <c r="G229" i="16"/>
  <c r="F229" i="16"/>
  <c r="E229" i="16"/>
  <c r="D229" i="16"/>
  <c r="O228" i="16"/>
  <c r="M228" i="16"/>
  <c r="K228" i="16"/>
  <c r="I228" i="16"/>
  <c r="G228" i="16"/>
  <c r="F228" i="16"/>
  <c r="E228" i="16"/>
  <c r="D228" i="16"/>
  <c r="O227" i="16"/>
  <c r="M227" i="16"/>
  <c r="K227" i="16"/>
  <c r="I227" i="16"/>
  <c r="G227" i="16"/>
  <c r="F227" i="16"/>
  <c r="E227" i="16"/>
  <c r="D227" i="16"/>
  <c r="O226" i="16"/>
  <c r="M226" i="16"/>
  <c r="K226" i="16"/>
  <c r="I226" i="16"/>
  <c r="G226" i="16"/>
  <c r="F226" i="16"/>
  <c r="E226" i="16"/>
  <c r="D226" i="16"/>
  <c r="O225" i="16"/>
  <c r="M225" i="16"/>
  <c r="K225" i="16"/>
  <c r="I225" i="16"/>
  <c r="G225" i="16"/>
  <c r="F225" i="16"/>
  <c r="E225" i="16"/>
  <c r="D225" i="16"/>
  <c r="O224" i="16"/>
  <c r="M224" i="16"/>
  <c r="K224" i="16"/>
  <c r="I224" i="16"/>
  <c r="G224" i="16"/>
  <c r="F224" i="16"/>
  <c r="E224" i="16"/>
  <c r="D224" i="16"/>
  <c r="O223" i="16"/>
  <c r="M223" i="16"/>
  <c r="K223" i="16"/>
  <c r="I223" i="16"/>
  <c r="G223" i="16"/>
  <c r="F223" i="16"/>
  <c r="E223" i="16"/>
  <c r="D223" i="16"/>
  <c r="O222" i="16"/>
  <c r="M222" i="16"/>
  <c r="K222" i="16"/>
  <c r="I222" i="16"/>
  <c r="G222" i="16"/>
  <c r="F222" i="16"/>
  <c r="E222" i="16"/>
  <c r="D222" i="16"/>
  <c r="O221" i="16"/>
  <c r="M221" i="16"/>
  <c r="K221" i="16"/>
  <c r="I221" i="16"/>
  <c r="G221" i="16"/>
  <c r="F221" i="16"/>
  <c r="E221" i="16"/>
  <c r="D221" i="16"/>
  <c r="O220" i="16"/>
  <c r="M220" i="16"/>
  <c r="K220" i="16"/>
  <c r="I220" i="16"/>
  <c r="G220" i="16"/>
  <c r="F220" i="16"/>
  <c r="E220" i="16"/>
  <c r="D220" i="16"/>
  <c r="O219" i="16"/>
  <c r="M219" i="16"/>
  <c r="K219" i="16"/>
  <c r="I219" i="16"/>
  <c r="G219" i="16"/>
  <c r="F219" i="16"/>
  <c r="E219" i="16"/>
  <c r="D219" i="16"/>
  <c r="O218" i="16"/>
  <c r="M218" i="16"/>
  <c r="K218" i="16"/>
  <c r="I218" i="16"/>
  <c r="G218" i="16"/>
  <c r="F218" i="16"/>
  <c r="E218" i="16"/>
  <c r="D218" i="16"/>
  <c r="O217" i="16"/>
  <c r="M217" i="16"/>
  <c r="K217" i="16"/>
  <c r="I217" i="16"/>
  <c r="G217" i="16"/>
  <c r="F217" i="16"/>
  <c r="E217" i="16"/>
  <c r="D217" i="16"/>
  <c r="O216" i="16"/>
  <c r="M216" i="16"/>
  <c r="K216" i="16"/>
  <c r="I216" i="16"/>
  <c r="G216" i="16"/>
  <c r="F216" i="16"/>
  <c r="E216" i="16"/>
  <c r="D216" i="16"/>
  <c r="O215" i="16"/>
  <c r="M215" i="16"/>
  <c r="K215" i="16"/>
  <c r="I215" i="16"/>
  <c r="G215" i="16"/>
  <c r="F215" i="16"/>
  <c r="E215" i="16"/>
  <c r="D215" i="16"/>
  <c r="O214" i="16"/>
  <c r="M214" i="16"/>
  <c r="K214" i="16"/>
  <c r="I214" i="16"/>
  <c r="G214" i="16"/>
  <c r="F214" i="16"/>
  <c r="E214" i="16"/>
  <c r="D214" i="16"/>
  <c r="O213" i="16"/>
  <c r="M213" i="16"/>
  <c r="K213" i="16"/>
  <c r="I213" i="16"/>
  <c r="G213" i="16"/>
  <c r="F213" i="16"/>
  <c r="E213" i="16"/>
  <c r="D213" i="16"/>
  <c r="O212" i="16"/>
  <c r="M212" i="16"/>
  <c r="K212" i="16"/>
  <c r="I212" i="16"/>
  <c r="G212" i="16"/>
  <c r="F212" i="16"/>
  <c r="E212" i="16"/>
  <c r="D212" i="16"/>
  <c r="O211" i="16"/>
  <c r="M211" i="16"/>
  <c r="K211" i="16"/>
  <c r="I211" i="16"/>
  <c r="G211" i="16"/>
  <c r="F211" i="16"/>
  <c r="E211" i="16"/>
  <c r="D211" i="16"/>
  <c r="O210" i="16"/>
  <c r="M210" i="16"/>
  <c r="K210" i="16"/>
  <c r="I210" i="16"/>
  <c r="G210" i="16"/>
  <c r="F210" i="16"/>
  <c r="E210" i="16"/>
  <c r="D210" i="16"/>
  <c r="O209" i="16"/>
  <c r="M209" i="16"/>
  <c r="K209" i="16"/>
  <c r="I209" i="16"/>
  <c r="G209" i="16"/>
  <c r="F209" i="16"/>
  <c r="E209" i="16"/>
  <c r="D209" i="16"/>
  <c r="O208" i="16"/>
  <c r="M208" i="16"/>
  <c r="K208" i="16"/>
  <c r="I208" i="16"/>
  <c r="G208" i="16"/>
  <c r="F208" i="16"/>
  <c r="E208" i="16"/>
  <c r="D208" i="16"/>
  <c r="O207" i="16"/>
  <c r="M207" i="16"/>
  <c r="K207" i="16"/>
  <c r="I207" i="16"/>
  <c r="G207" i="16"/>
  <c r="F207" i="16"/>
  <c r="E207" i="16"/>
  <c r="D207" i="16"/>
  <c r="O206" i="16"/>
  <c r="M206" i="16"/>
  <c r="K206" i="16"/>
  <c r="I206" i="16"/>
  <c r="G206" i="16"/>
  <c r="F206" i="16"/>
  <c r="E206" i="16"/>
  <c r="D206" i="16"/>
  <c r="O205" i="16"/>
  <c r="M205" i="16"/>
  <c r="K205" i="16"/>
  <c r="I205" i="16"/>
  <c r="G205" i="16"/>
  <c r="F205" i="16"/>
  <c r="E205" i="16"/>
  <c r="D205" i="16"/>
  <c r="O204" i="16"/>
  <c r="M204" i="16"/>
  <c r="K204" i="16"/>
  <c r="I204" i="16"/>
  <c r="G204" i="16"/>
  <c r="F204" i="16"/>
  <c r="E204" i="16"/>
  <c r="D204" i="16"/>
  <c r="O203" i="16"/>
  <c r="M203" i="16"/>
  <c r="K203" i="16"/>
  <c r="I203" i="16"/>
  <c r="G203" i="16"/>
  <c r="F203" i="16"/>
  <c r="E203" i="16"/>
  <c r="D203" i="16"/>
  <c r="O202" i="16"/>
  <c r="M202" i="16"/>
  <c r="K202" i="16"/>
  <c r="I202" i="16"/>
  <c r="G202" i="16"/>
  <c r="F202" i="16"/>
  <c r="E202" i="16"/>
  <c r="D202" i="16"/>
  <c r="O201" i="16"/>
  <c r="M201" i="16"/>
  <c r="K201" i="16"/>
  <c r="I201" i="16"/>
  <c r="G201" i="16"/>
  <c r="F201" i="16"/>
  <c r="E201" i="16"/>
  <c r="D201" i="16"/>
  <c r="O200" i="16"/>
  <c r="M200" i="16"/>
  <c r="K200" i="16"/>
  <c r="I200" i="16"/>
  <c r="G200" i="16"/>
  <c r="F200" i="16"/>
  <c r="E200" i="16"/>
  <c r="D200" i="16"/>
  <c r="O199" i="16"/>
  <c r="M199" i="16"/>
  <c r="K199" i="16"/>
  <c r="I199" i="16"/>
  <c r="G199" i="16"/>
  <c r="F199" i="16"/>
  <c r="E199" i="16"/>
  <c r="D199" i="16"/>
  <c r="O198" i="16"/>
  <c r="M198" i="16"/>
  <c r="K198" i="16"/>
  <c r="I198" i="16"/>
  <c r="G198" i="16"/>
  <c r="F198" i="16"/>
  <c r="E198" i="16"/>
  <c r="D198" i="16"/>
  <c r="O197" i="16"/>
  <c r="M197" i="16"/>
  <c r="K197" i="16"/>
  <c r="I197" i="16"/>
  <c r="G197" i="16"/>
  <c r="F197" i="16"/>
  <c r="E197" i="16"/>
  <c r="D197" i="16"/>
  <c r="O196" i="16"/>
  <c r="M196" i="16"/>
  <c r="K196" i="16"/>
  <c r="I196" i="16"/>
  <c r="G196" i="16"/>
  <c r="F196" i="16"/>
  <c r="E196" i="16"/>
  <c r="D196" i="16"/>
  <c r="O195" i="16"/>
  <c r="M195" i="16"/>
  <c r="K195" i="16"/>
  <c r="I195" i="16"/>
  <c r="G195" i="16"/>
  <c r="F195" i="16"/>
  <c r="E195" i="16"/>
  <c r="D195" i="16"/>
  <c r="O194" i="16"/>
  <c r="M194" i="16"/>
  <c r="K194" i="16"/>
  <c r="I194" i="16"/>
  <c r="G194" i="16"/>
  <c r="F194" i="16"/>
  <c r="E194" i="16"/>
  <c r="D194" i="16"/>
  <c r="O193" i="16"/>
  <c r="M193" i="16"/>
  <c r="K193" i="16"/>
  <c r="I193" i="16"/>
  <c r="G193" i="16"/>
  <c r="F193" i="16"/>
  <c r="E193" i="16"/>
  <c r="D193" i="16"/>
  <c r="O192" i="16"/>
  <c r="M192" i="16"/>
  <c r="K192" i="16"/>
  <c r="I192" i="16"/>
  <c r="G192" i="16"/>
  <c r="F192" i="16"/>
  <c r="E192" i="16"/>
  <c r="D192" i="16"/>
  <c r="O191" i="16"/>
  <c r="M191" i="16"/>
  <c r="K191" i="16"/>
  <c r="I191" i="16"/>
  <c r="G191" i="16"/>
  <c r="F191" i="16"/>
  <c r="E191" i="16"/>
  <c r="D191" i="16"/>
  <c r="O190" i="16"/>
  <c r="M190" i="16"/>
  <c r="K190" i="16"/>
  <c r="I190" i="16"/>
  <c r="G190" i="16"/>
  <c r="F190" i="16"/>
  <c r="E190" i="16"/>
  <c r="D190" i="16"/>
  <c r="O189" i="16"/>
  <c r="M189" i="16"/>
  <c r="K189" i="16"/>
  <c r="I189" i="16"/>
  <c r="G189" i="16"/>
  <c r="F189" i="16"/>
  <c r="E189" i="16"/>
  <c r="D189" i="16"/>
  <c r="O188" i="16"/>
  <c r="M188" i="16"/>
  <c r="K188" i="16"/>
  <c r="I188" i="16"/>
  <c r="G188" i="16"/>
  <c r="F188" i="16"/>
  <c r="E188" i="16"/>
  <c r="D188" i="16"/>
  <c r="O187" i="16"/>
  <c r="M187" i="16"/>
  <c r="K187" i="16"/>
  <c r="I187" i="16"/>
  <c r="G187" i="16"/>
  <c r="F187" i="16"/>
  <c r="E187" i="16"/>
  <c r="D187" i="16"/>
  <c r="O186" i="16"/>
  <c r="M186" i="16"/>
  <c r="K186" i="16"/>
  <c r="I186" i="16"/>
  <c r="G186" i="16"/>
  <c r="F186" i="16"/>
  <c r="E186" i="16"/>
  <c r="D186" i="16"/>
  <c r="O185" i="16"/>
  <c r="M185" i="16"/>
  <c r="K185" i="16"/>
  <c r="I185" i="16"/>
  <c r="G185" i="16"/>
  <c r="F185" i="16"/>
  <c r="E185" i="16"/>
  <c r="D185" i="16"/>
  <c r="O184" i="16"/>
  <c r="M184" i="16"/>
  <c r="K184" i="16"/>
  <c r="I184" i="16"/>
  <c r="G184" i="16"/>
  <c r="F184" i="16"/>
  <c r="E184" i="16"/>
  <c r="D184" i="16"/>
  <c r="O183" i="16"/>
  <c r="M183" i="16"/>
  <c r="K183" i="16"/>
  <c r="I183" i="16"/>
  <c r="G183" i="16"/>
  <c r="F183" i="16"/>
  <c r="E183" i="16"/>
  <c r="D183" i="16"/>
  <c r="O182" i="16"/>
  <c r="M182" i="16"/>
  <c r="K182" i="16"/>
  <c r="I182" i="16"/>
  <c r="G182" i="16"/>
  <c r="F182" i="16"/>
  <c r="E182" i="16"/>
  <c r="D182" i="16"/>
  <c r="O181" i="16"/>
  <c r="M181" i="16"/>
  <c r="K181" i="16"/>
  <c r="I181" i="16"/>
  <c r="G181" i="16"/>
  <c r="F181" i="16"/>
  <c r="E181" i="16"/>
  <c r="D181" i="16"/>
  <c r="O180" i="16"/>
  <c r="M180" i="16"/>
  <c r="K180" i="16"/>
  <c r="I180" i="16"/>
  <c r="G180" i="16"/>
  <c r="F180" i="16"/>
  <c r="E180" i="16"/>
  <c r="D180" i="16"/>
  <c r="O179" i="16"/>
  <c r="M179" i="16"/>
  <c r="K179" i="16"/>
  <c r="I179" i="16"/>
  <c r="G179" i="16"/>
  <c r="F179" i="16"/>
  <c r="E179" i="16"/>
  <c r="D179" i="16"/>
  <c r="O178" i="16"/>
  <c r="M178" i="16"/>
  <c r="K178" i="16"/>
  <c r="I178" i="16"/>
  <c r="G178" i="16"/>
  <c r="F178" i="16"/>
  <c r="E178" i="16"/>
  <c r="D178" i="16"/>
  <c r="O177" i="16"/>
  <c r="M177" i="16"/>
  <c r="K177" i="16"/>
  <c r="I177" i="16"/>
  <c r="G177" i="16"/>
  <c r="F177" i="16"/>
  <c r="E177" i="16"/>
  <c r="D177" i="16"/>
  <c r="O176" i="16"/>
  <c r="M176" i="16"/>
  <c r="K176" i="16"/>
  <c r="I176" i="16"/>
  <c r="G176" i="16"/>
  <c r="F176" i="16"/>
  <c r="E176" i="16"/>
  <c r="D176" i="16"/>
  <c r="O175" i="16"/>
  <c r="M175" i="16"/>
  <c r="K175" i="16"/>
  <c r="I175" i="16"/>
  <c r="G175" i="16"/>
  <c r="F175" i="16"/>
  <c r="E175" i="16"/>
  <c r="D175" i="16"/>
  <c r="O174" i="16"/>
  <c r="M174" i="16"/>
  <c r="K174" i="16"/>
  <c r="I174" i="16"/>
  <c r="G174" i="16"/>
  <c r="F174" i="16"/>
  <c r="E174" i="16"/>
  <c r="D174" i="16"/>
  <c r="O173" i="16"/>
  <c r="M173" i="16"/>
  <c r="K173" i="16"/>
  <c r="I173" i="16"/>
  <c r="G173" i="16"/>
  <c r="F173" i="16"/>
  <c r="E173" i="16"/>
  <c r="D173" i="16"/>
  <c r="O172" i="16"/>
  <c r="M172" i="16"/>
  <c r="K172" i="16"/>
  <c r="I172" i="16"/>
  <c r="G172" i="16"/>
  <c r="F172" i="16"/>
  <c r="E172" i="16"/>
  <c r="D172" i="16"/>
  <c r="O171" i="16"/>
  <c r="M171" i="16"/>
  <c r="K171" i="16"/>
  <c r="I171" i="16"/>
  <c r="G171" i="16"/>
  <c r="F171" i="16"/>
  <c r="E171" i="16"/>
  <c r="D171" i="16"/>
  <c r="O170" i="16"/>
  <c r="M170" i="16"/>
  <c r="K170" i="16"/>
  <c r="I170" i="16"/>
  <c r="G170" i="16"/>
  <c r="F170" i="16"/>
  <c r="E170" i="16"/>
  <c r="D170" i="16"/>
  <c r="O169" i="16"/>
  <c r="M169" i="16"/>
  <c r="K169" i="16"/>
  <c r="I169" i="16"/>
  <c r="G169" i="16"/>
  <c r="F169" i="16"/>
  <c r="E169" i="16"/>
  <c r="D169" i="16"/>
  <c r="O168" i="16"/>
  <c r="M168" i="16"/>
  <c r="K168" i="16"/>
  <c r="I168" i="16"/>
  <c r="G168" i="16"/>
  <c r="F168" i="16"/>
  <c r="E168" i="16"/>
  <c r="D168" i="16"/>
  <c r="O167" i="16"/>
  <c r="M167" i="16"/>
  <c r="K167" i="16"/>
  <c r="I167" i="16"/>
  <c r="G167" i="16"/>
  <c r="F167" i="16"/>
  <c r="E167" i="16"/>
  <c r="D167" i="16"/>
  <c r="O166" i="16"/>
  <c r="M166" i="16"/>
  <c r="K166" i="16"/>
  <c r="I166" i="16"/>
  <c r="G166" i="16"/>
  <c r="F166" i="16"/>
  <c r="E166" i="16"/>
  <c r="D166" i="16"/>
  <c r="O165" i="16"/>
  <c r="M165" i="16"/>
  <c r="K165" i="16"/>
  <c r="I165" i="16"/>
  <c r="G165" i="16"/>
  <c r="F165" i="16"/>
  <c r="E165" i="16"/>
  <c r="D165" i="16"/>
  <c r="O164" i="16"/>
  <c r="M164" i="16"/>
  <c r="K164" i="16"/>
  <c r="I164" i="16"/>
  <c r="G164" i="16"/>
  <c r="F164" i="16"/>
  <c r="E164" i="16"/>
  <c r="D164" i="16"/>
  <c r="O163" i="16"/>
  <c r="M163" i="16"/>
  <c r="K163" i="16"/>
  <c r="I163" i="16"/>
  <c r="G163" i="16"/>
  <c r="F163" i="16"/>
  <c r="E163" i="16"/>
  <c r="D163" i="16"/>
  <c r="O162" i="16"/>
  <c r="M162" i="16"/>
  <c r="K162" i="16"/>
  <c r="I162" i="16"/>
  <c r="G162" i="16"/>
  <c r="F162" i="16"/>
  <c r="E162" i="16"/>
  <c r="D162" i="16"/>
  <c r="O161" i="16"/>
  <c r="M161" i="16"/>
  <c r="K161" i="16"/>
  <c r="I161" i="16"/>
  <c r="G161" i="16"/>
  <c r="F161" i="16"/>
  <c r="E161" i="16"/>
  <c r="D161" i="16"/>
  <c r="O160" i="16"/>
  <c r="M160" i="16"/>
  <c r="K160" i="16"/>
  <c r="I160" i="16"/>
  <c r="G160" i="16"/>
  <c r="F160" i="16"/>
  <c r="E160" i="16"/>
  <c r="D160" i="16"/>
  <c r="O159" i="16"/>
  <c r="M159" i="16"/>
  <c r="K159" i="16"/>
  <c r="I159" i="16"/>
  <c r="G159" i="16"/>
  <c r="F159" i="16"/>
  <c r="E159" i="16"/>
  <c r="D159" i="16"/>
  <c r="O158" i="16"/>
  <c r="M158" i="16"/>
  <c r="K158" i="16"/>
  <c r="I158" i="16"/>
  <c r="G158" i="16"/>
  <c r="F158" i="16"/>
  <c r="E158" i="16"/>
  <c r="D158" i="16"/>
  <c r="O157" i="16"/>
  <c r="M157" i="16"/>
  <c r="K157" i="16"/>
  <c r="I157" i="16"/>
  <c r="G157" i="16"/>
  <c r="F157" i="16"/>
  <c r="E157" i="16"/>
  <c r="D157" i="16"/>
  <c r="O156" i="16"/>
  <c r="M156" i="16"/>
  <c r="K156" i="16"/>
  <c r="I156" i="16"/>
  <c r="G156" i="16"/>
  <c r="F156" i="16"/>
  <c r="E156" i="16"/>
  <c r="D156" i="16"/>
  <c r="O155" i="16"/>
  <c r="M155" i="16"/>
  <c r="K155" i="16"/>
  <c r="I155" i="16"/>
  <c r="G155" i="16"/>
  <c r="F155" i="16"/>
  <c r="E155" i="16"/>
  <c r="D155" i="16"/>
  <c r="O154" i="16"/>
  <c r="M154" i="16"/>
  <c r="K154" i="16"/>
  <c r="I154" i="16"/>
  <c r="G154" i="16"/>
  <c r="F154" i="16"/>
  <c r="E154" i="16"/>
  <c r="D154" i="16"/>
  <c r="O153" i="16"/>
  <c r="M153" i="16"/>
  <c r="K153" i="16"/>
  <c r="I153" i="16"/>
  <c r="G153" i="16"/>
  <c r="F153" i="16"/>
  <c r="E153" i="16"/>
  <c r="D153" i="16"/>
  <c r="O152" i="16"/>
  <c r="M152" i="16"/>
  <c r="K152" i="16"/>
  <c r="I152" i="16"/>
  <c r="G152" i="16"/>
  <c r="F152" i="16"/>
  <c r="E152" i="16"/>
  <c r="D152" i="16"/>
  <c r="O151" i="16"/>
  <c r="M151" i="16"/>
  <c r="K151" i="16"/>
  <c r="I151" i="16"/>
  <c r="G151" i="16"/>
  <c r="F151" i="16"/>
  <c r="E151" i="16"/>
  <c r="D151" i="16"/>
  <c r="O150" i="16"/>
  <c r="M150" i="16"/>
  <c r="K150" i="16"/>
  <c r="I150" i="16"/>
  <c r="G150" i="16"/>
  <c r="F150" i="16"/>
  <c r="E150" i="16"/>
  <c r="D150" i="16"/>
  <c r="O149" i="16"/>
  <c r="M149" i="16"/>
  <c r="K149" i="16"/>
  <c r="I149" i="16"/>
  <c r="G149" i="16"/>
  <c r="F149" i="16"/>
  <c r="E149" i="16"/>
  <c r="D149" i="16"/>
  <c r="O148" i="16"/>
  <c r="M148" i="16"/>
  <c r="K148" i="16"/>
  <c r="I148" i="16"/>
  <c r="G148" i="16"/>
  <c r="F148" i="16"/>
  <c r="E148" i="16"/>
  <c r="D148" i="16"/>
  <c r="O147" i="16"/>
  <c r="M147" i="16"/>
  <c r="K147" i="16"/>
  <c r="I147" i="16"/>
  <c r="G147" i="16"/>
  <c r="F147" i="16"/>
  <c r="E147" i="16"/>
  <c r="D147" i="16"/>
  <c r="O146" i="16"/>
  <c r="M146" i="16"/>
  <c r="K146" i="16"/>
  <c r="I146" i="16"/>
  <c r="G146" i="16"/>
  <c r="F146" i="16"/>
  <c r="E146" i="16"/>
  <c r="D146" i="16"/>
  <c r="O145" i="16"/>
  <c r="M145" i="16"/>
  <c r="K145" i="16"/>
  <c r="I145" i="16"/>
  <c r="G145" i="16"/>
  <c r="F145" i="16"/>
  <c r="E145" i="16"/>
  <c r="D145" i="16"/>
  <c r="O144" i="16"/>
  <c r="M144" i="16"/>
  <c r="K144" i="16"/>
  <c r="I144" i="16"/>
  <c r="G144" i="16"/>
  <c r="F144" i="16"/>
  <c r="E144" i="16"/>
  <c r="D144" i="16"/>
  <c r="O143" i="16"/>
  <c r="M143" i="16"/>
  <c r="K143" i="16"/>
  <c r="I143" i="16"/>
  <c r="G143" i="16"/>
  <c r="F143" i="16"/>
  <c r="E143" i="16"/>
  <c r="D143" i="16"/>
  <c r="O142" i="16"/>
  <c r="M142" i="16"/>
  <c r="K142" i="16"/>
  <c r="I142" i="16"/>
  <c r="G142" i="16"/>
  <c r="F142" i="16"/>
  <c r="E142" i="16"/>
  <c r="D142" i="16"/>
  <c r="O141" i="16"/>
  <c r="M141" i="16"/>
  <c r="K141" i="16"/>
  <c r="I141" i="16"/>
  <c r="G141" i="16"/>
  <c r="F141" i="16"/>
  <c r="E141" i="16"/>
  <c r="D141" i="16"/>
  <c r="O140" i="16"/>
  <c r="M140" i="16"/>
  <c r="K140" i="16"/>
  <c r="I140" i="16"/>
  <c r="G140" i="16"/>
  <c r="F140" i="16"/>
  <c r="E140" i="16"/>
  <c r="D140" i="16"/>
  <c r="O139" i="16"/>
  <c r="M139" i="16"/>
  <c r="K139" i="16"/>
  <c r="I139" i="16"/>
  <c r="G139" i="16"/>
  <c r="F139" i="16"/>
  <c r="E139" i="16"/>
  <c r="D139" i="16"/>
  <c r="O138" i="16"/>
  <c r="M138" i="16"/>
  <c r="K138" i="16"/>
  <c r="I138" i="16"/>
  <c r="G138" i="16"/>
  <c r="F138" i="16"/>
  <c r="E138" i="16"/>
  <c r="D138" i="16"/>
  <c r="O137" i="16"/>
  <c r="M137" i="16"/>
  <c r="K137" i="16"/>
  <c r="I137" i="16"/>
  <c r="G137" i="16"/>
  <c r="F137" i="16"/>
  <c r="E137" i="16"/>
  <c r="D137" i="16"/>
  <c r="O136" i="16"/>
  <c r="M136" i="16"/>
  <c r="K136" i="16"/>
  <c r="I136" i="16"/>
  <c r="G136" i="16"/>
  <c r="F136" i="16"/>
  <c r="E136" i="16"/>
  <c r="D136" i="16"/>
  <c r="O135" i="16"/>
  <c r="M135" i="16"/>
  <c r="K135" i="16"/>
  <c r="I135" i="16"/>
  <c r="G135" i="16"/>
  <c r="F135" i="16"/>
  <c r="E135" i="16"/>
  <c r="D135" i="16"/>
  <c r="O134" i="16"/>
  <c r="M134" i="16"/>
  <c r="K134" i="16"/>
  <c r="I134" i="16"/>
  <c r="G134" i="16"/>
  <c r="F134" i="16"/>
  <c r="E134" i="16"/>
  <c r="D134" i="16"/>
  <c r="O133" i="16"/>
  <c r="M133" i="16"/>
  <c r="K133" i="16"/>
  <c r="I133" i="16"/>
  <c r="G133" i="16"/>
  <c r="F133" i="16"/>
  <c r="E133" i="16"/>
  <c r="D133" i="16"/>
  <c r="O132" i="16"/>
  <c r="M132" i="16"/>
  <c r="K132" i="16"/>
  <c r="I132" i="16"/>
  <c r="G132" i="16"/>
  <c r="F132" i="16"/>
  <c r="E132" i="16"/>
  <c r="D132" i="16"/>
  <c r="O131" i="16"/>
  <c r="M131" i="16"/>
  <c r="K131" i="16"/>
  <c r="I131" i="16"/>
  <c r="G131" i="16"/>
  <c r="F131" i="16"/>
  <c r="E131" i="16"/>
  <c r="D131" i="16"/>
  <c r="O130" i="16"/>
  <c r="M130" i="16"/>
  <c r="K130" i="16"/>
  <c r="I130" i="16"/>
  <c r="G130" i="16"/>
  <c r="F130" i="16"/>
  <c r="E130" i="16"/>
  <c r="D130" i="16"/>
  <c r="O129" i="16"/>
  <c r="M129" i="16"/>
  <c r="K129" i="16"/>
  <c r="I129" i="16"/>
  <c r="G129" i="16"/>
  <c r="F129" i="16"/>
  <c r="E129" i="16"/>
  <c r="D129" i="16"/>
  <c r="O128" i="16"/>
  <c r="M128" i="16"/>
  <c r="K128" i="16"/>
  <c r="I128" i="16"/>
  <c r="G128" i="16"/>
  <c r="F128" i="16"/>
  <c r="E128" i="16"/>
  <c r="D128" i="16"/>
  <c r="O127" i="16"/>
  <c r="M127" i="16"/>
  <c r="K127" i="16"/>
  <c r="I127" i="16"/>
  <c r="G127" i="16"/>
  <c r="F127" i="16"/>
  <c r="E127" i="16"/>
  <c r="D127" i="16"/>
  <c r="O126" i="16"/>
  <c r="M126" i="16"/>
  <c r="K126" i="16"/>
  <c r="I126" i="16"/>
  <c r="G126" i="16"/>
  <c r="F126" i="16"/>
  <c r="E126" i="16"/>
  <c r="D126" i="16"/>
  <c r="O125" i="16"/>
  <c r="M125" i="16"/>
  <c r="K125" i="16"/>
  <c r="I125" i="16"/>
  <c r="G125" i="16"/>
  <c r="F125" i="16"/>
  <c r="E125" i="16"/>
  <c r="D125" i="16"/>
  <c r="O124" i="16"/>
  <c r="M124" i="16"/>
  <c r="K124" i="16"/>
  <c r="I124" i="16"/>
  <c r="G124" i="16"/>
  <c r="F124" i="16"/>
  <c r="E124" i="16"/>
  <c r="D124" i="16"/>
  <c r="O123" i="16"/>
  <c r="M123" i="16"/>
  <c r="K123" i="16"/>
  <c r="I123" i="16"/>
  <c r="G123" i="16"/>
  <c r="F123" i="16"/>
  <c r="E123" i="16"/>
  <c r="D123" i="16"/>
  <c r="O122" i="16"/>
  <c r="M122" i="16"/>
  <c r="K122" i="16"/>
  <c r="I122" i="16"/>
  <c r="G122" i="16"/>
  <c r="F122" i="16"/>
  <c r="E122" i="16"/>
  <c r="D122" i="16"/>
  <c r="O121" i="16"/>
  <c r="M121" i="16"/>
  <c r="K121" i="16"/>
  <c r="I121" i="16"/>
  <c r="G121" i="16"/>
  <c r="F121" i="16"/>
  <c r="E121" i="16"/>
  <c r="D121" i="16"/>
  <c r="O120" i="16"/>
  <c r="M120" i="16"/>
  <c r="K120" i="16"/>
  <c r="I120" i="16"/>
  <c r="G120" i="16"/>
  <c r="F120" i="16"/>
  <c r="E120" i="16"/>
  <c r="D120" i="16"/>
  <c r="O119" i="16"/>
  <c r="M119" i="16"/>
  <c r="K119" i="16"/>
  <c r="I119" i="16"/>
  <c r="G119" i="16"/>
  <c r="F119" i="16"/>
  <c r="E119" i="16"/>
  <c r="D119" i="16"/>
  <c r="O118" i="16"/>
  <c r="M118" i="16"/>
  <c r="K118" i="16"/>
  <c r="I118" i="16"/>
  <c r="G118" i="16"/>
  <c r="F118" i="16"/>
  <c r="E118" i="16"/>
  <c r="D118" i="16"/>
  <c r="O117" i="16"/>
  <c r="M117" i="16"/>
  <c r="K117" i="16"/>
  <c r="I117" i="16"/>
  <c r="G117" i="16"/>
  <c r="F117" i="16"/>
  <c r="E117" i="16"/>
  <c r="D117" i="16"/>
  <c r="O116" i="16"/>
  <c r="M116" i="16"/>
  <c r="K116" i="16"/>
  <c r="I116" i="16"/>
  <c r="G116" i="16"/>
  <c r="F116" i="16"/>
  <c r="E116" i="16"/>
  <c r="D116" i="16"/>
  <c r="O115" i="16"/>
  <c r="M115" i="16"/>
  <c r="K115" i="16"/>
  <c r="I115" i="16"/>
  <c r="G115" i="16"/>
  <c r="F115" i="16"/>
  <c r="E115" i="16"/>
  <c r="D115" i="16"/>
  <c r="O114" i="16"/>
  <c r="M114" i="16"/>
  <c r="K114" i="16"/>
  <c r="I114" i="16"/>
  <c r="G114" i="16"/>
  <c r="F114" i="16"/>
  <c r="E114" i="16"/>
  <c r="D114" i="16"/>
  <c r="O113" i="16"/>
  <c r="M113" i="16"/>
  <c r="K113" i="16"/>
  <c r="I113" i="16"/>
  <c r="G113" i="16"/>
  <c r="F113" i="16"/>
  <c r="E113" i="16"/>
  <c r="D113" i="16"/>
  <c r="O112" i="16"/>
  <c r="M112" i="16"/>
  <c r="K112" i="16"/>
  <c r="I112" i="16"/>
  <c r="G112" i="16"/>
  <c r="F112" i="16"/>
  <c r="E112" i="16"/>
  <c r="D112" i="16"/>
  <c r="O111" i="16"/>
  <c r="M111" i="16"/>
  <c r="K111" i="16"/>
  <c r="I111" i="16"/>
  <c r="G111" i="16"/>
  <c r="F111" i="16"/>
  <c r="E111" i="16"/>
  <c r="D111" i="16"/>
  <c r="O110" i="16"/>
  <c r="M110" i="16"/>
  <c r="K110" i="16"/>
  <c r="I110" i="16"/>
  <c r="G110" i="16"/>
  <c r="F110" i="16"/>
  <c r="E110" i="16"/>
  <c r="D110" i="16"/>
  <c r="O109" i="16"/>
  <c r="M109" i="16"/>
  <c r="K109" i="16"/>
  <c r="I109" i="16"/>
  <c r="G109" i="16"/>
  <c r="F109" i="16"/>
  <c r="E109" i="16"/>
  <c r="D109" i="16"/>
  <c r="O108" i="16"/>
  <c r="M108" i="16"/>
  <c r="K108" i="16"/>
  <c r="I108" i="16"/>
  <c r="G108" i="16"/>
  <c r="F108" i="16"/>
  <c r="E108" i="16"/>
  <c r="D108" i="16"/>
  <c r="O107" i="16"/>
  <c r="M107" i="16"/>
  <c r="K107" i="16"/>
  <c r="I107" i="16"/>
  <c r="G107" i="16"/>
  <c r="F107" i="16"/>
  <c r="E107" i="16"/>
  <c r="D107" i="16"/>
  <c r="O106" i="16"/>
  <c r="M106" i="16"/>
  <c r="K106" i="16"/>
  <c r="I106" i="16"/>
  <c r="G106" i="16"/>
  <c r="F106" i="16"/>
  <c r="E106" i="16"/>
  <c r="D106" i="16"/>
  <c r="O105" i="16"/>
  <c r="M105" i="16"/>
  <c r="K105" i="16"/>
  <c r="I105" i="16"/>
  <c r="G105" i="16"/>
  <c r="F105" i="16"/>
  <c r="E105" i="16"/>
  <c r="D105" i="16"/>
  <c r="O104" i="16"/>
  <c r="M104" i="16"/>
  <c r="K104" i="16"/>
  <c r="I104" i="16"/>
  <c r="G104" i="16"/>
  <c r="F104" i="16"/>
  <c r="E104" i="16"/>
  <c r="D104" i="16"/>
  <c r="O103" i="16"/>
  <c r="M103" i="16"/>
  <c r="K103" i="16"/>
  <c r="I103" i="16"/>
  <c r="G103" i="16"/>
  <c r="F103" i="16"/>
  <c r="E103" i="16"/>
  <c r="D103" i="16"/>
  <c r="O102" i="16"/>
  <c r="M102" i="16"/>
  <c r="K102" i="16"/>
  <c r="I102" i="16"/>
  <c r="G102" i="16"/>
  <c r="F102" i="16"/>
  <c r="E102" i="16"/>
  <c r="D102" i="16"/>
  <c r="O101" i="16"/>
  <c r="M101" i="16"/>
  <c r="K101" i="16"/>
  <c r="I101" i="16"/>
  <c r="G101" i="16"/>
  <c r="F101" i="16"/>
  <c r="E101" i="16"/>
  <c r="D101" i="16"/>
  <c r="O100" i="16"/>
  <c r="M100" i="16"/>
  <c r="K100" i="16"/>
  <c r="I100" i="16"/>
  <c r="G100" i="16"/>
  <c r="F100" i="16"/>
  <c r="E100" i="16"/>
  <c r="D100" i="16"/>
  <c r="O99" i="16"/>
  <c r="M99" i="16"/>
  <c r="K99" i="16"/>
  <c r="I99" i="16"/>
  <c r="G99" i="16"/>
  <c r="F99" i="16"/>
  <c r="E99" i="16"/>
  <c r="D99" i="16"/>
  <c r="O98" i="16"/>
  <c r="M98" i="16"/>
  <c r="K98" i="16"/>
  <c r="I98" i="16"/>
  <c r="G98" i="16"/>
  <c r="F98" i="16"/>
  <c r="E98" i="16"/>
  <c r="D98" i="16"/>
  <c r="O97" i="16"/>
  <c r="M97" i="16"/>
  <c r="K97" i="16"/>
  <c r="I97" i="16"/>
  <c r="G97" i="16"/>
  <c r="F97" i="16"/>
  <c r="E97" i="16"/>
  <c r="D97" i="16"/>
  <c r="O96" i="16"/>
  <c r="M96" i="16"/>
  <c r="K96" i="16"/>
  <c r="I96" i="16"/>
  <c r="G96" i="16"/>
  <c r="F96" i="16"/>
  <c r="E96" i="16"/>
  <c r="D96" i="16"/>
  <c r="O95" i="16"/>
  <c r="M95" i="16"/>
  <c r="K95" i="16"/>
  <c r="I95" i="16"/>
  <c r="G95" i="16"/>
  <c r="F95" i="16"/>
  <c r="E95" i="16"/>
  <c r="D95" i="16"/>
  <c r="O94" i="16"/>
  <c r="M94" i="16"/>
  <c r="K94" i="16"/>
  <c r="I94" i="16"/>
  <c r="G94" i="16"/>
  <c r="F94" i="16"/>
  <c r="E94" i="16"/>
  <c r="D94" i="16"/>
  <c r="O93" i="16"/>
  <c r="M93" i="16"/>
  <c r="K93" i="16"/>
  <c r="I93" i="16"/>
  <c r="G93" i="16"/>
  <c r="F93" i="16"/>
  <c r="E93" i="16"/>
  <c r="D93" i="16"/>
  <c r="O92" i="16"/>
  <c r="M92" i="16"/>
  <c r="K92" i="16"/>
  <c r="I92" i="16"/>
  <c r="G92" i="16"/>
  <c r="F92" i="16"/>
  <c r="E92" i="16"/>
  <c r="D92" i="16"/>
  <c r="O91" i="16"/>
  <c r="M91" i="16"/>
  <c r="K91" i="16"/>
  <c r="I91" i="16"/>
  <c r="G91" i="16"/>
  <c r="F91" i="16"/>
  <c r="E91" i="16"/>
  <c r="D91" i="16"/>
  <c r="O90" i="16"/>
  <c r="M90" i="16"/>
  <c r="K90" i="16"/>
  <c r="I90" i="16"/>
  <c r="G90" i="16"/>
  <c r="F90" i="16"/>
  <c r="E90" i="16"/>
  <c r="D90" i="16"/>
  <c r="O89" i="16"/>
  <c r="M89" i="16"/>
  <c r="K89" i="16"/>
  <c r="I89" i="16"/>
  <c r="G89" i="16"/>
  <c r="F89" i="16"/>
  <c r="E89" i="16"/>
  <c r="D89" i="16"/>
  <c r="O88" i="16"/>
  <c r="M88" i="16"/>
  <c r="K88" i="16"/>
  <c r="I88" i="16"/>
  <c r="G88" i="16"/>
  <c r="F88" i="16"/>
  <c r="E88" i="16"/>
  <c r="D88" i="16"/>
  <c r="O87" i="16"/>
  <c r="M87" i="16"/>
  <c r="K87" i="16"/>
  <c r="I87" i="16"/>
  <c r="G87" i="16"/>
  <c r="F87" i="16"/>
  <c r="E87" i="16"/>
  <c r="D87" i="16"/>
  <c r="O86" i="16"/>
  <c r="M86" i="16"/>
  <c r="K86" i="16"/>
  <c r="I86" i="16"/>
  <c r="G86" i="16"/>
  <c r="F86" i="16"/>
  <c r="E86" i="16"/>
  <c r="D86" i="16"/>
  <c r="O85" i="16"/>
  <c r="M85" i="16"/>
  <c r="K85" i="16"/>
  <c r="I85" i="16"/>
  <c r="G85" i="16"/>
  <c r="F85" i="16"/>
  <c r="E85" i="16"/>
  <c r="D85" i="16"/>
  <c r="O84" i="16"/>
  <c r="M84" i="16"/>
  <c r="K84" i="16"/>
  <c r="I84" i="16"/>
  <c r="G84" i="16"/>
  <c r="F84" i="16"/>
  <c r="E84" i="16"/>
  <c r="D84" i="16"/>
  <c r="O83" i="16"/>
  <c r="M83" i="16"/>
  <c r="K83" i="16"/>
  <c r="I83" i="16"/>
  <c r="G83" i="16"/>
  <c r="F83" i="16"/>
  <c r="E83" i="16"/>
  <c r="D83" i="16"/>
  <c r="O82" i="16"/>
  <c r="M82" i="16"/>
  <c r="K82" i="16"/>
  <c r="I82" i="16"/>
  <c r="G82" i="16"/>
  <c r="F82" i="16"/>
  <c r="E82" i="16"/>
  <c r="D82" i="16"/>
  <c r="O81" i="16"/>
  <c r="M81" i="16"/>
  <c r="K81" i="16"/>
  <c r="I81" i="16"/>
  <c r="G81" i="16"/>
  <c r="F81" i="16"/>
  <c r="E81" i="16"/>
  <c r="D81" i="16"/>
  <c r="O80" i="16"/>
  <c r="M80" i="16"/>
  <c r="K80" i="16"/>
  <c r="I80" i="16"/>
  <c r="G80" i="16"/>
  <c r="F80" i="16"/>
  <c r="E80" i="16"/>
  <c r="D80" i="16"/>
  <c r="O79" i="16"/>
  <c r="M79" i="16"/>
  <c r="K79" i="16"/>
  <c r="I79" i="16"/>
  <c r="G79" i="16"/>
  <c r="F79" i="16"/>
  <c r="E79" i="16"/>
  <c r="D79" i="16"/>
  <c r="O78" i="16"/>
  <c r="M78" i="16"/>
  <c r="K78" i="16"/>
  <c r="I78" i="16"/>
  <c r="G78" i="16"/>
  <c r="F78" i="16"/>
  <c r="E78" i="16"/>
  <c r="D78" i="16"/>
  <c r="O77" i="16"/>
  <c r="M77" i="16"/>
  <c r="K77" i="16"/>
  <c r="I77" i="16"/>
  <c r="G77" i="16"/>
  <c r="F77" i="16"/>
  <c r="E77" i="16"/>
  <c r="D77" i="16"/>
  <c r="O76" i="16"/>
  <c r="M76" i="16"/>
  <c r="K76" i="16"/>
  <c r="I76" i="16"/>
  <c r="G76" i="16"/>
  <c r="F76" i="16"/>
  <c r="E76" i="16"/>
  <c r="D76" i="16"/>
  <c r="O75" i="16"/>
  <c r="M75" i="16"/>
  <c r="K75" i="16"/>
  <c r="I75" i="16"/>
  <c r="G75" i="16"/>
  <c r="F75" i="16"/>
  <c r="E75" i="16"/>
  <c r="D75" i="16"/>
  <c r="O74" i="16"/>
  <c r="M74" i="16"/>
  <c r="K74" i="16"/>
  <c r="I74" i="16"/>
  <c r="G74" i="16"/>
  <c r="F74" i="16"/>
  <c r="E74" i="16"/>
  <c r="D74" i="16"/>
  <c r="O73" i="16"/>
  <c r="M73" i="16"/>
  <c r="K73" i="16"/>
  <c r="I73" i="16"/>
  <c r="G73" i="16"/>
  <c r="F73" i="16"/>
  <c r="E73" i="16"/>
  <c r="D73" i="16"/>
  <c r="O72" i="16"/>
  <c r="M72" i="16"/>
  <c r="K72" i="16"/>
  <c r="I72" i="16"/>
  <c r="G72" i="16"/>
  <c r="F72" i="16"/>
  <c r="E72" i="16"/>
  <c r="D72" i="16"/>
  <c r="O71" i="16"/>
  <c r="M71" i="16"/>
  <c r="K71" i="16"/>
  <c r="I71" i="16"/>
  <c r="G71" i="16"/>
  <c r="F71" i="16"/>
  <c r="E71" i="16"/>
  <c r="D71" i="16"/>
  <c r="O70" i="16"/>
  <c r="M70" i="16"/>
  <c r="K70" i="16"/>
  <c r="I70" i="16"/>
  <c r="G70" i="16"/>
  <c r="F70" i="16"/>
  <c r="E70" i="16"/>
  <c r="D70" i="16"/>
  <c r="O69" i="16"/>
  <c r="M69" i="16"/>
  <c r="K69" i="16"/>
  <c r="I69" i="16"/>
  <c r="G69" i="16"/>
  <c r="F69" i="16"/>
  <c r="E69" i="16"/>
  <c r="D69" i="16"/>
  <c r="O68" i="16"/>
  <c r="M68" i="16"/>
  <c r="K68" i="16"/>
  <c r="I68" i="16"/>
  <c r="G68" i="16"/>
  <c r="F68" i="16"/>
  <c r="E68" i="16"/>
  <c r="D68" i="16"/>
  <c r="O67" i="16"/>
  <c r="M67" i="16"/>
  <c r="K67" i="16"/>
  <c r="I67" i="16"/>
  <c r="G67" i="16"/>
  <c r="F67" i="16"/>
  <c r="E67" i="16"/>
  <c r="D67" i="16"/>
  <c r="O66" i="16"/>
  <c r="M66" i="16"/>
  <c r="K66" i="16"/>
  <c r="I66" i="16"/>
  <c r="G66" i="16"/>
  <c r="F66" i="16"/>
  <c r="E66" i="16"/>
  <c r="D66" i="16"/>
  <c r="O65" i="16"/>
  <c r="M65" i="16"/>
  <c r="K65" i="16"/>
  <c r="I65" i="16"/>
  <c r="G65" i="16"/>
  <c r="F65" i="16"/>
  <c r="E65" i="16"/>
  <c r="D65" i="16"/>
  <c r="O64" i="16"/>
  <c r="M64" i="16"/>
  <c r="K64" i="16"/>
  <c r="I64" i="16"/>
  <c r="G64" i="16"/>
  <c r="F64" i="16"/>
  <c r="E64" i="16"/>
  <c r="D64" i="16"/>
  <c r="O63" i="16"/>
  <c r="M63" i="16"/>
  <c r="K63" i="16"/>
  <c r="I63" i="16"/>
  <c r="G63" i="16"/>
  <c r="F63" i="16"/>
  <c r="E63" i="16"/>
  <c r="D63" i="16"/>
  <c r="O62" i="16"/>
  <c r="M62" i="16"/>
  <c r="K62" i="16"/>
  <c r="I62" i="16"/>
  <c r="G62" i="16"/>
  <c r="F62" i="16"/>
  <c r="E62" i="16"/>
  <c r="D62" i="16"/>
  <c r="O61" i="16"/>
  <c r="M61" i="16"/>
  <c r="K61" i="16"/>
  <c r="I61" i="16"/>
  <c r="G61" i="16"/>
  <c r="F61" i="16"/>
  <c r="E61" i="16"/>
  <c r="D61" i="16"/>
  <c r="O60" i="16"/>
  <c r="M60" i="16"/>
  <c r="K60" i="16"/>
  <c r="I60" i="16"/>
  <c r="G60" i="16"/>
  <c r="F60" i="16"/>
  <c r="E60" i="16"/>
  <c r="D60" i="16"/>
  <c r="O59" i="16"/>
  <c r="M59" i="16"/>
  <c r="K59" i="16"/>
  <c r="I59" i="16"/>
  <c r="G59" i="16"/>
  <c r="F59" i="16"/>
  <c r="E59" i="16"/>
  <c r="D59" i="16"/>
  <c r="O58" i="16"/>
  <c r="M58" i="16"/>
  <c r="K58" i="16"/>
  <c r="I58" i="16"/>
  <c r="G58" i="16"/>
  <c r="F58" i="16"/>
  <c r="E58" i="16"/>
  <c r="D58" i="16"/>
  <c r="O57" i="16"/>
  <c r="M57" i="16"/>
  <c r="K57" i="16"/>
  <c r="I57" i="16"/>
  <c r="G57" i="16"/>
  <c r="F57" i="16"/>
  <c r="E57" i="16"/>
  <c r="D57" i="16"/>
  <c r="O56" i="16"/>
  <c r="M56" i="16"/>
  <c r="K56" i="16"/>
  <c r="I56" i="16"/>
  <c r="G56" i="16"/>
  <c r="F56" i="16"/>
  <c r="E56" i="16"/>
  <c r="D56" i="16"/>
  <c r="O55" i="16"/>
  <c r="M55" i="16"/>
  <c r="K55" i="16"/>
  <c r="I55" i="16"/>
  <c r="G55" i="16"/>
  <c r="F55" i="16"/>
  <c r="E55" i="16"/>
  <c r="D55" i="16"/>
  <c r="O54" i="16"/>
  <c r="M54" i="16"/>
  <c r="K54" i="16"/>
  <c r="I54" i="16"/>
  <c r="G54" i="16"/>
  <c r="F54" i="16"/>
  <c r="E54" i="16"/>
  <c r="D54" i="16"/>
  <c r="O53" i="16"/>
  <c r="M53" i="16"/>
  <c r="K53" i="16"/>
  <c r="I53" i="16"/>
  <c r="G53" i="16"/>
  <c r="F53" i="16"/>
  <c r="E53" i="16"/>
  <c r="D53" i="16"/>
  <c r="O52" i="16"/>
  <c r="M52" i="16"/>
  <c r="K52" i="16"/>
  <c r="I52" i="16"/>
  <c r="G52" i="16"/>
  <c r="F52" i="16"/>
  <c r="E52" i="16"/>
  <c r="D52" i="16"/>
  <c r="O51" i="16"/>
  <c r="M51" i="16"/>
  <c r="K51" i="16"/>
  <c r="I51" i="16"/>
  <c r="G51" i="16"/>
  <c r="F51" i="16"/>
  <c r="E51" i="16"/>
  <c r="D51" i="16"/>
  <c r="O50" i="16"/>
  <c r="M50" i="16"/>
  <c r="K50" i="16"/>
  <c r="I50" i="16"/>
  <c r="G50" i="16"/>
  <c r="F50" i="16"/>
  <c r="E50" i="16"/>
  <c r="D50" i="16"/>
  <c r="O49" i="16"/>
  <c r="M49" i="16"/>
  <c r="K49" i="16"/>
  <c r="I49" i="16"/>
  <c r="G49" i="16"/>
  <c r="F49" i="16"/>
  <c r="E49" i="16"/>
  <c r="D49" i="16"/>
  <c r="O48" i="16"/>
  <c r="M48" i="16"/>
  <c r="K48" i="16"/>
  <c r="I48" i="16"/>
  <c r="G48" i="16"/>
  <c r="F48" i="16"/>
  <c r="E48" i="16"/>
  <c r="D48" i="16"/>
  <c r="O47" i="16"/>
  <c r="M47" i="16"/>
  <c r="K47" i="16"/>
  <c r="I47" i="16"/>
  <c r="G47" i="16"/>
  <c r="F47" i="16"/>
  <c r="E47" i="16"/>
  <c r="D47" i="16"/>
  <c r="O46" i="16"/>
  <c r="M46" i="16"/>
  <c r="K46" i="16"/>
  <c r="I46" i="16"/>
  <c r="G46" i="16"/>
  <c r="F46" i="16"/>
  <c r="E46" i="16"/>
  <c r="D46" i="16"/>
  <c r="O45" i="16"/>
  <c r="M45" i="16"/>
  <c r="K45" i="16"/>
  <c r="I45" i="16"/>
  <c r="G45" i="16"/>
  <c r="F45" i="16"/>
  <c r="E45" i="16"/>
  <c r="D45" i="16"/>
  <c r="O44" i="16"/>
  <c r="M44" i="16"/>
  <c r="K44" i="16"/>
  <c r="I44" i="16"/>
  <c r="G44" i="16"/>
  <c r="F44" i="16"/>
  <c r="E44" i="16"/>
  <c r="D44" i="16"/>
  <c r="O43" i="16"/>
  <c r="M43" i="16"/>
  <c r="K43" i="16"/>
  <c r="I43" i="16"/>
  <c r="G43" i="16"/>
  <c r="F43" i="16"/>
  <c r="E43" i="16"/>
  <c r="D43" i="16"/>
  <c r="O42" i="16"/>
  <c r="M42" i="16"/>
  <c r="K42" i="16"/>
  <c r="I42" i="16"/>
  <c r="G42" i="16"/>
  <c r="F42" i="16"/>
  <c r="E42" i="16"/>
  <c r="D42" i="16"/>
  <c r="O41" i="16"/>
  <c r="M41" i="16"/>
  <c r="K41" i="16"/>
  <c r="I41" i="16"/>
  <c r="G41" i="16"/>
  <c r="F41" i="16"/>
  <c r="E41" i="16"/>
  <c r="D41" i="16"/>
  <c r="O40" i="16"/>
  <c r="M40" i="16"/>
  <c r="K40" i="16"/>
  <c r="I40" i="16"/>
  <c r="G40" i="16"/>
  <c r="F40" i="16"/>
  <c r="E40" i="16"/>
  <c r="D40" i="16"/>
  <c r="O39" i="16"/>
  <c r="M39" i="16"/>
  <c r="K39" i="16"/>
  <c r="I39" i="16"/>
  <c r="G39" i="16"/>
  <c r="F39" i="16"/>
  <c r="E39" i="16"/>
  <c r="D39" i="16"/>
  <c r="O38" i="16"/>
  <c r="M38" i="16"/>
  <c r="K38" i="16"/>
  <c r="I38" i="16"/>
  <c r="G38" i="16"/>
  <c r="F38" i="16"/>
  <c r="E38" i="16"/>
  <c r="D38" i="16"/>
  <c r="O37" i="16"/>
  <c r="M37" i="16"/>
  <c r="K37" i="16"/>
  <c r="I37" i="16"/>
  <c r="G37" i="16"/>
  <c r="F37" i="16"/>
  <c r="E37" i="16"/>
  <c r="D37" i="16"/>
  <c r="O36" i="16"/>
  <c r="M36" i="16"/>
  <c r="K36" i="16"/>
  <c r="I36" i="16"/>
  <c r="G36" i="16"/>
  <c r="F36" i="16"/>
  <c r="E36" i="16"/>
  <c r="D36" i="16"/>
  <c r="O35" i="16"/>
  <c r="M35" i="16"/>
  <c r="K35" i="16"/>
  <c r="I35" i="16"/>
  <c r="G35" i="16"/>
  <c r="F35" i="16"/>
  <c r="E35" i="16"/>
  <c r="D35" i="16"/>
  <c r="O34" i="16"/>
  <c r="M34" i="16"/>
  <c r="K34" i="16"/>
  <c r="I34" i="16"/>
  <c r="G34" i="16"/>
  <c r="F34" i="16"/>
  <c r="E34" i="16"/>
  <c r="D34" i="16"/>
  <c r="O33" i="16"/>
  <c r="M33" i="16"/>
  <c r="K33" i="16"/>
  <c r="I33" i="16"/>
  <c r="G33" i="16"/>
  <c r="F33" i="16"/>
  <c r="E33" i="16"/>
  <c r="D33" i="16"/>
  <c r="O32" i="16"/>
  <c r="M32" i="16"/>
  <c r="K32" i="16"/>
  <c r="I32" i="16"/>
  <c r="G32" i="16"/>
  <c r="F32" i="16"/>
  <c r="E32" i="16"/>
  <c r="D32" i="16"/>
  <c r="O31" i="16"/>
  <c r="M31" i="16"/>
  <c r="K31" i="16"/>
  <c r="I31" i="16"/>
  <c r="G31" i="16"/>
  <c r="F31" i="16"/>
  <c r="E31" i="16"/>
  <c r="D31" i="16"/>
  <c r="O30" i="16"/>
  <c r="M30" i="16"/>
  <c r="K30" i="16"/>
  <c r="I30" i="16"/>
  <c r="G30" i="16"/>
  <c r="F30" i="16"/>
  <c r="E30" i="16"/>
  <c r="D30" i="16"/>
  <c r="O29" i="16"/>
  <c r="M29" i="16"/>
  <c r="K29" i="16"/>
  <c r="I29" i="16"/>
  <c r="G29" i="16"/>
  <c r="F29" i="16"/>
  <c r="E29" i="16"/>
  <c r="D29" i="16"/>
  <c r="O28" i="16"/>
  <c r="M28" i="16"/>
  <c r="K28" i="16"/>
  <c r="I28" i="16"/>
  <c r="G28" i="16"/>
  <c r="F28" i="16"/>
  <c r="E28" i="16"/>
  <c r="D28" i="16"/>
  <c r="O27" i="16"/>
  <c r="M27" i="16"/>
  <c r="K27" i="16"/>
  <c r="I27" i="16"/>
  <c r="G27" i="16"/>
  <c r="F27" i="16"/>
  <c r="E27" i="16"/>
  <c r="D27" i="16"/>
  <c r="O26" i="16"/>
  <c r="M26" i="16"/>
  <c r="K26" i="16"/>
  <c r="I26" i="16"/>
  <c r="G26" i="16"/>
  <c r="F26" i="16"/>
  <c r="E26" i="16"/>
  <c r="D26" i="16"/>
  <c r="O25" i="16"/>
  <c r="M25" i="16"/>
  <c r="K25" i="16"/>
  <c r="I25" i="16"/>
  <c r="G25" i="16"/>
  <c r="F25" i="16"/>
  <c r="E25" i="16"/>
  <c r="D25" i="16"/>
  <c r="O24" i="16"/>
  <c r="M24" i="16"/>
  <c r="K24" i="16"/>
  <c r="I24" i="16"/>
  <c r="G24" i="16"/>
  <c r="F24" i="16"/>
  <c r="E24" i="16"/>
  <c r="D24" i="16"/>
  <c r="O23" i="16"/>
  <c r="M23" i="16"/>
  <c r="K23" i="16"/>
  <c r="I23" i="16"/>
  <c r="G23" i="16"/>
  <c r="F23" i="16"/>
  <c r="E23" i="16"/>
  <c r="D23" i="16"/>
  <c r="O22" i="16"/>
  <c r="M22" i="16"/>
  <c r="K22" i="16"/>
  <c r="I22" i="16"/>
  <c r="G22" i="16"/>
  <c r="F22" i="16"/>
  <c r="E22" i="16"/>
  <c r="D22" i="16"/>
  <c r="O21" i="16"/>
  <c r="M21" i="16"/>
  <c r="K21" i="16"/>
  <c r="I21" i="16"/>
  <c r="G21" i="16"/>
  <c r="F21" i="16"/>
  <c r="E21" i="16"/>
  <c r="D21" i="16"/>
  <c r="O20" i="16"/>
  <c r="M20" i="16"/>
  <c r="K20" i="16"/>
  <c r="I20" i="16"/>
  <c r="G20" i="16"/>
  <c r="F20" i="16"/>
  <c r="E20" i="16"/>
  <c r="D20" i="16"/>
  <c r="O19" i="16"/>
  <c r="M19" i="16"/>
  <c r="K19" i="16"/>
  <c r="I19" i="16"/>
  <c r="G19" i="16"/>
  <c r="F19" i="16"/>
  <c r="E19" i="16"/>
  <c r="D19" i="16"/>
  <c r="O18" i="16"/>
  <c r="M18" i="16"/>
  <c r="K18" i="16"/>
  <c r="I18" i="16"/>
  <c r="G18" i="16"/>
  <c r="F18" i="16"/>
  <c r="E18" i="16"/>
  <c r="D18" i="16"/>
  <c r="O17" i="16"/>
  <c r="M17" i="16"/>
  <c r="K17" i="16"/>
  <c r="I17" i="16"/>
  <c r="G17" i="16"/>
  <c r="F17" i="16"/>
  <c r="E17" i="16"/>
  <c r="D17" i="16"/>
  <c r="O16" i="16"/>
  <c r="M16" i="16"/>
  <c r="K16" i="16"/>
  <c r="I16" i="16"/>
  <c r="G16" i="16"/>
  <c r="F16" i="16"/>
  <c r="E16" i="16"/>
  <c r="D16" i="16"/>
  <c r="O15" i="16"/>
  <c r="M15" i="16"/>
  <c r="K15" i="16"/>
  <c r="I15" i="16"/>
  <c r="G15" i="16"/>
  <c r="F15" i="16"/>
  <c r="E15" i="16"/>
  <c r="D15" i="16"/>
  <c r="O14" i="16"/>
  <c r="M14" i="16"/>
  <c r="K14" i="16"/>
  <c r="I14" i="16"/>
  <c r="G14" i="16"/>
  <c r="F14" i="16"/>
  <c r="E14" i="16"/>
  <c r="D14" i="16"/>
  <c r="O13" i="16"/>
  <c r="M13" i="16"/>
  <c r="K13" i="16"/>
  <c r="I13" i="16"/>
  <c r="G13" i="16"/>
  <c r="F13" i="16"/>
  <c r="E13" i="16"/>
  <c r="D13" i="16"/>
  <c r="O12" i="16"/>
  <c r="M12" i="16"/>
  <c r="K12" i="16"/>
  <c r="I12" i="16"/>
  <c r="G12" i="16"/>
  <c r="F12" i="16"/>
  <c r="E12" i="16"/>
  <c r="D12" i="16"/>
  <c r="O11" i="16"/>
  <c r="M11" i="16"/>
  <c r="K11" i="16"/>
  <c r="I11" i="16"/>
  <c r="G11" i="16"/>
  <c r="F11" i="16"/>
  <c r="E11" i="16"/>
  <c r="D11" i="16"/>
  <c r="O10" i="16"/>
  <c r="M10" i="16"/>
  <c r="K10" i="16"/>
  <c r="I10" i="16"/>
  <c r="G10" i="16"/>
  <c r="F10" i="16"/>
  <c r="E10" i="16"/>
  <c r="D10" i="16"/>
  <c r="O9" i="16"/>
  <c r="M9" i="16"/>
  <c r="K9" i="16"/>
  <c r="I9" i="16"/>
  <c r="G9" i="16"/>
  <c r="F9" i="16"/>
  <c r="E9" i="16"/>
  <c r="D9" i="16"/>
  <c r="O8" i="16"/>
  <c r="M8" i="16"/>
  <c r="K8" i="16"/>
  <c r="I8" i="16"/>
  <c r="G8" i="16"/>
  <c r="F8" i="16"/>
  <c r="E8" i="16"/>
  <c r="D8" i="16"/>
  <c r="O7" i="16"/>
  <c r="M7" i="16"/>
  <c r="K7" i="16"/>
  <c r="I7" i="16"/>
  <c r="G7" i="16"/>
  <c r="F7" i="16"/>
  <c r="E7" i="16"/>
  <c r="D7" i="16"/>
  <c r="O6" i="16"/>
  <c r="M6" i="16"/>
  <c r="K6" i="16"/>
  <c r="I6" i="16"/>
  <c r="G6" i="16"/>
  <c r="F6" i="16"/>
  <c r="E6" i="16"/>
  <c r="D6" i="16"/>
  <c r="J5" i="15"/>
  <c r="J6" i="15" s="1"/>
  <c r="I5" i="15"/>
  <c r="I6" i="15" s="1"/>
  <c r="G5" i="15"/>
  <c r="G6" i="15" s="1"/>
  <c r="F5" i="15"/>
  <c r="C5" i="15" s="1"/>
  <c r="E5" i="15"/>
  <c r="D5" i="15"/>
  <c r="J4" i="15"/>
  <c r="H4" i="15" s="1"/>
  <c r="I4" i="15"/>
  <c r="G4" i="15"/>
  <c r="D4" i="15" s="1"/>
  <c r="F4" i="15"/>
  <c r="C4" i="15" s="1"/>
  <c r="D6" i="15" l="1"/>
  <c r="B5" i="15"/>
  <c r="C6" i="15"/>
  <c r="B4" i="15"/>
  <c r="E4" i="15"/>
  <c r="E6" i="15" s="1"/>
  <c r="F6" i="15"/>
  <c r="H5" i="15"/>
  <c r="H6" i="15" s="1"/>
  <c r="B6" i="15" l="1"/>
  <c r="BC21" i="14" l="1"/>
  <c r="BB21" i="14"/>
  <c r="BC19" i="14"/>
  <c r="BB19" i="14"/>
  <c r="V33" i="14"/>
  <c r="V32" i="14"/>
  <c r="P419" i="25"/>
  <c r="P420" i="25"/>
  <c r="P421" i="25"/>
  <c r="P422" i="25"/>
  <c r="P423" i="25"/>
  <c r="P424" i="25"/>
  <c r="P425" i="25"/>
  <c r="P426" i="25"/>
  <c r="P427" i="25"/>
  <c r="P428" i="25"/>
  <c r="P429" i="25"/>
  <c r="P430" i="25"/>
  <c r="P431" i="25"/>
  <c r="P432" i="25"/>
  <c r="P433" i="25"/>
  <c r="P434" i="25"/>
  <c r="P435" i="25"/>
  <c r="P436" i="25"/>
  <c r="P437" i="25"/>
  <c r="P438" i="25"/>
  <c r="P439" i="25"/>
  <c r="P440" i="25"/>
  <c r="P441" i="25"/>
  <c r="P442" i="25"/>
  <c r="P443" i="25"/>
  <c r="P444" i="25"/>
  <c r="P445" i="25"/>
  <c r="P446" i="25"/>
  <c r="P447" i="25"/>
  <c r="P448" i="25"/>
  <c r="P449" i="25"/>
  <c r="P450" i="25"/>
  <c r="P451" i="25"/>
  <c r="P452" i="25"/>
  <c r="P453" i="25"/>
  <c r="P454" i="25"/>
  <c r="P455" i="25"/>
  <c r="P456" i="25"/>
  <c r="P457" i="25"/>
  <c r="P458" i="25"/>
  <c r="P459" i="25"/>
  <c r="P460" i="25"/>
  <c r="P461" i="25"/>
  <c r="P462" i="25"/>
  <c r="P463" i="25"/>
  <c r="P464" i="25"/>
  <c r="P465" i="25"/>
  <c r="P466" i="25"/>
  <c r="P467" i="25"/>
  <c r="P468" i="25"/>
  <c r="P469" i="25"/>
  <c r="P470" i="25"/>
  <c r="P471" i="25"/>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O507" i="25"/>
  <c r="N507" i="25"/>
  <c r="M507" i="25"/>
  <c r="L507" i="25"/>
  <c r="J507" i="25"/>
  <c r="I507" i="25"/>
  <c r="H507" i="25"/>
  <c r="G507" i="25"/>
  <c r="E507" i="25"/>
  <c r="D507" i="25"/>
  <c r="K506" i="25"/>
  <c r="F506" i="25"/>
  <c r="K505" i="25"/>
  <c r="F505" i="25"/>
  <c r="K504" i="25"/>
  <c r="F504" i="25"/>
  <c r="K503" i="25"/>
  <c r="F503" i="25"/>
  <c r="K502" i="25"/>
  <c r="F502" i="25"/>
  <c r="K501" i="25"/>
  <c r="F501" i="25"/>
  <c r="K500" i="25"/>
  <c r="F500" i="25"/>
  <c r="K499" i="25"/>
  <c r="F499" i="25"/>
  <c r="K498" i="25"/>
  <c r="F498" i="25"/>
  <c r="K497" i="25"/>
  <c r="F497" i="25"/>
  <c r="K496" i="25"/>
  <c r="F496" i="25"/>
  <c r="K495" i="25"/>
  <c r="F495" i="25"/>
  <c r="K494" i="25"/>
  <c r="F494" i="25"/>
  <c r="K493" i="25"/>
  <c r="F493" i="25"/>
  <c r="K492" i="25"/>
  <c r="F492" i="25"/>
  <c r="K491" i="25"/>
  <c r="F491" i="25"/>
  <c r="K490" i="25"/>
  <c r="F490" i="25"/>
  <c r="K489" i="25"/>
  <c r="F489" i="25"/>
  <c r="K488" i="25"/>
  <c r="F488" i="25"/>
  <c r="K487" i="25"/>
  <c r="F487" i="25"/>
  <c r="K486" i="25"/>
  <c r="F486" i="25"/>
  <c r="K485" i="25"/>
  <c r="F485" i="25"/>
  <c r="K484" i="25"/>
  <c r="F484" i="25"/>
  <c r="K483" i="25"/>
  <c r="F483" i="25"/>
  <c r="K482" i="25"/>
  <c r="F482" i="25"/>
  <c r="K481" i="25"/>
  <c r="F481" i="25"/>
  <c r="K480" i="25"/>
  <c r="F480" i="25"/>
  <c r="K479" i="25"/>
  <c r="F479" i="25"/>
  <c r="K478" i="25"/>
  <c r="F478" i="25"/>
  <c r="K477" i="25"/>
  <c r="F477" i="25"/>
  <c r="K476" i="25"/>
  <c r="F476" i="25"/>
  <c r="K475" i="25"/>
  <c r="F475" i="25"/>
  <c r="K474" i="25"/>
  <c r="F474" i="25"/>
  <c r="K473" i="25"/>
  <c r="F473" i="25"/>
  <c r="K472" i="25"/>
  <c r="F472" i="25"/>
  <c r="K471" i="25"/>
  <c r="F471" i="25"/>
  <c r="K470" i="25"/>
  <c r="F470" i="25"/>
  <c r="K469" i="25"/>
  <c r="F469" i="25"/>
  <c r="K468" i="25"/>
  <c r="F468" i="25"/>
  <c r="K467" i="25"/>
  <c r="F467" i="25"/>
  <c r="K466" i="25"/>
  <c r="F466" i="25"/>
  <c r="K465" i="25"/>
  <c r="F465" i="25"/>
  <c r="K464" i="25"/>
  <c r="F464" i="25"/>
  <c r="K463" i="25"/>
  <c r="F463" i="25"/>
  <c r="K462" i="25"/>
  <c r="F462" i="25"/>
  <c r="K461" i="25"/>
  <c r="F461" i="25"/>
  <c r="K460" i="25"/>
  <c r="F460" i="25"/>
  <c r="K459" i="25"/>
  <c r="F459" i="25"/>
  <c r="K458" i="25"/>
  <c r="F458" i="25"/>
  <c r="K457" i="25"/>
  <c r="F457" i="25"/>
  <c r="K456" i="25"/>
  <c r="F456" i="25"/>
  <c r="K455" i="25"/>
  <c r="F455" i="25"/>
  <c r="K454" i="25"/>
  <c r="F454" i="25"/>
  <c r="K453" i="25"/>
  <c r="F453" i="25"/>
  <c r="K452" i="25"/>
  <c r="F452" i="25"/>
  <c r="K451" i="25"/>
  <c r="F451" i="25"/>
  <c r="K450" i="25"/>
  <c r="F450" i="25"/>
  <c r="K449" i="25"/>
  <c r="F449" i="25"/>
  <c r="K448" i="25"/>
  <c r="F448" i="25"/>
  <c r="K447" i="25"/>
  <c r="F447" i="25"/>
  <c r="K446" i="25"/>
  <c r="F446" i="25"/>
  <c r="K445" i="25"/>
  <c r="F445" i="25"/>
  <c r="K444" i="25"/>
  <c r="F444" i="25"/>
  <c r="K443" i="25"/>
  <c r="F443" i="25"/>
  <c r="K442" i="25"/>
  <c r="F442" i="25"/>
  <c r="K441" i="25"/>
  <c r="F441" i="25"/>
  <c r="K440" i="25"/>
  <c r="F440" i="25"/>
  <c r="K439" i="25"/>
  <c r="F439" i="25"/>
  <c r="K438" i="25"/>
  <c r="F438" i="25"/>
  <c r="K437" i="25"/>
  <c r="F437" i="25"/>
  <c r="K436" i="25"/>
  <c r="F436" i="25"/>
  <c r="K435" i="25"/>
  <c r="F435" i="25"/>
  <c r="K434" i="25"/>
  <c r="F434" i="25"/>
  <c r="K433" i="25"/>
  <c r="F433" i="25"/>
  <c r="K432" i="25"/>
  <c r="F432" i="25"/>
  <c r="K431" i="25"/>
  <c r="F431" i="25"/>
  <c r="K430" i="25"/>
  <c r="F430" i="25"/>
  <c r="K429" i="25"/>
  <c r="F429" i="25"/>
  <c r="K428" i="25"/>
  <c r="F428" i="25"/>
  <c r="K427" i="25"/>
  <c r="F427" i="25"/>
  <c r="K426" i="25"/>
  <c r="F426" i="25"/>
  <c r="K425" i="25"/>
  <c r="F425" i="25"/>
  <c r="K424" i="25"/>
  <c r="F424" i="25"/>
  <c r="K423" i="25"/>
  <c r="F423" i="25"/>
  <c r="K422" i="25"/>
  <c r="F422" i="25"/>
  <c r="K421" i="25"/>
  <c r="F421" i="25"/>
  <c r="K420" i="25"/>
  <c r="F420" i="25"/>
  <c r="K419" i="25"/>
  <c r="F419" i="25"/>
  <c r="K418" i="25"/>
  <c r="F418" i="25"/>
  <c r="K417" i="25"/>
  <c r="F417" i="25"/>
  <c r="K416" i="25"/>
  <c r="F416" i="25"/>
  <c r="K415" i="25"/>
  <c r="F415" i="25"/>
  <c r="K414" i="25"/>
  <c r="F414" i="25"/>
  <c r="K413" i="25"/>
  <c r="F413" i="25"/>
  <c r="K412" i="25"/>
  <c r="F412" i="25"/>
  <c r="K411" i="25"/>
  <c r="F411" i="25"/>
  <c r="K410" i="25"/>
  <c r="F410" i="25"/>
  <c r="K409" i="25"/>
  <c r="F409" i="25"/>
  <c r="K408" i="25"/>
  <c r="F408" i="25"/>
  <c r="K407" i="25"/>
  <c r="F407" i="25"/>
  <c r="K406" i="25"/>
  <c r="F406" i="25"/>
  <c r="K405" i="25"/>
  <c r="F405" i="25"/>
  <c r="K404" i="25"/>
  <c r="F404" i="25"/>
  <c r="K403" i="25"/>
  <c r="F403" i="25"/>
  <c r="K402" i="25"/>
  <c r="F402" i="25"/>
  <c r="K401" i="25"/>
  <c r="F401" i="25"/>
  <c r="K400" i="25"/>
  <c r="F400" i="25"/>
  <c r="K399" i="25"/>
  <c r="F399" i="25"/>
  <c r="K398" i="25"/>
  <c r="F398" i="25"/>
  <c r="K397" i="25"/>
  <c r="F397" i="25"/>
  <c r="K396" i="25"/>
  <c r="F396" i="25"/>
  <c r="K395" i="25"/>
  <c r="F395" i="25"/>
  <c r="K394" i="25"/>
  <c r="F394" i="25"/>
  <c r="K393" i="25"/>
  <c r="F393" i="25"/>
  <c r="K392" i="25"/>
  <c r="F392" i="25"/>
  <c r="K391" i="25"/>
  <c r="F391" i="25"/>
  <c r="K390" i="25"/>
  <c r="F390" i="25"/>
  <c r="K389" i="25"/>
  <c r="F389" i="25"/>
  <c r="K388" i="25"/>
  <c r="F388" i="25"/>
  <c r="K387" i="25"/>
  <c r="F387" i="25"/>
  <c r="K386" i="25"/>
  <c r="F386" i="25"/>
  <c r="K385" i="25"/>
  <c r="F385" i="25"/>
  <c r="K384" i="25"/>
  <c r="F384" i="25"/>
  <c r="K383" i="25"/>
  <c r="F383" i="25"/>
  <c r="K382" i="25"/>
  <c r="F382" i="25"/>
  <c r="K381" i="25"/>
  <c r="F381" i="25"/>
  <c r="K380" i="25"/>
  <c r="F380" i="25"/>
  <c r="K379" i="25"/>
  <c r="F379" i="25"/>
  <c r="K378" i="25"/>
  <c r="F378" i="25"/>
  <c r="K377" i="25"/>
  <c r="F377" i="25"/>
  <c r="K376" i="25"/>
  <c r="F376" i="25"/>
  <c r="K375" i="25"/>
  <c r="F375" i="25"/>
  <c r="K374" i="25"/>
  <c r="F374" i="25"/>
  <c r="K373" i="25"/>
  <c r="F373" i="25"/>
  <c r="K372" i="25"/>
  <c r="F372" i="25"/>
  <c r="K371" i="25"/>
  <c r="F371" i="25"/>
  <c r="K370" i="25"/>
  <c r="F370" i="25"/>
  <c r="K369" i="25"/>
  <c r="F369" i="25"/>
  <c r="K368" i="25"/>
  <c r="F368" i="25"/>
  <c r="K367" i="25"/>
  <c r="F367" i="25"/>
  <c r="K366" i="25"/>
  <c r="F366" i="25"/>
  <c r="K365" i="25"/>
  <c r="F365" i="25"/>
  <c r="K364" i="25"/>
  <c r="F364" i="25"/>
  <c r="K363" i="25"/>
  <c r="F363" i="25"/>
  <c r="K362" i="25"/>
  <c r="F362" i="25"/>
  <c r="K361" i="25"/>
  <c r="F361" i="25"/>
  <c r="K360" i="25"/>
  <c r="F360" i="25"/>
  <c r="K359" i="25"/>
  <c r="F359" i="25"/>
  <c r="K358" i="25"/>
  <c r="F358" i="25"/>
  <c r="K357" i="25"/>
  <c r="F357" i="25"/>
  <c r="K356" i="25"/>
  <c r="F356" i="25"/>
  <c r="K355" i="25"/>
  <c r="F355" i="25"/>
  <c r="K354" i="25"/>
  <c r="F354" i="25"/>
  <c r="K353" i="25"/>
  <c r="F353" i="25"/>
  <c r="K352" i="25"/>
  <c r="F352" i="25"/>
  <c r="K351" i="25"/>
  <c r="F351" i="25"/>
  <c r="K350" i="25"/>
  <c r="F350" i="25"/>
  <c r="K349" i="25"/>
  <c r="F349" i="25"/>
  <c r="K348" i="25"/>
  <c r="F348" i="25"/>
  <c r="K347" i="25"/>
  <c r="F347" i="25"/>
  <c r="K346" i="25"/>
  <c r="F346" i="25"/>
  <c r="K345" i="25"/>
  <c r="F345" i="25"/>
  <c r="K344" i="25"/>
  <c r="F344" i="25"/>
  <c r="K343" i="25"/>
  <c r="F343" i="25"/>
  <c r="K342" i="25"/>
  <c r="F342" i="25"/>
  <c r="K341" i="25"/>
  <c r="F341" i="25"/>
  <c r="K340" i="25"/>
  <c r="F340" i="25"/>
  <c r="K339" i="25"/>
  <c r="F339" i="25"/>
  <c r="K338" i="25"/>
  <c r="F338" i="25"/>
  <c r="K337" i="25"/>
  <c r="F337" i="25"/>
  <c r="K336" i="25"/>
  <c r="F336" i="25"/>
  <c r="K335" i="25"/>
  <c r="F335" i="25"/>
  <c r="K334" i="25"/>
  <c r="F334" i="25"/>
  <c r="K333" i="25"/>
  <c r="F333" i="25"/>
  <c r="K332" i="25"/>
  <c r="F332" i="25"/>
  <c r="K331" i="25"/>
  <c r="F331" i="25"/>
  <c r="K330" i="25"/>
  <c r="F330" i="25"/>
  <c r="K329" i="25"/>
  <c r="F329" i="25"/>
  <c r="K328" i="25"/>
  <c r="F328" i="25"/>
  <c r="K327" i="25"/>
  <c r="F327" i="25"/>
  <c r="K326" i="25"/>
  <c r="F326" i="25"/>
  <c r="K325" i="25"/>
  <c r="F325" i="25"/>
  <c r="K324" i="25"/>
  <c r="F324" i="25"/>
  <c r="K323" i="25"/>
  <c r="F323" i="25"/>
  <c r="K322" i="25"/>
  <c r="F322" i="25"/>
  <c r="K321" i="25"/>
  <c r="F321" i="25"/>
  <c r="K320" i="25"/>
  <c r="F320" i="25"/>
  <c r="K319" i="25"/>
  <c r="F319" i="25"/>
  <c r="K318" i="25"/>
  <c r="F318" i="25"/>
  <c r="K317" i="25"/>
  <c r="F317" i="25"/>
  <c r="K316" i="25"/>
  <c r="F316" i="25"/>
  <c r="K315" i="25"/>
  <c r="F315" i="25"/>
  <c r="K314" i="25"/>
  <c r="F314" i="25"/>
  <c r="K313" i="25"/>
  <c r="F313" i="25"/>
  <c r="K312" i="25"/>
  <c r="F312" i="25"/>
  <c r="K311" i="25"/>
  <c r="F311" i="25"/>
  <c r="K310" i="25"/>
  <c r="F310" i="25"/>
  <c r="K309" i="25"/>
  <c r="F309" i="25"/>
  <c r="K308" i="25"/>
  <c r="F308" i="25"/>
  <c r="K307" i="25"/>
  <c r="F307" i="25"/>
  <c r="K306" i="25"/>
  <c r="F306" i="25"/>
  <c r="K305" i="25"/>
  <c r="F305" i="25"/>
  <c r="K304" i="25"/>
  <c r="F304" i="25"/>
  <c r="K303" i="25"/>
  <c r="F303" i="25"/>
  <c r="K302" i="25"/>
  <c r="F302" i="25"/>
  <c r="K301" i="25"/>
  <c r="F301" i="25"/>
  <c r="K300" i="25"/>
  <c r="F300" i="25"/>
  <c r="K299" i="25"/>
  <c r="F299" i="25"/>
  <c r="K298" i="25"/>
  <c r="F298" i="25"/>
  <c r="K297" i="25"/>
  <c r="F297" i="25"/>
  <c r="K296" i="25"/>
  <c r="F296" i="25"/>
  <c r="K295" i="25"/>
  <c r="F295" i="25"/>
  <c r="K294" i="25"/>
  <c r="F294" i="25"/>
  <c r="K293" i="25"/>
  <c r="F293" i="25"/>
  <c r="K292" i="25"/>
  <c r="F292" i="25"/>
  <c r="K291" i="25"/>
  <c r="F291" i="25"/>
  <c r="K290" i="25"/>
  <c r="F290" i="25"/>
  <c r="K289" i="25"/>
  <c r="F289" i="25"/>
  <c r="K288" i="25"/>
  <c r="F288" i="25"/>
  <c r="K287" i="25"/>
  <c r="F287" i="25"/>
  <c r="K286" i="25"/>
  <c r="F286" i="25"/>
  <c r="K285" i="25"/>
  <c r="F285" i="25"/>
  <c r="K284" i="25"/>
  <c r="F284" i="25"/>
  <c r="K283" i="25"/>
  <c r="F283" i="25"/>
  <c r="K282" i="25"/>
  <c r="F282" i="25"/>
  <c r="K281" i="25"/>
  <c r="F281" i="25"/>
  <c r="K280" i="25"/>
  <c r="F280" i="25"/>
  <c r="K279" i="25"/>
  <c r="F279" i="25"/>
  <c r="K278" i="25"/>
  <c r="F278" i="25"/>
  <c r="K277" i="25"/>
  <c r="F277" i="25"/>
  <c r="K276" i="25"/>
  <c r="F276" i="25"/>
  <c r="K275" i="25"/>
  <c r="F275" i="25"/>
  <c r="K274" i="25"/>
  <c r="F274" i="25"/>
  <c r="K273" i="25"/>
  <c r="F273" i="25"/>
  <c r="K272" i="25"/>
  <c r="F272" i="25"/>
  <c r="K271" i="25"/>
  <c r="F271" i="25"/>
  <c r="K270" i="25"/>
  <c r="F270" i="25"/>
  <c r="K269" i="25"/>
  <c r="F269" i="25"/>
  <c r="K268" i="25"/>
  <c r="F268" i="25"/>
  <c r="K267" i="25"/>
  <c r="F267" i="25"/>
  <c r="K266" i="25"/>
  <c r="F266" i="25"/>
  <c r="K265" i="25"/>
  <c r="F265" i="25"/>
  <c r="K264" i="25"/>
  <c r="F264" i="25"/>
  <c r="K263" i="25"/>
  <c r="F263" i="25"/>
  <c r="K262" i="25"/>
  <c r="F262" i="25"/>
  <c r="K261" i="25"/>
  <c r="F261" i="25"/>
  <c r="K260" i="25"/>
  <c r="F260" i="25"/>
  <c r="K259" i="25"/>
  <c r="F259" i="25"/>
  <c r="K258" i="25"/>
  <c r="F258" i="25"/>
  <c r="K257" i="25"/>
  <c r="F257" i="25"/>
  <c r="K256" i="25"/>
  <c r="F256" i="25"/>
  <c r="K255" i="25"/>
  <c r="F255" i="25"/>
  <c r="K254" i="25"/>
  <c r="F254" i="25"/>
  <c r="K253" i="25"/>
  <c r="F253" i="25"/>
  <c r="K252" i="25"/>
  <c r="F252" i="25"/>
  <c r="K251" i="25"/>
  <c r="F251" i="25"/>
  <c r="K250" i="25"/>
  <c r="F250" i="25"/>
  <c r="K249" i="25"/>
  <c r="F249" i="25"/>
  <c r="K248" i="25"/>
  <c r="F248" i="25"/>
  <c r="K247" i="25"/>
  <c r="F247" i="25"/>
  <c r="K246" i="25"/>
  <c r="F246" i="25"/>
  <c r="K245" i="25"/>
  <c r="F245" i="25"/>
  <c r="K244" i="25"/>
  <c r="F244" i="25"/>
  <c r="K243" i="25"/>
  <c r="F243" i="25"/>
  <c r="K242" i="25"/>
  <c r="F242" i="25"/>
  <c r="K241" i="25"/>
  <c r="F241" i="25"/>
  <c r="K240" i="25"/>
  <c r="F240" i="25"/>
  <c r="K239" i="25"/>
  <c r="F239" i="25"/>
  <c r="K238" i="25"/>
  <c r="F238" i="25"/>
  <c r="K237" i="25"/>
  <c r="F237" i="25"/>
  <c r="K236" i="25"/>
  <c r="F236" i="25"/>
  <c r="K235" i="25"/>
  <c r="F235" i="25"/>
  <c r="K234" i="25"/>
  <c r="F234" i="25"/>
  <c r="K233" i="25"/>
  <c r="F233" i="25"/>
  <c r="K232" i="25"/>
  <c r="F232" i="25"/>
  <c r="K231" i="25"/>
  <c r="F231" i="25"/>
  <c r="K230" i="25"/>
  <c r="F230" i="25"/>
  <c r="K229" i="25"/>
  <c r="F229" i="25"/>
  <c r="K228" i="25"/>
  <c r="F228" i="25"/>
  <c r="K227" i="25"/>
  <c r="F227" i="25"/>
  <c r="K226" i="25"/>
  <c r="F226" i="25"/>
  <c r="K225" i="25"/>
  <c r="F225" i="25"/>
  <c r="K224" i="25"/>
  <c r="F224" i="25"/>
  <c r="K223" i="25"/>
  <c r="F223" i="25"/>
  <c r="K222" i="25"/>
  <c r="F222" i="25"/>
  <c r="K221" i="25"/>
  <c r="F221" i="25"/>
  <c r="K220" i="25"/>
  <c r="F220" i="25"/>
  <c r="K219" i="25"/>
  <c r="F219" i="25"/>
  <c r="K218" i="25"/>
  <c r="F218" i="25"/>
  <c r="K217" i="25"/>
  <c r="F217" i="25"/>
  <c r="K216" i="25"/>
  <c r="F216" i="25"/>
  <c r="K215" i="25"/>
  <c r="F215" i="25"/>
  <c r="K214" i="25"/>
  <c r="F214" i="25"/>
  <c r="K213" i="25"/>
  <c r="F213" i="25"/>
  <c r="K212" i="25"/>
  <c r="F212" i="25"/>
  <c r="K211" i="25"/>
  <c r="F211" i="25"/>
  <c r="K210" i="25"/>
  <c r="F210" i="25"/>
  <c r="K209" i="25"/>
  <c r="F209" i="25"/>
  <c r="K208" i="25"/>
  <c r="F208" i="25"/>
  <c r="K207" i="25"/>
  <c r="F207" i="25"/>
  <c r="K206" i="25"/>
  <c r="F206" i="25"/>
  <c r="K205" i="25"/>
  <c r="F205" i="25"/>
  <c r="K204" i="25"/>
  <c r="F204" i="25"/>
  <c r="K203" i="25"/>
  <c r="F203" i="25"/>
  <c r="K202" i="25"/>
  <c r="F202" i="25"/>
  <c r="K201" i="25"/>
  <c r="F201" i="25"/>
  <c r="K200" i="25"/>
  <c r="F200" i="25"/>
  <c r="K199" i="25"/>
  <c r="F199" i="25"/>
  <c r="K198" i="25"/>
  <c r="F198" i="25"/>
  <c r="K197" i="25"/>
  <c r="F197" i="25"/>
  <c r="K196" i="25"/>
  <c r="F196" i="25"/>
  <c r="K195" i="25"/>
  <c r="F195" i="25"/>
  <c r="K194" i="25"/>
  <c r="F194" i="25"/>
  <c r="K193" i="25"/>
  <c r="F193" i="25"/>
  <c r="K192" i="25"/>
  <c r="F192" i="25"/>
  <c r="K191" i="25"/>
  <c r="F191" i="25"/>
  <c r="K190" i="25"/>
  <c r="F190" i="25"/>
  <c r="K189" i="25"/>
  <c r="F189" i="25"/>
  <c r="K188" i="25"/>
  <c r="F188" i="25"/>
  <c r="K187" i="25"/>
  <c r="F187" i="25"/>
  <c r="K186" i="25"/>
  <c r="F186" i="25"/>
  <c r="K185" i="25"/>
  <c r="F185" i="25"/>
  <c r="K184" i="25"/>
  <c r="F184" i="25"/>
  <c r="K183" i="25"/>
  <c r="F183" i="25"/>
  <c r="K182" i="25"/>
  <c r="F182" i="25"/>
  <c r="K181" i="25"/>
  <c r="F181" i="25"/>
  <c r="K180" i="25"/>
  <c r="F180" i="25"/>
  <c r="K179" i="25"/>
  <c r="F179" i="25"/>
  <c r="K178" i="25"/>
  <c r="F178" i="25"/>
  <c r="K177" i="25"/>
  <c r="F177" i="25"/>
  <c r="K176" i="25"/>
  <c r="F176" i="25"/>
  <c r="K175" i="25"/>
  <c r="F175" i="25"/>
  <c r="K174" i="25"/>
  <c r="F174" i="25"/>
  <c r="K173" i="25"/>
  <c r="F173" i="25"/>
  <c r="K172" i="25"/>
  <c r="F172" i="25"/>
  <c r="K171" i="25"/>
  <c r="F171" i="25"/>
  <c r="K170" i="25"/>
  <c r="F170" i="25"/>
  <c r="K169" i="25"/>
  <c r="F169" i="25"/>
  <c r="K168" i="25"/>
  <c r="F168" i="25"/>
  <c r="K167" i="25"/>
  <c r="F167" i="25"/>
  <c r="K166" i="25"/>
  <c r="F166" i="25"/>
  <c r="K165" i="25"/>
  <c r="F165" i="25"/>
  <c r="K164" i="25"/>
  <c r="F164" i="25"/>
  <c r="K163" i="25"/>
  <c r="F163" i="25"/>
  <c r="K162" i="25"/>
  <c r="F162" i="25"/>
  <c r="K161" i="25"/>
  <c r="F161" i="25"/>
  <c r="K160" i="25"/>
  <c r="F160" i="25"/>
  <c r="K159" i="25"/>
  <c r="F159" i="25"/>
  <c r="K158" i="25"/>
  <c r="F158" i="25"/>
  <c r="K157" i="25"/>
  <c r="F157" i="25"/>
  <c r="K156" i="25"/>
  <c r="F156" i="25"/>
  <c r="K155" i="25"/>
  <c r="F155" i="25"/>
  <c r="K154" i="25"/>
  <c r="F154" i="25"/>
  <c r="K153" i="25"/>
  <c r="F153" i="25"/>
  <c r="K152" i="25"/>
  <c r="F152" i="25"/>
  <c r="K151" i="25"/>
  <c r="F151" i="25"/>
  <c r="K150" i="25"/>
  <c r="F150" i="25"/>
  <c r="K149" i="25"/>
  <c r="F149" i="25"/>
  <c r="K148" i="25"/>
  <c r="F148" i="25"/>
  <c r="K147" i="25"/>
  <c r="F147" i="25"/>
  <c r="K146" i="25"/>
  <c r="F146" i="25"/>
  <c r="K145" i="25"/>
  <c r="F145" i="25"/>
  <c r="K144" i="25"/>
  <c r="F144" i="25"/>
  <c r="K143" i="25"/>
  <c r="F143" i="25"/>
  <c r="K142" i="25"/>
  <c r="F142" i="25"/>
  <c r="K141" i="25"/>
  <c r="F141" i="25"/>
  <c r="K140" i="25"/>
  <c r="F140" i="25"/>
  <c r="K139" i="25"/>
  <c r="F139" i="25"/>
  <c r="K138" i="25"/>
  <c r="F138" i="25"/>
  <c r="K137" i="25"/>
  <c r="F137" i="25"/>
  <c r="K136" i="25"/>
  <c r="F136" i="25"/>
  <c r="K135" i="25"/>
  <c r="F135" i="25"/>
  <c r="K134" i="25"/>
  <c r="F134" i="25"/>
  <c r="K133" i="25"/>
  <c r="F133" i="25"/>
  <c r="K132" i="25"/>
  <c r="F132" i="25"/>
  <c r="K131" i="25"/>
  <c r="F131" i="25"/>
  <c r="K130" i="25"/>
  <c r="F130" i="25"/>
  <c r="K129" i="25"/>
  <c r="F129" i="25"/>
  <c r="K128" i="25"/>
  <c r="F128" i="25"/>
  <c r="K127" i="25"/>
  <c r="F127" i="25"/>
  <c r="K126" i="25"/>
  <c r="F126" i="25"/>
  <c r="K125" i="25"/>
  <c r="F125" i="25"/>
  <c r="K124" i="25"/>
  <c r="F124" i="25"/>
  <c r="K123" i="25"/>
  <c r="F123" i="25"/>
  <c r="K122" i="25"/>
  <c r="F122" i="25"/>
  <c r="K121" i="25"/>
  <c r="F121" i="25"/>
  <c r="K120" i="25"/>
  <c r="F120" i="25"/>
  <c r="K119" i="25"/>
  <c r="F119" i="25"/>
  <c r="K118" i="25"/>
  <c r="F118" i="25"/>
  <c r="K117" i="25"/>
  <c r="F117" i="25"/>
  <c r="K116" i="25"/>
  <c r="F116" i="25"/>
  <c r="K115" i="25"/>
  <c r="F115" i="25"/>
  <c r="K114" i="25"/>
  <c r="F114" i="25"/>
  <c r="K113" i="25"/>
  <c r="F113" i="25"/>
  <c r="K112" i="25"/>
  <c r="F112" i="25"/>
  <c r="K111" i="25"/>
  <c r="F111" i="25"/>
  <c r="K110" i="25"/>
  <c r="F110" i="25"/>
  <c r="K109" i="25"/>
  <c r="F109" i="25"/>
  <c r="K108" i="25"/>
  <c r="F108" i="25"/>
  <c r="K107" i="25"/>
  <c r="F107" i="25"/>
  <c r="K106" i="25"/>
  <c r="F106" i="25"/>
  <c r="K105" i="25"/>
  <c r="F105" i="25"/>
  <c r="K104" i="25"/>
  <c r="F104" i="25"/>
  <c r="K103" i="25"/>
  <c r="F103" i="25"/>
  <c r="K102" i="25"/>
  <c r="F102" i="25"/>
  <c r="K101" i="25"/>
  <c r="F101" i="25"/>
  <c r="K100" i="25"/>
  <c r="F100" i="25"/>
  <c r="K99" i="25"/>
  <c r="F99" i="25"/>
  <c r="K98" i="25"/>
  <c r="F98" i="25"/>
  <c r="K97" i="25"/>
  <c r="F97" i="25"/>
  <c r="K96" i="25"/>
  <c r="F96" i="25"/>
  <c r="K95" i="25"/>
  <c r="F95" i="25"/>
  <c r="K94" i="25"/>
  <c r="F94" i="25"/>
  <c r="K93" i="25"/>
  <c r="F93" i="25"/>
  <c r="K92" i="25"/>
  <c r="F92" i="25"/>
  <c r="K91" i="25"/>
  <c r="F91" i="25"/>
  <c r="K90" i="25"/>
  <c r="F90" i="25"/>
  <c r="K89" i="25"/>
  <c r="F89" i="25"/>
  <c r="K88" i="25"/>
  <c r="F88" i="25"/>
  <c r="K87" i="25"/>
  <c r="F87" i="25"/>
  <c r="K86" i="25"/>
  <c r="F86" i="25"/>
  <c r="K85" i="25"/>
  <c r="F85" i="25"/>
  <c r="K84" i="25"/>
  <c r="F84" i="25"/>
  <c r="K83" i="25"/>
  <c r="F83" i="25"/>
  <c r="K82" i="25"/>
  <c r="F82" i="25"/>
  <c r="K81" i="25"/>
  <c r="F81" i="25"/>
  <c r="K80" i="25"/>
  <c r="F80" i="25"/>
  <c r="K79" i="25"/>
  <c r="F79" i="25"/>
  <c r="K78" i="25"/>
  <c r="F78" i="25"/>
  <c r="K77" i="25"/>
  <c r="F77" i="25"/>
  <c r="K76" i="25"/>
  <c r="F76" i="25"/>
  <c r="K75" i="25"/>
  <c r="F75" i="25"/>
  <c r="K74" i="25"/>
  <c r="F74" i="25"/>
  <c r="K73" i="25"/>
  <c r="F73" i="25"/>
  <c r="K72" i="25"/>
  <c r="F72" i="25"/>
  <c r="K71" i="25"/>
  <c r="F71" i="25"/>
  <c r="K70" i="25"/>
  <c r="F70" i="25"/>
  <c r="K69" i="25"/>
  <c r="F69" i="25"/>
  <c r="K68" i="25"/>
  <c r="F68" i="25"/>
  <c r="K67" i="25"/>
  <c r="F67" i="25"/>
  <c r="K66" i="25"/>
  <c r="F66" i="25"/>
  <c r="K65" i="25"/>
  <c r="F65" i="25"/>
  <c r="K64" i="25"/>
  <c r="F64" i="25"/>
  <c r="K63" i="25"/>
  <c r="F63" i="25"/>
  <c r="K62" i="25"/>
  <c r="F62" i="25"/>
  <c r="K61" i="25"/>
  <c r="F61" i="25"/>
  <c r="K60" i="25"/>
  <c r="F60" i="25"/>
  <c r="K59" i="25"/>
  <c r="F59" i="25"/>
  <c r="K58" i="25"/>
  <c r="F58" i="25"/>
  <c r="K57" i="25"/>
  <c r="F57" i="25"/>
  <c r="K56" i="25"/>
  <c r="F56" i="25"/>
  <c r="K55" i="25"/>
  <c r="F55" i="25"/>
  <c r="K54" i="25"/>
  <c r="F54" i="25"/>
  <c r="K53" i="25"/>
  <c r="F53" i="25"/>
  <c r="K52" i="25"/>
  <c r="F52" i="25"/>
  <c r="K51" i="25"/>
  <c r="F51" i="25"/>
  <c r="K50" i="25"/>
  <c r="F50" i="25"/>
  <c r="K49" i="25"/>
  <c r="F49" i="25"/>
  <c r="K48" i="25"/>
  <c r="F48" i="25"/>
  <c r="K47" i="25"/>
  <c r="F47" i="25"/>
  <c r="K46" i="25"/>
  <c r="F46" i="25"/>
  <c r="K45" i="25"/>
  <c r="F45" i="25"/>
  <c r="K44" i="25"/>
  <c r="F44" i="25"/>
  <c r="K43" i="25"/>
  <c r="F43" i="25"/>
  <c r="K42" i="25"/>
  <c r="F42" i="25"/>
  <c r="K41" i="25"/>
  <c r="F41" i="25"/>
  <c r="K40" i="25"/>
  <c r="F40" i="25"/>
  <c r="K39" i="25"/>
  <c r="F39" i="25"/>
  <c r="K38" i="25"/>
  <c r="F38" i="25"/>
  <c r="K37" i="25"/>
  <c r="F37" i="25"/>
  <c r="K36" i="25"/>
  <c r="F36" i="25"/>
  <c r="K35" i="25"/>
  <c r="F35" i="25"/>
  <c r="K34" i="25"/>
  <c r="F34" i="25"/>
  <c r="K33" i="25"/>
  <c r="F33" i="25"/>
  <c r="K32" i="25"/>
  <c r="F32" i="25"/>
  <c r="K31" i="25"/>
  <c r="F31" i="25"/>
  <c r="K30" i="25"/>
  <c r="F30" i="25"/>
  <c r="K29" i="25"/>
  <c r="F29" i="25"/>
  <c r="K28" i="25"/>
  <c r="F28" i="25"/>
  <c r="K27" i="25"/>
  <c r="F27" i="25"/>
  <c r="K26" i="25"/>
  <c r="F26" i="25"/>
  <c r="K25" i="25"/>
  <c r="F25" i="25"/>
  <c r="K24" i="25"/>
  <c r="F24" i="25"/>
  <c r="K23" i="25"/>
  <c r="F23" i="25"/>
  <c r="K22" i="25"/>
  <c r="F22" i="25"/>
  <c r="K21" i="25"/>
  <c r="F21" i="25"/>
  <c r="K20" i="25"/>
  <c r="F20" i="25"/>
  <c r="K19" i="25"/>
  <c r="F19" i="25"/>
  <c r="K18" i="25"/>
  <c r="F18" i="25"/>
  <c r="K17" i="25"/>
  <c r="F17" i="25"/>
  <c r="K16" i="25"/>
  <c r="F16" i="25"/>
  <c r="K15" i="25"/>
  <c r="F15" i="25"/>
  <c r="K14" i="25"/>
  <c r="F14" i="25"/>
  <c r="K13" i="25"/>
  <c r="F13" i="25"/>
  <c r="K12" i="25"/>
  <c r="F12" i="25"/>
  <c r="K11" i="25"/>
  <c r="F11" i="25"/>
  <c r="K10" i="25"/>
  <c r="F10" i="25"/>
  <c r="K9" i="25"/>
  <c r="F9" i="25"/>
  <c r="K8" i="25"/>
  <c r="F8" i="25"/>
  <c r="K7" i="25"/>
  <c r="F7" i="25"/>
  <c r="K6" i="25"/>
  <c r="F6" i="25"/>
  <c r="O180" i="24"/>
  <c r="N180" i="24"/>
  <c r="M180" i="24"/>
  <c r="L180" i="24"/>
  <c r="K180" i="24"/>
  <c r="J180" i="24"/>
  <c r="I180" i="24"/>
  <c r="H180" i="24"/>
  <c r="G180" i="24"/>
  <c r="O178" i="24"/>
  <c r="M178" i="24"/>
  <c r="K178" i="24"/>
  <c r="I178" i="24"/>
  <c r="G178" i="24"/>
  <c r="F178" i="24"/>
  <c r="E178" i="24"/>
  <c r="D178" i="24"/>
  <c r="O177" i="24"/>
  <c r="M177" i="24"/>
  <c r="K177" i="24"/>
  <c r="I177" i="24"/>
  <c r="G177" i="24"/>
  <c r="F177" i="24"/>
  <c r="E177" i="24"/>
  <c r="D177" i="24"/>
  <c r="O176" i="24"/>
  <c r="M176" i="24"/>
  <c r="K176" i="24"/>
  <c r="I176" i="24"/>
  <c r="G176" i="24"/>
  <c r="F176" i="24"/>
  <c r="E176" i="24"/>
  <c r="D176" i="24"/>
  <c r="O175" i="24"/>
  <c r="M175" i="24"/>
  <c r="K175" i="24"/>
  <c r="I175" i="24"/>
  <c r="G175" i="24"/>
  <c r="F175" i="24"/>
  <c r="E175" i="24"/>
  <c r="D175" i="24"/>
  <c r="O174" i="24"/>
  <c r="M174" i="24"/>
  <c r="K174" i="24"/>
  <c r="I174" i="24"/>
  <c r="G174" i="24"/>
  <c r="F174" i="24"/>
  <c r="E174" i="24"/>
  <c r="D174" i="24"/>
  <c r="O173" i="24"/>
  <c r="M173" i="24"/>
  <c r="K173" i="24"/>
  <c r="I173" i="24"/>
  <c r="G173" i="24"/>
  <c r="F173" i="24"/>
  <c r="E173" i="24"/>
  <c r="D173" i="24"/>
  <c r="O172" i="24"/>
  <c r="M172" i="24"/>
  <c r="K172" i="24"/>
  <c r="I172" i="24"/>
  <c r="G172" i="24"/>
  <c r="F172" i="24"/>
  <c r="E172" i="24"/>
  <c r="D172" i="24"/>
  <c r="O171" i="24"/>
  <c r="M171" i="24"/>
  <c r="K171" i="24"/>
  <c r="I171" i="24"/>
  <c r="G171" i="24"/>
  <c r="F171" i="24"/>
  <c r="E171" i="24"/>
  <c r="D171" i="24"/>
  <c r="O170" i="24"/>
  <c r="M170" i="24"/>
  <c r="K170" i="24"/>
  <c r="I170" i="24"/>
  <c r="G170" i="24"/>
  <c r="F170" i="24"/>
  <c r="E170" i="24"/>
  <c r="D170" i="24"/>
  <c r="O169" i="24"/>
  <c r="M169" i="24"/>
  <c r="K169" i="24"/>
  <c r="I169" i="24"/>
  <c r="G169" i="24"/>
  <c r="F169" i="24"/>
  <c r="E169" i="24"/>
  <c r="D169" i="24"/>
  <c r="O168" i="24"/>
  <c r="M168" i="24"/>
  <c r="K168" i="24"/>
  <c r="I168" i="24"/>
  <c r="G168" i="24"/>
  <c r="F168" i="24"/>
  <c r="E168" i="24"/>
  <c r="D168" i="24"/>
  <c r="O167" i="24"/>
  <c r="M167" i="24"/>
  <c r="K167" i="24"/>
  <c r="I167" i="24"/>
  <c r="G167" i="24"/>
  <c r="F167" i="24"/>
  <c r="E167" i="24"/>
  <c r="D167" i="24"/>
  <c r="O166" i="24"/>
  <c r="M166" i="24"/>
  <c r="K166" i="24"/>
  <c r="I166" i="24"/>
  <c r="G166" i="24"/>
  <c r="F166" i="24"/>
  <c r="E166" i="24"/>
  <c r="D166" i="24"/>
  <c r="O165" i="24"/>
  <c r="M165" i="24"/>
  <c r="K165" i="24"/>
  <c r="I165" i="24"/>
  <c r="G165" i="24"/>
  <c r="F165" i="24"/>
  <c r="E165" i="24"/>
  <c r="D165" i="24"/>
  <c r="O164" i="24"/>
  <c r="M164" i="24"/>
  <c r="K164" i="24"/>
  <c r="I164" i="24"/>
  <c r="G164" i="24"/>
  <c r="F164" i="24"/>
  <c r="E164" i="24"/>
  <c r="D164" i="24"/>
  <c r="O163" i="24"/>
  <c r="M163" i="24"/>
  <c r="K163" i="24"/>
  <c r="I163" i="24"/>
  <c r="G163" i="24"/>
  <c r="F163" i="24"/>
  <c r="E163" i="24"/>
  <c r="D163" i="24"/>
  <c r="O162" i="24"/>
  <c r="M162" i="24"/>
  <c r="K162" i="24"/>
  <c r="I162" i="24"/>
  <c r="G162" i="24"/>
  <c r="F162" i="24"/>
  <c r="E162" i="24"/>
  <c r="D162" i="24"/>
  <c r="O161" i="24"/>
  <c r="M161" i="24"/>
  <c r="K161" i="24"/>
  <c r="I161" i="24"/>
  <c r="G161" i="24"/>
  <c r="F161" i="24"/>
  <c r="E161" i="24"/>
  <c r="D161" i="24"/>
  <c r="O160" i="24"/>
  <c r="M160" i="24"/>
  <c r="K160" i="24"/>
  <c r="I160" i="24"/>
  <c r="G160" i="24"/>
  <c r="F160" i="24"/>
  <c r="E160" i="24"/>
  <c r="D160" i="24"/>
  <c r="O159" i="24"/>
  <c r="M159" i="24"/>
  <c r="K159" i="24"/>
  <c r="I159" i="24"/>
  <c r="G159" i="24"/>
  <c r="F159" i="24"/>
  <c r="E159" i="24"/>
  <c r="D159" i="24"/>
  <c r="O158" i="24"/>
  <c r="M158" i="24"/>
  <c r="K158" i="24"/>
  <c r="I158" i="24"/>
  <c r="G158" i="24"/>
  <c r="F158" i="24"/>
  <c r="E158" i="24"/>
  <c r="D158" i="24"/>
  <c r="O157" i="24"/>
  <c r="M157" i="24"/>
  <c r="K157" i="24"/>
  <c r="I157" i="24"/>
  <c r="G157" i="24"/>
  <c r="F157" i="24"/>
  <c r="E157" i="24"/>
  <c r="D157" i="24"/>
  <c r="O156" i="24"/>
  <c r="M156" i="24"/>
  <c r="K156" i="24"/>
  <c r="I156" i="24"/>
  <c r="G156" i="24"/>
  <c r="F156" i="24"/>
  <c r="E156" i="24"/>
  <c r="D156" i="24"/>
  <c r="O155" i="24"/>
  <c r="M155" i="24"/>
  <c r="K155" i="24"/>
  <c r="I155" i="24"/>
  <c r="G155" i="24"/>
  <c r="F155" i="24"/>
  <c r="E155" i="24"/>
  <c r="D155" i="24"/>
  <c r="O154" i="24"/>
  <c r="M154" i="24"/>
  <c r="K154" i="24"/>
  <c r="I154" i="24"/>
  <c r="G154" i="24"/>
  <c r="F154" i="24"/>
  <c r="E154" i="24"/>
  <c r="D154" i="24"/>
  <c r="O153" i="24"/>
  <c r="M153" i="24"/>
  <c r="K153" i="24"/>
  <c r="I153" i="24"/>
  <c r="G153" i="24"/>
  <c r="F153" i="24"/>
  <c r="E153" i="24"/>
  <c r="D153" i="24"/>
  <c r="O152" i="24"/>
  <c r="M152" i="24"/>
  <c r="K152" i="24"/>
  <c r="I152" i="24"/>
  <c r="G152" i="24"/>
  <c r="F152" i="24"/>
  <c r="E152" i="24"/>
  <c r="D152" i="24"/>
  <c r="O151" i="24"/>
  <c r="M151" i="24"/>
  <c r="K151" i="24"/>
  <c r="I151" i="24"/>
  <c r="G151" i="24"/>
  <c r="F151" i="24"/>
  <c r="E151" i="24"/>
  <c r="D151" i="24"/>
  <c r="O150" i="24"/>
  <c r="M150" i="24"/>
  <c r="K150" i="24"/>
  <c r="I150" i="24"/>
  <c r="G150" i="24"/>
  <c r="F150" i="24"/>
  <c r="E150" i="24"/>
  <c r="D150" i="24"/>
  <c r="O149" i="24"/>
  <c r="M149" i="24"/>
  <c r="K149" i="24"/>
  <c r="I149" i="24"/>
  <c r="G149" i="24"/>
  <c r="F149" i="24"/>
  <c r="E149" i="24"/>
  <c r="D149" i="24"/>
  <c r="O148" i="24"/>
  <c r="M148" i="24"/>
  <c r="K148" i="24"/>
  <c r="I148" i="24"/>
  <c r="G148" i="24"/>
  <c r="F148" i="24"/>
  <c r="E148" i="24"/>
  <c r="D148" i="24"/>
  <c r="O147" i="24"/>
  <c r="M147" i="24"/>
  <c r="K147" i="24"/>
  <c r="I147" i="24"/>
  <c r="G147" i="24"/>
  <c r="F147" i="24"/>
  <c r="E147" i="24"/>
  <c r="D147" i="24"/>
  <c r="O146" i="24"/>
  <c r="M146" i="24"/>
  <c r="K146" i="24"/>
  <c r="I146" i="24"/>
  <c r="G146" i="24"/>
  <c r="F146" i="24"/>
  <c r="E146" i="24"/>
  <c r="D146" i="24"/>
  <c r="O145" i="24"/>
  <c r="M145" i="24"/>
  <c r="K145" i="24"/>
  <c r="I145" i="24"/>
  <c r="G145" i="24"/>
  <c r="F145" i="24"/>
  <c r="E145" i="24"/>
  <c r="D145" i="24"/>
  <c r="O144" i="24"/>
  <c r="M144" i="24"/>
  <c r="K144" i="24"/>
  <c r="I144" i="24"/>
  <c r="G144" i="24"/>
  <c r="F144" i="24"/>
  <c r="E144" i="24"/>
  <c r="D144" i="24"/>
  <c r="O143" i="24"/>
  <c r="M143" i="24"/>
  <c r="K143" i="24"/>
  <c r="I143" i="24"/>
  <c r="G143" i="24"/>
  <c r="F143" i="24"/>
  <c r="E143" i="24"/>
  <c r="D143" i="24"/>
  <c r="O142" i="24"/>
  <c r="M142" i="24"/>
  <c r="K142" i="24"/>
  <c r="I142" i="24"/>
  <c r="G142" i="24"/>
  <c r="F142" i="24"/>
  <c r="E142" i="24"/>
  <c r="D142" i="24"/>
  <c r="O141" i="24"/>
  <c r="M141" i="24"/>
  <c r="K141" i="24"/>
  <c r="I141" i="24"/>
  <c r="G141" i="24"/>
  <c r="F141" i="24"/>
  <c r="E141" i="24"/>
  <c r="D141" i="24"/>
  <c r="O140" i="24"/>
  <c r="M140" i="24"/>
  <c r="K140" i="24"/>
  <c r="I140" i="24"/>
  <c r="G140" i="24"/>
  <c r="F140" i="24"/>
  <c r="E140" i="24"/>
  <c r="D140" i="24"/>
  <c r="O139" i="24"/>
  <c r="M139" i="24"/>
  <c r="K139" i="24"/>
  <c r="I139" i="24"/>
  <c r="G139" i="24"/>
  <c r="F139" i="24"/>
  <c r="E139" i="24"/>
  <c r="D139" i="24"/>
  <c r="O138" i="24"/>
  <c r="M138" i="24"/>
  <c r="K138" i="24"/>
  <c r="I138" i="24"/>
  <c r="G138" i="24"/>
  <c r="F138" i="24"/>
  <c r="E138" i="24"/>
  <c r="D138" i="24"/>
  <c r="O137" i="24"/>
  <c r="M137" i="24"/>
  <c r="K137" i="24"/>
  <c r="I137" i="24"/>
  <c r="G137" i="24"/>
  <c r="F137" i="24"/>
  <c r="E137" i="24"/>
  <c r="D137" i="24"/>
  <c r="O136" i="24"/>
  <c r="M136" i="24"/>
  <c r="K136" i="24"/>
  <c r="I136" i="24"/>
  <c r="G136" i="24"/>
  <c r="F136" i="24"/>
  <c r="E136" i="24"/>
  <c r="D136" i="24"/>
  <c r="O135" i="24"/>
  <c r="M135" i="24"/>
  <c r="K135" i="24"/>
  <c r="I135" i="24"/>
  <c r="G135" i="24"/>
  <c r="F135" i="24"/>
  <c r="E135" i="24"/>
  <c r="D135" i="24"/>
  <c r="O134" i="24"/>
  <c r="M134" i="24"/>
  <c r="K134" i="24"/>
  <c r="I134" i="24"/>
  <c r="G134" i="24"/>
  <c r="F134" i="24"/>
  <c r="E134" i="24"/>
  <c r="D134" i="24"/>
  <c r="O133" i="24"/>
  <c r="M133" i="24"/>
  <c r="K133" i="24"/>
  <c r="I133" i="24"/>
  <c r="G133" i="24"/>
  <c r="F133" i="24"/>
  <c r="E133" i="24"/>
  <c r="D133" i="24"/>
  <c r="O132" i="24"/>
  <c r="M132" i="24"/>
  <c r="K132" i="24"/>
  <c r="I132" i="24"/>
  <c r="G132" i="24"/>
  <c r="F132" i="24"/>
  <c r="E132" i="24"/>
  <c r="D132" i="24"/>
  <c r="O131" i="24"/>
  <c r="M131" i="24"/>
  <c r="K131" i="24"/>
  <c r="I131" i="24"/>
  <c r="G131" i="24"/>
  <c r="F131" i="24"/>
  <c r="E131" i="24"/>
  <c r="D131" i="24"/>
  <c r="O130" i="24"/>
  <c r="M130" i="24"/>
  <c r="K130" i="24"/>
  <c r="I130" i="24"/>
  <c r="G130" i="24"/>
  <c r="F130" i="24"/>
  <c r="E130" i="24"/>
  <c r="D130" i="24"/>
  <c r="O129" i="24"/>
  <c r="M129" i="24"/>
  <c r="K129" i="24"/>
  <c r="I129" i="24"/>
  <c r="G129" i="24"/>
  <c r="F129" i="24"/>
  <c r="E129" i="24"/>
  <c r="D129" i="24"/>
  <c r="O128" i="24"/>
  <c r="M128" i="24"/>
  <c r="K128" i="24"/>
  <c r="I128" i="24"/>
  <c r="G128" i="24"/>
  <c r="F128" i="24"/>
  <c r="E128" i="24"/>
  <c r="D128" i="24"/>
  <c r="O127" i="24"/>
  <c r="M127" i="24"/>
  <c r="K127" i="24"/>
  <c r="I127" i="24"/>
  <c r="G127" i="24"/>
  <c r="F127" i="24"/>
  <c r="E127" i="24"/>
  <c r="D127" i="24"/>
  <c r="O126" i="24"/>
  <c r="M126" i="24"/>
  <c r="K126" i="24"/>
  <c r="I126" i="24"/>
  <c r="G126" i="24"/>
  <c r="F126" i="24"/>
  <c r="E126" i="24"/>
  <c r="D126" i="24"/>
  <c r="O125" i="24"/>
  <c r="M125" i="24"/>
  <c r="K125" i="24"/>
  <c r="I125" i="24"/>
  <c r="G125" i="24"/>
  <c r="F125" i="24"/>
  <c r="E125" i="24"/>
  <c r="D125" i="24"/>
  <c r="O124" i="24"/>
  <c r="M124" i="24"/>
  <c r="K124" i="24"/>
  <c r="I124" i="24"/>
  <c r="G124" i="24"/>
  <c r="F124" i="24"/>
  <c r="E124" i="24"/>
  <c r="D124" i="24"/>
  <c r="O123" i="24"/>
  <c r="M123" i="24"/>
  <c r="K123" i="24"/>
  <c r="I123" i="24"/>
  <c r="G123" i="24"/>
  <c r="F123" i="24"/>
  <c r="E123" i="24"/>
  <c r="D123" i="24"/>
  <c r="O122" i="24"/>
  <c r="M122" i="24"/>
  <c r="K122" i="24"/>
  <c r="I122" i="24"/>
  <c r="G122" i="24"/>
  <c r="F122" i="24"/>
  <c r="E122" i="24"/>
  <c r="D122" i="24"/>
  <c r="O121" i="24"/>
  <c r="M121" i="24"/>
  <c r="K121" i="24"/>
  <c r="I121" i="24"/>
  <c r="G121" i="24"/>
  <c r="F121" i="24"/>
  <c r="E121" i="24"/>
  <c r="D121" i="24"/>
  <c r="O120" i="24"/>
  <c r="M120" i="24"/>
  <c r="K120" i="24"/>
  <c r="I120" i="24"/>
  <c r="G120" i="24"/>
  <c r="F120" i="24"/>
  <c r="E120" i="24"/>
  <c r="D120" i="24"/>
  <c r="O119" i="24"/>
  <c r="M119" i="24"/>
  <c r="K119" i="24"/>
  <c r="I119" i="24"/>
  <c r="G119" i="24"/>
  <c r="F119" i="24"/>
  <c r="E119" i="24"/>
  <c r="D119" i="24"/>
  <c r="O118" i="24"/>
  <c r="M118" i="24"/>
  <c r="K118" i="24"/>
  <c r="I118" i="24"/>
  <c r="G118" i="24"/>
  <c r="F118" i="24"/>
  <c r="E118" i="24"/>
  <c r="D118" i="24"/>
  <c r="O117" i="24"/>
  <c r="M117" i="24"/>
  <c r="K117" i="24"/>
  <c r="I117" i="24"/>
  <c r="G117" i="24"/>
  <c r="F117" i="24"/>
  <c r="E117" i="24"/>
  <c r="D117" i="24"/>
  <c r="O116" i="24"/>
  <c r="M116" i="24"/>
  <c r="K116" i="24"/>
  <c r="I116" i="24"/>
  <c r="G116" i="24"/>
  <c r="F116" i="24"/>
  <c r="E116" i="24"/>
  <c r="D116" i="24"/>
  <c r="O115" i="24"/>
  <c r="M115" i="24"/>
  <c r="K115" i="24"/>
  <c r="I115" i="24"/>
  <c r="G115" i="24"/>
  <c r="F115" i="24"/>
  <c r="E115" i="24"/>
  <c r="D115" i="24"/>
  <c r="O114" i="24"/>
  <c r="M114" i="24"/>
  <c r="K114" i="24"/>
  <c r="I114" i="24"/>
  <c r="G114" i="24"/>
  <c r="F114" i="24"/>
  <c r="E114" i="24"/>
  <c r="D114" i="24"/>
  <c r="O113" i="24"/>
  <c r="M113" i="24"/>
  <c r="K113" i="24"/>
  <c r="I113" i="24"/>
  <c r="G113" i="24"/>
  <c r="F113" i="24"/>
  <c r="E113" i="24"/>
  <c r="D113" i="24"/>
  <c r="O112" i="24"/>
  <c r="M112" i="24"/>
  <c r="K112" i="24"/>
  <c r="I112" i="24"/>
  <c r="G112" i="24"/>
  <c r="F112" i="24"/>
  <c r="E112" i="24"/>
  <c r="D112" i="24"/>
  <c r="O111" i="24"/>
  <c r="M111" i="24"/>
  <c r="K111" i="24"/>
  <c r="I111" i="24"/>
  <c r="G111" i="24"/>
  <c r="F111" i="24"/>
  <c r="E111" i="24"/>
  <c r="D111" i="24"/>
  <c r="O110" i="24"/>
  <c r="M110" i="24"/>
  <c r="K110" i="24"/>
  <c r="I110" i="24"/>
  <c r="G110" i="24"/>
  <c r="F110" i="24"/>
  <c r="E110" i="24"/>
  <c r="D110" i="24"/>
  <c r="O109" i="24"/>
  <c r="M109" i="24"/>
  <c r="K109" i="24"/>
  <c r="I109" i="24"/>
  <c r="G109" i="24"/>
  <c r="F109" i="24"/>
  <c r="E109" i="24"/>
  <c r="D109" i="24"/>
  <c r="O108" i="24"/>
  <c r="M108" i="24"/>
  <c r="K108" i="24"/>
  <c r="I108" i="24"/>
  <c r="G108" i="24"/>
  <c r="F108" i="24"/>
  <c r="E108" i="24"/>
  <c r="D108" i="24"/>
  <c r="O107" i="24"/>
  <c r="M107" i="24"/>
  <c r="K107" i="24"/>
  <c r="I107" i="24"/>
  <c r="G107" i="24"/>
  <c r="F107" i="24"/>
  <c r="E107" i="24"/>
  <c r="D107" i="24"/>
  <c r="O106" i="24"/>
  <c r="M106" i="24"/>
  <c r="K106" i="24"/>
  <c r="I106" i="24"/>
  <c r="G106" i="24"/>
  <c r="F106" i="24"/>
  <c r="E106" i="24"/>
  <c r="D106" i="24"/>
  <c r="O105" i="24"/>
  <c r="M105" i="24"/>
  <c r="K105" i="24"/>
  <c r="I105" i="24"/>
  <c r="G105" i="24"/>
  <c r="F105" i="24"/>
  <c r="E105" i="24"/>
  <c r="D105" i="24"/>
  <c r="O104" i="24"/>
  <c r="M104" i="24"/>
  <c r="K104" i="24"/>
  <c r="I104" i="24"/>
  <c r="G104" i="24"/>
  <c r="F104" i="24"/>
  <c r="E104" i="24"/>
  <c r="D104" i="24"/>
  <c r="O103" i="24"/>
  <c r="M103" i="24"/>
  <c r="K103" i="24"/>
  <c r="I103" i="24"/>
  <c r="G103" i="24"/>
  <c r="F103" i="24"/>
  <c r="E103" i="24"/>
  <c r="D103" i="24"/>
  <c r="O102" i="24"/>
  <c r="M102" i="24"/>
  <c r="K102" i="24"/>
  <c r="I102" i="24"/>
  <c r="G102" i="24"/>
  <c r="F102" i="24"/>
  <c r="E102" i="24"/>
  <c r="D102" i="24"/>
  <c r="O101" i="24"/>
  <c r="M101" i="24"/>
  <c r="K101" i="24"/>
  <c r="I101" i="24"/>
  <c r="G101" i="24"/>
  <c r="F101" i="24"/>
  <c r="E101" i="24"/>
  <c r="D101" i="24"/>
  <c r="O100" i="24"/>
  <c r="M100" i="24"/>
  <c r="K100" i="24"/>
  <c r="I100" i="24"/>
  <c r="G100" i="24"/>
  <c r="F100" i="24"/>
  <c r="E100" i="24"/>
  <c r="D100" i="24"/>
  <c r="O99" i="24"/>
  <c r="M99" i="24"/>
  <c r="K99" i="24"/>
  <c r="I99" i="24"/>
  <c r="G99" i="24"/>
  <c r="F99" i="24"/>
  <c r="E99" i="24"/>
  <c r="D99" i="24"/>
  <c r="O98" i="24"/>
  <c r="M98" i="24"/>
  <c r="K98" i="24"/>
  <c r="I98" i="24"/>
  <c r="G98" i="24"/>
  <c r="F98" i="24"/>
  <c r="E98" i="24"/>
  <c r="D98" i="24"/>
  <c r="O97" i="24"/>
  <c r="M97" i="24"/>
  <c r="K97" i="24"/>
  <c r="I97" i="24"/>
  <c r="G97" i="24"/>
  <c r="F97" i="24"/>
  <c r="E97" i="24"/>
  <c r="D97" i="24"/>
  <c r="O96" i="24"/>
  <c r="M96" i="24"/>
  <c r="K96" i="24"/>
  <c r="I96" i="24"/>
  <c r="G96" i="24"/>
  <c r="F96" i="24"/>
  <c r="E96" i="24"/>
  <c r="D96" i="24"/>
  <c r="O95" i="24"/>
  <c r="M95" i="24"/>
  <c r="K95" i="24"/>
  <c r="I95" i="24"/>
  <c r="G95" i="24"/>
  <c r="F95" i="24"/>
  <c r="E95" i="24"/>
  <c r="D95" i="24"/>
  <c r="O94" i="24"/>
  <c r="M94" i="24"/>
  <c r="K94" i="24"/>
  <c r="I94" i="24"/>
  <c r="G94" i="24"/>
  <c r="F94" i="24"/>
  <c r="E94" i="24"/>
  <c r="D94" i="24"/>
  <c r="O93" i="24"/>
  <c r="M93" i="24"/>
  <c r="K93" i="24"/>
  <c r="I93" i="24"/>
  <c r="G93" i="24"/>
  <c r="F93" i="24"/>
  <c r="E93" i="24"/>
  <c r="D93" i="24"/>
  <c r="O92" i="24"/>
  <c r="M92" i="24"/>
  <c r="K92" i="24"/>
  <c r="I92" i="24"/>
  <c r="G92" i="24"/>
  <c r="F92" i="24"/>
  <c r="E92" i="24"/>
  <c r="D92" i="24"/>
  <c r="O91" i="24"/>
  <c r="M91" i="24"/>
  <c r="K91" i="24"/>
  <c r="I91" i="24"/>
  <c r="G91" i="24"/>
  <c r="F91" i="24"/>
  <c r="E91" i="24"/>
  <c r="D91" i="24"/>
  <c r="O90" i="24"/>
  <c r="M90" i="24"/>
  <c r="K90" i="24"/>
  <c r="I90" i="24"/>
  <c r="G90" i="24"/>
  <c r="F90" i="24"/>
  <c r="E90" i="24"/>
  <c r="D90" i="24"/>
  <c r="O89" i="24"/>
  <c r="M89" i="24"/>
  <c r="K89" i="24"/>
  <c r="I89" i="24"/>
  <c r="G89" i="24"/>
  <c r="F89" i="24"/>
  <c r="E89" i="24"/>
  <c r="D89" i="24"/>
  <c r="O88" i="24"/>
  <c r="M88" i="24"/>
  <c r="K88" i="24"/>
  <c r="I88" i="24"/>
  <c r="G88" i="24"/>
  <c r="F88" i="24"/>
  <c r="E88" i="24"/>
  <c r="D88" i="24"/>
  <c r="O87" i="24"/>
  <c r="M87" i="24"/>
  <c r="K87" i="24"/>
  <c r="I87" i="24"/>
  <c r="G87" i="24"/>
  <c r="F87" i="24"/>
  <c r="E87" i="24"/>
  <c r="D87" i="24"/>
  <c r="O86" i="24"/>
  <c r="M86" i="24"/>
  <c r="K86" i="24"/>
  <c r="I86" i="24"/>
  <c r="G86" i="24"/>
  <c r="F86" i="24"/>
  <c r="E86" i="24"/>
  <c r="D86" i="24"/>
  <c r="O85" i="24"/>
  <c r="M85" i="24"/>
  <c r="K85" i="24"/>
  <c r="I85" i="24"/>
  <c r="G85" i="24"/>
  <c r="F85" i="24"/>
  <c r="E85" i="24"/>
  <c r="D85" i="24"/>
  <c r="O84" i="24"/>
  <c r="M84" i="24"/>
  <c r="K84" i="24"/>
  <c r="I84" i="24"/>
  <c r="G84" i="24"/>
  <c r="F84" i="24"/>
  <c r="E84" i="24"/>
  <c r="D84" i="24"/>
  <c r="O83" i="24"/>
  <c r="M83" i="24"/>
  <c r="K83" i="24"/>
  <c r="I83" i="24"/>
  <c r="G83" i="24"/>
  <c r="F83" i="24"/>
  <c r="E83" i="24"/>
  <c r="D83" i="24"/>
  <c r="O82" i="24"/>
  <c r="M82" i="24"/>
  <c r="K82" i="24"/>
  <c r="I82" i="24"/>
  <c r="G82" i="24"/>
  <c r="F82" i="24"/>
  <c r="E82" i="24"/>
  <c r="D82" i="24"/>
  <c r="O81" i="24"/>
  <c r="M81" i="24"/>
  <c r="K81" i="24"/>
  <c r="I81" i="24"/>
  <c r="G81" i="24"/>
  <c r="F81" i="24"/>
  <c r="E81" i="24"/>
  <c r="D81" i="24"/>
  <c r="O80" i="24"/>
  <c r="M80" i="24"/>
  <c r="K80" i="24"/>
  <c r="I80" i="24"/>
  <c r="G80" i="24"/>
  <c r="F80" i="24"/>
  <c r="E80" i="24"/>
  <c r="D80" i="24"/>
  <c r="O79" i="24"/>
  <c r="M79" i="24"/>
  <c r="K79" i="24"/>
  <c r="I79" i="24"/>
  <c r="G79" i="24"/>
  <c r="F79" i="24"/>
  <c r="E79" i="24"/>
  <c r="D79" i="24"/>
  <c r="O78" i="24"/>
  <c r="M78" i="24"/>
  <c r="K78" i="24"/>
  <c r="I78" i="24"/>
  <c r="G78" i="24"/>
  <c r="F78" i="24"/>
  <c r="E78" i="24"/>
  <c r="D78" i="24"/>
  <c r="O77" i="24"/>
  <c r="M77" i="24"/>
  <c r="K77" i="24"/>
  <c r="I77" i="24"/>
  <c r="G77" i="24"/>
  <c r="F77" i="24"/>
  <c r="E77" i="24"/>
  <c r="D77" i="24"/>
  <c r="O76" i="24"/>
  <c r="M76" i="24"/>
  <c r="K76" i="24"/>
  <c r="I76" i="24"/>
  <c r="G76" i="24"/>
  <c r="F76" i="24"/>
  <c r="E76" i="24"/>
  <c r="D76" i="24"/>
  <c r="O75" i="24"/>
  <c r="M75" i="24"/>
  <c r="K75" i="24"/>
  <c r="I75" i="24"/>
  <c r="G75" i="24"/>
  <c r="F75" i="24"/>
  <c r="E75" i="24"/>
  <c r="D75" i="24"/>
  <c r="O74" i="24"/>
  <c r="M74" i="24"/>
  <c r="K74" i="24"/>
  <c r="I74" i="24"/>
  <c r="G74" i="24"/>
  <c r="F74" i="24"/>
  <c r="E74" i="24"/>
  <c r="D74" i="24"/>
  <c r="O73" i="24"/>
  <c r="M73" i="24"/>
  <c r="K73" i="24"/>
  <c r="I73" i="24"/>
  <c r="G73" i="24"/>
  <c r="F73" i="24"/>
  <c r="E73" i="24"/>
  <c r="D73" i="24"/>
  <c r="O72" i="24"/>
  <c r="M72" i="24"/>
  <c r="K72" i="24"/>
  <c r="I72" i="24"/>
  <c r="G72" i="24"/>
  <c r="F72" i="24"/>
  <c r="E72" i="24"/>
  <c r="D72" i="24"/>
  <c r="O71" i="24"/>
  <c r="M71" i="24"/>
  <c r="K71" i="24"/>
  <c r="I71" i="24"/>
  <c r="G71" i="24"/>
  <c r="F71" i="24"/>
  <c r="E71" i="24"/>
  <c r="D71" i="24"/>
  <c r="O70" i="24"/>
  <c r="M70" i="24"/>
  <c r="K70" i="24"/>
  <c r="I70" i="24"/>
  <c r="G70" i="24"/>
  <c r="F70" i="24"/>
  <c r="E70" i="24"/>
  <c r="D70" i="24"/>
  <c r="O69" i="24"/>
  <c r="M69" i="24"/>
  <c r="K69" i="24"/>
  <c r="I69" i="24"/>
  <c r="G69" i="24"/>
  <c r="F69" i="24"/>
  <c r="E69" i="24"/>
  <c r="D69" i="24"/>
  <c r="O68" i="24"/>
  <c r="M68" i="24"/>
  <c r="K68" i="24"/>
  <c r="I68" i="24"/>
  <c r="G68" i="24"/>
  <c r="F68" i="24"/>
  <c r="E68" i="24"/>
  <c r="D68" i="24"/>
  <c r="O67" i="24"/>
  <c r="M67" i="24"/>
  <c r="K67" i="24"/>
  <c r="I67" i="24"/>
  <c r="G67" i="24"/>
  <c r="F67" i="24"/>
  <c r="E67" i="24"/>
  <c r="D67" i="24"/>
  <c r="O66" i="24"/>
  <c r="M66" i="24"/>
  <c r="K66" i="24"/>
  <c r="I66" i="24"/>
  <c r="G66" i="24"/>
  <c r="F66" i="24"/>
  <c r="E66" i="24"/>
  <c r="D66" i="24"/>
  <c r="O65" i="24"/>
  <c r="M65" i="24"/>
  <c r="K65" i="24"/>
  <c r="I65" i="24"/>
  <c r="G65" i="24"/>
  <c r="F65" i="24"/>
  <c r="E65" i="24"/>
  <c r="D65" i="24"/>
  <c r="O64" i="24"/>
  <c r="M64" i="24"/>
  <c r="K64" i="24"/>
  <c r="I64" i="24"/>
  <c r="G64" i="24"/>
  <c r="F64" i="24"/>
  <c r="E64" i="24"/>
  <c r="D64" i="24"/>
  <c r="O63" i="24"/>
  <c r="M63" i="24"/>
  <c r="K63" i="24"/>
  <c r="I63" i="24"/>
  <c r="G63" i="24"/>
  <c r="F63" i="24"/>
  <c r="E63" i="24"/>
  <c r="D63" i="24"/>
  <c r="O62" i="24"/>
  <c r="M62" i="24"/>
  <c r="K62" i="24"/>
  <c r="I62" i="24"/>
  <c r="G62" i="24"/>
  <c r="F62" i="24"/>
  <c r="E62" i="24"/>
  <c r="D62" i="24"/>
  <c r="O61" i="24"/>
  <c r="M61" i="24"/>
  <c r="K61" i="24"/>
  <c r="I61" i="24"/>
  <c r="G61" i="24"/>
  <c r="F61" i="24"/>
  <c r="E61" i="24"/>
  <c r="D61" i="24"/>
  <c r="O60" i="24"/>
  <c r="M60" i="24"/>
  <c r="K60" i="24"/>
  <c r="I60" i="24"/>
  <c r="G60" i="24"/>
  <c r="F60" i="24"/>
  <c r="E60" i="24"/>
  <c r="D60" i="24"/>
  <c r="O59" i="24"/>
  <c r="M59" i="24"/>
  <c r="K59" i="24"/>
  <c r="I59" i="24"/>
  <c r="G59" i="24"/>
  <c r="F59" i="24"/>
  <c r="E59" i="24"/>
  <c r="D59" i="24"/>
  <c r="O58" i="24"/>
  <c r="M58" i="24"/>
  <c r="K58" i="24"/>
  <c r="I58" i="24"/>
  <c r="G58" i="24"/>
  <c r="F58" i="24"/>
  <c r="E58" i="24"/>
  <c r="D58" i="24"/>
  <c r="O57" i="24"/>
  <c r="M57" i="24"/>
  <c r="K57" i="24"/>
  <c r="I57" i="24"/>
  <c r="G57" i="24"/>
  <c r="F57" i="24"/>
  <c r="E57" i="24"/>
  <c r="D57" i="24"/>
  <c r="O56" i="24"/>
  <c r="M56" i="24"/>
  <c r="K56" i="24"/>
  <c r="I56" i="24"/>
  <c r="G56" i="24"/>
  <c r="F56" i="24"/>
  <c r="E56" i="24"/>
  <c r="D56" i="24"/>
  <c r="O55" i="24"/>
  <c r="M55" i="24"/>
  <c r="K55" i="24"/>
  <c r="I55" i="24"/>
  <c r="G55" i="24"/>
  <c r="F55" i="24"/>
  <c r="E55" i="24"/>
  <c r="D55" i="24"/>
  <c r="O54" i="24"/>
  <c r="M54" i="24"/>
  <c r="K54" i="24"/>
  <c r="I54" i="24"/>
  <c r="G54" i="24"/>
  <c r="F54" i="24"/>
  <c r="E54" i="24"/>
  <c r="D54" i="24"/>
  <c r="O53" i="24"/>
  <c r="M53" i="24"/>
  <c r="K53" i="24"/>
  <c r="I53" i="24"/>
  <c r="G53" i="24"/>
  <c r="F53" i="24"/>
  <c r="E53" i="24"/>
  <c r="D53" i="24"/>
  <c r="O52" i="24"/>
  <c r="M52" i="24"/>
  <c r="K52" i="24"/>
  <c r="I52" i="24"/>
  <c r="G52" i="24"/>
  <c r="F52" i="24"/>
  <c r="E52" i="24"/>
  <c r="D52" i="24"/>
  <c r="O51" i="24"/>
  <c r="M51" i="24"/>
  <c r="K51" i="24"/>
  <c r="I51" i="24"/>
  <c r="G51" i="24"/>
  <c r="F51" i="24"/>
  <c r="E51" i="24"/>
  <c r="D51" i="24"/>
  <c r="O50" i="24"/>
  <c r="M50" i="24"/>
  <c r="K50" i="24"/>
  <c r="I50" i="24"/>
  <c r="G50" i="24"/>
  <c r="F50" i="24"/>
  <c r="E50" i="24"/>
  <c r="D50" i="24"/>
  <c r="O49" i="24"/>
  <c r="M49" i="24"/>
  <c r="K49" i="24"/>
  <c r="I49" i="24"/>
  <c r="G49" i="24"/>
  <c r="F49" i="24"/>
  <c r="E49" i="24"/>
  <c r="D49" i="24"/>
  <c r="O48" i="24"/>
  <c r="M48" i="24"/>
  <c r="K48" i="24"/>
  <c r="I48" i="24"/>
  <c r="G48" i="24"/>
  <c r="F48" i="24"/>
  <c r="E48" i="24"/>
  <c r="D48" i="24"/>
  <c r="O47" i="24"/>
  <c r="M47" i="24"/>
  <c r="K47" i="24"/>
  <c r="I47" i="24"/>
  <c r="G47" i="24"/>
  <c r="F47" i="24"/>
  <c r="E47" i="24"/>
  <c r="D47" i="24"/>
  <c r="O46" i="24"/>
  <c r="M46" i="24"/>
  <c r="K46" i="24"/>
  <c r="I46" i="24"/>
  <c r="G46" i="24"/>
  <c r="F46" i="24"/>
  <c r="E46" i="24"/>
  <c r="D46" i="24"/>
  <c r="O45" i="24"/>
  <c r="M45" i="24"/>
  <c r="K45" i="24"/>
  <c r="I45" i="24"/>
  <c r="G45" i="24"/>
  <c r="F45" i="24"/>
  <c r="E45" i="24"/>
  <c r="D45" i="24"/>
  <c r="O44" i="24"/>
  <c r="M44" i="24"/>
  <c r="K44" i="24"/>
  <c r="I44" i="24"/>
  <c r="G44" i="24"/>
  <c r="F44" i="24"/>
  <c r="E44" i="24"/>
  <c r="D44" i="24"/>
  <c r="O43" i="24"/>
  <c r="M43" i="24"/>
  <c r="K43" i="24"/>
  <c r="I43" i="24"/>
  <c r="G43" i="24"/>
  <c r="F43" i="24"/>
  <c r="E43" i="24"/>
  <c r="D43" i="24"/>
  <c r="O42" i="24"/>
  <c r="M42" i="24"/>
  <c r="K42" i="24"/>
  <c r="I42" i="24"/>
  <c r="G42" i="24"/>
  <c r="F42" i="24"/>
  <c r="E42" i="24"/>
  <c r="D42" i="24"/>
  <c r="O41" i="24"/>
  <c r="M41" i="24"/>
  <c r="K41" i="24"/>
  <c r="I41" i="24"/>
  <c r="G41" i="24"/>
  <c r="F41" i="24"/>
  <c r="E41" i="24"/>
  <c r="D41" i="24"/>
  <c r="O40" i="24"/>
  <c r="M40" i="24"/>
  <c r="K40" i="24"/>
  <c r="I40" i="24"/>
  <c r="G40" i="24"/>
  <c r="F40" i="24"/>
  <c r="E40" i="24"/>
  <c r="D40" i="24"/>
  <c r="O39" i="24"/>
  <c r="M39" i="24"/>
  <c r="K39" i="24"/>
  <c r="I39" i="24"/>
  <c r="G39" i="24"/>
  <c r="F39" i="24"/>
  <c r="E39" i="24"/>
  <c r="D39" i="24"/>
  <c r="O38" i="24"/>
  <c r="M38" i="24"/>
  <c r="K38" i="24"/>
  <c r="I38" i="24"/>
  <c r="G38" i="24"/>
  <c r="F38" i="24"/>
  <c r="E38" i="24"/>
  <c r="D38" i="24"/>
  <c r="O37" i="24"/>
  <c r="M37" i="24"/>
  <c r="K37" i="24"/>
  <c r="I37" i="24"/>
  <c r="G37" i="24"/>
  <c r="F37" i="24"/>
  <c r="E37" i="24"/>
  <c r="D37" i="24"/>
  <c r="O36" i="24"/>
  <c r="M36" i="24"/>
  <c r="K36" i="24"/>
  <c r="I36" i="24"/>
  <c r="G36" i="24"/>
  <c r="F36" i="24"/>
  <c r="E36" i="24"/>
  <c r="D36" i="24"/>
  <c r="O35" i="24"/>
  <c r="M35" i="24"/>
  <c r="K35" i="24"/>
  <c r="I35" i="24"/>
  <c r="G35" i="24"/>
  <c r="F35" i="24"/>
  <c r="E35" i="24"/>
  <c r="D35" i="24"/>
  <c r="O34" i="24"/>
  <c r="M34" i="24"/>
  <c r="K34" i="24"/>
  <c r="I34" i="24"/>
  <c r="G34" i="24"/>
  <c r="F34" i="24"/>
  <c r="E34" i="24"/>
  <c r="D34" i="24"/>
  <c r="O33" i="24"/>
  <c r="M33" i="24"/>
  <c r="K33" i="24"/>
  <c r="I33" i="24"/>
  <c r="G33" i="24"/>
  <c r="F33" i="24"/>
  <c r="E33" i="24"/>
  <c r="D33" i="24"/>
  <c r="O32" i="24"/>
  <c r="M32" i="24"/>
  <c r="K32" i="24"/>
  <c r="I32" i="24"/>
  <c r="G32" i="24"/>
  <c r="F32" i="24"/>
  <c r="E32" i="24"/>
  <c r="D32" i="24"/>
  <c r="O31" i="24"/>
  <c r="M31" i="24"/>
  <c r="K31" i="24"/>
  <c r="I31" i="24"/>
  <c r="G31" i="24"/>
  <c r="F31" i="24"/>
  <c r="E31" i="24"/>
  <c r="D31" i="24"/>
  <c r="O30" i="24"/>
  <c r="M30" i="24"/>
  <c r="K30" i="24"/>
  <c r="I30" i="24"/>
  <c r="G30" i="24"/>
  <c r="F30" i="24"/>
  <c r="E30" i="24"/>
  <c r="D30" i="24"/>
  <c r="O29" i="24"/>
  <c r="M29" i="24"/>
  <c r="K29" i="24"/>
  <c r="I29" i="24"/>
  <c r="G29" i="24"/>
  <c r="F29" i="24"/>
  <c r="E29" i="24"/>
  <c r="D29" i="24"/>
  <c r="O28" i="24"/>
  <c r="M28" i="24"/>
  <c r="K28" i="24"/>
  <c r="I28" i="24"/>
  <c r="G28" i="24"/>
  <c r="F28" i="24"/>
  <c r="E28" i="24"/>
  <c r="D28" i="24"/>
  <c r="O27" i="24"/>
  <c r="M27" i="24"/>
  <c r="K27" i="24"/>
  <c r="I27" i="24"/>
  <c r="G27" i="24"/>
  <c r="F27" i="24"/>
  <c r="E27" i="24"/>
  <c r="D27" i="24"/>
  <c r="O26" i="24"/>
  <c r="M26" i="24"/>
  <c r="K26" i="24"/>
  <c r="I26" i="24"/>
  <c r="G26" i="24"/>
  <c r="F26" i="24"/>
  <c r="E26" i="24"/>
  <c r="D26" i="24"/>
  <c r="O25" i="24"/>
  <c r="M25" i="24"/>
  <c r="K25" i="24"/>
  <c r="I25" i="24"/>
  <c r="G25" i="24"/>
  <c r="F25" i="24"/>
  <c r="E25" i="24"/>
  <c r="D25" i="24"/>
  <c r="O24" i="24"/>
  <c r="M24" i="24"/>
  <c r="K24" i="24"/>
  <c r="I24" i="24"/>
  <c r="G24" i="24"/>
  <c r="F24" i="24"/>
  <c r="E24" i="24"/>
  <c r="D24" i="24"/>
  <c r="O23" i="24"/>
  <c r="M23" i="24"/>
  <c r="K23" i="24"/>
  <c r="I23" i="24"/>
  <c r="G23" i="24"/>
  <c r="F23" i="24"/>
  <c r="E23" i="24"/>
  <c r="D23" i="24"/>
  <c r="O22" i="24"/>
  <c r="M22" i="24"/>
  <c r="K22" i="24"/>
  <c r="I22" i="24"/>
  <c r="G22" i="24"/>
  <c r="F22" i="24"/>
  <c r="E22" i="24"/>
  <c r="D22" i="24"/>
  <c r="O21" i="24"/>
  <c r="M21" i="24"/>
  <c r="K21" i="24"/>
  <c r="I21" i="24"/>
  <c r="G21" i="24"/>
  <c r="F21" i="24"/>
  <c r="E21" i="24"/>
  <c r="D21" i="24"/>
  <c r="O20" i="24"/>
  <c r="M20" i="24"/>
  <c r="K20" i="24"/>
  <c r="I20" i="24"/>
  <c r="G20" i="24"/>
  <c r="F20" i="24"/>
  <c r="E20" i="24"/>
  <c r="D20" i="24"/>
  <c r="O19" i="24"/>
  <c r="M19" i="24"/>
  <c r="K19" i="24"/>
  <c r="I19" i="24"/>
  <c r="G19" i="24"/>
  <c r="F19" i="24"/>
  <c r="E19" i="24"/>
  <c r="D19" i="24"/>
  <c r="O18" i="24"/>
  <c r="M18" i="24"/>
  <c r="K18" i="24"/>
  <c r="I18" i="24"/>
  <c r="G18" i="24"/>
  <c r="F18" i="24"/>
  <c r="E18" i="24"/>
  <c r="D18" i="24"/>
  <c r="O17" i="24"/>
  <c r="M17" i="24"/>
  <c r="K17" i="24"/>
  <c r="I17" i="24"/>
  <c r="G17" i="24"/>
  <c r="F17" i="24"/>
  <c r="E17" i="24"/>
  <c r="D17" i="24"/>
  <c r="O16" i="24"/>
  <c r="M16" i="24"/>
  <c r="K16" i="24"/>
  <c r="I16" i="24"/>
  <c r="G16" i="24"/>
  <c r="F16" i="24"/>
  <c r="E16" i="24"/>
  <c r="D16" i="24"/>
  <c r="O15" i="24"/>
  <c r="M15" i="24"/>
  <c r="K15" i="24"/>
  <c r="I15" i="24"/>
  <c r="G15" i="24"/>
  <c r="F15" i="24"/>
  <c r="E15" i="24"/>
  <c r="D15" i="24"/>
  <c r="O14" i="24"/>
  <c r="M14" i="24"/>
  <c r="K14" i="24"/>
  <c r="I14" i="24"/>
  <c r="G14" i="24"/>
  <c r="F14" i="24"/>
  <c r="E14" i="24"/>
  <c r="D14" i="24"/>
  <c r="O13" i="24"/>
  <c r="M13" i="24"/>
  <c r="K13" i="24"/>
  <c r="I13" i="24"/>
  <c r="G13" i="24"/>
  <c r="F13" i="24"/>
  <c r="E13" i="24"/>
  <c r="D13" i="24"/>
  <c r="O12" i="24"/>
  <c r="M12" i="24"/>
  <c r="K12" i="24"/>
  <c r="I12" i="24"/>
  <c r="G12" i="24"/>
  <c r="F12" i="24"/>
  <c r="E12" i="24"/>
  <c r="D12" i="24"/>
  <c r="O11" i="24"/>
  <c r="M11" i="24"/>
  <c r="K11" i="24"/>
  <c r="I11" i="24"/>
  <c r="G11" i="24"/>
  <c r="F11" i="24"/>
  <c r="E11" i="24"/>
  <c r="D11" i="24"/>
  <c r="O10" i="24"/>
  <c r="M10" i="24"/>
  <c r="K10" i="24"/>
  <c r="I10" i="24"/>
  <c r="G10" i="24"/>
  <c r="F10" i="24"/>
  <c r="E10" i="24"/>
  <c r="D10" i="24"/>
  <c r="O9" i="24"/>
  <c r="M9" i="24"/>
  <c r="K9" i="24"/>
  <c r="I9" i="24"/>
  <c r="G9" i="24"/>
  <c r="F9" i="24"/>
  <c r="E9" i="24"/>
  <c r="D9" i="24"/>
  <c r="O8" i="24"/>
  <c r="M8" i="24"/>
  <c r="K8" i="24"/>
  <c r="I8" i="24"/>
  <c r="G8" i="24"/>
  <c r="F8" i="24"/>
  <c r="E8" i="24"/>
  <c r="D8" i="24"/>
  <c r="O7" i="24"/>
  <c r="M7" i="24"/>
  <c r="K7" i="24"/>
  <c r="I7" i="24"/>
  <c r="G7" i="24"/>
  <c r="F7" i="24"/>
  <c r="E7" i="24"/>
  <c r="D7" i="24"/>
  <c r="O6" i="24"/>
  <c r="M6" i="24"/>
  <c r="K6" i="24"/>
  <c r="I6" i="24"/>
  <c r="G6" i="24"/>
  <c r="F6" i="24"/>
  <c r="F180" i="24" s="1"/>
  <c r="E6" i="24"/>
  <c r="E180" i="24" s="1"/>
  <c r="D6" i="24"/>
  <c r="D180" i="24" s="1"/>
  <c r="O334" i="23"/>
  <c r="N334" i="23"/>
  <c r="M334" i="23"/>
  <c r="L334" i="23"/>
  <c r="K334" i="23"/>
  <c r="J334" i="23"/>
  <c r="I334" i="23"/>
  <c r="H334" i="23"/>
  <c r="G334" i="23"/>
  <c r="E334" i="23"/>
  <c r="E332" i="23"/>
  <c r="O331" i="23"/>
  <c r="M331" i="23"/>
  <c r="K331" i="23"/>
  <c r="I331" i="23"/>
  <c r="G331" i="23"/>
  <c r="F331" i="23"/>
  <c r="E331" i="23"/>
  <c r="D331" i="23"/>
  <c r="O330" i="23"/>
  <c r="M330" i="23"/>
  <c r="K330" i="23"/>
  <c r="I330" i="23"/>
  <c r="G330" i="23"/>
  <c r="F330" i="23"/>
  <c r="E330" i="23"/>
  <c r="D330" i="23"/>
  <c r="O329" i="23"/>
  <c r="M329" i="23"/>
  <c r="K329" i="23"/>
  <c r="I329" i="23"/>
  <c r="G329" i="23"/>
  <c r="F329" i="23"/>
  <c r="E329" i="23"/>
  <c r="D329" i="23"/>
  <c r="O328" i="23"/>
  <c r="M328" i="23"/>
  <c r="K328" i="23"/>
  <c r="I328" i="23"/>
  <c r="G328" i="23"/>
  <c r="F328" i="23"/>
  <c r="E328" i="23"/>
  <c r="D328" i="23"/>
  <c r="O327" i="23"/>
  <c r="M327" i="23"/>
  <c r="K327" i="23"/>
  <c r="I327" i="23"/>
  <c r="G327" i="23"/>
  <c r="F327" i="23"/>
  <c r="E327" i="23"/>
  <c r="D327" i="23"/>
  <c r="O326" i="23"/>
  <c r="M326" i="23"/>
  <c r="K326" i="23"/>
  <c r="I326" i="23"/>
  <c r="G326" i="23"/>
  <c r="F326" i="23"/>
  <c r="E326" i="23"/>
  <c r="D326" i="23"/>
  <c r="O325" i="23"/>
  <c r="M325" i="23"/>
  <c r="K325" i="23"/>
  <c r="I325" i="23"/>
  <c r="G325" i="23"/>
  <c r="F325" i="23"/>
  <c r="E325" i="23"/>
  <c r="D325" i="23"/>
  <c r="O324" i="23"/>
  <c r="M324" i="23"/>
  <c r="K324" i="23"/>
  <c r="I324" i="23"/>
  <c r="G324" i="23"/>
  <c r="F324" i="23"/>
  <c r="E324" i="23"/>
  <c r="D324" i="23"/>
  <c r="O323" i="23"/>
  <c r="M323" i="23"/>
  <c r="K323" i="23"/>
  <c r="I323" i="23"/>
  <c r="G323" i="23"/>
  <c r="F323" i="23"/>
  <c r="E323" i="23"/>
  <c r="D323" i="23"/>
  <c r="O322" i="23"/>
  <c r="M322" i="23"/>
  <c r="K322" i="23"/>
  <c r="I322" i="23"/>
  <c r="G322" i="23"/>
  <c r="F322" i="23"/>
  <c r="E322" i="23"/>
  <c r="D322" i="23"/>
  <c r="O321" i="23"/>
  <c r="M321" i="23"/>
  <c r="K321" i="23"/>
  <c r="I321" i="23"/>
  <c r="G321" i="23"/>
  <c r="F321" i="23"/>
  <c r="E321" i="23"/>
  <c r="D321" i="23"/>
  <c r="O320" i="23"/>
  <c r="M320" i="23"/>
  <c r="K320" i="23"/>
  <c r="I320" i="23"/>
  <c r="G320" i="23"/>
  <c r="F320" i="23"/>
  <c r="E320" i="23"/>
  <c r="D320" i="23"/>
  <c r="O319" i="23"/>
  <c r="M319" i="23"/>
  <c r="K319" i="23"/>
  <c r="I319" i="23"/>
  <c r="G319" i="23"/>
  <c r="F319" i="23"/>
  <c r="E319" i="23"/>
  <c r="D319" i="23"/>
  <c r="O318" i="23"/>
  <c r="M318" i="23"/>
  <c r="K318" i="23"/>
  <c r="I318" i="23"/>
  <c r="G318" i="23"/>
  <c r="F318" i="23"/>
  <c r="E318" i="23"/>
  <c r="D318" i="23"/>
  <c r="O317" i="23"/>
  <c r="M317" i="23"/>
  <c r="K317" i="23"/>
  <c r="I317" i="23"/>
  <c r="G317" i="23"/>
  <c r="F317" i="23"/>
  <c r="E317" i="23"/>
  <c r="D317" i="23"/>
  <c r="O316" i="23"/>
  <c r="M316" i="23"/>
  <c r="K316" i="23"/>
  <c r="I316" i="23"/>
  <c r="G316" i="23"/>
  <c r="F316" i="23"/>
  <c r="E316" i="23"/>
  <c r="D316" i="23"/>
  <c r="O315" i="23"/>
  <c r="M315" i="23"/>
  <c r="K315" i="23"/>
  <c r="I315" i="23"/>
  <c r="G315" i="23"/>
  <c r="F315" i="23"/>
  <c r="E315" i="23"/>
  <c r="D315" i="23"/>
  <c r="O314" i="23"/>
  <c r="M314" i="23"/>
  <c r="K314" i="23"/>
  <c r="I314" i="23"/>
  <c r="G314" i="23"/>
  <c r="F314" i="23"/>
  <c r="E314" i="23"/>
  <c r="D314" i="23"/>
  <c r="O313" i="23"/>
  <c r="M313" i="23"/>
  <c r="K313" i="23"/>
  <c r="I313" i="23"/>
  <c r="G313" i="23"/>
  <c r="F313" i="23"/>
  <c r="E313" i="23"/>
  <c r="D313" i="23"/>
  <c r="O312" i="23"/>
  <c r="M312" i="23"/>
  <c r="K312" i="23"/>
  <c r="I312" i="23"/>
  <c r="G312" i="23"/>
  <c r="F312" i="23"/>
  <c r="E312" i="23"/>
  <c r="D312" i="23"/>
  <c r="O311" i="23"/>
  <c r="M311" i="23"/>
  <c r="K311" i="23"/>
  <c r="I311" i="23"/>
  <c r="G311" i="23"/>
  <c r="F311" i="23"/>
  <c r="E311" i="23"/>
  <c r="D311" i="23"/>
  <c r="O310" i="23"/>
  <c r="M310" i="23"/>
  <c r="K310" i="23"/>
  <c r="I310" i="23"/>
  <c r="G310" i="23"/>
  <c r="F310" i="23"/>
  <c r="E310" i="23"/>
  <c r="D310" i="23"/>
  <c r="O309" i="23"/>
  <c r="M309" i="23"/>
  <c r="K309" i="23"/>
  <c r="I309" i="23"/>
  <c r="G309" i="23"/>
  <c r="F309" i="23"/>
  <c r="E309" i="23"/>
  <c r="D309" i="23"/>
  <c r="O308" i="23"/>
  <c r="M308" i="23"/>
  <c r="K308" i="23"/>
  <c r="I308" i="23"/>
  <c r="G308" i="23"/>
  <c r="F308" i="23"/>
  <c r="E308" i="23"/>
  <c r="D308" i="23"/>
  <c r="O307" i="23"/>
  <c r="M307" i="23"/>
  <c r="K307" i="23"/>
  <c r="I307" i="23"/>
  <c r="G307" i="23"/>
  <c r="F307" i="23"/>
  <c r="E307" i="23"/>
  <c r="D307" i="23"/>
  <c r="O306" i="23"/>
  <c r="M306" i="23"/>
  <c r="K306" i="23"/>
  <c r="I306" i="23"/>
  <c r="G306" i="23"/>
  <c r="F306" i="23"/>
  <c r="E306" i="23"/>
  <c r="D306" i="23"/>
  <c r="O305" i="23"/>
  <c r="M305" i="23"/>
  <c r="K305" i="23"/>
  <c r="I305" i="23"/>
  <c r="G305" i="23"/>
  <c r="F305" i="23"/>
  <c r="E305" i="23"/>
  <c r="D305" i="23"/>
  <c r="O304" i="23"/>
  <c r="M304" i="23"/>
  <c r="K304" i="23"/>
  <c r="I304" i="23"/>
  <c r="G304" i="23"/>
  <c r="F304" i="23"/>
  <c r="E304" i="23"/>
  <c r="D304" i="23"/>
  <c r="O303" i="23"/>
  <c r="M303" i="23"/>
  <c r="K303" i="23"/>
  <c r="I303" i="23"/>
  <c r="G303" i="23"/>
  <c r="F303" i="23"/>
  <c r="E303" i="23"/>
  <c r="D303" i="23"/>
  <c r="O302" i="23"/>
  <c r="M302" i="23"/>
  <c r="K302" i="23"/>
  <c r="I302" i="23"/>
  <c r="G302" i="23"/>
  <c r="F302" i="23"/>
  <c r="E302" i="23"/>
  <c r="D302" i="23"/>
  <c r="O301" i="23"/>
  <c r="M301" i="23"/>
  <c r="K301" i="23"/>
  <c r="I301" i="23"/>
  <c r="G301" i="23"/>
  <c r="F301" i="23"/>
  <c r="E301" i="23"/>
  <c r="D301" i="23"/>
  <c r="O300" i="23"/>
  <c r="M300" i="23"/>
  <c r="K300" i="23"/>
  <c r="I300" i="23"/>
  <c r="G300" i="23"/>
  <c r="F300" i="23"/>
  <c r="E300" i="23"/>
  <c r="D300" i="23"/>
  <c r="O299" i="23"/>
  <c r="M299" i="23"/>
  <c r="K299" i="23"/>
  <c r="I299" i="23"/>
  <c r="G299" i="23"/>
  <c r="F299" i="23"/>
  <c r="E299" i="23"/>
  <c r="D299" i="23"/>
  <c r="O298" i="23"/>
  <c r="M298" i="23"/>
  <c r="K298" i="23"/>
  <c r="I298" i="23"/>
  <c r="G298" i="23"/>
  <c r="F298" i="23"/>
  <c r="E298" i="23"/>
  <c r="D298" i="23"/>
  <c r="O297" i="23"/>
  <c r="M297" i="23"/>
  <c r="K297" i="23"/>
  <c r="I297" i="23"/>
  <c r="G297" i="23"/>
  <c r="F297" i="23"/>
  <c r="E297" i="23"/>
  <c r="D297" i="23"/>
  <c r="O296" i="23"/>
  <c r="M296" i="23"/>
  <c r="K296" i="23"/>
  <c r="I296" i="23"/>
  <c r="G296" i="23"/>
  <c r="F296" i="23"/>
  <c r="E296" i="23"/>
  <c r="D296" i="23"/>
  <c r="O295" i="23"/>
  <c r="M295" i="23"/>
  <c r="K295" i="23"/>
  <c r="I295" i="23"/>
  <c r="G295" i="23"/>
  <c r="F295" i="23"/>
  <c r="E295" i="23"/>
  <c r="D295" i="23"/>
  <c r="O294" i="23"/>
  <c r="M294" i="23"/>
  <c r="K294" i="23"/>
  <c r="I294" i="23"/>
  <c r="G294" i="23"/>
  <c r="F294" i="23"/>
  <c r="E294" i="23"/>
  <c r="D294" i="23"/>
  <c r="O293" i="23"/>
  <c r="M293" i="23"/>
  <c r="K293" i="23"/>
  <c r="I293" i="23"/>
  <c r="G293" i="23"/>
  <c r="F293" i="23"/>
  <c r="E293" i="23"/>
  <c r="D293" i="23"/>
  <c r="O292" i="23"/>
  <c r="M292" i="23"/>
  <c r="K292" i="23"/>
  <c r="I292" i="23"/>
  <c r="G292" i="23"/>
  <c r="F292" i="23"/>
  <c r="E292" i="23"/>
  <c r="D292" i="23"/>
  <c r="O291" i="23"/>
  <c r="M291" i="23"/>
  <c r="K291" i="23"/>
  <c r="I291" i="23"/>
  <c r="G291" i="23"/>
  <c r="F291" i="23"/>
  <c r="E291" i="23"/>
  <c r="D291" i="23"/>
  <c r="O290" i="23"/>
  <c r="M290" i="23"/>
  <c r="K290" i="23"/>
  <c r="I290" i="23"/>
  <c r="G290" i="23"/>
  <c r="F290" i="23"/>
  <c r="E290" i="23"/>
  <c r="D290" i="23"/>
  <c r="O289" i="23"/>
  <c r="M289" i="23"/>
  <c r="K289" i="23"/>
  <c r="I289" i="23"/>
  <c r="G289" i="23"/>
  <c r="F289" i="23"/>
  <c r="E289" i="23"/>
  <c r="D289" i="23"/>
  <c r="O288" i="23"/>
  <c r="M288" i="23"/>
  <c r="K288" i="23"/>
  <c r="I288" i="23"/>
  <c r="G288" i="23"/>
  <c r="F288" i="23"/>
  <c r="E288" i="23"/>
  <c r="D288" i="23"/>
  <c r="O287" i="23"/>
  <c r="M287" i="23"/>
  <c r="K287" i="23"/>
  <c r="I287" i="23"/>
  <c r="G287" i="23"/>
  <c r="F287" i="23"/>
  <c r="E287" i="23"/>
  <c r="D287" i="23"/>
  <c r="O286" i="23"/>
  <c r="M286" i="23"/>
  <c r="K286" i="23"/>
  <c r="I286" i="23"/>
  <c r="G286" i="23"/>
  <c r="F286" i="23"/>
  <c r="E286" i="23"/>
  <c r="D286" i="23"/>
  <c r="O285" i="23"/>
  <c r="M285" i="23"/>
  <c r="K285" i="23"/>
  <c r="I285" i="23"/>
  <c r="G285" i="23"/>
  <c r="F285" i="23"/>
  <c r="E285" i="23"/>
  <c r="D285" i="23"/>
  <c r="O284" i="23"/>
  <c r="M284" i="23"/>
  <c r="K284" i="23"/>
  <c r="I284" i="23"/>
  <c r="G284" i="23"/>
  <c r="F284" i="23"/>
  <c r="E284" i="23"/>
  <c r="D284" i="23"/>
  <c r="O283" i="23"/>
  <c r="M283" i="23"/>
  <c r="K283" i="23"/>
  <c r="I283" i="23"/>
  <c r="G283" i="23"/>
  <c r="F283" i="23"/>
  <c r="E283" i="23"/>
  <c r="D283" i="23"/>
  <c r="O282" i="23"/>
  <c r="M282" i="23"/>
  <c r="K282" i="23"/>
  <c r="I282" i="23"/>
  <c r="G282" i="23"/>
  <c r="F282" i="23"/>
  <c r="E282" i="23"/>
  <c r="D282" i="23"/>
  <c r="O281" i="23"/>
  <c r="M281" i="23"/>
  <c r="K281" i="23"/>
  <c r="I281" i="23"/>
  <c r="G281" i="23"/>
  <c r="F281" i="23"/>
  <c r="E281" i="23"/>
  <c r="D281" i="23"/>
  <c r="O280" i="23"/>
  <c r="M280" i="23"/>
  <c r="K280" i="23"/>
  <c r="I280" i="23"/>
  <c r="G280" i="23"/>
  <c r="F280" i="23"/>
  <c r="E280" i="23"/>
  <c r="D280" i="23"/>
  <c r="O279" i="23"/>
  <c r="M279" i="23"/>
  <c r="K279" i="23"/>
  <c r="I279" i="23"/>
  <c r="G279" i="23"/>
  <c r="F279" i="23"/>
  <c r="E279" i="23"/>
  <c r="D279" i="23"/>
  <c r="O278" i="23"/>
  <c r="M278" i="23"/>
  <c r="K278" i="23"/>
  <c r="I278" i="23"/>
  <c r="G278" i="23"/>
  <c r="F278" i="23"/>
  <c r="E278" i="23"/>
  <c r="D278" i="23"/>
  <c r="O277" i="23"/>
  <c r="M277" i="23"/>
  <c r="K277" i="23"/>
  <c r="I277" i="23"/>
  <c r="G277" i="23"/>
  <c r="F277" i="23"/>
  <c r="E277" i="23"/>
  <c r="D277" i="23"/>
  <c r="O276" i="23"/>
  <c r="M276" i="23"/>
  <c r="K276" i="23"/>
  <c r="I276" i="23"/>
  <c r="G276" i="23"/>
  <c r="F276" i="23"/>
  <c r="E276" i="23"/>
  <c r="D276" i="23"/>
  <c r="O275" i="23"/>
  <c r="M275" i="23"/>
  <c r="K275" i="23"/>
  <c r="I275" i="23"/>
  <c r="G275" i="23"/>
  <c r="F275" i="23"/>
  <c r="E275" i="23"/>
  <c r="D275" i="23"/>
  <c r="O274" i="23"/>
  <c r="M274" i="23"/>
  <c r="K274" i="23"/>
  <c r="I274" i="23"/>
  <c r="G274" i="23"/>
  <c r="F274" i="23"/>
  <c r="E274" i="23"/>
  <c r="D274" i="23"/>
  <c r="O273" i="23"/>
  <c r="M273" i="23"/>
  <c r="K273" i="23"/>
  <c r="I273" i="23"/>
  <c r="G273" i="23"/>
  <c r="F273" i="23"/>
  <c r="E273" i="23"/>
  <c r="D273" i="23"/>
  <c r="O272" i="23"/>
  <c r="M272" i="23"/>
  <c r="K272" i="23"/>
  <c r="I272" i="23"/>
  <c r="G272" i="23"/>
  <c r="F272" i="23"/>
  <c r="E272" i="23"/>
  <c r="D272" i="23"/>
  <c r="O271" i="23"/>
  <c r="M271" i="23"/>
  <c r="K271" i="23"/>
  <c r="I271" i="23"/>
  <c r="G271" i="23"/>
  <c r="F271" i="23"/>
  <c r="E271" i="23"/>
  <c r="D271" i="23"/>
  <c r="O270" i="23"/>
  <c r="M270" i="23"/>
  <c r="K270" i="23"/>
  <c r="I270" i="23"/>
  <c r="G270" i="23"/>
  <c r="F270" i="23"/>
  <c r="E270" i="23"/>
  <c r="D270" i="23"/>
  <c r="O269" i="23"/>
  <c r="M269" i="23"/>
  <c r="K269" i="23"/>
  <c r="I269" i="23"/>
  <c r="G269" i="23"/>
  <c r="F269" i="23"/>
  <c r="E269" i="23"/>
  <c r="D269" i="23"/>
  <c r="O268" i="23"/>
  <c r="M268" i="23"/>
  <c r="K268" i="23"/>
  <c r="I268" i="23"/>
  <c r="G268" i="23"/>
  <c r="F268" i="23"/>
  <c r="E268" i="23"/>
  <c r="D268" i="23"/>
  <c r="O267" i="23"/>
  <c r="M267" i="23"/>
  <c r="K267" i="23"/>
  <c r="I267" i="23"/>
  <c r="G267" i="23"/>
  <c r="F267" i="23"/>
  <c r="E267" i="23"/>
  <c r="D267" i="23"/>
  <c r="O266" i="23"/>
  <c r="M266" i="23"/>
  <c r="K266" i="23"/>
  <c r="I266" i="23"/>
  <c r="G266" i="23"/>
  <c r="F266" i="23"/>
  <c r="E266" i="23"/>
  <c r="D266" i="23"/>
  <c r="O265" i="23"/>
  <c r="M265" i="23"/>
  <c r="K265" i="23"/>
  <c r="I265" i="23"/>
  <c r="G265" i="23"/>
  <c r="F265" i="23"/>
  <c r="E265" i="23"/>
  <c r="D265" i="23"/>
  <c r="O264" i="23"/>
  <c r="M264" i="23"/>
  <c r="K264" i="23"/>
  <c r="I264" i="23"/>
  <c r="G264" i="23"/>
  <c r="F264" i="23"/>
  <c r="E264" i="23"/>
  <c r="D264" i="23"/>
  <c r="O263" i="23"/>
  <c r="M263" i="23"/>
  <c r="K263" i="23"/>
  <c r="I263" i="23"/>
  <c r="G263" i="23"/>
  <c r="F263" i="23"/>
  <c r="E263" i="23"/>
  <c r="D263" i="23"/>
  <c r="O262" i="23"/>
  <c r="M262" i="23"/>
  <c r="K262" i="23"/>
  <c r="I262" i="23"/>
  <c r="G262" i="23"/>
  <c r="F262" i="23"/>
  <c r="E262" i="23"/>
  <c r="D262" i="23"/>
  <c r="O261" i="23"/>
  <c r="M261" i="23"/>
  <c r="K261" i="23"/>
  <c r="I261" i="23"/>
  <c r="G261" i="23"/>
  <c r="F261" i="23"/>
  <c r="E261" i="23"/>
  <c r="D261" i="23"/>
  <c r="O260" i="23"/>
  <c r="M260" i="23"/>
  <c r="K260" i="23"/>
  <c r="I260" i="23"/>
  <c r="G260" i="23"/>
  <c r="F260" i="23"/>
  <c r="E260" i="23"/>
  <c r="D260" i="23"/>
  <c r="O259" i="23"/>
  <c r="M259" i="23"/>
  <c r="K259" i="23"/>
  <c r="I259" i="23"/>
  <c r="G259" i="23"/>
  <c r="F259" i="23"/>
  <c r="E259" i="23"/>
  <c r="D259" i="23"/>
  <c r="O258" i="23"/>
  <c r="M258" i="23"/>
  <c r="K258" i="23"/>
  <c r="I258" i="23"/>
  <c r="G258" i="23"/>
  <c r="F258" i="23"/>
  <c r="E258" i="23"/>
  <c r="D258" i="23"/>
  <c r="O257" i="23"/>
  <c r="M257" i="23"/>
  <c r="K257" i="23"/>
  <c r="I257" i="23"/>
  <c r="G257" i="23"/>
  <c r="F257" i="23"/>
  <c r="E257" i="23"/>
  <c r="D257" i="23"/>
  <c r="O256" i="23"/>
  <c r="M256" i="23"/>
  <c r="K256" i="23"/>
  <c r="I256" i="23"/>
  <c r="G256" i="23"/>
  <c r="F256" i="23"/>
  <c r="E256" i="23"/>
  <c r="D256" i="23"/>
  <c r="O255" i="23"/>
  <c r="M255" i="23"/>
  <c r="K255" i="23"/>
  <c r="I255" i="23"/>
  <c r="G255" i="23"/>
  <c r="F255" i="23"/>
  <c r="E255" i="23"/>
  <c r="D255" i="23"/>
  <c r="O254" i="23"/>
  <c r="M254" i="23"/>
  <c r="K254" i="23"/>
  <c r="I254" i="23"/>
  <c r="G254" i="23"/>
  <c r="F254" i="23"/>
  <c r="E254" i="23"/>
  <c r="D254" i="23"/>
  <c r="O253" i="23"/>
  <c r="M253" i="23"/>
  <c r="K253" i="23"/>
  <c r="I253" i="23"/>
  <c r="G253" i="23"/>
  <c r="F253" i="23"/>
  <c r="E253" i="23"/>
  <c r="D253" i="23"/>
  <c r="O252" i="23"/>
  <c r="M252" i="23"/>
  <c r="K252" i="23"/>
  <c r="I252" i="23"/>
  <c r="G252" i="23"/>
  <c r="F252" i="23"/>
  <c r="E252" i="23"/>
  <c r="D252" i="23"/>
  <c r="O251" i="23"/>
  <c r="M251" i="23"/>
  <c r="K251" i="23"/>
  <c r="I251" i="23"/>
  <c r="G251" i="23"/>
  <c r="F251" i="23"/>
  <c r="E251" i="23"/>
  <c r="D251" i="23"/>
  <c r="O250" i="23"/>
  <c r="M250" i="23"/>
  <c r="K250" i="23"/>
  <c r="I250" i="23"/>
  <c r="G250" i="23"/>
  <c r="F250" i="23"/>
  <c r="E250" i="23"/>
  <c r="D250" i="23"/>
  <c r="O249" i="23"/>
  <c r="M249" i="23"/>
  <c r="K249" i="23"/>
  <c r="I249" i="23"/>
  <c r="G249" i="23"/>
  <c r="F249" i="23"/>
  <c r="E249" i="23"/>
  <c r="D249" i="23"/>
  <c r="O248" i="23"/>
  <c r="M248" i="23"/>
  <c r="K248" i="23"/>
  <c r="I248" i="23"/>
  <c r="G248" i="23"/>
  <c r="F248" i="23"/>
  <c r="E248" i="23"/>
  <c r="D248" i="23"/>
  <c r="O247" i="23"/>
  <c r="M247" i="23"/>
  <c r="K247" i="23"/>
  <c r="I247" i="23"/>
  <c r="G247" i="23"/>
  <c r="F247" i="23"/>
  <c r="E247" i="23"/>
  <c r="D247" i="23"/>
  <c r="O246" i="23"/>
  <c r="M246" i="23"/>
  <c r="K246" i="23"/>
  <c r="I246" i="23"/>
  <c r="G246" i="23"/>
  <c r="F246" i="23"/>
  <c r="E246" i="23"/>
  <c r="D246" i="23"/>
  <c r="O245" i="23"/>
  <c r="M245" i="23"/>
  <c r="K245" i="23"/>
  <c r="I245" i="23"/>
  <c r="G245" i="23"/>
  <c r="F245" i="23"/>
  <c r="E245" i="23"/>
  <c r="D245" i="23"/>
  <c r="O244" i="23"/>
  <c r="M244" i="23"/>
  <c r="K244" i="23"/>
  <c r="I244" i="23"/>
  <c r="G244" i="23"/>
  <c r="F244" i="23"/>
  <c r="E244" i="23"/>
  <c r="D244" i="23"/>
  <c r="O243" i="23"/>
  <c r="M243" i="23"/>
  <c r="K243" i="23"/>
  <c r="I243" i="23"/>
  <c r="G243" i="23"/>
  <c r="F243" i="23"/>
  <c r="E243" i="23"/>
  <c r="D243" i="23"/>
  <c r="O242" i="23"/>
  <c r="M242" i="23"/>
  <c r="K242" i="23"/>
  <c r="I242" i="23"/>
  <c r="G242" i="23"/>
  <c r="F242" i="23"/>
  <c r="E242" i="23"/>
  <c r="D242" i="23"/>
  <c r="O241" i="23"/>
  <c r="M241" i="23"/>
  <c r="K241" i="23"/>
  <c r="I241" i="23"/>
  <c r="G241" i="23"/>
  <c r="F241" i="23"/>
  <c r="E241" i="23"/>
  <c r="D241" i="23"/>
  <c r="O240" i="23"/>
  <c r="M240" i="23"/>
  <c r="K240" i="23"/>
  <c r="I240" i="23"/>
  <c r="G240" i="23"/>
  <c r="F240" i="23"/>
  <c r="E240" i="23"/>
  <c r="D240" i="23"/>
  <c r="O239" i="23"/>
  <c r="M239" i="23"/>
  <c r="K239" i="23"/>
  <c r="I239" i="23"/>
  <c r="G239" i="23"/>
  <c r="F239" i="23"/>
  <c r="E239" i="23"/>
  <c r="D239" i="23"/>
  <c r="O238" i="23"/>
  <c r="M238" i="23"/>
  <c r="K238" i="23"/>
  <c r="I238" i="23"/>
  <c r="G238" i="23"/>
  <c r="F238" i="23"/>
  <c r="E238" i="23"/>
  <c r="D238" i="23"/>
  <c r="O237" i="23"/>
  <c r="M237" i="23"/>
  <c r="K237" i="23"/>
  <c r="I237" i="23"/>
  <c r="G237" i="23"/>
  <c r="F237" i="23"/>
  <c r="E237" i="23"/>
  <c r="D237" i="23"/>
  <c r="O236" i="23"/>
  <c r="M236" i="23"/>
  <c r="K236" i="23"/>
  <c r="I236" i="23"/>
  <c r="G236" i="23"/>
  <c r="F236" i="23"/>
  <c r="E236" i="23"/>
  <c r="D236" i="23"/>
  <c r="O235" i="23"/>
  <c r="M235" i="23"/>
  <c r="K235" i="23"/>
  <c r="I235" i="23"/>
  <c r="G235" i="23"/>
  <c r="F235" i="23"/>
  <c r="E235" i="23"/>
  <c r="D235" i="23"/>
  <c r="O234" i="23"/>
  <c r="M234" i="23"/>
  <c r="K234" i="23"/>
  <c r="I234" i="23"/>
  <c r="G234" i="23"/>
  <c r="F234" i="23"/>
  <c r="E234" i="23"/>
  <c r="D234" i="23"/>
  <c r="O233" i="23"/>
  <c r="M233" i="23"/>
  <c r="K233" i="23"/>
  <c r="I233" i="23"/>
  <c r="G233" i="23"/>
  <c r="F233" i="23"/>
  <c r="E233" i="23"/>
  <c r="D233" i="23"/>
  <c r="O232" i="23"/>
  <c r="M232" i="23"/>
  <c r="K232" i="23"/>
  <c r="I232" i="23"/>
  <c r="G232" i="23"/>
  <c r="F232" i="23"/>
  <c r="E232" i="23"/>
  <c r="D232" i="23"/>
  <c r="O231" i="23"/>
  <c r="M231" i="23"/>
  <c r="K231" i="23"/>
  <c r="I231" i="23"/>
  <c r="G231" i="23"/>
  <c r="F231" i="23"/>
  <c r="E231" i="23"/>
  <c r="D231" i="23"/>
  <c r="O230" i="23"/>
  <c r="M230" i="23"/>
  <c r="K230" i="23"/>
  <c r="I230" i="23"/>
  <c r="G230" i="23"/>
  <c r="F230" i="23"/>
  <c r="E230" i="23"/>
  <c r="D230" i="23"/>
  <c r="O229" i="23"/>
  <c r="M229" i="23"/>
  <c r="K229" i="23"/>
  <c r="I229" i="23"/>
  <c r="G229" i="23"/>
  <c r="F229" i="23"/>
  <c r="E229" i="23"/>
  <c r="D229" i="23"/>
  <c r="O228" i="23"/>
  <c r="M228" i="23"/>
  <c r="K228" i="23"/>
  <c r="I228" i="23"/>
  <c r="G228" i="23"/>
  <c r="F228" i="23"/>
  <c r="E228" i="23"/>
  <c r="D228" i="23"/>
  <c r="O227" i="23"/>
  <c r="M227" i="23"/>
  <c r="K227" i="23"/>
  <c r="I227" i="23"/>
  <c r="G227" i="23"/>
  <c r="F227" i="23"/>
  <c r="E227" i="23"/>
  <c r="D227" i="23"/>
  <c r="O226" i="23"/>
  <c r="M226" i="23"/>
  <c r="K226" i="23"/>
  <c r="I226" i="23"/>
  <c r="G226" i="23"/>
  <c r="F226" i="23"/>
  <c r="E226" i="23"/>
  <c r="D226" i="23"/>
  <c r="O225" i="23"/>
  <c r="M225" i="23"/>
  <c r="K225" i="23"/>
  <c r="I225" i="23"/>
  <c r="G225" i="23"/>
  <c r="F225" i="23"/>
  <c r="E225" i="23"/>
  <c r="D225" i="23"/>
  <c r="O224" i="23"/>
  <c r="M224" i="23"/>
  <c r="K224" i="23"/>
  <c r="I224" i="23"/>
  <c r="G224" i="23"/>
  <c r="F224" i="23"/>
  <c r="E224" i="23"/>
  <c r="D224" i="23"/>
  <c r="O223" i="23"/>
  <c r="M223" i="23"/>
  <c r="K223" i="23"/>
  <c r="I223" i="23"/>
  <c r="G223" i="23"/>
  <c r="F223" i="23"/>
  <c r="E223" i="23"/>
  <c r="D223" i="23"/>
  <c r="O222" i="23"/>
  <c r="M222" i="23"/>
  <c r="K222" i="23"/>
  <c r="I222" i="23"/>
  <c r="G222" i="23"/>
  <c r="F222" i="23"/>
  <c r="E222" i="23"/>
  <c r="D222" i="23"/>
  <c r="O221" i="23"/>
  <c r="M221" i="23"/>
  <c r="K221" i="23"/>
  <c r="I221" i="23"/>
  <c r="G221" i="23"/>
  <c r="F221" i="23"/>
  <c r="E221" i="23"/>
  <c r="D221" i="23"/>
  <c r="O220" i="23"/>
  <c r="M220" i="23"/>
  <c r="K220" i="23"/>
  <c r="I220" i="23"/>
  <c r="G220" i="23"/>
  <c r="F220" i="23"/>
  <c r="E220" i="23"/>
  <c r="D220" i="23"/>
  <c r="O219" i="23"/>
  <c r="M219" i="23"/>
  <c r="K219" i="23"/>
  <c r="I219" i="23"/>
  <c r="G219" i="23"/>
  <c r="F219" i="23"/>
  <c r="E219" i="23"/>
  <c r="D219" i="23"/>
  <c r="O218" i="23"/>
  <c r="M218" i="23"/>
  <c r="K218" i="23"/>
  <c r="I218" i="23"/>
  <c r="G218" i="23"/>
  <c r="F218" i="23"/>
  <c r="E218" i="23"/>
  <c r="D218" i="23"/>
  <c r="O217" i="23"/>
  <c r="M217" i="23"/>
  <c r="K217" i="23"/>
  <c r="I217" i="23"/>
  <c r="G217" i="23"/>
  <c r="F217" i="23"/>
  <c r="E217" i="23"/>
  <c r="D217" i="23"/>
  <c r="O216" i="23"/>
  <c r="M216" i="23"/>
  <c r="K216" i="23"/>
  <c r="I216" i="23"/>
  <c r="G216" i="23"/>
  <c r="F216" i="23"/>
  <c r="E216" i="23"/>
  <c r="D216" i="23"/>
  <c r="O215" i="23"/>
  <c r="M215" i="23"/>
  <c r="K215" i="23"/>
  <c r="I215" i="23"/>
  <c r="G215" i="23"/>
  <c r="F215" i="23"/>
  <c r="E215" i="23"/>
  <c r="D215" i="23"/>
  <c r="O214" i="23"/>
  <c r="M214" i="23"/>
  <c r="K214" i="23"/>
  <c r="I214" i="23"/>
  <c r="G214" i="23"/>
  <c r="F214" i="23"/>
  <c r="E214" i="23"/>
  <c r="D214" i="23"/>
  <c r="O213" i="23"/>
  <c r="M213" i="23"/>
  <c r="K213" i="23"/>
  <c r="I213" i="23"/>
  <c r="G213" i="23"/>
  <c r="F213" i="23"/>
  <c r="E213" i="23"/>
  <c r="D213" i="23"/>
  <c r="O212" i="23"/>
  <c r="M212" i="23"/>
  <c r="K212" i="23"/>
  <c r="I212" i="23"/>
  <c r="G212" i="23"/>
  <c r="F212" i="23"/>
  <c r="E212" i="23"/>
  <c r="D212" i="23"/>
  <c r="O211" i="23"/>
  <c r="M211" i="23"/>
  <c r="K211" i="23"/>
  <c r="I211" i="23"/>
  <c r="G211" i="23"/>
  <c r="F211" i="23"/>
  <c r="E211" i="23"/>
  <c r="D211" i="23"/>
  <c r="O210" i="23"/>
  <c r="M210" i="23"/>
  <c r="K210" i="23"/>
  <c r="I210" i="23"/>
  <c r="G210" i="23"/>
  <c r="F210" i="23"/>
  <c r="E210" i="23"/>
  <c r="D210" i="23"/>
  <c r="O209" i="23"/>
  <c r="M209" i="23"/>
  <c r="K209" i="23"/>
  <c r="I209" i="23"/>
  <c r="G209" i="23"/>
  <c r="F209" i="23"/>
  <c r="E209" i="23"/>
  <c r="D209" i="23"/>
  <c r="O208" i="23"/>
  <c r="M208" i="23"/>
  <c r="K208" i="23"/>
  <c r="I208" i="23"/>
  <c r="G208" i="23"/>
  <c r="F208" i="23"/>
  <c r="E208" i="23"/>
  <c r="D208" i="23"/>
  <c r="O207" i="23"/>
  <c r="M207" i="23"/>
  <c r="K207" i="23"/>
  <c r="I207" i="23"/>
  <c r="G207" i="23"/>
  <c r="F207" i="23"/>
  <c r="E207" i="23"/>
  <c r="D207" i="23"/>
  <c r="O206" i="23"/>
  <c r="M206" i="23"/>
  <c r="K206" i="23"/>
  <c r="I206" i="23"/>
  <c r="G206" i="23"/>
  <c r="F206" i="23"/>
  <c r="E206" i="23"/>
  <c r="D206" i="23"/>
  <c r="O205" i="23"/>
  <c r="M205" i="23"/>
  <c r="K205" i="23"/>
  <c r="I205" i="23"/>
  <c r="G205" i="23"/>
  <c r="F205" i="23"/>
  <c r="E205" i="23"/>
  <c r="D205" i="23"/>
  <c r="O204" i="23"/>
  <c r="M204" i="23"/>
  <c r="K204" i="23"/>
  <c r="I204" i="23"/>
  <c r="G204" i="23"/>
  <c r="F204" i="23"/>
  <c r="E204" i="23"/>
  <c r="D204" i="23"/>
  <c r="O203" i="23"/>
  <c r="M203" i="23"/>
  <c r="K203" i="23"/>
  <c r="I203" i="23"/>
  <c r="G203" i="23"/>
  <c r="F203" i="23"/>
  <c r="E203" i="23"/>
  <c r="D203" i="23"/>
  <c r="O202" i="23"/>
  <c r="M202" i="23"/>
  <c r="K202" i="23"/>
  <c r="I202" i="23"/>
  <c r="G202" i="23"/>
  <c r="F202" i="23"/>
  <c r="E202" i="23"/>
  <c r="D202" i="23"/>
  <c r="O201" i="23"/>
  <c r="M201" i="23"/>
  <c r="K201" i="23"/>
  <c r="I201" i="23"/>
  <c r="G201" i="23"/>
  <c r="F201" i="23"/>
  <c r="E201" i="23"/>
  <c r="D201" i="23"/>
  <c r="O200" i="23"/>
  <c r="M200" i="23"/>
  <c r="K200" i="23"/>
  <c r="I200" i="23"/>
  <c r="G200" i="23"/>
  <c r="F200" i="23"/>
  <c r="E200" i="23"/>
  <c r="D200" i="23"/>
  <c r="O199" i="23"/>
  <c r="M199" i="23"/>
  <c r="K199" i="23"/>
  <c r="I199" i="23"/>
  <c r="G199" i="23"/>
  <c r="F199" i="23"/>
  <c r="E199" i="23"/>
  <c r="D199" i="23"/>
  <c r="O198" i="23"/>
  <c r="M198" i="23"/>
  <c r="K198" i="23"/>
  <c r="I198" i="23"/>
  <c r="G198" i="23"/>
  <c r="F198" i="23"/>
  <c r="E198" i="23"/>
  <c r="D198" i="23"/>
  <c r="O197" i="23"/>
  <c r="M197" i="23"/>
  <c r="K197" i="23"/>
  <c r="I197" i="23"/>
  <c r="G197" i="23"/>
  <c r="F197" i="23"/>
  <c r="E197" i="23"/>
  <c r="D197" i="23"/>
  <c r="O196" i="23"/>
  <c r="M196" i="23"/>
  <c r="K196" i="23"/>
  <c r="I196" i="23"/>
  <c r="G196" i="23"/>
  <c r="F196" i="23"/>
  <c r="E196" i="23"/>
  <c r="D196" i="23"/>
  <c r="O195" i="23"/>
  <c r="M195" i="23"/>
  <c r="K195" i="23"/>
  <c r="I195" i="23"/>
  <c r="G195" i="23"/>
  <c r="F195" i="23"/>
  <c r="E195" i="23"/>
  <c r="D195" i="23"/>
  <c r="O194" i="23"/>
  <c r="M194" i="23"/>
  <c r="K194" i="23"/>
  <c r="I194" i="23"/>
  <c r="G194" i="23"/>
  <c r="F194" i="23"/>
  <c r="E194" i="23"/>
  <c r="D194" i="23"/>
  <c r="O193" i="23"/>
  <c r="M193" i="23"/>
  <c r="K193" i="23"/>
  <c r="I193" i="23"/>
  <c r="G193" i="23"/>
  <c r="F193" i="23"/>
  <c r="E193" i="23"/>
  <c r="D193" i="23"/>
  <c r="O192" i="23"/>
  <c r="M192" i="23"/>
  <c r="K192" i="23"/>
  <c r="I192" i="23"/>
  <c r="G192" i="23"/>
  <c r="F192" i="23"/>
  <c r="E192" i="23"/>
  <c r="D192" i="23"/>
  <c r="O191" i="23"/>
  <c r="M191" i="23"/>
  <c r="K191" i="23"/>
  <c r="I191" i="23"/>
  <c r="G191" i="23"/>
  <c r="F191" i="23"/>
  <c r="E191" i="23"/>
  <c r="D191" i="23"/>
  <c r="O190" i="23"/>
  <c r="M190" i="23"/>
  <c r="K190" i="23"/>
  <c r="I190" i="23"/>
  <c r="G190" i="23"/>
  <c r="F190" i="23"/>
  <c r="E190" i="23"/>
  <c r="D190" i="23"/>
  <c r="O189" i="23"/>
  <c r="M189" i="23"/>
  <c r="K189" i="23"/>
  <c r="I189" i="23"/>
  <c r="G189" i="23"/>
  <c r="F189" i="23"/>
  <c r="E189" i="23"/>
  <c r="D189" i="23"/>
  <c r="O188" i="23"/>
  <c r="M188" i="23"/>
  <c r="K188" i="23"/>
  <c r="I188" i="23"/>
  <c r="G188" i="23"/>
  <c r="F188" i="23"/>
  <c r="E188" i="23"/>
  <c r="D188" i="23"/>
  <c r="O187" i="23"/>
  <c r="M187" i="23"/>
  <c r="K187" i="23"/>
  <c r="I187" i="23"/>
  <c r="G187" i="23"/>
  <c r="F187" i="23"/>
  <c r="E187" i="23"/>
  <c r="D187" i="23"/>
  <c r="O186" i="23"/>
  <c r="M186" i="23"/>
  <c r="K186" i="23"/>
  <c r="I186" i="23"/>
  <c r="G186" i="23"/>
  <c r="F186" i="23"/>
  <c r="E186" i="23"/>
  <c r="D186" i="23"/>
  <c r="O185" i="23"/>
  <c r="M185" i="23"/>
  <c r="K185" i="23"/>
  <c r="I185" i="23"/>
  <c r="G185" i="23"/>
  <c r="F185" i="23"/>
  <c r="E185" i="23"/>
  <c r="D185" i="23"/>
  <c r="O184" i="23"/>
  <c r="M184" i="23"/>
  <c r="K184" i="23"/>
  <c r="I184" i="23"/>
  <c r="G184" i="23"/>
  <c r="F184" i="23"/>
  <c r="E184" i="23"/>
  <c r="D184" i="23"/>
  <c r="O183" i="23"/>
  <c r="M183" i="23"/>
  <c r="K183" i="23"/>
  <c r="I183" i="23"/>
  <c r="G183" i="23"/>
  <c r="F183" i="23"/>
  <c r="E183" i="23"/>
  <c r="D183" i="23"/>
  <c r="O182" i="23"/>
  <c r="M182" i="23"/>
  <c r="K182" i="23"/>
  <c r="I182" i="23"/>
  <c r="G182" i="23"/>
  <c r="F182" i="23"/>
  <c r="E182" i="23"/>
  <c r="D182" i="23"/>
  <c r="O181" i="23"/>
  <c r="M181" i="23"/>
  <c r="K181" i="23"/>
  <c r="I181" i="23"/>
  <c r="G181" i="23"/>
  <c r="F181" i="23"/>
  <c r="E181" i="23"/>
  <c r="D181" i="23"/>
  <c r="O180" i="23"/>
  <c r="M180" i="23"/>
  <c r="K180" i="23"/>
  <c r="I180" i="23"/>
  <c r="G180" i="23"/>
  <c r="F180" i="23"/>
  <c r="E180" i="23"/>
  <c r="D180" i="23"/>
  <c r="O179" i="23"/>
  <c r="M179" i="23"/>
  <c r="K179" i="23"/>
  <c r="I179" i="23"/>
  <c r="G179" i="23"/>
  <c r="F179" i="23"/>
  <c r="E179" i="23"/>
  <c r="D179" i="23"/>
  <c r="O178" i="23"/>
  <c r="M178" i="23"/>
  <c r="K178" i="23"/>
  <c r="I178" i="23"/>
  <c r="G178" i="23"/>
  <c r="F178" i="23"/>
  <c r="E178" i="23"/>
  <c r="D178" i="23"/>
  <c r="O177" i="23"/>
  <c r="M177" i="23"/>
  <c r="K177" i="23"/>
  <c r="I177" i="23"/>
  <c r="G177" i="23"/>
  <c r="F177" i="23"/>
  <c r="E177" i="23"/>
  <c r="D177" i="23"/>
  <c r="O176" i="23"/>
  <c r="M176" i="23"/>
  <c r="K176" i="23"/>
  <c r="I176" i="23"/>
  <c r="G176" i="23"/>
  <c r="F176" i="23"/>
  <c r="E176" i="23"/>
  <c r="D176" i="23"/>
  <c r="O175" i="23"/>
  <c r="M175" i="23"/>
  <c r="K175" i="23"/>
  <c r="I175" i="23"/>
  <c r="G175" i="23"/>
  <c r="F175" i="23"/>
  <c r="E175" i="23"/>
  <c r="D175" i="23"/>
  <c r="O174" i="23"/>
  <c r="M174" i="23"/>
  <c r="K174" i="23"/>
  <c r="I174" i="23"/>
  <c r="G174" i="23"/>
  <c r="F174" i="23"/>
  <c r="E174" i="23"/>
  <c r="D174" i="23"/>
  <c r="O173" i="23"/>
  <c r="M173" i="23"/>
  <c r="K173" i="23"/>
  <c r="I173" i="23"/>
  <c r="G173" i="23"/>
  <c r="F173" i="23"/>
  <c r="E173" i="23"/>
  <c r="D173" i="23"/>
  <c r="O172" i="23"/>
  <c r="M172" i="23"/>
  <c r="K172" i="23"/>
  <c r="I172" i="23"/>
  <c r="G172" i="23"/>
  <c r="F172" i="23"/>
  <c r="E172" i="23"/>
  <c r="D172" i="23"/>
  <c r="O171" i="23"/>
  <c r="M171" i="23"/>
  <c r="K171" i="23"/>
  <c r="I171" i="23"/>
  <c r="G171" i="23"/>
  <c r="F171" i="23"/>
  <c r="E171" i="23"/>
  <c r="D171" i="23"/>
  <c r="O170" i="23"/>
  <c r="M170" i="23"/>
  <c r="K170" i="23"/>
  <c r="I170" i="23"/>
  <c r="G170" i="23"/>
  <c r="F170" i="23"/>
  <c r="E170" i="23"/>
  <c r="D170" i="23"/>
  <c r="O169" i="23"/>
  <c r="M169" i="23"/>
  <c r="K169" i="23"/>
  <c r="I169" i="23"/>
  <c r="G169" i="23"/>
  <c r="F169" i="23"/>
  <c r="E169" i="23"/>
  <c r="D169" i="23"/>
  <c r="O168" i="23"/>
  <c r="M168" i="23"/>
  <c r="K168" i="23"/>
  <c r="I168" i="23"/>
  <c r="G168" i="23"/>
  <c r="F168" i="23"/>
  <c r="E168" i="23"/>
  <c r="D168" i="23"/>
  <c r="O167" i="23"/>
  <c r="M167" i="23"/>
  <c r="K167" i="23"/>
  <c r="I167" i="23"/>
  <c r="G167" i="23"/>
  <c r="F167" i="23"/>
  <c r="E167" i="23"/>
  <c r="D167" i="23"/>
  <c r="O166" i="23"/>
  <c r="M166" i="23"/>
  <c r="K166" i="23"/>
  <c r="I166" i="23"/>
  <c r="G166" i="23"/>
  <c r="F166" i="23"/>
  <c r="E166" i="23"/>
  <c r="D166" i="23"/>
  <c r="O165" i="23"/>
  <c r="M165" i="23"/>
  <c r="K165" i="23"/>
  <c r="I165" i="23"/>
  <c r="G165" i="23"/>
  <c r="F165" i="23"/>
  <c r="E165" i="23"/>
  <c r="D165" i="23"/>
  <c r="O164" i="23"/>
  <c r="M164" i="23"/>
  <c r="K164" i="23"/>
  <c r="I164" i="23"/>
  <c r="G164" i="23"/>
  <c r="F164" i="23"/>
  <c r="E164" i="23"/>
  <c r="D164" i="23"/>
  <c r="O163" i="23"/>
  <c r="M163" i="23"/>
  <c r="K163" i="23"/>
  <c r="I163" i="23"/>
  <c r="G163" i="23"/>
  <c r="F163" i="23"/>
  <c r="E163" i="23"/>
  <c r="D163" i="23"/>
  <c r="O162" i="23"/>
  <c r="M162" i="23"/>
  <c r="K162" i="23"/>
  <c r="I162" i="23"/>
  <c r="G162" i="23"/>
  <c r="F162" i="23"/>
  <c r="E162" i="23"/>
  <c r="D162" i="23"/>
  <c r="O161" i="23"/>
  <c r="M161" i="23"/>
  <c r="K161" i="23"/>
  <c r="I161" i="23"/>
  <c r="G161" i="23"/>
  <c r="F161" i="23"/>
  <c r="E161" i="23"/>
  <c r="D161" i="23"/>
  <c r="O160" i="23"/>
  <c r="M160" i="23"/>
  <c r="K160" i="23"/>
  <c r="I160" i="23"/>
  <c r="G160" i="23"/>
  <c r="F160" i="23"/>
  <c r="E160" i="23"/>
  <c r="D160" i="23"/>
  <c r="O159" i="23"/>
  <c r="M159" i="23"/>
  <c r="K159" i="23"/>
  <c r="I159" i="23"/>
  <c r="G159" i="23"/>
  <c r="F159" i="23"/>
  <c r="E159" i="23"/>
  <c r="D159" i="23"/>
  <c r="O158" i="23"/>
  <c r="M158" i="23"/>
  <c r="K158" i="23"/>
  <c r="I158" i="23"/>
  <c r="G158" i="23"/>
  <c r="F158" i="23"/>
  <c r="E158" i="23"/>
  <c r="D158" i="23"/>
  <c r="O157" i="23"/>
  <c r="M157" i="23"/>
  <c r="K157" i="23"/>
  <c r="I157" i="23"/>
  <c r="G157" i="23"/>
  <c r="F157" i="23"/>
  <c r="E157" i="23"/>
  <c r="D157" i="23"/>
  <c r="O156" i="23"/>
  <c r="M156" i="23"/>
  <c r="K156" i="23"/>
  <c r="I156" i="23"/>
  <c r="G156" i="23"/>
  <c r="F156" i="23"/>
  <c r="E156" i="23"/>
  <c r="D156" i="23"/>
  <c r="O155" i="23"/>
  <c r="M155" i="23"/>
  <c r="K155" i="23"/>
  <c r="I155" i="23"/>
  <c r="G155" i="23"/>
  <c r="F155" i="23"/>
  <c r="E155" i="23"/>
  <c r="D155" i="23"/>
  <c r="O154" i="23"/>
  <c r="M154" i="23"/>
  <c r="K154" i="23"/>
  <c r="I154" i="23"/>
  <c r="G154" i="23"/>
  <c r="F154" i="23"/>
  <c r="E154" i="23"/>
  <c r="D154" i="23"/>
  <c r="O153" i="23"/>
  <c r="M153" i="23"/>
  <c r="K153" i="23"/>
  <c r="I153" i="23"/>
  <c r="G153" i="23"/>
  <c r="F153" i="23"/>
  <c r="E153" i="23"/>
  <c r="D153" i="23"/>
  <c r="O152" i="23"/>
  <c r="M152" i="23"/>
  <c r="K152" i="23"/>
  <c r="I152" i="23"/>
  <c r="G152" i="23"/>
  <c r="F152" i="23"/>
  <c r="E152" i="23"/>
  <c r="D152" i="23"/>
  <c r="O151" i="23"/>
  <c r="M151" i="23"/>
  <c r="K151" i="23"/>
  <c r="I151" i="23"/>
  <c r="G151" i="23"/>
  <c r="F151" i="23"/>
  <c r="E151" i="23"/>
  <c r="D151" i="23"/>
  <c r="O150" i="23"/>
  <c r="M150" i="23"/>
  <c r="K150" i="23"/>
  <c r="I150" i="23"/>
  <c r="G150" i="23"/>
  <c r="F150" i="23"/>
  <c r="E150" i="23"/>
  <c r="D150" i="23"/>
  <c r="O149" i="23"/>
  <c r="M149" i="23"/>
  <c r="K149" i="23"/>
  <c r="I149" i="23"/>
  <c r="G149" i="23"/>
  <c r="F149" i="23"/>
  <c r="E149" i="23"/>
  <c r="D149" i="23"/>
  <c r="O148" i="23"/>
  <c r="M148" i="23"/>
  <c r="K148" i="23"/>
  <c r="I148" i="23"/>
  <c r="G148" i="23"/>
  <c r="F148" i="23"/>
  <c r="E148" i="23"/>
  <c r="D148" i="23"/>
  <c r="O147" i="23"/>
  <c r="M147" i="23"/>
  <c r="K147" i="23"/>
  <c r="I147" i="23"/>
  <c r="G147" i="23"/>
  <c r="F147" i="23"/>
  <c r="E147" i="23"/>
  <c r="D147" i="23"/>
  <c r="O146" i="23"/>
  <c r="M146" i="23"/>
  <c r="K146" i="23"/>
  <c r="I146" i="23"/>
  <c r="G146" i="23"/>
  <c r="F146" i="23"/>
  <c r="E146" i="23"/>
  <c r="D146" i="23"/>
  <c r="O145" i="23"/>
  <c r="M145" i="23"/>
  <c r="K145" i="23"/>
  <c r="I145" i="23"/>
  <c r="G145" i="23"/>
  <c r="F145" i="23"/>
  <c r="E145" i="23"/>
  <c r="D145" i="23"/>
  <c r="O144" i="23"/>
  <c r="M144" i="23"/>
  <c r="K144" i="23"/>
  <c r="I144" i="23"/>
  <c r="G144" i="23"/>
  <c r="F144" i="23"/>
  <c r="E144" i="23"/>
  <c r="D144" i="23"/>
  <c r="O143" i="23"/>
  <c r="M143" i="23"/>
  <c r="K143" i="23"/>
  <c r="I143" i="23"/>
  <c r="G143" i="23"/>
  <c r="F143" i="23"/>
  <c r="E143" i="23"/>
  <c r="D143" i="23"/>
  <c r="O142" i="23"/>
  <c r="M142" i="23"/>
  <c r="K142" i="23"/>
  <c r="I142" i="23"/>
  <c r="G142" i="23"/>
  <c r="F142" i="23"/>
  <c r="E142" i="23"/>
  <c r="D142" i="23"/>
  <c r="O141" i="23"/>
  <c r="M141" i="23"/>
  <c r="K141" i="23"/>
  <c r="I141" i="23"/>
  <c r="G141" i="23"/>
  <c r="F141" i="23"/>
  <c r="E141" i="23"/>
  <c r="D141" i="23"/>
  <c r="O140" i="23"/>
  <c r="M140" i="23"/>
  <c r="K140" i="23"/>
  <c r="I140" i="23"/>
  <c r="G140" i="23"/>
  <c r="F140" i="23"/>
  <c r="E140" i="23"/>
  <c r="D140" i="23"/>
  <c r="O139" i="23"/>
  <c r="M139" i="23"/>
  <c r="K139" i="23"/>
  <c r="I139" i="23"/>
  <c r="G139" i="23"/>
  <c r="F139" i="23"/>
  <c r="E139" i="23"/>
  <c r="D139" i="23"/>
  <c r="O138" i="23"/>
  <c r="M138" i="23"/>
  <c r="K138" i="23"/>
  <c r="I138" i="23"/>
  <c r="G138" i="23"/>
  <c r="F138" i="23"/>
  <c r="E138" i="23"/>
  <c r="D138" i="23"/>
  <c r="O137" i="23"/>
  <c r="M137" i="23"/>
  <c r="K137" i="23"/>
  <c r="I137" i="23"/>
  <c r="G137" i="23"/>
  <c r="F137" i="23"/>
  <c r="E137" i="23"/>
  <c r="D137" i="23"/>
  <c r="O136" i="23"/>
  <c r="M136" i="23"/>
  <c r="K136" i="23"/>
  <c r="I136" i="23"/>
  <c r="G136" i="23"/>
  <c r="F136" i="23"/>
  <c r="E136" i="23"/>
  <c r="D136" i="23"/>
  <c r="O135" i="23"/>
  <c r="M135" i="23"/>
  <c r="K135" i="23"/>
  <c r="I135" i="23"/>
  <c r="G135" i="23"/>
  <c r="F135" i="23"/>
  <c r="E135" i="23"/>
  <c r="D135" i="23"/>
  <c r="O134" i="23"/>
  <c r="M134" i="23"/>
  <c r="K134" i="23"/>
  <c r="I134" i="23"/>
  <c r="G134" i="23"/>
  <c r="F134" i="23"/>
  <c r="E134" i="23"/>
  <c r="D134" i="23"/>
  <c r="O133" i="23"/>
  <c r="M133" i="23"/>
  <c r="K133" i="23"/>
  <c r="I133" i="23"/>
  <c r="G133" i="23"/>
  <c r="F133" i="23"/>
  <c r="E133" i="23"/>
  <c r="D133" i="23"/>
  <c r="O132" i="23"/>
  <c r="M132" i="23"/>
  <c r="K132" i="23"/>
  <c r="I132" i="23"/>
  <c r="G132" i="23"/>
  <c r="F132" i="23"/>
  <c r="E132" i="23"/>
  <c r="D132" i="23"/>
  <c r="O131" i="23"/>
  <c r="M131" i="23"/>
  <c r="K131" i="23"/>
  <c r="I131" i="23"/>
  <c r="G131" i="23"/>
  <c r="F131" i="23"/>
  <c r="E131" i="23"/>
  <c r="D131" i="23"/>
  <c r="O130" i="23"/>
  <c r="M130" i="23"/>
  <c r="K130" i="23"/>
  <c r="I130" i="23"/>
  <c r="G130" i="23"/>
  <c r="F130" i="23"/>
  <c r="E130" i="23"/>
  <c r="D130" i="23"/>
  <c r="O129" i="23"/>
  <c r="M129" i="23"/>
  <c r="K129" i="23"/>
  <c r="I129" i="23"/>
  <c r="G129" i="23"/>
  <c r="F129" i="23"/>
  <c r="E129" i="23"/>
  <c r="D129" i="23"/>
  <c r="O128" i="23"/>
  <c r="M128" i="23"/>
  <c r="K128" i="23"/>
  <c r="I128" i="23"/>
  <c r="G128" i="23"/>
  <c r="F128" i="23"/>
  <c r="E128" i="23"/>
  <c r="D128" i="23"/>
  <c r="O127" i="23"/>
  <c r="M127" i="23"/>
  <c r="K127" i="23"/>
  <c r="I127" i="23"/>
  <c r="G127" i="23"/>
  <c r="F127" i="23"/>
  <c r="E127" i="23"/>
  <c r="D127" i="23"/>
  <c r="O126" i="23"/>
  <c r="M126" i="23"/>
  <c r="K126" i="23"/>
  <c r="I126" i="23"/>
  <c r="G126" i="23"/>
  <c r="F126" i="23"/>
  <c r="E126" i="23"/>
  <c r="D126" i="23"/>
  <c r="O125" i="23"/>
  <c r="M125" i="23"/>
  <c r="K125" i="23"/>
  <c r="I125" i="23"/>
  <c r="G125" i="23"/>
  <c r="F125" i="23"/>
  <c r="E125" i="23"/>
  <c r="D125" i="23"/>
  <c r="O124" i="23"/>
  <c r="M124" i="23"/>
  <c r="K124" i="23"/>
  <c r="I124" i="23"/>
  <c r="G124" i="23"/>
  <c r="F124" i="23"/>
  <c r="E124" i="23"/>
  <c r="D124" i="23"/>
  <c r="O123" i="23"/>
  <c r="M123" i="23"/>
  <c r="K123" i="23"/>
  <c r="I123" i="23"/>
  <c r="G123" i="23"/>
  <c r="F123" i="23"/>
  <c r="E123" i="23"/>
  <c r="D123" i="23"/>
  <c r="O122" i="23"/>
  <c r="M122" i="23"/>
  <c r="K122" i="23"/>
  <c r="I122" i="23"/>
  <c r="G122" i="23"/>
  <c r="F122" i="23"/>
  <c r="E122" i="23"/>
  <c r="D122" i="23"/>
  <c r="O121" i="23"/>
  <c r="M121" i="23"/>
  <c r="K121" i="23"/>
  <c r="I121" i="23"/>
  <c r="G121" i="23"/>
  <c r="F121" i="23"/>
  <c r="E121" i="23"/>
  <c r="D121" i="23"/>
  <c r="O120" i="23"/>
  <c r="M120" i="23"/>
  <c r="K120" i="23"/>
  <c r="I120" i="23"/>
  <c r="G120" i="23"/>
  <c r="F120" i="23"/>
  <c r="E120" i="23"/>
  <c r="D120" i="23"/>
  <c r="O119" i="23"/>
  <c r="M119" i="23"/>
  <c r="K119" i="23"/>
  <c r="I119" i="23"/>
  <c r="G119" i="23"/>
  <c r="F119" i="23"/>
  <c r="E119" i="23"/>
  <c r="D119" i="23"/>
  <c r="O118" i="23"/>
  <c r="M118" i="23"/>
  <c r="K118" i="23"/>
  <c r="I118" i="23"/>
  <c r="G118" i="23"/>
  <c r="F118" i="23"/>
  <c r="E118" i="23"/>
  <c r="D118" i="23"/>
  <c r="O117" i="23"/>
  <c r="M117" i="23"/>
  <c r="K117" i="23"/>
  <c r="I117" i="23"/>
  <c r="G117" i="23"/>
  <c r="F117" i="23"/>
  <c r="E117" i="23"/>
  <c r="D117" i="23"/>
  <c r="O116" i="23"/>
  <c r="M116" i="23"/>
  <c r="K116" i="23"/>
  <c r="I116" i="23"/>
  <c r="G116" i="23"/>
  <c r="F116" i="23"/>
  <c r="E116" i="23"/>
  <c r="D116" i="23"/>
  <c r="O115" i="23"/>
  <c r="M115" i="23"/>
  <c r="K115" i="23"/>
  <c r="I115" i="23"/>
  <c r="G115" i="23"/>
  <c r="F115" i="23"/>
  <c r="E115" i="23"/>
  <c r="D115" i="23"/>
  <c r="O114" i="23"/>
  <c r="M114" i="23"/>
  <c r="K114" i="23"/>
  <c r="I114" i="23"/>
  <c r="G114" i="23"/>
  <c r="F114" i="23"/>
  <c r="E114" i="23"/>
  <c r="D114" i="23"/>
  <c r="O113" i="23"/>
  <c r="M113" i="23"/>
  <c r="K113" i="23"/>
  <c r="I113" i="23"/>
  <c r="G113" i="23"/>
  <c r="F113" i="23"/>
  <c r="E113" i="23"/>
  <c r="D113" i="23"/>
  <c r="O112" i="23"/>
  <c r="M112" i="23"/>
  <c r="K112" i="23"/>
  <c r="I112" i="23"/>
  <c r="G112" i="23"/>
  <c r="F112" i="23"/>
  <c r="E112" i="23"/>
  <c r="D112" i="23"/>
  <c r="O111" i="23"/>
  <c r="M111" i="23"/>
  <c r="K111" i="23"/>
  <c r="I111" i="23"/>
  <c r="G111" i="23"/>
  <c r="F111" i="23"/>
  <c r="E111" i="23"/>
  <c r="D111" i="23"/>
  <c r="O110" i="23"/>
  <c r="M110" i="23"/>
  <c r="K110" i="23"/>
  <c r="I110" i="23"/>
  <c r="G110" i="23"/>
  <c r="F110" i="23"/>
  <c r="E110" i="23"/>
  <c r="D110" i="23"/>
  <c r="O109" i="23"/>
  <c r="M109" i="23"/>
  <c r="K109" i="23"/>
  <c r="I109" i="23"/>
  <c r="G109" i="23"/>
  <c r="F109" i="23"/>
  <c r="E109" i="23"/>
  <c r="D109" i="23"/>
  <c r="O108" i="23"/>
  <c r="M108" i="23"/>
  <c r="K108" i="23"/>
  <c r="I108" i="23"/>
  <c r="G108" i="23"/>
  <c r="F108" i="23"/>
  <c r="E108" i="23"/>
  <c r="D108" i="23"/>
  <c r="O107" i="23"/>
  <c r="M107" i="23"/>
  <c r="K107" i="23"/>
  <c r="I107" i="23"/>
  <c r="G107" i="23"/>
  <c r="F107" i="23"/>
  <c r="E107" i="23"/>
  <c r="D107" i="23"/>
  <c r="O106" i="23"/>
  <c r="M106" i="23"/>
  <c r="K106" i="23"/>
  <c r="I106" i="23"/>
  <c r="G106" i="23"/>
  <c r="F106" i="23"/>
  <c r="E106" i="23"/>
  <c r="D106" i="23"/>
  <c r="O105" i="23"/>
  <c r="M105" i="23"/>
  <c r="K105" i="23"/>
  <c r="I105" i="23"/>
  <c r="G105" i="23"/>
  <c r="F105" i="23"/>
  <c r="E105" i="23"/>
  <c r="D105" i="23"/>
  <c r="O104" i="23"/>
  <c r="M104" i="23"/>
  <c r="K104" i="23"/>
  <c r="I104" i="23"/>
  <c r="G104" i="23"/>
  <c r="F104" i="23"/>
  <c r="E104" i="23"/>
  <c r="D104" i="23"/>
  <c r="O103" i="23"/>
  <c r="M103" i="23"/>
  <c r="K103" i="23"/>
  <c r="I103" i="23"/>
  <c r="G103" i="23"/>
  <c r="F103" i="23"/>
  <c r="E103" i="23"/>
  <c r="D103" i="23"/>
  <c r="O102" i="23"/>
  <c r="M102" i="23"/>
  <c r="K102" i="23"/>
  <c r="I102" i="23"/>
  <c r="G102" i="23"/>
  <c r="F102" i="23"/>
  <c r="E102" i="23"/>
  <c r="D102" i="23"/>
  <c r="O101" i="23"/>
  <c r="M101" i="23"/>
  <c r="K101" i="23"/>
  <c r="I101" i="23"/>
  <c r="G101" i="23"/>
  <c r="F101" i="23"/>
  <c r="E101" i="23"/>
  <c r="D101" i="23"/>
  <c r="O100" i="23"/>
  <c r="M100" i="23"/>
  <c r="K100" i="23"/>
  <c r="I100" i="23"/>
  <c r="G100" i="23"/>
  <c r="F100" i="23"/>
  <c r="E100" i="23"/>
  <c r="D100" i="23"/>
  <c r="O99" i="23"/>
  <c r="M99" i="23"/>
  <c r="K99" i="23"/>
  <c r="I99" i="23"/>
  <c r="G99" i="23"/>
  <c r="F99" i="23"/>
  <c r="E99" i="23"/>
  <c r="D99" i="23"/>
  <c r="O98" i="23"/>
  <c r="M98" i="23"/>
  <c r="K98" i="23"/>
  <c r="I98" i="23"/>
  <c r="G98" i="23"/>
  <c r="F98" i="23"/>
  <c r="E98" i="23"/>
  <c r="D98" i="23"/>
  <c r="O97" i="23"/>
  <c r="M97" i="23"/>
  <c r="K97" i="23"/>
  <c r="I97" i="23"/>
  <c r="G97" i="23"/>
  <c r="F97" i="23"/>
  <c r="E97" i="23"/>
  <c r="D97" i="23"/>
  <c r="O96" i="23"/>
  <c r="M96" i="23"/>
  <c r="K96" i="23"/>
  <c r="I96" i="23"/>
  <c r="G96" i="23"/>
  <c r="F96" i="23"/>
  <c r="E96" i="23"/>
  <c r="D96" i="23"/>
  <c r="O95" i="23"/>
  <c r="M95" i="23"/>
  <c r="K95" i="23"/>
  <c r="I95" i="23"/>
  <c r="G95" i="23"/>
  <c r="F95" i="23"/>
  <c r="E95" i="23"/>
  <c r="D95" i="23"/>
  <c r="O94" i="23"/>
  <c r="M94" i="23"/>
  <c r="K94" i="23"/>
  <c r="I94" i="23"/>
  <c r="G94" i="23"/>
  <c r="F94" i="23"/>
  <c r="E94" i="23"/>
  <c r="D94" i="23"/>
  <c r="O93" i="23"/>
  <c r="M93" i="23"/>
  <c r="K93" i="23"/>
  <c r="I93" i="23"/>
  <c r="G93" i="23"/>
  <c r="F93" i="23"/>
  <c r="E93" i="23"/>
  <c r="D93" i="23"/>
  <c r="O92" i="23"/>
  <c r="M92" i="23"/>
  <c r="K92" i="23"/>
  <c r="I92" i="23"/>
  <c r="G92" i="23"/>
  <c r="F92" i="23"/>
  <c r="E92" i="23"/>
  <c r="D92" i="23"/>
  <c r="O91" i="23"/>
  <c r="M91" i="23"/>
  <c r="K91" i="23"/>
  <c r="I91" i="23"/>
  <c r="G91" i="23"/>
  <c r="F91" i="23"/>
  <c r="E91" i="23"/>
  <c r="D91" i="23"/>
  <c r="O90" i="23"/>
  <c r="M90" i="23"/>
  <c r="K90" i="23"/>
  <c r="I90" i="23"/>
  <c r="G90" i="23"/>
  <c r="F90" i="23"/>
  <c r="E90" i="23"/>
  <c r="D90" i="23"/>
  <c r="O89" i="23"/>
  <c r="M89" i="23"/>
  <c r="K89" i="23"/>
  <c r="I89" i="23"/>
  <c r="G89" i="23"/>
  <c r="F89" i="23"/>
  <c r="E89" i="23"/>
  <c r="D89" i="23"/>
  <c r="O88" i="23"/>
  <c r="M88" i="23"/>
  <c r="K88" i="23"/>
  <c r="I88" i="23"/>
  <c r="G88" i="23"/>
  <c r="F88" i="23"/>
  <c r="E88" i="23"/>
  <c r="D88" i="23"/>
  <c r="O87" i="23"/>
  <c r="M87" i="23"/>
  <c r="K87" i="23"/>
  <c r="I87" i="23"/>
  <c r="G87" i="23"/>
  <c r="F87" i="23"/>
  <c r="E87" i="23"/>
  <c r="D87" i="23"/>
  <c r="O86" i="23"/>
  <c r="M86" i="23"/>
  <c r="K86" i="23"/>
  <c r="I86" i="23"/>
  <c r="G86" i="23"/>
  <c r="F86" i="23"/>
  <c r="E86" i="23"/>
  <c r="D86" i="23"/>
  <c r="O85" i="23"/>
  <c r="M85" i="23"/>
  <c r="K85" i="23"/>
  <c r="I85" i="23"/>
  <c r="G85" i="23"/>
  <c r="F85" i="23"/>
  <c r="E85" i="23"/>
  <c r="D85" i="23"/>
  <c r="O84" i="23"/>
  <c r="M84" i="23"/>
  <c r="K84" i="23"/>
  <c r="I84" i="23"/>
  <c r="G84" i="23"/>
  <c r="F84" i="23"/>
  <c r="E84" i="23"/>
  <c r="D84" i="23"/>
  <c r="O83" i="23"/>
  <c r="M83" i="23"/>
  <c r="K83" i="23"/>
  <c r="I83" i="23"/>
  <c r="G83" i="23"/>
  <c r="F83" i="23"/>
  <c r="E83" i="23"/>
  <c r="D83" i="23"/>
  <c r="O82" i="23"/>
  <c r="M82" i="23"/>
  <c r="K82" i="23"/>
  <c r="I82" i="23"/>
  <c r="G82" i="23"/>
  <c r="F82" i="23"/>
  <c r="E82" i="23"/>
  <c r="D82" i="23"/>
  <c r="O81" i="23"/>
  <c r="M81" i="23"/>
  <c r="K81" i="23"/>
  <c r="I81" i="23"/>
  <c r="G81" i="23"/>
  <c r="F81" i="23"/>
  <c r="E81" i="23"/>
  <c r="D81" i="23"/>
  <c r="O80" i="23"/>
  <c r="M80" i="23"/>
  <c r="K80" i="23"/>
  <c r="I80" i="23"/>
  <c r="G80" i="23"/>
  <c r="F80" i="23"/>
  <c r="E80" i="23"/>
  <c r="D80" i="23"/>
  <c r="O79" i="23"/>
  <c r="M79" i="23"/>
  <c r="K79" i="23"/>
  <c r="I79" i="23"/>
  <c r="G79" i="23"/>
  <c r="F79" i="23"/>
  <c r="E79" i="23"/>
  <c r="D79" i="23"/>
  <c r="O78" i="23"/>
  <c r="M78" i="23"/>
  <c r="K78" i="23"/>
  <c r="I78" i="23"/>
  <c r="G78" i="23"/>
  <c r="F78" i="23"/>
  <c r="E78" i="23"/>
  <c r="D78" i="23"/>
  <c r="O77" i="23"/>
  <c r="M77" i="23"/>
  <c r="K77" i="23"/>
  <c r="I77" i="23"/>
  <c r="G77" i="23"/>
  <c r="F77" i="23"/>
  <c r="E77" i="23"/>
  <c r="D77" i="23"/>
  <c r="O76" i="23"/>
  <c r="M76" i="23"/>
  <c r="K76" i="23"/>
  <c r="I76" i="23"/>
  <c r="G76" i="23"/>
  <c r="F76" i="23"/>
  <c r="E76" i="23"/>
  <c r="D76" i="23"/>
  <c r="O75" i="23"/>
  <c r="M75" i="23"/>
  <c r="K75" i="23"/>
  <c r="I75" i="23"/>
  <c r="G75" i="23"/>
  <c r="F75" i="23"/>
  <c r="E75" i="23"/>
  <c r="D75" i="23"/>
  <c r="O74" i="23"/>
  <c r="M74" i="23"/>
  <c r="K74" i="23"/>
  <c r="I74" i="23"/>
  <c r="G74" i="23"/>
  <c r="F74" i="23"/>
  <c r="E74" i="23"/>
  <c r="D74" i="23"/>
  <c r="O73" i="23"/>
  <c r="M73" i="23"/>
  <c r="K73" i="23"/>
  <c r="I73" i="23"/>
  <c r="G73" i="23"/>
  <c r="F73" i="23"/>
  <c r="E73" i="23"/>
  <c r="D73" i="23"/>
  <c r="O72" i="23"/>
  <c r="M72" i="23"/>
  <c r="K72" i="23"/>
  <c r="I72" i="23"/>
  <c r="G72" i="23"/>
  <c r="F72" i="23"/>
  <c r="E72" i="23"/>
  <c r="D72" i="23"/>
  <c r="O71" i="23"/>
  <c r="M71" i="23"/>
  <c r="K71" i="23"/>
  <c r="I71" i="23"/>
  <c r="G71" i="23"/>
  <c r="F71" i="23"/>
  <c r="E71" i="23"/>
  <c r="D71" i="23"/>
  <c r="O70" i="23"/>
  <c r="M70" i="23"/>
  <c r="K70" i="23"/>
  <c r="I70" i="23"/>
  <c r="G70" i="23"/>
  <c r="F70" i="23"/>
  <c r="E70" i="23"/>
  <c r="D70" i="23"/>
  <c r="O69" i="23"/>
  <c r="M69" i="23"/>
  <c r="K69" i="23"/>
  <c r="I69" i="23"/>
  <c r="G69" i="23"/>
  <c r="F69" i="23"/>
  <c r="E69" i="23"/>
  <c r="D69" i="23"/>
  <c r="O68" i="23"/>
  <c r="M68" i="23"/>
  <c r="K68" i="23"/>
  <c r="I68" i="23"/>
  <c r="G68" i="23"/>
  <c r="F68" i="23"/>
  <c r="E68" i="23"/>
  <c r="D68" i="23"/>
  <c r="O67" i="23"/>
  <c r="M67" i="23"/>
  <c r="K67" i="23"/>
  <c r="I67" i="23"/>
  <c r="G67" i="23"/>
  <c r="F67" i="23"/>
  <c r="E67" i="23"/>
  <c r="D67" i="23"/>
  <c r="O66" i="23"/>
  <c r="M66" i="23"/>
  <c r="K66" i="23"/>
  <c r="I66" i="23"/>
  <c r="G66" i="23"/>
  <c r="F66" i="23"/>
  <c r="E66" i="23"/>
  <c r="D66" i="23"/>
  <c r="O65" i="23"/>
  <c r="M65" i="23"/>
  <c r="K65" i="23"/>
  <c r="I65" i="23"/>
  <c r="G65" i="23"/>
  <c r="F65" i="23"/>
  <c r="E65" i="23"/>
  <c r="D65" i="23"/>
  <c r="O64" i="23"/>
  <c r="M64" i="23"/>
  <c r="K64" i="23"/>
  <c r="I64" i="23"/>
  <c r="G64" i="23"/>
  <c r="F64" i="23"/>
  <c r="E64" i="23"/>
  <c r="D64" i="23"/>
  <c r="O63" i="23"/>
  <c r="M63" i="23"/>
  <c r="K63" i="23"/>
  <c r="I63" i="23"/>
  <c r="G63" i="23"/>
  <c r="F63" i="23"/>
  <c r="E63" i="23"/>
  <c r="D63" i="23"/>
  <c r="O62" i="23"/>
  <c r="M62" i="23"/>
  <c r="K62" i="23"/>
  <c r="I62" i="23"/>
  <c r="G62" i="23"/>
  <c r="F62" i="23"/>
  <c r="E62" i="23"/>
  <c r="D62" i="23"/>
  <c r="O61" i="23"/>
  <c r="M61" i="23"/>
  <c r="K61" i="23"/>
  <c r="I61" i="23"/>
  <c r="G61" i="23"/>
  <c r="F61" i="23"/>
  <c r="E61" i="23"/>
  <c r="D61" i="23"/>
  <c r="O60" i="23"/>
  <c r="M60" i="23"/>
  <c r="K60" i="23"/>
  <c r="I60" i="23"/>
  <c r="G60" i="23"/>
  <c r="F60" i="23"/>
  <c r="E60" i="23"/>
  <c r="D60" i="23"/>
  <c r="O59" i="23"/>
  <c r="M59" i="23"/>
  <c r="K59" i="23"/>
  <c r="I59" i="23"/>
  <c r="G59" i="23"/>
  <c r="F59" i="23"/>
  <c r="E59" i="23"/>
  <c r="D59" i="23"/>
  <c r="O58" i="23"/>
  <c r="M58" i="23"/>
  <c r="K58" i="23"/>
  <c r="I58" i="23"/>
  <c r="G58" i="23"/>
  <c r="F58" i="23"/>
  <c r="E58" i="23"/>
  <c r="D58" i="23"/>
  <c r="O57" i="23"/>
  <c r="M57" i="23"/>
  <c r="K57" i="23"/>
  <c r="I57" i="23"/>
  <c r="G57" i="23"/>
  <c r="F57" i="23"/>
  <c r="E57" i="23"/>
  <c r="D57" i="23"/>
  <c r="O56" i="23"/>
  <c r="M56" i="23"/>
  <c r="K56" i="23"/>
  <c r="I56" i="23"/>
  <c r="G56" i="23"/>
  <c r="F56" i="23"/>
  <c r="E56" i="23"/>
  <c r="D56" i="23"/>
  <c r="O55" i="23"/>
  <c r="M55" i="23"/>
  <c r="K55" i="23"/>
  <c r="I55" i="23"/>
  <c r="G55" i="23"/>
  <c r="F55" i="23"/>
  <c r="E55" i="23"/>
  <c r="D55" i="23"/>
  <c r="O54" i="23"/>
  <c r="M54" i="23"/>
  <c r="K54" i="23"/>
  <c r="I54" i="23"/>
  <c r="G54" i="23"/>
  <c r="F54" i="23"/>
  <c r="E54" i="23"/>
  <c r="D54" i="23"/>
  <c r="O53" i="23"/>
  <c r="M53" i="23"/>
  <c r="K53" i="23"/>
  <c r="I53" i="23"/>
  <c r="G53" i="23"/>
  <c r="F53" i="23"/>
  <c r="E53" i="23"/>
  <c r="D53" i="23"/>
  <c r="O52" i="23"/>
  <c r="M52" i="23"/>
  <c r="K52" i="23"/>
  <c r="I52" i="23"/>
  <c r="G52" i="23"/>
  <c r="F52" i="23"/>
  <c r="E52" i="23"/>
  <c r="D52" i="23"/>
  <c r="O51" i="23"/>
  <c r="M51" i="23"/>
  <c r="K51" i="23"/>
  <c r="I51" i="23"/>
  <c r="G51" i="23"/>
  <c r="F51" i="23"/>
  <c r="E51" i="23"/>
  <c r="D51" i="23"/>
  <c r="O50" i="23"/>
  <c r="M50" i="23"/>
  <c r="K50" i="23"/>
  <c r="I50" i="23"/>
  <c r="G50" i="23"/>
  <c r="F50" i="23"/>
  <c r="E50" i="23"/>
  <c r="D50" i="23"/>
  <c r="O49" i="23"/>
  <c r="M49" i="23"/>
  <c r="K49" i="23"/>
  <c r="I49" i="23"/>
  <c r="G49" i="23"/>
  <c r="F49" i="23"/>
  <c r="E49" i="23"/>
  <c r="D49" i="23"/>
  <c r="O48" i="23"/>
  <c r="M48" i="23"/>
  <c r="K48" i="23"/>
  <c r="I48" i="23"/>
  <c r="G48" i="23"/>
  <c r="F48" i="23"/>
  <c r="E48" i="23"/>
  <c r="D48" i="23"/>
  <c r="O47" i="23"/>
  <c r="M47" i="23"/>
  <c r="K47" i="23"/>
  <c r="I47" i="23"/>
  <c r="G47" i="23"/>
  <c r="F47" i="23"/>
  <c r="E47" i="23"/>
  <c r="D47" i="23"/>
  <c r="O46" i="23"/>
  <c r="M46" i="23"/>
  <c r="K46" i="23"/>
  <c r="I46" i="23"/>
  <c r="G46" i="23"/>
  <c r="F46" i="23"/>
  <c r="E46" i="23"/>
  <c r="D46" i="23"/>
  <c r="O45" i="23"/>
  <c r="M45" i="23"/>
  <c r="K45" i="23"/>
  <c r="I45" i="23"/>
  <c r="G45" i="23"/>
  <c r="F45" i="23"/>
  <c r="E45" i="23"/>
  <c r="D45" i="23"/>
  <c r="O44" i="23"/>
  <c r="M44" i="23"/>
  <c r="K44" i="23"/>
  <c r="I44" i="23"/>
  <c r="G44" i="23"/>
  <c r="F44" i="23"/>
  <c r="E44" i="23"/>
  <c r="D44" i="23"/>
  <c r="O43" i="23"/>
  <c r="M43" i="23"/>
  <c r="K43" i="23"/>
  <c r="I43" i="23"/>
  <c r="G43" i="23"/>
  <c r="F43" i="23"/>
  <c r="E43" i="23"/>
  <c r="D43" i="23"/>
  <c r="O42" i="23"/>
  <c r="M42" i="23"/>
  <c r="K42" i="23"/>
  <c r="I42" i="23"/>
  <c r="G42" i="23"/>
  <c r="F42" i="23"/>
  <c r="E42" i="23"/>
  <c r="D42" i="23"/>
  <c r="O41" i="23"/>
  <c r="M41" i="23"/>
  <c r="K41" i="23"/>
  <c r="I41" i="23"/>
  <c r="G41" i="23"/>
  <c r="F41" i="23"/>
  <c r="E41" i="23"/>
  <c r="D41" i="23"/>
  <c r="O40" i="23"/>
  <c r="M40" i="23"/>
  <c r="K40" i="23"/>
  <c r="I40" i="23"/>
  <c r="G40" i="23"/>
  <c r="F40" i="23"/>
  <c r="E40" i="23"/>
  <c r="D40" i="23"/>
  <c r="O39" i="23"/>
  <c r="M39" i="23"/>
  <c r="K39" i="23"/>
  <c r="I39" i="23"/>
  <c r="G39" i="23"/>
  <c r="F39" i="23"/>
  <c r="E39" i="23"/>
  <c r="D39" i="23"/>
  <c r="O38" i="23"/>
  <c r="M38" i="23"/>
  <c r="K38" i="23"/>
  <c r="I38" i="23"/>
  <c r="G38" i="23"/>
  <c r="F38" i="23"/>
  <c r="E38" i="23"/>
  <c r="D38" i="23"/>
  <c r="O37" i="23"/>
  <c r="M37" i="23"/>
  <c r="K37" i="23"/>
  <c r="I37" i="23"/>
  <c r="G37" i="23"/>
  <c r="F37" i="23"/>
  <c r="E37" i="23"/>
  <c r="D37" i="23"/>
  <c r="O36" i="23"/>
  <c r="M36" i="23"/>
  <c r="K36" i="23"/>
  <c r="I36" i="23"/>
  <c r="G36" i="23"/>
  <c r="F36" i="23"/>
  <c r="E36" i="23"/>
  <c r="D36" i="23"/>
  <c r="O35" i="23"/>
  <c r="M35" i="23"/>
  <c r="K35" i="23"/>
  <c r="I35" i="23"/>
  <c r="G35" i="23"/>
  <c r="F35" i="23"/>
  <c r="E35" i="23"/>
  <c r="D35" i="23"/>
  <c r="O34" i="23"/>
  <c r="M34" i="23"/>
  <c r="K34" i="23"/>
  <c r="I34" i="23"/>
  <c r="G34" i="23"/>
  <c r="F34" i="23"/>
  <c r="E34" i="23"/>
  <c r="D34" i="23"/>
  <c r="O33" i="23"/>
  <c r="M33" i="23"/>
  <c r="K33" i="23"/>
  <c r="I33" i="23"/>
  <c r="G33" i="23"/>
  <c r="F33" i="23"/>
  <c r="E33" i="23"/>
  <c r="D33" i="23"/>
  <c r="O32" i="23"/>
  <c r="M32" i="23"/>
  <c r="K32" i="23"/>
  <c r="I32" i="23"/>
  <c r="G32" i="23"/>
  <c r="F32" i="23"/>
  <c r="E32" i="23"/>
  <c r="D32" i="23"/>
  <c r="O31" i="23"/>
  <c r="M31" i="23"/>
  <c r="K31" i="23"/>
  <c r="I31" i="23"/>
  <c r="G31" i="23"/>
  <c r="F31" i="23"/>
  <c r="E31" i="23"/>
  <c r="D31" i="23"/>
  <c r="O30" i="23"/>
  <c r="M30" i="23"/>
  <c r="K30" i="23"/>
  <c r="I30" i="23"/>
  <c r="G30" i="23"/>
  <c r="F30" i="23"/>
  <c r="E30" i="23"/>
  <c r="D30" i="23"/>
  <c r="O29" i="23"/>
  <c r="M29" i="23"/>
  <c r="K29" i="23"/>
  <c r="I29" i="23"/>
  <c r="G29" i="23"/>
  <c r="F29" i="23"/>
  <c r="E29" i="23"/>
  <c r="D29" i="23"/>
  <c r="O28" i="23"/>
  <c r="M28" i="23"/>
  <c r="K28" i="23"/>
  <c r="I28" i="23"/>
  <c r="G28" i="23"/>
  <c r="F28" i="23"/>
  <c r="E28" i="23"/>
  <c r="D28" i="23"/>
  <c r="O27" i="23"/>
  <c r="M27" i="23"/>
  <c r="K27" i="23"/>
  <c r="I27" i="23"/>
  <c r="G27" i="23"/>
  <c r="F27" i="23"/>
  <c r="E27" i="23"/>
  <c r="D27" i="23"/>
  <c r="O26" i="23"/>
  <c r="M26" i="23"/>
  <c r="K26" i="23"/>
  <c r="I26" i="23"/>
  <c r="G26" i="23"/>
  <c r="F26" i="23"/>
  <c r="E26" i="23"/>
  <c r="D26" i="23"/>
  <c r="O25" i="23"/>
  <c r="M25" i="23"/>
  <c r="K25" i="23"/>
  <c r="I25" i="23"/>
  <c r="G25" i="23"/>
  <c r="F25" i="23"/>
  <c r="E25" i="23"/>
  <c r="D25" i="23"/>
  <c r="O24" i="23"/>
  <c r="M24" i="23"/>
  <c r="K24" i="23"/>
  <c r="I24" i="23"/>
  <c r="G24" i="23"/>
  <c r="F24" i="23"/>
  <c r="E24" i="23"/>
  <c r="D24" i="23"/>
  <c r="O23" i="23"/>
  <c r="M23" i="23"/>
  <c r="K23" i="23"/>
  <c r="I23" i="23"/>
  <c r="G23" i="23"/>
  <c r="F23" i="23"/>
  <c r="E23" i="23"/>
  <c r="D23" i="23"/>
  <c r="O22" i="23"/>
  <c r="M22" i="23"/>
  <c r="K22" i="23"/>
  <c r="I22" i="23"/>
  <c r="G22" i="23"/>
  <c r="F22" i="23"/>
  <c r="E22" i="23"/>
  <c r="D22" i="23"/>
  <c r="O21" i="23"/>
  <c r="M21" i="23"/>
  <c r="K21" i="23"/>
  <c r="I21" i="23"/>
  <c r="G21" i="23"/>
  <c r="F21" i="23"/>
  <c r="E21" i="23"/>
  <c r="D21" i="23"/>
  <c r="O20" i="23"/>
  <c r="M20" i="23"/>
  <c r="K20" i="23"/>
  <c r="I20" i="23"/>
  <c r="G20" i="23"/>
  <c r="F20" i="23"/>
  <c r="E20" i="23"/>
  <c r="D20" i="23"/>
  <c r="O19" i="23"/>
  <c r="M19" i="23"/>
  <c r="K19" i="23"/>
  <c r="I19" i="23"/>
  <c r="G19" i="23"/>
  <c r="F19" i="23"/>
  <c r="E19" i="23"/>
  <c r="D19" i="23"/>
  <c r="O18" i="23"/>
  <c r="M18" i="23"/>
  <c r="K18" i="23"/>
  <c r="I18" i="23"/>
  <c r="G18" i="23"/>
  <c r="F18" i="23"/>
  <c r="E18" i="23"/>
  <c r="D18" i="23"/>
  <c r="O17" i="23"/>
  <c r="M17" i="23"/>
  <c r="K17" i="23"/>
  <c r="I17" i="23"/>
  <c r="G17" i="23"/>
  <c r="F17" i="23"/>
  <c r="E17" i="23"/>
  <c r="D17" i="23"/>
  <c r="O16" i="23"/>
  <c r="M16" i="23"/>
  <c r="K16" i="23"/>
  <c r="I16" i="23"/>
  <c r="G16" i="23"/>
  <c r="F16" i="23"/>
  <c r="E16" i="23"/>
  <c r="D16" i="23"/>
  <c r="O15" i="23"/>
  <c r="M15" i="23"/>
  <c r="K15" i="23"/>
  <c r="I15" i="23"/>
  <c r="G15" i="23"/>
  <c r="F15" i="23"/>
  <c r="E15" i="23"/>
  <c r="D15" i="23"/>
  <c r="O14" i="23"/>
  <c r="M14" i="23"/>
  <c r="K14" i="23"/>
  <c r="I14" i="23"/>
  <c r="G14" i="23"/>
  <c r="F14" i="23"/>
  <c r="E14" i="23"/>
  <c r="D14" i="23"/>
  <c r="O13" i="23"/>
  <c r="M13" i="23"/>
  <c r="K13" i="23"/>
  <c r="I13" i="23"/>
  <c r="G13" i="23"/>
  <c r="F13" i="23"/>
  <c r="E13" i="23"/>
  <c r="D13" i="23"/>
  <c r="O12" i="23"/>
  <c r="M12" i="23"/>
  <c r="K12" i="23"/>
  <c r="I12" i="23"/>
  <c r="G12" i="23"/>
  <c r="F12" i="23"/>
  <c r="E12" i="23"/>
  <c r="D12" i="23"/>
  <c r="O11" i="23"/>
  <c r="M11" i="23"/>
  <c r="K11" i="23"/>
  <c r="I11" i="23"/>
  <c r="G11" i="23"/>
  <c r="F11" i="23"/>
  <c r="E11" i="23"/>
  <c r="D11" i="23"/>
  <c r="O10" i="23"/>
  <c r="M10" i="23"/>
  <c r="K10" i="23"/>
  <c r="I10" i="23"/>
  <c r="G10" i="23"/>
  <c r="F10" i="23"/>
  <c r="E10" i="23"/>
  <c r="D10" i="23"/>
  <c r="O9" i="23"/>
  <c r="M9" i="23"/>
  <c r="K9" i="23"/>
  <c r="I9" i="23"/>
  <c r="G9" i="23"/>
  <c r="F9" i="23"/>
  <c r="E9" i="23"/>
  <c r="D9" i="23"/>
  <c r="O8" i="23"/>
  <c r="M8" i="23"/>
  <c r="K8" i="23"/>
  <c r="I8" i="23"/>
  <c r="G8" i="23"/>
  <c r="F8" i="23"/>
  <c r="E8" i="23"/>
  <c r="D8" i="23"/>
  <c r="O7" i="23"/>
  <c r="M7" i="23"/>
  <c r="K7" i="23"/>
  <c r="I7" i="23"/>
  <c r="G7" i="23"/>
  <c r="F7" i="23"/>
  <c r="E7" i="23"/>
  <c r="D7" i="23"/>
  <c r="O6" i="23"/>
  <c r="M6" i="23"/>
  <c r="K6" i="23"/>
  <c r="I6" i="23"/>
  <c r="G6" i="23"/>
  <c r="F6" i="23"/>
  <c r="F334" i="23" s="1"/>
  <c r="E6" i="23"/>
  <c r="D6" i="23"/>
  <c r="D334" i="23" s="1"/>
  <c r="J5" i="22"/>
  <c r="I5" i="22"/>
  <c r="G5" i="22"/>
  <c r="F5" i="22"/>
  <c r="E5" i="22" s="1"/>
  <c r="J4" i="22"/>
  <c r="I4" i="22"/>
  <c r="C4" i="22" s="1"/>
  <c r="G4" i="22"/>
  <c r="D4" i="22" s="1"/>
  <c r="F4" i="22"/>
  <c r="H4" i="22" l="1"/>
  <c r="B4" i="22"/>
  <c r="H5" i="22"/>
  <c r="E4" i="22"/>
  <c r="D5" i="22"/>
  <c r="C5" i="22"/>
  <c r="F507" i="25"/>
  <c r="K507" i="25"/>
  <c r="B5" i="22" l="1"/>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Q701" i="18"/>
  <c r="Q702" i="18"/>
  <c r="Q703" i="18"/>
  <c r="Q704" i="18"/>
  <c r="Q705" i="18"/>
  <c r="Q706" i="18"/>
  <c r="Q707" i="18"/>
  <c r="Q708" i="18"/>
  <c r="Q709" i="18"/>
  <c r="Q710" i="18"/>
  <c r="Q711" i="18"/>
  <c r="Q712" i="18"/>
  <c r="Q713" i="18"/>
  <c r="Q714" i="18"/>
  <c r="Q715" i="18"/>
  <c r="Q716" i="18"/>
  <c r="Q717" i="18"/>
  <c r="Q718" i="18"/>
  <c r="Q719" i="18"/>
  <c r="Q720" i="18"/>
  <c r="Q721" i="18"/>
  <c r="Q722" i="18"/>
  <c r="Q723" i="18"/>
  <c r="Q724" i="18"/>
  <c r="Q725" i="18"/>
  <c r="Q726" i="18"/>
  <c r="Q727" i="18"/>
  <c r="Q728" i="18"/>
  <c r="Q729" i="18"/>
  <c r="Q730" i="18"/>
  <c r="Q731" i="18"/>
  <c r="Q732" i="18"/>
  <c r="Q733" i="18"/>
  <c r="Q734" i="18"/>
  <c r="Q735" i="18"/>
  <c r="Q736" i="18"/>
  <c r="Q737" i="18"/>
  <c r="Q738" i="18"/>
  <c r="Q739" i="18"/>
  <c r="Q740" i="18"/>
  <c r="Q741" i="18"/>
  <c r="Q742" i="18"/>
  <c r="Q743" i="18"/>
  <c r="Q744" i="18"/>
  <c r="Q745" i="18"/>
  <c r="Q746" i="18"/>
  <c r="Q747" i="18"/>
  <c r="Q748" i="18"/>
  <c r="Q749" i="18"/>
  <c r="Q750" i="18"/>
  <c r="Q751" i="18"/>
  <c r="Q752" i="18"/>
  <c r="Q753" i="18"/>
  <c r="Q754" i="18"/>
  <c r="Q755" i="18"/>
  <c r="Q756" i="18"/>
  <c r="Q757" i="18"/>
  <c r="Q758" i="18"/>
  <c r="Q759" i="18"/>
  <c r="Q760" i="18"/>
  <c r="Q761" i="18"/>
  <c r="Q762" i="18"/>
  <c r="Q763" i="18"/>
  <c r="Q764" i="18"/>
  <c r="Q765" i="18"/>
  <c r="Q766" i="18"/>
  <c r="Q767" i="18"/>
  <c r="Q768" i="18"/>
  <c r="Q769" i="18"/>
  <c r="Q770" i="18"/>
  <c r="Q771" i="18"/>
  <c r="Q772" i="18"/>
  <c r="Q773" i="18"/>
  <c r="Q774" i="18"/>
  <c r="Q775" i="18"/>
  <c r="Q776" i="18"/>
  <c r="Q777" i="18"/>
  <c r="Q778" i="18"/>
  <c r="Q779" i="18"/>
  <c r="Q780" i="18"/>
  <c r="Q781" i="18"/>
  <c r="Q782" i="18"/>
  <c r="Q783" i="18"/>
  <c r="Q784" i="18"/>
  <c r="Q785" i="18"/>
  <c r="Q786" i="18"/>
  <c r="Q787" i="18"/>
  <c r="Q788" i="18"/>
  <c r="Q789" i="18"/>
  <c r="Q790" i="18"/>
  <c r="Q791" i="18"/>
  <c r="Q792" i="18"/>
  <c r="Q793" i="18"/>
  <c r="Q794" i="18"/>
  <c r="Q795" i="18"/>
  <c r="Q796" i="18"/>
  <c r="Q797" i="18"/>
  <c r="Q798" i="18"/>
  <c r="Q799" i="18"/>
  <c r="Q800" i="18"/>
  <c r="Q801" i="18"/>
  <c r="Q802" i="18"/>
  <c r="Q803" i="18"/>
  <c r="Q804" i="18"/>
  <c r="Q805" i="18"/>
  <c r="Q806" i="18"/>
  <c r="Q807" i="18"/>
  <c r="Q808" i="18"/>
  <c r="Q809" i="18"/>
  <c r="Q810" i="18"/>
  <c r="Q811" i="18"/>
  <c r="Q812" i="18"/>
  <c r="Q813" i="18"/>
  <c r="Q814" i="18"/>
  <c r="Q815" i="18"/>
  <c r="Q816" i="18"/>
  <c r="Q817" i="18"/>
  <c r="Q818" i="18"/>
  <c r="Q819" i="18"/>
  <c r="Q820" i="18"/>
  <c r="Q821" i="18"/>
  <c r="Q822" i="18"/>
  <c r="Q823" i="18"/>
  <c r="Q824" i="18"/>
  <c r="Q825" i="18"/>
  <c r="Q826" i="18"/>
  <c r="Q827" i="18"/>
  <c r="Q828" i="18"/>
  <c r="Q829" i="18"/>
  <c r="Q830" i="18"/>
  <c r="Q831" i="18"/>
  <c r="Q832" i="18"/>
  <c r="Q833" i="18"/>
  <c r="Q834" i="18"/>
  <c r="Q835" i="18"/>
  <c r="Q836" i="18"/>
  <c r="Q837" i="18"/>
  <c r="Q838" i="18"/>
  <c r="Q839" i="18"/>
  <c r="Q840" i="18"/>
  <c r="Q841" i="18"/>
  <c r="Q842" i="18"/>
  <c r="Q843" i="18"/>
  <c r="Q844" i="18"/>
  <c r="Q845" i="18"/>
  <c r="Q846" i="18"/>
  <c r="Q847" i="18"/>
  <c r="Q848" i="18"/>
  <c r="Q849" i="18"/>
  <c r="Q850" i="18"/>
  <c r="Q851" i="18"/>
  <c r="Q852" i="18"/>
  <c r="Q853" i="18"/>
  <c r="Q854" i="18"/>
  <c r="Q855" i="18"/>
  <c r="Q856" i="18"/>
  <c r="Q857" i="18"/>
  <c r="Q858" i="18"/>
  <c r="Q859" i="18"/>
  <c r="Q860" i="18"/>
  <c r="Q861" i="18"/>
  <c r="Q862" i="18"/>
  <c r="Q863" i="18"/>
  <c r="Q864" i="18"/>
  <c r="Q865" i="18"/>
  <c r="Q866" i="18"/>
  <c r="Q867" i="18"/>
  <c r="Q868" i="18"/>
  <c r="Q869" i="18"/>
  <c r="Q870" i="18"/>
  <c r="Q871" i="18"/>
  <c r="Q872" i="18"/>
  <c r="Q873" i="18"/>
  <c r="Q874" i="18"/>
  <c r="Q875" i="18"/>
  <c r="Q876" i="18"/>
  <c r="Q877" i="18"/>
  <c r="Q878" i="18"/>
  <c r="Q879" i="18"/>
  <c r="Q880" i="18"/>
  <c r="Q881" i="18"/>
  <c r="Q882" i="18"/>
  <c r="Q883" i="18"/>
  <c r="Q884" i="18"/>
  <c r="Q885" i="18"/>
  <c r="Q886" i="18"/>
  <c r="Q887" i="18"/>
  <c r="Q888" i="18"/>
  <c r="Q889" i="18"/>
  <c r="Q890" i="18"/>
  <c r="Q891" i="18"/>
  <c r="Q892" i="18"/>
  <c r="Q893" i="18"/>
  <c r="Q894" i="18"/>
  <c r="Q895" i="18"/>
  <c r="Q896" i="18"/>
  <c r="Q897" i="18"/>
  <c r="Q898" i="18"/>
  <c r="Q899" i="18"/>
  <c r="Q900" i="18"/>
  <c r="Q901" i="18"/>
  <c r="Q902" i="18"/>
  <c r="Q903" i="18"/>
  <c r="Q904" i="18"/>
  <c r="Q905" i="18"/>
  <c r="Q906" i="18"/>
  <c r="Q907" i="18"/>
  <c r="Q908" i="18"/>
  <c r="Q909" i="18"/>
  <c r="Q910" i="18"/>
  <c r="Q911" i="18"/>
  <c r="Q912" i="18"/>
  <c r="Q913" i="18"/>
  <c r="Q914" i="18"/>
  <c r="Q915" i="18"/>
  <c r="Q916" i="18"/>
  <c r="Q917" i="18"/>
  <c r="Q918" i="18"/>
  <c r="Q919" i="18"/>
  <c r="Q920" i="18"/>
  <c r="Q921" i="18"/>
  <c r="Q922" i="18"/>
  <c r="Q923" i="18"/>
  <c r="Q924" i="18"/>
  <c r="Q925" i="18"/>
  <c r="Q926" i="18"/>
  <c r="Q927" i="18"/>
  <c r="Q928" i="18"/>
  <c r="Q929" i="18"/>
  <c r="Q930" i="18"/>
  <c r="Q931" i="18"/>
  <c r="Q932" i="18"/>
  <c r="Q933" i="18"/>
  <c r="Q934" i="18"/>
  <c r="Q935" i="18"/>
  <c r="Q936" i="18"/>
  <c r="Q937" i="18"/>
  <c r="Q938" i="18"/>
  <c r="Q939" i="18"/>
  <c r="Q940" i="18"/>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P938" i="18"/>
  <c r="P939" i="18"/>
  <c r="P940" i="18"/>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R938" i="16"/>
  <c r="R939"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BC6" i="14" l="1"/>
  <c r="P274" i="23"/>
  <c r="P7" i="23"/>
  <c r="P6" i="23"/>
  <c r="Q6" i="23"/>
  <c r="R6" i="23"/>
  <c r="Q7" i="23"/>
  <c r="R7" i="23"/>
  <c r="P8" i="23"/>
  <c r="Q8" i="23"/>
  <c r="R8" i="23"/>
  <c r="P9" i="23"/>
  <c r="Q9" i="23"/>
  <c r="R9" i="23"/>
  <c r="P10" i="23"/>
  <c r="Q10" i="23"/>
  <c r="R10" i="23"/>
  <c r="P11" i="23"/>
  <c r="Q11" i="23"/>
  <c r="R11" i="23"/>
  <c r="P12" i="23"/>
  <c r="Q12" i="23"/>
  <c r="R12" i="23"/>
  <c r="P13" i="23"/>
  <c r="Q13" i="23"/>
  <c r="R13" i="23"/>
  <c r="P14" i="23"/>
  <c r="Q14" i="23"/>
  <c r="R14" i="23"/>
  <c r="P15" i="23"/>
  <c r="Q15" i="23"/>
  <c r="R15" i="23"/>
  <c r="P16" i="23"/>
  <c r="Q16" i="23"/>
  <c r="R16" i="23"/>
  <c r="P17" i="23"/>
  <c r="Q17" i="23"/>
  <c r="R17" i="23"/>
  <c r="P18" i="23"/>
  <c r="Q18" i="23"/>
  <c r="R18" i="23"/>
  <c r="P19" i="23"/>
  <c r="Q19" i="23"/>
  <c r="R19" i="23"/>
  <c r="P20" i="23"/>
  <c r="Q20" i="23"/>
  <c r="R20" i="23"/>
  <c r="P21" i="23"/>
  <c r="Q21" i="23"/>
  <c r="R21" i="23"/>
  <c r="P22" i="23"/>
  <c r="Q22" i="23"/>
  <c r="R22" i="23"/>
  <c r="P23" i="23"/>
  <c r="Q23" i="23"/>
  <c r="R23" i="23"/>
  <c r="P24" i="23"/>
  <c r="Q24" i="23"/>
  <c r="R24" i="23"/>
  <c r="P25" i="23"/>
  <c r="Q25" i="23"/>
  <c r="R25" i="23"/>
  <c r="P26" i="23"/>
  <c r="Q26" i="23"/>
  <c r="R26" i="23"/>
  <c r="P27" i="23"/>
  <c r="Q27" i="23"/>
  <c r="R27" i="23"/>
  <c r="P28" i="23"/>
  <c r="Q28" i="23"/>
  <c r="R28" i="23"/>
  <c r="P29" i="23"/>
  <c r="Q29" i="23"/>
  <c r="R29" i="23"/>
  <c r="P30" i="23"/>
  <c r="Q30" i="23"/>
  <c r="R30" i="23"/>
  <c r="P31" i="23"/>
  <c r="Q31" i="23"/>
  <c r="R31" i="23"/>
  <c r="P32" i="23"/>
  <c r="Q32" i="23"/>
  <c r="R32" i="23"/>
  <c r="P33" i="23"/>
  <c r="Q33" i="23"/>
  <c r="R33" i="23"/>
  <c r="P34" i="23"/>
  <c r="Q34" i="23"/>
  <c r="R34" i="23"/>
  <c r="P35" i="23"/>
  <c r="Q35" i="23"/>
  <c r="R35" i="23"/>
  <c r="P36" i="23"/>
  <c r="Q36" i="23"/>
  <c r="R36" i="23"/>
  <c r="P37" i="23"/>
  <c r="Q37" i="23"/>
  <c r="R37" i="23"/>
  <c r="P38" i="23"/>
  <c r="Q38" i="23"/>
  <c r="R38" i="23"/>
  <c r="P39" i="23"/>
  <c r="Q39" i="23"/>
  <c r="R39" i="23"/>
  <c r="P40" i="23"/>
  <c r="Q40" i="23"/>
  <c r="R40" i="23"/>
  <c r="P41" i="23"/>
  <c r="Q41" i="23"/>
  <c r="R41" i="23"/>
  <c r="P42" i="23"/>
  <c r="Q42" i="23"/>
  <c r="R42" i="23"/>
  <c r="P43" i="23"/>
  <c r="Q43" i="23"/>
  <c r="R43" i="23"/>
  <c r="P44" i="23"/>
  <c r="Q44" i="23"/>
  <c r="R44" i="23"/>
  <c r="P45" i="23"/>
  <c r="Q45" i="23"/>
  <c r="R45" i="23"/>
  <c r="P46" i="23"/>
  <c r="Q46" i="23"/>
  <c r="R46" i="23"/>
  <c r="P47" i="23"/>
  <c r="Q47" i="23"/>
  <c r="R47" i="23"/>
  <c r="P48" i="23"/>
  <c r="Q48" i="23"/>
  <c r="R48" i="23"/>
  <c r="P49" i="23"/>
  <c r="Q49" i="23"/>
  <c r="R49" i="23"/>
  <c r="P50" i="23"/>
  <c r="Q50" i="23"/>
  <c r="R50" i="23"/>
  <c r="P51" i="23"/>
  <c r="Q51" i="23"/>
  <c r="R51" i="23"/>
  <c r="P52" i="23"/>
  <c r="Q52" i="23"/>
  <c r="R52" i="23"/>
  <c r="P53" i="23"/>
  <c r="Q53" i="23"/>
  <c r="R53" i="23"/>
  <c r="P54" i="23"/>
  <c r="Q54" i="23"/>
  <c r="R54" i="23"/>
  <c r="P55" i="23"/>
  <c r="Q55" i="23"/>
  <c r="R55" i="23"/>
  <c r="P56" i="23"/>
  <c r="Q56" i="23"/>
  <c r="R56" i="23"/>
  <c r="P57" i="23"/>
  <c r="Q57" i="23"/>
  <c r="R57" i="23"/>
  <c r="P58" i="23"/>
  <c r="Q58" i="23"/>
  <c r="R58" i="23"/>
  <c r="P59" i="23"/>
  <c r="Q59" i="23"/>
  <c r="R59" i="23"/>
  <c r="P60" i="23"/>
  <c r="Q60" i="23"/>
  <c r="R60" i="23"/>
  <c r="P61" i="23"/>
  <c r="Q61" i="23"/>
  <c r="R61" i="23"/>
  <c r="P62" i="23"/>
  <c r="Q62" i="23"/>
  <c r="R62" i="23"/>
  <c r="P63" i="23"/>
  <c r="Q63" i="23"/>
  <c r="R63" i="23"/>
  <c r="P64" i="23"/>
  <c r="Q64" i="23"/>
  <c r="R64" i="23"/>
  <c r="P65" i="23"/>
  <c r="Q65" i="23"/>
  <c r="R65" i="23"/>
  <c r="P66" i="23"/>
  <c r="Q66" i="23"/>
  <c r="R66" i="23"/>
  <c r="P67" i="23"/>
  <c r="Q67" i="23"/>
  <c r="R67" i="23"/>
  <c r="P68" i="23"/>
  <c r="Q68" i="23"/>
  <c r="R68" i="23"/>
  <c r="P69" i="23"/>
  <c r="Q69" i="23"/>
  <c r="R69" i="23"/>
  <c r="P70" i="23"/>
  <c r="Q70" i="23"/>
  <c r="R70" i="23"/>
  <c r="P71" i="23"/>
  <c r="Q71" i="23"/>
  <c r="R71" i="23"/>
  <c r="P72" i="23"/>
  <c r="Q72" i="23"/>
  <c r="R72" i="23"/>
  <c r="P73" i="23"/>
  <c r="Q73" i="23"/>
  <c r="R73" i="23"/>
  <c r="P74" i="23"/>
  <c r="Q74" i="23"/>
  <c r="R74" i="23"/>
  <c r="P75" i="23"/>
  <c r="Q75" i="23"/>
  <c r="R75" i="23"/>
  <c r="P76" i="23"/>
  <c r="Q76" i="23"/>
  <c r="R76" i="23"/>
  <c r="P77" i="23"/>
  <c r="Q77" i="23"/>
  <c r="R77" i="23"/>
  <c r="P78" i="23"/>
  <c r="Q78" i="23"/>
  <c r="R78" i="23"/>
  <c r="P79" i="23"/>
  <c r="Q79" i="23"/>
  <c r="R79" i="23"/>
  <c r="P80" i="23"/>
  <c r="Q80" i="23"/>
  <c r="R80" i="23"/>
  <c r="P81" i="23"/>
  <c r="Q81" i="23"/>
  <c r="R81" i="23"/>
  <c r="P82" i="23"/>
  <c r="Q82" i="23"/>
  <c r="R82" i="23"/>
  <c r="P83" i="23"/>
  <c r="Q83" i="23"/>
  <c r="R83" i="23"/>
  <c r="P84" i="23"/>
  <c r="Q84" i="23"/>
  <c r="R84" i="23"/>
  <c r="P85" i="23"/>
  <c r="Q85" i="23"/>
  <c r="R85" i="23"/>
  <c r="P86" i="23"/>
  <c r="Q86" i="23"/>
  <c r="R86" i="23"/>
  <c r="P87" i="23"/>
  <c r="Q87" i="23"/>
  <c r="R87" i="23"/>
  <c r="P88" i="23"/>
  <c r="Q88" i="23"/>
  <c r="R88" i="23"/>
  <c r="P89" i="23"/>
  <c r="Q89" i="23"/>
  <c r="R89" i="23"/>
  <c r="P90" i="23"/>
  <c r="Q90" i="23"/>
  <c r="R90" i="23"/>
  <c r="P91" i="23"/>
  <c r="Q91" i="23"/>
  <c r="R91" i="23"/>
  <c r="P92" i="23"/>
  <c r="Q92" i="23"/>
  <c r="R92" i="23"/>
  <c r="P93" i="23"/>
  <c r="Q93" i="23"/>
  <c r="R93" i="23"/>
  <c r="P94" i="23"/>
  <c r="Q94" i="23"/>
  <c r="R94" i="23"/>
  <c r="P95" i="23"/>
  <c r="Q95" i="23"/>
  <c r="R95" i="23"/>
  <c r="P96" i="23"/>
  <c r="Q96" i="23"/>
  <c r="R96" i="23"/>
  <c r="P97" i="23"/>
  <c r="Q97" i="23"/>
  <c r="R97" i="23"/>
  <c r="P98" i="23"/>
  <c r="Q98" i="23"/>
  <c r="R98" i="23"/>
  <c r="P99" i="23"/>
  <c r="Q99" i="23"/>
  <c r="R99" i="23"/>
  <c r="P100" i="23"/>
  <c r="Q100" i="23"/>
  <c r="R100" i="23"/>
  <c r="P101" i="23"/>
  <c r="Q101" i="23"/>
  <c r="R101" i="23"/>
  <c r="P102" i="23"/>
  <c r="Q102" i="23"/>
  <c r="R102" i="23"/>
  <c r="P103" i="23"/>
  <c r="Q103" i="23"/>
  <c r="R103" i="23"/>
  <c r="P104" i="23"/>
  <c r="Q104" i="23"/>
  <c r="R104" i="23"/>
  <c r="P105" i="23"/>
  <c r="Q105" i="23"/>
  <c r="R105" i="23"/>
  <c r="P106" i="23"/>
  <c r="Q106" i="23"/>
  <c r="R106" i="23"/>
  <c r="P107" i="23"/>
  <c r="Q107" i="23"/>
  <c r="R107" i="23"/>
  <c r="P108" i="23"/>
  <c r="Q108" i="23"/>
  <c r="R108" i="23"/>
  <c r="P109" i="23"/>
  <c r="Q109" i="23"/>
  <c r="R109" i="23"/>
  <c r="P110" i="23"/>
  <c r="Q110" i="23"/>
  <c r="R110" i="23"/>
  <c r="P111" i="23"/>
  <c r="Q111" i="23"/>
  <c r="R111" i="23"/>
  <c r="P112" i="23"/>
  <c r="Q112" i="23"/>
  <c r="R112" i="23"/>
  <c r="P113" i="23"/>
  <c r="Q113" i="23"/>
  <c r="R113" i="23"/>
  <c r="P114" i="23"/>
  <c r="Q114" i="23"/>
  <c r="R114" i="23"/>
  <c r="P115" i="23"/>
  <c r="Q115" i="23"/>
  <c r="R115" i="23"/>
  <c r="P116" i="23"/>
  <c r="Q116" i="23"/>
  <c r="R116" i="23"/>
  <c r="P117" i="23"/>
  <c r="Q117" i="23"/>
  <c r="R117" i="23"/>
  <c r="P118" i="23"/>
  <c r="Q118" i="23"/>
  <c r="R118" i="23"/>
  <c r="P119" i="23"/>
  <c r="Q119" i="23"/>
  <c r="R119" i="23"/>
  <c r="P120" i="23"/>
  <c r="Q120" i="23"/>
  <c r="R120" i="23"/>
  <c r="P121" i="23"/>
  <c r="Q121" i="23"/>
  <c r="R121" i="23"/>
  <c r="P122" i="23"/>
  <c r="Q122" i="23"/>
  <c r="R122" i="23"/>
  <c r="P123" i="23"/>
  <c r="Q123" i="23"/>
  <c r="R123" i="23"/>
  <c r="P124" i="23"/>
  <c r="Q124" i="23"/>
  <c r="R124" i="23"/>
  <c r="P125" i="23"/>
  <c r="Q125" i="23"/>
  <c r="R125" i="23"/>
  <c r="P126" i="23"/>
  <c r="Q126" i="23"/>
  <c r="R126" i="23"/>
  <c r="P127" i="23"/>
  <c r="Q127" i="23"/>
  <c r="R127" i="23"/>
  <c r="P128" i="23"/>
  <c r="Q128" i="23"/>
  <c r="R128" i="23"/>
  <c r="P129" i="23"/>
  <c r="Q129" i="23"/>
  <c r="R129" i="23"/>
  <c r="P130" i="23"/>
  <c r="Q130" i="23"/>
  <c r="R130" i="23"/>
  <c r="P131" i="23"/>
  <c r="Q131" i="23"/>
  <c r="R131" i="23"/>
  <c r="P132" i="23"/>
  <c r="Q132" i="23"/>
  <c r="R132" i="23"/>
  <c r="P133" i="23"/>
  <c r="Q133" i="23"/>
  <c r="R133" i="23"/>
  <c r="P134" i="23"/>
  <c r="Q134" i="23"/>
  <c r="R134" i="23"/>
  <c r="P135" i="23"/>
  <c r="Q135" i="23"/>
  <c r="R135" i="23"/>
  <c r="P136" i="23"/>
  <c r="Q136" i="23"/>
  <c r="R136" i="23"/>
  <c r="P137" i="23"/>
  <c r="Q137" i="23"/>
  <c r="R137" i="23"/>
  <c r="P138" i="23"/>
  <c r="Q138" i="23"/>
  <c r="R138" i="23"/>
  <c r="P139" i="23"/>
  <c r="Q139" i="23"/>
  <c r="R139" i="23"/>
  <c r="P140" i="23"/>
  <c r="Q140" i="23"/>
  <c r="R140" i="23"/>
  <c r="P141" i="23"/>
  <c r="Q141" i="23"/>
  <c r="R141" i="23"/>
  <c r="P142" i="23"/>
  <c r="Q142" i="23"/>
  <c r="R142" i="23"/>
  <c r="P143" i="23"/>
  <c r="Q143" i="23"/>
  <c r="R143" i="23"/>
  <c r="P144" i="23"/>
  <c r="Q144" i="23"/>
  <c r="R144" i="23"/>
  <c r="P145" i="23"/>
  <c r="Q145" i="23"/>
  <c r="R145" i="23"/>
  <c r="P146" i="23"/>
  <c r="Q146" i="23"/>
  <c r="R146" i="23"/>
  <c r="P147" i="23"/>
  <c r="Q147" i="23"/>
  <c r="R147" i="23"/>
  <c r="P148" i="23"/>
  <c r="Q148" i="23"/>
  <c r="R148" i="23"/>
  <c r="P149" i="23"/>
  <c r="Q149" i="23"/>
  <c r="R149" i="23"/>
  <c r="P150" i="23"/>
  <c r="Q150" i="23"/>
  <c r="R150" i="23"/>
  <c r="P151" i="23"/>
  <c r="Q151" i="23"/>
  <c r="R151" i="23"/>
  <c r="P152" i="23"/>
  <c r="Q152" i="23"/>
  <c r="R152" i="23"/>
  <c r="P153" i="23"/>
  <c r="Q153" i="23"/>
  <c r="R153" i="23"/>
  <c r="P154" i="23"/>
  <c r="Q154" i="23"/>
  <c r="R154" i="23"/>
  <c r="P155" i="23"/>
  <c r="Q155" i="23"/>
  <c r="R155" i="23"/>
  <c r="P156" i="23"/>
  <c r="Q156" i="23"/>
  <c r="R156" i="23"/>
  <c r="P157" i="23"/>
  <c r="Q157" i="23"/>
  <c r="R157" i="23"/>
  <c r="P158" i="23"/>
  <c r="Q158" i="23"/>
  <c r="R158" i="23"/>
  <c r="P159" i="23"/>
  <c r="Q159" i="23"/>
  <c r="R159" i="23"/>
  <c r="P160" i="23"/>
  <c r="Q160" i="23"/>
  <c r="R160" i="23"/>
  <c r="P161" i="23"/>
  <c r="Q161" i="23"/>
  <c r="R161" i="23"/>
  <c r="P162" i="23"/>
  <c r="Q162" i="23"/>
  <c r="R162" i="23"/>
  <c r="P163" i="23"/>
  <c r="Q163" i="23"/>
  <c r="R163" i="23"/>
  <c r="P164" i="23"/>
  <c r="Q164" i="23"/>
  <c r="R164" i="23"/>
  <c r="P165" i="23"/>
  <c r="Q165" i="23"/>
  <c r="R165" i="23"/>
  <c r="P166" i="23"/>
  <c r="Q166" i="23"/>
  <c r="R166" i="23"/>
  <c r="P167" i="23"/>
  <c r="Q167" i="23"/>
  <c r="R167" i="23"/>
  <c r="P168" i="23"/>
  <c r="Q168" i="23"/>
  <c r="R168" i="23"/>
  <c r="P169" i="23"/>
  <c r="Q169" i="23"/>
  <c r="R169" i="23"/>
  <c r="P170" i="23"/>
  <c r="Q170" i="23"/>
  <c r="R170" i="23"/>
  <c r="P171" i="23"/>
  <c r="Q171" i="23"/>
  <c r="R171" i="23"/>
  <c r="P172" i="23"/>
  <c r="Q172" i="23"/>
  <c r="R172" i="23"/>
  <c r="P173" i="23"/>
  <c r="Q173" i="23"/>
  <c r="R173" i="23"/>
  <c r="P174" i="23"/>
  <c r="Q174" i="23"/>
  <c r="R174" i="23"/>
  <c r="P175" i="23"/>
  <c r="Q175" i="23"/>
  <c r="R175" i="23"/>
  <c r="P176" i="23"/>
  <c r="Q176" i="23"/>
  <c r="R176" i="23"/>
  <c r="P177" i="23"/>
  <c r="Q177" i="23"/>
  <c r="R177" i="23"/>
  <c r="P178" i="23"/>
  <c r="Q178" i="23"/>
  <c r="R178" i="23"/>
  <c r="P179" i="23"/>
  <c r="Q179" i="23"/>
  <c r="R179" i="23"/>
  <c r="P180" i="23"/>
  <c r="Q180" i="23"/>
  <c r="R180" i="23"/>
  <c r="P181" i="23"/>
  <c r="Q181" i="23"/>
  <c r="R181" i="23"/>
  <c r="P182" i="23"/>
  <c r="Q182" i="23"/>
  <c r="R182" i="23"/>
  <c r="P183" i="23"/>
  <c r="Q183" i="23"/>
  <c r="R183" i="23"/>
  <c r="P184" i="23"/>
  <c r="Q184" i="23"/>
  <c r="R184" i="23"/>
  <c r="P185" i="23"/>
  <c r="Q185" i="23"/>
  <c r="R185" i="23"/>
  <c r="P186" i="23"/>
  <c r="Q186" i="23"/>
  <c r="R186" i="23"/>
  <c r="P187" i="23"/>
  <c r="Q187" i="23"/>
  <c r="R187" i="23"/>
  <c r="P188" i="23"/>
  <c r="Q188" i="23"/>
  <c r="R188" i="23"/>
  <c r="P189" i="23"/>
  <c r="Q189" i="23"/>
  <c r="R189" i="23"/>
  <c r="P190" i="23"/>
  <c r="Q190" i="23"/>
  <c r="R190" i="23"/>
  <c r="P191" i="23"/>
  <c r="Q191" i="23"/>
  <c r="R191" i="23"/>
  <c r="P192" i="23"/>
  <c r="Q192" i="23"/>
  <c r="R192" i="23"/>
  <c r="P193" i="23"/>
  <c r="Q193" i="23"/>
  <c r="R193" i="23"/>
  <c r="P194" i="23"/>
  <c r="Q194" i="23"/>
  <c r="R194" i="23"/>
  <c r="P195" i="23"/>
  <c r="Q195" i="23"/>
  <c r="R195" i="23"/>
  <c r="P196" i="23"/>
  <c r="Q196" i="23"/>
  <c r="R196" i="23"/>
  <c r="P197" i="23"/>
  <c r="Q197" i="23"/>
  <c r="R197" i="23"/>
  <c r="P198" i="23"/>
  <c r="Q198" i="23"/>
  <c r="R198" i="23"/>
  <c r="P199" i="23"/>
  <c r="Q199" i="23"/>
  <c r="R199" i="23"/>
  <c r="P200" i="23"/>
  <c r="Q200" i="23"/>
  <c r="R200" i="23"/>
  <c r="P201" i="23"/>
  <c r="Q201" i="23"/>
  <c r="R201" i="23"/>
  <c r="P202" i="23"/>
  <c r="Q202" i="23"/>
  <c r="R202" i="23"/>
  <c r="P203" i="23"/>
  <c r="Q203" i="23"/>
  <c r="R203" i="23"/>
  <c r="P204" i="23"/>
  <c r="Q204" i="23"/>
  <c r="R204" i="23"/>
  <c r="P205" i="23"/>
  <c r="Q205" i="23"/>
  <c r="R205" i="23"/>
  <c r="P206" i="23"/>
  <c r="Q206" i="23"/>
  <c r="R206" i="23"/>
  <c r="P207" i="23"/>
  <c r="Q207" i="23"/>
  <c r="R207" i="23"/>
  <c r="P208" i="23"/>
  <c r="Q208" i="23"/>
  <c r="R208" i="23"/>
  <c r="P209" i="23"/>
  <c r="Q209" i="23"/>
  <c r="R209" i="23"/>
  <c r="P210" i="23"/>
  <c r="Q210" i="23"/>
  <c r="R210" i="23"/>
  <c r="P211" i="23"/>
  <c r="Q211" i="23"/>
  <c r="R211" i="23"/>
  <c r="P212" i="23"/>
  <c r="Q212" i="23"/>
  <c r="R212" i="23"/>
  <c r="P213" i="23"/>
  <c r="Q213" i="23"/>
  <c r="R213" i="23"/>
  <c r="P214" i="23"/>
  <c r="Q214" i="23"/>
  <c r="R214" i="23"/>
  <c r="P215" i="23"/>
  <c r="Q215" i="23"/>
  <c r="R215" i="23"/>
  <c r="P216" i="23"/>
  <c r="Q216" i="23"/>
  <c r="R216" i="23"/>
  <c r="P217" i="23"/>
  <c r="Q217" i="23"/>
  <c r="R217" i="23"/>
  <c r="P218" i="23"/>
  <c r="Q218" i="23"/>
  <c r="R218" i="23"/>
  <c r="P219" i="23"/>
  <c r="Q219" i="23"/>
  <c r="R219" i="23"/>
  <c r="P220" i="23"/>
  <c r="Q220" i="23"/>
  <c r="R220" i="23"/>
  <c r="P221" i="23"/>
  <c r="Q221" i="23"/>
  <c r="R221" i="23"/>
  <c r="P222" i="23"/>
  <c r="Q222" i="23"/>
  <c r="R222" i="23"/>
  <c r="P223" i="23"/>
  <c r="Q223" i="23"/>
  <c r="R223" i="23"/>
  <c r="P224" i="23"/>
  <c r="Q224" i="23"/>
  <c r="R224" i="23"/>
  <c r="P225" i="23"/>
  <c r="Q225" i="23"/>
  <c r="R225" i="23"/>
  <c r="P226" i="23"/>
  <c r="Q226" i="23"/>
  <c r="R226" i="23"/>
  <c r="P227" i="23"/>
  <c r="Q227" i="23"/>
  <c r="R227" i="23"/>
  <c r="P228" i="23"/>
  <c r="Q228" i="23"/>
  <c r="R228" i="23"/>
  <c r="P229" i="23"/>
  <c r="Q229" i="23"/>
  <c r="R229" i="23"/>
  <c r="P230" i="23"/>
  <c r="Q230" i="23"/>
  <c r="R230" i="23"/>
  <c r="P231" i="23"/>
  <c r="Q231" i="23"/>
  <c r="R231" i="23"/>
  <c r="P232" i="23"/>
  <c r="Q232" i="23"/>
  <c r="R232" i="23"/>
  <c r="P233" i="23"/>
  <c r="Q233" i="23"/>
  <c r="R233" i="23"/>
  <c r="P234" i="23"/>
  <c r="Q234" i="23"/>
  <c r="R234" i="23"/>
  <c r="P235" i="23"/>
  <c r="Q235" i="23"/>
  <c r="R235" i="23"/>
  <c r="P236" i="23"/>
  <c r="Q236" i="23"/>
  <c r="R236" i="23"/>
  <c r="P237" i="23"/>
  <c r="Q237" i="23"/>
  <c r="R237" i="23"/>
  <c r="P238" i="23"/>
  <c r="Q238" i="23"/>
  <c r="R238" i="23"/>
  <c r="P239" i="23"/>
  <c r="Q239" i="23"/>
  <c r="R239" i="23"/>
  <c r="P240" i="23"/>
  <c r="Q240" i="23"/>
  <c r="R240" i="23"/>
  <c r="P241" i="23"/>
  <c r="Q241" i="23"/>
  <c r="R241" i="23"/>
  <c r="P242" i="23"/>
  <c r="Q242" i="23"/>
  <c r="R242" i="23"/>
  <c r="P243" i="23"/>
  <c r="Q243" i="23"/>
  <c r="R243" i="23"/>
  <c r="P244" i="23"/>
  <c r="Q244" i="23"/>
  <c r="R244" i="23"/>
  <c r="P245" i="23"/>
  <c r="Q245" i="23"/>
  <c r="R245" i="23"/>
  <c r="P246" i="23"/>
  <c r="Q246" i="23"/>
  <c r="R246" i="23"/>
  <c r="P247" i="23"/>
  <c r="Q247" i="23"/>
  <c r="R247" i="23"/>
  <c r="P248" i="23"/>
  <c r="Q248" i="23"/>
  <c r="R248" i="23"/>
  <c r="P249" i="23"/>
  <c r="Q249" i="23"/>
  <c r="R249" i="23"/>
  <c r="P250" i="23"/>
  <c r="Q250" i="23"/>
  <c r="R250" i="23"/>
  <c r="P251" i="23"/>
  <c r="Q251" i="23"/>
  <c r="R251" i="23"/>
  <c r="P252" i="23"/>
  <c r="Q252" i="23"/>
  <c r="R252" i="23"/>
  <c r="P253" i="23"/>
  <c r="Q253" i="23"/>
  <c r="R253" i="23"/>
  <c r="P254" i="23"/>
  <c r="Q254" i="23"/>
  <c r="R254" i="23"/>
  <c r="P255" i="23"/>
  <c r="Q255" i="23"/>
  <c r="R255" i="23"/>
  <c r="P256" i="23"/>
  <c r="Q256" i="23"/>
  <c r="R256" i="23"/>
  <c r="P257" i="23"/>
  <c r="Q257" i="23"/>
  <c r="R257" i="23"/>
  <c r="P258" i="23"/>
  <c r="Q258" i="23"/>
  <c r="R258" i="23"/>
  <c r="P259" i="23"/>
  <c r="Q259" i="23"/>
  <c r="R259" i="23"/>
  <c r="P260" i="23"/>
  <c r="Q260" i="23"/>
  <c r="R260" i="23"/>
  <c r="P261" i="23"/>
  <c r="Q261" i="23"/>
  <c r="R261" i="23"/>
  <c r="P262" i="23"/>
  <c r="Q262" i="23"/>
  <c r="R262" i="23"/>
  <c r="P263" i="23"/>
  <c r="Q263" i="23"/>
  <c r="R263" i="23"/>
  <c r="P264" i="23"/>
  <c r="Q264" i="23"/>
  <c r="R264" i="23"/>
  <c r="P265" i="23"/>
  <c r="Q265" i="23"/>
  <c r="R265" i="23"/>
  <c r="P266" i="23"/>
  <c r="Q266" i="23"/>
  <c r="R266" i="23"/>
  <c r="P267" i="23"/>
  <c r="Q267" i="23"/>
  <c r="R267" i="23"/>
  <c r="P268" i="23"/>
  <c r="Q268" i="23"/>
  <c r="R268" i="23"/>
  <c r="P269" i="23"/>
  <c r="Q269" i="23"/>
  <c r="R269" i="23"/>
  <c r="P270" i="23"/>
  <c r="Q270" i="23"/>
  <c r="R270" i="23"/>
  <c r="P271" i="23"/>
  <c r="Q271" i="23"/>
  <c r="R271" i="23"/>
  <c r="P272" i="23"/>
  <c r="Q272" i="23"/>
  <c r="R272" i="23"/>
  <c r="P273" i="23"/>
  <c r="Q273" i="23"/>
  <c r="R273" i="23"/>
  <c r="Q274" i="23"/>
  <c r="R274" i="23"/>
  <c r="P275" i="23"/>
  <c r="Q275" i="23"/>
  <c r="R275" i="23"/>
  <c r="P276" i="23"/>
  <c r="Q276" i="23"/>
  <c r="R276" i="23"/>
  <c r="P277" i="23"/>
  <c r="Q277" i="23"/>
  <c r="R277" i="23"/>
  <c r="P278" i="23"/>
  <c r="Q278" i="23"/>
  <c r="R278" i="23"/>
  <c r="P279" i="23"/>
  <c r="Q279" i="23"/>
  <c r="R279" i="23"/>
  <c r="P280" i="23"/>
  <c r="Q280" i="23"/>
  <c r="R280" i="23"/>
  <c r="P281" i="23"/>
  <c r="Q281" i="23"/>
  <c r="R281" i="23"/>
  <c r="P282" i="23"/>
  <c r="Q282" i="23"/>
  <c r="R282" i="23"/>
  <c r="P283" i="23"/>
  <c r="Q283" i="23"/>
  <c r="R283" i="23"/>
  <c r="P284" i="23"/>
  <c r="Q284" i="23"/>
  <c r="R284" i="23"/>
  <c r="P285" i="23"/>
  <c r="Q285" i="23"/>
  <c r="R285" i="23"/>
  <c r="P286" i="23"/>
  <c r="Q286" i="23"/>
  <c r="R286" i="23"/>
  <c r="P287" i="23"/>
  <c r="Q287" i="23"/>
  <c r="R287" i="23"/>
  <c r="P288" i="23"/>
  <c r="Q288" i="23"/>
  <c r="R288" i="23"/>
  <c r="P289" i="23"/>
  <c r="Q289" i="23"/>
  <c r="R289" i="23"/>
  <c r="P290" i="23"/>
  <c r="Q290" i="23"/>
  <c r="R290" i="23"/>
  <c r="P291" i="23"/>
  <c r="Q291" i="23"/>
  <c r="R291" i="23"/>
  <c r="P292" i="23"/>
  <c r="Q292" i="23"/>
  <c r="R292" i="23"/>
  <c r="P293" i="23"/>
  <c r="Q293" i="23"/>
  <c r="R293" i="23"/>
  <c r="P294" i="23"/>
  <c r="Q294" i="23"/>
  <c r="R294" i="23"/>
  <c r="P295" i="23"/>
  <c r="Q295" i="23"/>
  <c r="R295" i="23"/>
  <c r="P296" i="23"/>
  <c r="Q296" i="23"/>
  <c r="R296" i="23"/>
  <c r="P297" i="23"/>
  <c r="Q297" i="23"/>
  <c r="R297" i="23"/>
  <c r="P298" i="23"/>
  <c r="Q298" i="23"/>
  <c r="R298" i="23"/>
  <c r="P299" i="23"/>
  <c r="Q299" i="23"/>
  <c r="R299" i="23"/>
  <c r="P300" i="23"/>
  <c r="Q300" i="23"/>
  <c r="R300" i="23"/>
  <c r="P301" i="23"/>
  <c r="Q301" i="23"/>
  <c r="R301" i="23"/>
  <c r="P302" i="23"/>
  <c r="Q302" i="23"/>
  <c r="R302" i="23"/>
  <c r="P303" i="23"/>
  <c r="Q303" i="23"/>
  <c r="R303" i="23"/>
  <c r="P304" i="23"/>
  <c r="Q304" i="23"/>
  <c r="R304" i="23"/>
  <c r="P305" i="23"/>
  <c r="Q305" i="23"/>
  <c r="R305" i="23"/>
  <c r="P306" i="23"/>
  <c r="Q306" i="23"/>
  <c r="R306" i="23"/>
  <c r="P307" i="23"/>
  <c r="Q307" i="23"/>
  <c r="R307" i="23"/>
  <c r="P308" i="23"/>
  <c r="Q308" i="23"/>
  <c r="R308" i="23"/>
  <c r="P309" i="23"/>
  <c r="Q309" i="23"/>
  <c r="R309" i="23"/>
  <c r="P310" i="23"/>
  <c r="Q310" i="23"/>
  <c r="R310" i="23"/>
  <c r="P311" i="23"/>
  <c r="Q311" i="23"/>
  <c r="R311" i="23"/>
  <c r="P312" i="23"/>
  <c r="Q312" i="23"/>
  <c r="R312" i="23"/>
  <c r="P313" i="23"/>
  <c r="Q313" i="23"/>
  <c r="R313" i="23"/>
  <c r="P314" i="23"/>
  <c r="Q314" i="23"/>
  <c r="R314" i="23"/>
  <c r="P315" i="23"/>
  <c r="Q315" i="23"/>
  <c r="R315" i="23"/>
  <c r="P316" i="23"/>
  <c r="Q316" i="23"/>
  <c r="R316" i="23"/>
  <c r="P317" i="23"/>
  <c r="Q317" i="23"/>
  <c r="R317" i="23"/>
  <c r="P318" i="23"/>
  <c r="Q318" i="23"/>
  <c r="R318" i="23"/>
  <c r="P319" i="23"/>
  <c r="Q319" i="23"/>
  <c r="R319" i="23"/>
  <c r="P320" i="23"/>
  <c r="Q320" i="23"/>
  <c r="R320" i="23"/>
  <c r="P321" i="23"/>
  <c r="Q321" i="23"/>
  <c r="R321" i="23"/>
  <c r="P322" i="23"/>
  <c r="Q322" i="23"/>
  <c r="R322" i="23"/>
  <c r="P323" i="23"/>
  <c r="Q323" i="23"/>
  <c r="R323" i="23"/>
  <c r="P324" i="23"/>
  <c r="Q324" i="23"/>
  <c r="R324" i="23"/>
  <c r="P325" i="23"/>
  <c r="Q325" i="23"/>
  <c r="R325" i="23"/>
  <c r="P326" i="23"/>
  <c r="Q326" i="23"/>
  <c r="R326" i="23"/>
  <c r="P327" i="23"/>
  <c r="Q327" i="23"/>
  <c r="R327" i="23"/>
  <c r="P328" i="23"/>
  <c r="Q328" i="23"/>
  <c r="R328" i="23"/>
  <c r="P329" i="23"/>
  <c r="Q329" i="23"/>
  <c r="R329" i="23"/>
  <c r="P330" i="23"/>
  <c r="Q330" i="23"/>
  <c r="R330" i="23"/>
  <c r="P331" i="23"/>
  <c r="Q331" i="23"/>
  <c r="R331" i="23"/>
  <c r="P332" i="23"/>
  <c r="Q332" i="23"/>
  <c r="R332" i="23"/>
  <c r="P333" i="23"/>
  <c r="Q333" i="23"/>
  <c r="R333" i="23"/>
  <c r="P334" i="23"/>
  <c r="Q334" i="23"/>
  <c r="R334" i="23"/>
  <c r="P335" i="23"/>
  <c r="Q335" i="23"/>
  <c r="R335" i="23"/>
  <c r="P336" i="23"/>
  <c r="Q336" i="23"/>
  <c r="R336" i="23"/>
  <c r="P337" i="23"/>
  <c r="Q337" i="23"/>
  <c r="R337" i="23"/>
  <c r="P338" i="23"/>
  <c r="Q338" i="23"/>
  <c r="R338" i="23"/>
  <c r="P339" i="23"/>
  <c r="Q339" i="23"/>
  <c r="R339" i="23"/>
  <c r="P340" i="23"/>
  <c r="Q340" i="23"/>
  <c r="R340" i="23"/>
  <c r="P341" i="23"/>
  <c r="Q341" i="23"/>
  <c r="R341" i="23"/>
  <c r="P342" i="23"/>
  <c r="Q342" i="23"/>
  <c r="R342" i="23"/>
  <c r="P343" i="23"/>
  <c r="Q343" i="23"/>
  <c r="R343" i="23"/>
  <c r="P344" i="23"/>
  <c r="Q344" i="23"/>
  <c r="R344" i="23"/>
  <c r="P345" i="23"/>
  <c r="Q345" i="23"/>
  <c r="R345" i="23"/>
  <c r="P346" i="23"/>
  <c r="Q346" i="23"/>
  <c r="R346" i="23"/>
  <c r="P347" i="23"/>
  <c r="Q347" i="23"/>
  <c r="R347" i="23"/>
  <c r="P348" i="23"/>
  <c r="Q348" i="23"/>
  <c r="R348" i="23"/>
  <c r="P349" i="23"/>
  <c r="Q349" i="23"/>
  <c r="R349" i="23"/>
  <c r="P350" i="23"/>
  <c r="Q350" i="23"/>
  <c r="R350" i="23"/>
  <c r="P351" i="23"/>
  <c r="Q351" i="23"/>
  <c r="R351" i="23"/>
  <c r="P352" i="23"/>
  <c r="Q352" i="23"/>
  <c r="R352" i="23"/>
  <c r="P353" i="23"/>
  <c r="Q353" i="23"/>
  <c r="R353" i="23"/>
  <c r="P354" i="23"/>
  <c r="Q354" i="23"/>
  <c r="R354" i="23"/>
  <c r="P355" i="23"/>
  <c r="Q355" i="23"/>
  <c r="R355" i="23"/>
  <c r="P356" i="23"/>
  <c r="Q356" i="23"/>
  <c r="R356" i="23"/>
  <c r="P357" i="23"/>
  <c r="Q357" i="23"/>
  <c r="R357" i="23"/>
  <c r="P358" i="23"/>
  <c r="Q358" i="23"/>
  <c r="R358" i="23"/>
  <c r="P359" i="23"/>
  <c r="Q359" i="23"/>
  <c r="R359" i="23"/>
  <c r="P360" i="23"/>
  <c r="Q360" i="23"/>
  <c r="R360" i="23"/>
  <c r="P361" i="23"/>
  <c r="Q361" i="23"/>
  <c r="R361" i="23"/>
  <c r="P362" i="23"/>
  <c r="Q362" i="23"/>
  <c r="R362" i="23"/>
  <c r="P363" i="23"/>
  <c r="Q363" i="23"/>
  <c r="R363" i="23"/>
  <c r="P364" i="23"/>
  <c r="Q364" i="23"/>
  <c r="R364" i="23"/>
  <c r="P365" i="23"/>
  <c r="Q365" i="23"/>
  <c r="R365" i="23"/>
  <c r="P366" i="23"/>
  <c r="Q366" i="23"/>
  <c r="R366" i="23"/>
  <c r="P367" i="23"/>
  <c r="Q367" i="23"/>
  <c r="R367" i="23"/>
  <c r="P368" i="23"/>
  <c r="Q368" i="23"/>
  <c r="R368" i="23"/>
  <c r="P369" i="23"/>
  <c r="Q369" i="23"/>
  <c r="R369" i="23"/>
  <c r="P370" i="23"/>
  <c r="Q370" i="23"/>
  <c r="R370" i="23"/>
  <c r="P371" i="23"/>
  <c r="Q371" i="23"/>
  <c r="R371" i="23"/>
  <c r="P372" i="23"/>
  <c r="Q372" i="23"/>
  <c r="R372" i="23"/>
  <c r="P373" i="23"/>
  <c r="Q373" i="23"/>
  <c r="R373" i="23"/>
  <c r="P374" i="23"/>
  <c r="Q374" i="23"/>
  <c r="R374" i="23"/>
  <c r="P375" i="23"/>
  <c r="Q375" i="23"/>
  <c r="R375" i="23"/>
  <c r="P376" i="23"/>
  <c r="Q376" i="23"/>
  <c r="R376" i="23"/>
  <c r="P377" i="23"/>
  <c r="Q377" i="23"/>
  <c r="R377" i="23"/>
  <c r="P378" i="23"/>
  <c r="Q378" i="23"/>
  <c r="R378" i="23"/>
  <c r="P379" i="23"/>
  <c r="Q379" i="23"/>
  <c r="R379" i="23"/>
  <c r="P380" i="23"/>
  <c r="Q380" i="23"/>
  <c r="R380" i="23"/>
  <c r="P381" i="23"/>
  <c r="Q381" i="23"/>
  <c r="R381" i="23"/>
  <c r="P382" i="23"/>
  <c r="Q382" i="23"/>
  <c r="R382" i="23"/>
  <c r="P383" i="23"/>
  <c r="Q383" i="23"/>
  <c r="R383" i="23"/>
  <c r="P384" i="23"/>
  <c r="Q384" i="23"/>
  <c r="R384" i="23"/>
  <c r="P385" i="23"/>
  <c r="Q385" i="23"/>
  <c r="R385" i="23"/>
  <c r="P386" i="23"/>
  <c r="Q386" i="23"/>
  <c r="R386" i="23"/>
  <c r="P387" i="23"/>
  <c r="Q387" i="23"/>
  <c r="R387" i="23"/>
  <c r="P388" i="23"/>
  <c r="Q388" i="23"/>
  <c r="R388" i="23"/>
  <c r="P389" i="23"/>
  <c r="Q389" i="23"/>
  <c r="R389" i="23"/>
  <c r="P390" i="23"/>
  <c r="Q390" i="23"/>
  <c r="R390" i="23"/>
  <c r="P391" i="23"/>
  <c r="Q391" i="23"/>
  <c r="R391" i="23"/>
  <c r="P392" i="23"/>
  <c r="Q392" i="23"/>
  <c r="R392" i="23"/>
  <c r="P393" i="23"/>
  <c r="Q393" i="23"/>
  <c r="R393" i="23"/>
  <c r="P394" i="23"/>
  <c r="Q394" i="23"/>
  <c r="R394" i="23"/>
  <c r="P395" i="23"/>
  <c r="Q395" i="23"/>
  <c r="R395" i="23"/>
  <c r="P396" i="23"/>
  <c r="Q396" i="23"/>
  <c r="R396" i="23"/>
  <c r="P397" i="23"/>
  <c r="Q397" i="23"/>
  <c r="R397" i="23"/>
  <c r="P398" i="23"/>
  <c r="Q398" i="23"/>
  <c r="R398" i="23"/>
  <c r="P399" i="23"/>
  <c r="Q399" i="23"/>
  <c r="R399" i="23"/>
  <c r="P400" i="23"/>
  <c r="Q400" i="23"/>
  <c r="R400" i="23"/>
  <c r="P401" i="23"/>
  <c r="Q401" i="23"/>
  <c r="R401" i="23"/>
  <c r="P402" i="23"/>
  <c r="Q402" i="23"/>
  <c r="R402" i="23"/>
  <c r="P403" i="23"/>
  <c r="Q403" i="23"/>
  <c r="R403" i="23"/>
  <c r="P404" i="23"/>
  <c r="Q404" i="23"/>
  <c r="R404" i="23"/>
  <c r="P405" i="23"/>
  <c r="Q405" i="23"/>
  <c r="R405" i="23"/>
  <c r="P406" i="23"/>
  <c r="Q406" i="23"/>
  <c r="R406" i="23"/>
  <c r="P407" i="23"/>
  <c r="Q407" i="23"/>
  <c r="R407" i="23"/>
  <c r="P408" i="23"/>
  <c r="Q408" i="23"/>
  <c r="R408" i="23"/>
  <c r="P409" i="23"/>
  <c r="Q409" i="23"/>
  <c r="R409" i="23"/>
  <c r="P410" i="23"/>
  <c r="Q410" i="23"/>
  <c r="R410" i="23"/>
  <c r="P411" i="23"/>
  <c r="Q411" i="23"/>
  <c r="R411" i="23"/>
  <c r="P412" i="23"/>
  <c r="Q412" i="23"/>
  <c r="R412" i="23"/>
  <c r="P413" i="23"/>
  <c r="Q413" i="23"/>
  <c r="R413" i="23"/>
  <c r="P414" i="23"/>
  <c r="Q414" i="23"/>
  <c r="R414" i="23"/>
  <c r="P415" i="23"/>
  <c r="Q415" i="23"/>
  <c r="R415" i="23"/>
  <c r="P416" i="23"/>
  <c r="Q416" i="23"/>
  <c r="R416" i="23"/>
  <c r="P417" i="23"/>
  <c r="Q417" i="23"/>
  <c r="R417" i="23"/>
  <c r="P418" i="23"/>
  <c r="Q418" i="23"/>
  <c r="R418" i="23"/>
  <c r="P419" i="23"/>
  <c r="Q419" i="23"/>
  <c r="R419" i="23"/>
  <c r="P420" i="23"/>
  <c r="Q420" i="23"/>
  <c r="R420" i="23"/>
  <c r="P421" i="23"/>
  <c r="Q421" i="23"/>
  <c r="R421" i="23"/>
  <c r="P422" i="23"/>
  <c r="Q422" i="23"/>
  <c r="R422" i="23"/>
  <c r="P423" i="23"/>
  <c r="Q423" i="23"/>
  <c r="R423" i="23"/>
  <c r="V31" i="14" l="1"/>
  <c r="E21" i="14"/>
  <c r="F21" i="14"/>
  <c r="E23" i="14"/>
  <c r="F23" i="14"/>
  <c r="T16" i="14"/>
  <c r="BC35" i="14" l="1"/>
  <c r="BB35" i="14"/>
  <c r="BB28" i="14"/>
  <c r="BB26" i="14"/>
  <c r="BB24" i="14"/>
  <c r="BB22" i="14"/>
  <c r="BB20" i="14"/>
  <c r="BD14" i="14"/>
  <c r="BD12" i="14"/>
  <c r="BD10" i="14"/>
  <c r="BD8" i="14"/>
  <c r="BD6" i="14"/>
  <c r="BA28" i="14"/>
  <c r="BA26" i="14"/>
  <c r="BA24" i="14"/>
  <c r="BA22" i="14"/>
  <c r="BA20" i="14"/>
  <c r="BD19" i="14" l="1"/>
  <c r="BC20" i="14"/>
  <c r="BD20" i="14" s="1"/>
  <c r="BD21" i="14"/>
  <c r="BC22" i="14"/>
  <c r="BD22" i="14" s="1"/>
  <c r="BD23" i="14"/>
  <c r="BC24" i="14"/>
  <c r="BD24" i="14" s="1"/>
  <c r="BD25" i="14"/>
  <c r="BC26" i="14"/>
  <c r="BD26" i="14" s="1"/>
  <c r="BD27" i="14"/>
  <c r="BC28" i="14"/>
  <c r="BD28" i="14" s="1"/>
  <c r="BD35" i="14"/>
  <c r="BD15" i="14"/>
  <c r="BD13" i="14"/>
  <c r="BD11" i="14"/>
  <c r="BD9" i="14"/>
  <c r="BD7" i="14"/>
  <c r="BC14" i="14"/>
  <c r="BC15" i="14" s="1"/>
  <c r="BC12" i="14"/>
  <c r="BC13" i="14" s="1"/>
  <c r="BC10" i="14"/>
  <c r="BC11" i="14" s="1"/>
  <c r="BE11" i="14" s="1"/>
  <c r="BC8" i="14"/>
  <c r="BC9" i="14" s="1"/>
  <c r="BE9" i="14" s="1"/>
  <c r="BE6" i="14"/>
  <c r="AD25" i="38"/>
  <c r="AC28" i="38"/>
  <c r="AB28" i="38"/>
  <c r="AA71" i="38"/>
  <c r="Z81" i="38"/>
  <c r="W25" i="38"/>
  <c r="V28" i="38"/>
  <c r="U29" i="38"/>
  <c r="T72" i="38"/>
  <c r="S81" i="38"/>
  <c r="BB15" i="14"/>
  <c r="BB13" i="14"/>
  <c r="BB11" i="14"/>
  <c r="BB9" i="14"/>
  <c r="BB7" i="14"/>
  <c r="O5" i="38"/>
  <c r="O6" i="38"/>
  <c r="O7" i="38"/>
  <c r="O8" i="38"/>
  <c r="O9" i="38"/>
  <c r="O10" i="38"/>
  <c r="O11" i="38"/>
  <c r="O12" i="38"/>
  <c r="O13" i="38"/>
  <c r="O14" i="38"/>
  <c r="O15" i="38"/>
  <c r="O16" i="38"/>
  <c r="O17" i="38"/>
  <c r="O18" i="38"/>
  <c r="O19" i="38"/>
  <c r="O20" i="38"/>
  <c r="O21" i="38"/>
  <c r="O4" i="38"/>
  <c r="O22" i="38" s="1"/>
  <c r="BE13" i="14" l="1"/>
  <c r="BE15" i="14"/>
  <c r="BC7" i="14"/>
  <c r="BE7" i="14" s="1"/>
  <c r="BE14" i="14"/>
  <c r="BE12" i="14"/>
  <c r="BE10" i="14"/>
  <c r="BE8" i="14"/>
  <c r="Q6" i="25"/>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P393" i="25"/>
  <c r="P394" i="25"/>
  <c r="P395" i="25"/>
  <c r="P396" i="25"/>
  <c r="P397" i="25"/>
  <c r="P398" i="25"/>
  <c r="P399" i="25"/>
  <c r="P400" i="25"/>
  <c r="P401" i="25"/>
  <c r="P402" i="25"/>
  <c r="P403" i="25"/>
  <c r="P404" i="25"/>
  <c r="P405" i="25"/>
  <c r="P406" i="25"/>
  <c r="P407" i="25"/>
  <c r="P408" i="25"/>
  <c r="P409" i="25"/>
  <c r="P410" i="25"/>
  <c r="P6" i="25"/>
  <c r="P411" i="25"/>
  <c r="P412" i="25"/>
  <c r="P413" i="25"/>
  <c r="P414" i="25"/>
  <c r="P415" i="25"/>
  <c r="P416" i="25"/>
  <c r="P417" i="25"/>
  <c r="P418" i="25"/>
  <c r="U42" i="14"/>
  <c r="U40" i="14"/>
  <c r="T42" i="14"/>
  <c r="T40" i="14"/>
  <c r="W31" i="14"/>
  <c r="W30" i="14"/>
  <c r="U32" i="14"/>
  <c r="V30" i="14"/>
  <c r="V34" i="14" s="1"/>
  <c r="U31" i="14"/>
  <c r="U30" i="14"/>
  <c r="U18" i="14"/>
  <c r="U16" i="14"/>
  <c r="T18" i="14"/>
  <c r="W6" i="14"/>
  <c r="W7" i="14"/>
  <c r="V7" i="14"/>
  <c r="V6" i="14"/>
  <c r="U7" i="14"/>
  <c r="U6" i="14"/>
  <c r="AT46" i="14" l="1"/>
  <c r="AU44" i="14"/>
  <c r="U43" i="14"/>
  <c r="T43" i="14"/>
  <c r="U17" i="14"/>
  <c r="T41" i="14"/>
  <c r="U41" i="14"/>
  <c r="T19" i="14"/>
  <c r="T17" i="14"/>
  <c r="U19" i="14"/>
  <c r="AU28" i="14"/>
  <c r="AU30" i="14"/>
  <c r="AU46" i="14"/>
  <c r="AU45" i="14" s="1"/>
  <c r="AS28" i="14"/>
  <c r="AS44" i="14"/>
  <c r="AS30" i="14"/>
  <c r="AS46" i="14"/>
  <c r="AT28" i="14"/>
  <c r="AT44" i="14"/>
  <c r="AT30" i="14"/>
  <c r="AS42" i="14"/>
  <c r="AS24" i="14"/>
  <c r="AS40" i="14"/>
  <c r="AT40" i="14"/>
  <c r="AS26" i="14"/>
  <c r="AT24" i="14"/>
  <c r="AU24" i="14"/>
  <c r="AU42" i="14"/>
  <c r="AT42" i="14"/>
  <c r="AT26" i="14"/>
  <c r="AU26" i="14"/>
  <c r="AU40" i="14"/>
  <c r="T6" i="14"/>
  <c r="AL21" i="14"/>
  <c r="AB23" i="14"/>
  <c r="AB20" i="14"/>
  <c r="AD22" i="14"/>
  <c r="AF19" i="14"/>
  <c r="AF21" i="14"/>
  <c r="AI23" i="14"/>
  <c r="AI20" i="14"/>
  <c r="AL22" i="14"/>
  <c r="AB19" i="14"/>
  <c r="AB21" i="14"/>
  <c r="AD23" i="14"/>
  <c r="AD20" i="14"/>
  <c r="AF22" i="14"/>
  <c r="AI19" i="14"/>
  <c r="AI21" i="14"/>
  <c r="AL23" i="14"/>
  <c r="AL20" i="14"/>
  <c r="AB22" i="14"/>
  <c r="AD19" i="14"/>
  <c r="AD21" i="14"/>
  <c r="AF23" i="14"/>
  <c r="AF20" i="14"/>
  <c r="AI22" i="14"/>
  <c r="AL19" i="14"/>
  <c r="T30" i="14"/>
  <c r="T7" i="14"/>
  <c r="T31" i="14"/>
  <c r="V16" i="14"/>
  <c r="AT45" i="14" l="1"/>
  <c r="AS31" i="14"/>
  <c r="AT31" i="14"/>
  <c r="AU31" i="14"/>
  <c r="AT47" i="14"/>
  <c r="AS45" i="14"/>
  <c r="AS29" i="14"/>
  <c r="AS50" i="14"/>
  <c r="AU47" i="14"/>
  <c r="AS47" i="14"/>
  <c r="AS48" i="14"/>
  <c r="AU29" i="14"/>
  <c r="AT29" i="14"/>
  <c r="AI24" i="14"/>
  <c r="AJ22" i="14" s="1"/>
  <c r="AF24" i="14"/>
  <c r="AG22" i="14" s="1"/>
  <c r="AD24" i="14"/>
  <c r="AE21" i="14" s="1"/>
  <c r="AB24" i="14"/>
  <c r="AC20" i="14" s="1"/>
  <c r="AT34" i="14"/>
  <c r="AT27" i="14"/>
  <c r="AU25" i="14"/>
  <c r="AU32" i="14"/>
  <c r="AT41" i="14"/>
  <c r="AT48" i="14"/>
  <c r="AU41" i="14"/>
  <c r="AU48" i="14"/>
  <c r="AT50" i="14"/>
  <c r="AT43" i="14"/>
  <c r="AT25" i="14"/>
  <c r="AT32" i="14"/>
  <c r="AS43" i="14"/>
  <c r="AS41" i="14"/>
  <c r="AU27" i="14"/>
  <c r="AU34" i="14"/>
  <c r="AU50" i="14"/>
  <c r="AU43" i="14"/>
  <c r="AS27" i="14"/>
  <c r="AS34" i="14"/>
  <c r="AS25" i="14"/>
  <c r="AS32" i="14"/>
  <c r="AL24" i="14"/>
  <c r="AM21" i="14" s="1"/>
  <c r="AS52" i="14" l="1"/>
  <c r="AS51" i="14" s="1"/>
  <c r="AC22" i="14"/>
  <c r="AH22" i="14" s="1"/>
  <c r="AJ23" i="14"/>
  <c r="AJ21" i="14"/>
  <c r="AG23" i="14"/>
  <c r="AG19" i="14"/>
  <c r="AJ20" i="14"/>
  <c r="AK20" i="14" s="1"/>
  <c r="AE22" i="14"/>
  <c r="AG20" i="14"/>
  <c r="AH20" i="14" s="1"/>
  <c r="AG21" i="14"/>
  <c r="AJ19" i="14"/>
  <c r="AE19" i="14"/>
  <c r="AE20" i="14"/>
  <c r="AE23" i="14"/>
  <c r="AM23" i="14"/>
  <c r="AC21" i="14"/>
  <c r="AC23" i="14"/>
  <c r="AT36" i="14"/>
  <c r="AT35" i="14" s="1"/>
  <c r="AT52" i="14"/>
  <c r="AT51" i="14" s="1"/>
  <c r="AU52" i="14"/>
  <c r="AU51" i="14" s="1"/>
  <c r="AC19" i="14"/>
  <c r="AM19" i="14"/>
  <c r="AS36" i="14"/>
  <c r="AS33" i="14" s="1"/>
  <c r="AU36" i="14"/>
  <c r="AU35" i="14" s="1"/>
  <c r="AS49" i="14"/>
  <c r="AM20" i="14"/>
  <c r="AM22" i="14"/>
  <c r="AH19" i="14" l="1"/>
  <c r="AH23" i="14"/>
  <c r="AK21" i="14"/>
  <c r="AK23" i="14"/>
  <c r="AH21" i="14"/>
  <c r="AK22" i="14"/>
  <c r="AK19" i="14"/>
  <c r="AU49" i="14"/>
  <c r="AU33" i="14"/>
  <c r="AS35" i="14"/>
  <c r="AT33" i="14"/>
  <c r="AT49" i="1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X2" i="31"/>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K73" i="27"/>
  <c r="K74" i="27"/>
  <c r="K75" i="27"/>
  <c r="K76" i="27"/>
  <c r="K77" i="27"/>
  <c r="K78" i="27"/>
  <c r="K79" i="27"/>
  <c r="K80" i="27"/>
  <c r="K81" i="27"/>
  <c r="K82" i="27"/>
  <c r="K83" i="27"/>
  <c r="K84" i="27"/>
  <c r="K85" i="27"/>
  <c r="K86" i="27"/>
  <c r="K87" i="27"/>
  <c r="K88" i="27"/>
  <c r="K89" i="27"/>
  <c r="K90" i="27"/>
  <c r="K91" i="27"/>
  <c r="K92" i="27"/>
  <c r="K93" i="27"/>
  <c r="K94" i="27"/>
  <c r="K95" i="27"/>
  <c r="K96"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K130" i="27"/>
  <c r="K131" i="27"/>
  <c r="K132" i="27"/>
  <c r="K133" i="27"/>
  <c r="K134" i="27"/>
  <c r="K135" i="27"/>
  <c r="K136" i="27"/>
  <c r="K137" i="27"/>
  <c r="K138" i="27"/>
  <c r="K139" i="27"/>
  <c r="K140" i="27"/>
  <c r="K141" i="27"/>
  <c r="K142" i="27"/>
  <c r="K143" i="27"/>
  <c r="K144" i="27"/>
  <c r="K145" i="27"/>
  <c r="K146" i="27"/>
  <c r="K147" i="27"/>
  <c r="K148" i="27"/>
  <c r="K149" i="27"/>
  <c r="K150" i="27"/>
  <c r="K151" i="27"/>
  <c r="K152" i="27"/>
  <c r="K153" i="27"/>
  <c r="K154" i="27"/>
  <c r="K155" i="27"/>
  <c r="K156" i="27"/>
  <c r="K157" i="27"/>
  <c r="K158" i="27"/>
  <c r="K159" i="27"/>
  <c r="K160" i="27"/>
  <c r="K161" i="27"/>
  <c r="K162" i="27"/>
  <c r="K163" i="27"/>
  <c r="K164" i="27"/>
  <c r="K165" i="27"/>
  <c r="K166" i="27"/>
  <c r="K167" i="27"/>
  <c r="K168" i="27"/>
  <c r="K169" i="27"/>
  <c r="K170" i="27"/>
  <c r="K171" i="27"/>
  <c r="K172" i="27"/>
  <c r="K173" i="27"/>
  <c r="K174" i="27"/>
  <c r="K175" i="27"/>
  <c r="K176" i="27"/>
  <c r="K177" i="27"/>
  <c r="K178" i="27"/>
  <c r="K179" i="27"/>
  <c r="K180" i="27"/>
  <c r="K181" i="27"/>
  <c r="K182" i="27"/>
  <c r="K183" i="27"/>
  <c r="K184" i="27"/>
  <c r="K185" i="27"/>
  <c r="K186" i="27"/>
  <c r="K187" i="27"/>
  <c r="K188" i="27"/>
  <c r="K189" i="27"/>
  <c r="K190" i="27"/>
  <c r="K191" i="27"/>
  <c r="K192" i="27"/>
  <c r="K193" i="27"/>
  <c r="K194" i="27"/>
  <c r="K195" i="27"/>
  <c r="K196" i="27"/>
  <c r="K197" i="27"/>
  <c r="K198" i="27"/>
  <c r="K199" i="27"/>
  <c r="K200" i="27"/>
  <c r="K201" i="27"/>
  <c r="K202" i="27"/>
  <c r="K203" i="27"/>
  <c r="K204" i="27"/>
  <c r="K205" i="27"/>
  <c r="K206" i="27"/>
  <c r="K207" i="27"/>
  <c r="K208" i="27"/>
  <c r="K209" i="27"/>
  <c r="K210" i="27"/>
  <c r="K211" i="27"/>
  <c r="K212" i="27"/>
  <c r="K213" i="27"/>
  <c r="K214" i="27"/>
  <c r="K215" i="27"/>
  <c r="K216" i="27"/>
  <c r="K217" i="27"/>
  <c r="K218" i="27"/>
  <c r="K219" i="27"/>
  <c r="K220" i="27"/>
  <c r="K221" i="27"/>
  <c r="K222" i="27"/>
  <c r="K223" i="27"/>
  <c r="K224" i="27"/>
  <c r="K225" i="27"/>
  <c r="K226" i="27"/>
  <c r="K227" i="27"/>
  <c r="K228" i="27"/>
  <c r="K229" i="27"/>
  <c r="K230" i="27"/>
  <c r="K231" i="27"/>
  <c r="K232" i="27"/>
  <c r="K233" i="27"/>
  <c r="K234" i="27"/>
  <c r="K235" i="27"/>
  <c r="K236" i="27"/>
  <c r="K237" i="27"/>
  <c r="K238" i="27"/>
  <c r="K239" i="27"/>
  <c r="K240" i="27"/>
  <c r="K241" i="27"/>
  <c r="K242" i="27"/>
  <c r="K243" i="27"/>
  <c r="K244" i="27"/>
  <c r="K245" i="27"/>
  <c r="K246" i="27"/>
  <c r="K247" i="27"/>
  <c r="K248" i="27"/>
  <c r="K249" i="27"/>
  <c r="K250" i="27"/>
  <c r="K251" i="27"/>
  <c r="K252" i="27"/>
  <c r="K253" i="27"/>
  <c r="K254" i="27"/>
  <c r="K255" i="27"/>
  <c r="K256" i="27"/>
  <c r="K257" i="27"/>
  <c r="K258" i="27"/>
  <c r="K259" i="27"/>
  <c r="K260" i="27"/>
  <c r="K261" i="27"/>
  <c r="K262" i="27"/>
  <c r="K263" i="27"/>
  <c r="K264" i="27"/>
  <c r="K265" i="27"/>
  <c r="K266" i="27"/>
  <c r="K267" i="27"/>
  <c r="K268" i="27"/>
  <c r="K269" i="27"/>
  <c r="K270" i="27"/>
  <c r="K271" i="27"/>
  <c r="K272" i="27"/>
  <c r="K273" i="27"/>
  <c r="K274" i="27"/>
  <c r="K275" i="27"/>
  <c r="K276" i="27"/>
  <c r="K277" i="27"/>
  <c r="K278" i="27"/>
  <c r="K279" i="27"/>
  <c r="K280" i="27"/>
  <c r="K281" i="27"/>
  <c r="K282" i="27"/>
  <c r="K283" i="27"/>
  <c r="K284" i="27"/>
  <c r="K285" i="27"/>
  <c r="K286" i="27"/>
  <c r="K287" i="27"/>
  <c r="K288" i="27"/>
  <c r="K289" i="27"/>
  <c r="K290" i="27"/>
  <c r="K291" i="27"/>
  <c r="K292" i="27"/>
  <c r="K293" i="27"/>
  <c r="K294" i="27"/>
  <c r="K295" i="27"/>
  <c r="K296" i="27"/>
  <c r="K297" i="27"/>
  <c r="K298" i="27"/>
  <c r="K299" i="27"/>
  <c r="K300" i="27"/>
  <c r="K301" i="27"/>
  <c r="K302" i="27"/>
  <c r="K303" i="27"/>
  <c r="K304" i="27"/>
  <c r="K305" i="27"/>
  <c r="K306" i="27"/>
  <c r="K307" i="27"/>
  <c r="K308" i="27"/>
  <c r="K309" i="27"/>
  <c r="K310" i="27"/>
  <c r="K311" i="27"/>
  <c r="K312" i="27"/>
  <c r="K313" i="27"/>
  <c r="K314" i="27"/>
  <c r="K315" i="27"/>
  <c r="K316" i="27"/>
  <c r="K317" i="27"/>
  <c r="K318" i="27"/>
  <c r="K319" i="27"/>
  <c r="K320" i="27"/>
  <c r="K321" i="27"/>
  <c r="K322" i="27"/>
  <c r="K323" i="27"/>
  <c r="K324" i="27"/>
  <c r="K325" i="27"/>
  <c r="K326" i="27"/>
  <c r="K327" i="27"/>
  <c r="K328" i="27"/>
  <c r="K329" i="27"/>
  <c r="K330" i="27"/>
  <c r="K331" i="27"/>
  <c r="K332" i="27"/>
  <c r="K333" i="27"/>
  <c r="K334" i="27"/>
  <c r="K335" i="27"/>
  <c r="K336" i="27"/>
  <c r="K337" i="27"/>
  <c r="K338" i="27"/>
  <c r="K339" i="27"/>
  <c r="K340" i="27"/>
  <c r="K341" i="27"/>
  <c r="K342" i="27"/>
  <c r="K343" i="27"/>
  <c r="K344" i="27"/>
  <c r="K345" i="27"/>
  <c r="K346" i="27"/>
  <c r="K347" i="27"/>
  <c r="K348" i="27"/>
  <c r="K349" i="27"/>
  <c r="K350" i="27"/>
  <c r="K351" i="27"/>
  <c r="K352" i="27"/>
  <c r="K353" i="27"/>
  <c r="K354" i="27"/>
  <c r="K355" i="27"/>
  <c r="K356" i="27"/>
  <c r="K357" i="27"/>
  <c r="K358" i="27"/>
  <c r="K359" i="27"/>
  <c r="K360" i="27"/>
  <c r="K361" i="27"/>
  <c r="K362" i="27"/>
  <c r="K363" i="27"/>
  <c r="K364" i="27"/>
  <c r="K365" i="27"/>
  <c r="K366" i="27"/>
  <c r="K367" i="27"/>
  <c r="K368" i="27"/>
  <c r="K369" i="27"/>
  <c r="K370" i="27"/>
  <c r="K371" i="27"/>
  <c r="K372" i="27"/>
  <c r="K373" i="27"/>
  <c r="K374" i="27"/>
  <c r="K375" i="27"/>
  <c r="K376" i="27"/>
  <c r="K377" i="27"/>
  <c r="K378" i="27"/>
  <c r="K379" i="27"/>
  <c r="K380" i="27"/>
  <c r="K381" i="27"/>
  <c r="K382" i="27"/>
  <c r="K383" i="27"/>
  <c r="K384" i="27"/>
  <c r="K385" i="27"/>
  <c r="K386" i="27"/>
  <c r="K387" i="27"/>
  <c r="K388" i="27"/>
  <c r="K389" i="27"/>
  <c r="K390" i="27"/>
  <c r="K391" i="27"/>
  <c r="K392" i="27"/>
  <c r="K393" i="27"/>
  <c r="K394" i="27"/>
  <c r="K395" i="27"/>
  <c r="K396" i="27"/>
  <c r="K397" i="27"/>
  <c r="K398" i="27"/>
  <c r="K399" i="27"/>
  <c r="K400" i="27"/>
  <c r="K401" i="27"/>
  <c r="K402" i="27"/>
  <c r="K403" i="27"/>
  <c r="K404" i="27"/>
  <c r="K405" i="27"/>
  <c r="K406" i="27"/>
  <c r="K407" i="27"/>
  <c r="K408" i="27"/>
  <c r="K409" i="27"/>
  <c r="K410" i="27"/>
  <c r="K411" i="27"/>
  <c r="K412" i="27"/>
  <c r="K413" i="27"/>
  <c r="K414" i="27"/>
  <c r="K415" i="27"/>
  <c r="K416" i="27"/>
  <c r="K417" i="27"/>
  <c r="K418" i="27"/>
  <c r="K419" i="27"/>
  <c r="K420" i="27"/>
  <c r="K421" i="27"/>
  <c r="K422" i="27"/>
  <c r="K423" i="27"/>
  <c r="K424" i="27"/>
  <c r="K425" i="27"/>
  <c r="K426" i="27"/>
  <c r="K427" i="27"/>
  <c r="K428" i="27"/>
  <c r="K429" i="27"/>
  <c r="K430" i="27"/>
  <c r="K431" i="27"/>
  <c r="K432" i="27"/>
  <c r="K433" i="27"/>
  <c r="K434" i="27"/>
  <c r="K435" i="27"/>
  <c r="K436" i="27"/>
  <c r="K437" i="27"/>
  <c r="K438" i="27"/>
  <c r="K439" i="27"/>
  <c r="K440" i="27"/>
  <c r="K441" i="27"/>
  <c r="K442" i="27"/>
  <c r="K443" i="27"/>
  <c r="K444" i="27"/>
  <c r="K445" i="27"/>
  <c r="K446" i="27"/>
  <c r="K447" i="27"/>
  <c r="K448" i="27"/>
  <c r="K449" i="27"/>
  <c r="K450" i="27"/>
  <c r="K451" i="27"/>
  <c r="K452" i="27"/>
  <c r="K453" i="27"/>
  <c r="K454" i="27"/>
  <c r="K455" i="27"/>
  <c r="K456" i="27"/>
  <c r="K457" i="27"/>
  <c r="K458" i="27"/>
  <c r="K459" i="27"/>
  <c r="K460" i="27"/>
  <c r="K461" i="27"/>
  <c r="K462" i="27"/>
  <c r="K463" i="27"/>
  <c r="K464" i="27"/>
  <c r="K465" i="27"/>
  <c r="K466" i="27"/>
  <c r="K467" i="27"/>
  <c r="K468" i="27"/>
  <c r="K469" i="27"/>
  <c r="K470" i="27"/>
  <c r="K471" i="27"/>
  <c r="K472" i="27"/>
  <c r="K473" i="27"/>
  <c r="K474" i="27"/>
  <c r="K475" i="27"/>
  <c r="K476" i="27"/>
  <c r="K477" i="27"/>
  <c r="K478" i="27"/>
  <c r="K479" i="27"/>
  <c r="K480" i="27"/>
  <c r="K481" i="27"/>
  <c r="K482" i="27"/>
  <c r="K483" i="27"/>
  <c r="K484" i="27"/>
  <c r="K485" i="27"/>
  <c r="K486" i="27"/>
  <c r="K487" i="27"/>
  <c r="K488" i="27"/>
  <c r="K489" i="27"/>
  <c r="K490" i="27"/>
  <c r="K491" i="27"/>
  <c r="K492" i="27"/>
  <c r="K493" i="27"/>
  <c r="K494" i="27"/>
  <c r="K495" i="27"/>
  <c r="K496" i="27"/>
  <c r="K497" i="27"/>
  <c r="K498" i="27"/>
  <c r="K499" i="27"/>
  <c r="K500" i="27"/>
  <c r="K501" i="27"/>
  <c r="K502" i="27"/>
  <c r="K503" i="27"/>
  <c r="K504" i="27"/>
  <c r="K505" i="27"/>
  <c r="K506" i="27"/>
  <c r="K507" i="27"/>
  <c r="K508" i="27"/>
  <c r="K509" i="27"/>
  <c r="K510" i="27"/>
  <c r="K511" i="27"/>
  <c r="K512" i="27"/>
  <c r="K513" i="27"/>
  <c r="K514" i="27"/>
  <c r="K515" i="27"/>
  <c r="K516" i="27"/>
  <c r="K517" i="27"/>
  <c r="K518" i="27"/>
  <c r="K519" i="27"/>
  <c r="K520" i="27"/>
  <c r="K521" i="27"/>
  <c r="K522" i="27"/>
  <c r="K523" i="27"/>
  <c r="K524" i="27"/>
  <c r="K525" i="27"/>
  <c r="K526" i="27"/>
  <c r="K527" i="27"/>
  <c r="K528" i="27"/>
  <c r="K529" i="27"/>
  <c r="K530" i="27"/>
  <c r="K531" i="27"/>
  <c r="K532" i="27"/>
  <c r="K533" i="27"/>
  <c r="K534" i="27"/>
  <c r="K535" i="27"/>
  <c r="K536" i="27"/>
  <c r="K537" i="27"/>
  <c r="K538" i="27"/>
  <c r="K539" i="27"/>
  <c r="K540" i="27"/>
  <c r="K541" i="27"/>
  <c r="K542" i="27"/>
  <c r="K543" i="27"/>
  <c r="K544" i="27"/>
  <c r="K545" i="27"/>
  <c r="K546" i="27"/>
  <c r="K547" i="27"/>
  <c r="K548" i="27"/>
  <c r="K549" i="27"/>
  <c r="K550" i="27"/>
  <c r="K551" i="27"/>
  <c r="K552" i="27"/>
  <c r="K553" i="27"/>
  <c r="K554" i="27"/>
  <c r="K555" i="27"/>
  <c r="K556" i="27"/>
  <c r="K557" i="27"/>
  <c r="K558" i="27"/>
  <c r="K559" i="27"/>
  <c r="K560" i="27"/>
  <c r="K561" i="27"/>
  <c r="K562" i="27"/>
  <c r="K563" i="27"/>
  <c r="K564" i="27"/>
  <c r="K565" i="27"/>
  <c r="K566" i="27"/>
  <c r="K567" i="27"/>
  <c r="K568" i="27"/>
  <c r="K569" i="27"/>
  <c r="K570" i="27"/>
  <c r="K571" i="27"/>
  <c r="K572" i="27"/>
  <c r="K573" i="27"/>
  <c r="K574" i="27"/>
  <c r="K575" i="27"/>
  <c r="K576" i="27"/>
  <c r="K577" i="27"/>
  <c r="K578" i="27"/>
  <c r="K579" i="27"/>
  <c r="K580" i="27"/>
  <c r="K581" i="27"/>
  <c r="K582" i="27"/>
  <c r="K583" i="27"/>
  <c r="K584" i="27"/>
  <c r="K585" i="27"/>
  <c r="K586" i="27"/>
  <c r="K587" i="27"/>
  <c r="K588" i="27"/>
  <c r="K589" i="27"/>
  <c r="K590" i="27"/>
  <c r="K591" i="27"/>
  <c r="K592" i="27"/>
  <c r="K593" i="27"/>
  <c r="K594" i="27"/>
  <c r="K595" i="27"/>
  <c r="K596" i="27"/>
  <c r="K597" i="27"/>
  <c r="K598" i="27"/>
  <c r="K599" i="27"/>
  <c r="K600" i="27"/>
  <c r="K601" i="27"/>
  <c r="K602" i="27"/>
  <c r="K603" i="27"/>
  <c r="K604" i="27"/>
  <c r="K605" i="27"/>
  <c r="K606" i="27"/>
  <c r="K607" i="27"/>
  <c r="K608" i="27"/>
  <c r="K609" i="27"/>
  <c r="K610" i="27"/>
  <c r="K611" i="27"/>
  <c r="K612" i="27"/>
  <c r="K613" i="27"/>
  <c r="K614" i="27"/>
  <c r="K615" i="27"/>
  <c r="K616" i="27"/>
  <c r="K617" i="27"/>
  <c r="K618" i="27"/>
  <c r="K619" i="27"/>
  <c r="K620" i="27"/>
  <c r="K621" i="27"/>
  <c r="K622" i="27"/>
  <c r="K623" i="27"/>
  <c r="K624" i="27"/>
  <c r="K625" i="27"/>
  <c r="K626" i="27"/>
  <c r="K627" i="27"/>
  <c r="K628" i="27"/>
  <c r="K629" i="27"/>
  <c r="K630" i="27"/>
  <c r="K631" i="27"/>
  <c r="K632" i="27"/>
  <c r="K633" i="27"/>
  <c r="K634" i="27"/>
  <c r="K635" i="27"/>
  <c r="K636" i="27"/>
  <c r="K637" i="27"/>
  <c r="K638" i="27"/>
  <c r="K639" i="27"/>
  <c r="K640" i="27"/>
  <c r="K641" i="27"/>
  <c r="K642" i="27"/>
  <c r="K643" i="27"/>
  <c r="K644" i="27"/>
  <c r="K645" i="27"/>
  <c r="K646" i="27"/>
  <c r="K647" i="27"/>
  <c r="K648" i="27"/>
  <c r="K649" i="27"/>
  <c r="K650" i="27"/>
  <c r="K651" i="27"/>
  <c r="K652" i="27"/>
  <c r="K653" i="27"/>
  <c r="K654" i="27"/>
  <c r="K655" i="27"/>
  <c r="K656" i="27"/>
  <c r="K657" i="27"/>
  <c r="K658" i="27"/>
  <c r="K659" i="27"/>
  <c r="K660" i="27"/>
  <c r="K661" i="27"/>
  <c r="K662" i="27"/>
  <c r="K663" i="27"/>
  <c r="K664" i="27"/>
  <c r="K665" i="27"/>
  <c r="K666" i="27"/>
  <c r="K667" i="27"/>
  <c r="K668" i="27"/>
  <c r="K669" i="27"/>
  <c r="K670" i="27"/>
  <c r="K671" i="27"/>
  <c r="K672" i="27"/>
  <c r="K673" i="27"/>
  <c r="K674" i="27"/>
  <c r="K675" i="27"/>
  <c r="K676" i="27"/>
  <c r="K677" i="27"/>
  <c r="K678" i="27"/>
  <c r="K679" i="27"/>
  <c r="K680" i="27"/>
  <c r="K681" i="27"/>
  <c r="K682" i="27"/>
  <c r="K683" i="27"/>
  <c r="K684" i="27"/>
  <c r="K685" i="27"/>
  <c r="K686" i="27"/>
  <c r="K687" i="27"/>
  <c r="K688" i="27"/>
  <c r="K689" i="27"/>
  <c r="K690" i="27"/>
  <c r="K691" i="27"/>
  <c r="K692" i="27"/>
  <c r="K693" i="27"/>
  <c r="K694" i="27"/>
  <c r="K695" i="27"/>
  <c r="K696" i="27"/>
  <c r="K697" i="27"/>
  <c r="K698" i="27"/>
  <c r="K699" i="27"/>
  <c r="K700" i="27"/>
  <c r="K701" i="27"/>
  <c r="K702" i="27"/>
  <c r="K703" i="27"/>
  <c r="K704" i="27"/>
  <c r="K705" i="27"/>
  <c r="K706" i="27"/>
  <c r="K707" i="27"/>
  <c r="K708" i="27"/>
  <c r="K709" i="27"/>
  <c r="K710" i="27"/>
  <c r="K711" i="27"/>
  <c r="K712" i="27"/>
  <c r="K713" i="27"/>
  <c r="K714" i="27"/>
  <c r="K715" i="27"/>
  <c r="K716" i="27"/>
  <c r="K717" i="27"/>
  <c r="K718" i="27"/>
  <c r="K719" i="27"/>
  <c r="K720" i="27"/>
  <c r="K721" i="27"/>
  <c r="K722" i="27"/>
  <c r="K723" i="27"/>
  <c r="K724" i="27"/>
  <c r="K725" i="27"/>
  <c r="K726" i="27"/>
  <c r="K727" i="27"/>
  <c r="K728" i="27"/>
  <c r="K729" i="27"/>
  <c r="K730" i="27"/>
  <c r="K731" i="27"/>
  <c r="K732" i="27"/>
  <c r="K733" i="27"/>
  <c r="K734" i="27"/>
  <c r="K735" i="27"/>
  <c r="K736" i="27"/>
  <c r="K737" i="27"/>
  <c r="K738" i="27"/>
  <c r="K739" i="27"/>
  <c r="K740" i="27"/>
  <c r="K741" i="27"/>
  <c r="K742" i="27"/>
  <c r="K743" i="27"/>
  <c r="K744" i="27"/>
  <c r="K745" i="27"/>
  <c r="K746" i="27"/>
  <c r="K747" i="27"/>
  <c r="K748" i="27"/>
  <c r="K749" i="27"/>
  <c r="K750" i="27"/>
  <c r="K751" i="27"/>
  <c r="K752" i="27"/>
  <c r="K753" i="27"/>
  <c r="K754" i="27"/>
  <c r="K755" i="27"/>
  <c r="K756" i="27"/>
  <c r="K757" i="27"/>
  <c r="K758" i="27"/>
  <c r="K759" i="27"/>
  <c r="K760" i="27"/>
  <c r="K761" i="27"/>
  <c r="K762" i="27"/>
  <c r="K763" i="27"/>
  <c r="K764" i="27"/>
  <c r="K765" i="27"/>
  <c r="K766" i="27"/>
  <c r="K767" i="27"/>
  <c r="K768" i="27"/>
  <c r="K769" i="27"/>
  <c r="K770" i="27"/>
  <c r="K771" i="27"/>
  <c r="K772" i="27"/>
  <c r="K773" i="27"/>
  <c r="K774" i="27"/>
  <c r="K775" i="27"/>
  <c r="K776" i="27"/>
  <c r="K777" i="27"/>
  <c r="K778" i="27"/>
  <c r="K779" i="27"/>
  <c r="K780" i="27"/>
  <c r="K781" i="27"/>
  <c r="K782" i="27"/>
  <c r="K783" i="27"/>
  <c r="K784" i="27"/>
  <c r="K785" i="27"/>
  <c r="K786" i="27"/>
  <c r="K787" i="27"/>
  <c r="K788" i="27"/>
  <c r="K789" i="27"/>
  <c r="K790" i="27"/>
  <c r="K791" i="27"/>
  <c r="K792" i="27"/>
  <c r="K793" i="27"/>
  <c r="K794" i="27"/>
  <c r="K795" i="27"/>
  <c r="K796" i="27"/>
  <c r="K797" i="27"/>
  <c r="K798" i="27"/>
  <c r="K799" i="27"/>
  <c r="K800" i="27"/>
  <c r="K801" i="27"/>
  <c r="K802" i="27"/>
  <c r="K803" i="27"/>
  <c r="K804" i="27"/>
  <c r="K805" i="27"/>
  <c r="K806" i="27"/>
  <c r="K807" i="27"/>
  <c r="K808" i="27"/>
  <c r="K809" i="27"/>
  <c r="K810" i="27"/>
  <c r="K811" i="27"/>
  <c r="K812" i="27"/>
  <c r="K813" i="27"/>
  <c r="K814" i="27"/>
  <c r="K815" i="27"/>
  <c r="K816" i="27"/>
  <c r="K817" i="27"/>
  <c r="K818" i="27"/>
  <c r="K819" i="27"/>
  <c r="K820" i="27"/>
  <c r="K821" i="27"/>
  <c r="K822" i="27"/>
  <c r="K823" i="27"/>
  <c r="K12" i="27"/>
  <c r="K13" i="27"/>
  <c r="K14" i="27"/>
  <c r="K15" i="27"/>
  <c r="K16" i="27"/>
  <c r="K17" i="27"/>
  <c r="K6" i="27"/>
  <c r="K7" i="27"/>
  <c r="K8" i="27"/>
  <c r="K9" i="27"/>
  <c r="K10" i="27"/>
  <c r="K11" i="27"/>
  <c r="K3" i="27"/>
  <c r="K4" i="27"/>
  <c r="K5" i="27"/>
  <c r="K2" i="27"/>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I569" i="12" s="1"/>
  <c r="H570" i="12"/>
  <c r="H571" i="12"/>
  <c r="H572" i="12"/>
  <c r="I572" i="12" s="1"/>
  <c r="H573" i="12"/>
  <c r="H574" i="12"/>
  <c r="H575" i="12"/>
  <c r="I575" i="12" s="1"/>
  <c r="H576" i="12"/>
  <c r="H577" i="12"/>
  <c r="H578" i="12"/>
  <c r="I578" i="12" s="1"/>
  <c r="H579" i="12"/>
  <c r="H580" i="12"/>
  <c r="H581" i="12"/>
  <c r="I581" i="12" s="1"/>
  <c r="H582" i="12"/>
  <c r="H583" i="12"/>
  <c r="H584" i="12"/>
  <c r="I584" i="12" s="1"/>
  <c r="H585" i="12"/>
  <c r="H586" i="12"/>
  <c r="H587" i="12"/>
  <c r="I587" i="12" s="1"/>
  <c r="H588" i="12"/>
  <c r="H589" i="12"/>
  <c r="H590" i="12"/>
  <c r="I590" i="12" s="1"/>
  <c r="H591" i="12"/>
  <c r="H592" i="12"/>
  <c r="H593" i="12"/>
  <c r="I593" i="12" s="1"/>
  <c r="H594" i="12"/>
  <c r="H595" i="12"/>
  <c r="H596" i="12"/>
  <c r="I596" i="12" s="1"/>
  <c r="H597" i="12"/>
  <c r="H598" i="12"/>
  <c r="H599" i="12"/>
  <c r="I599" i="12" s="1"/>
  <c r="H600" i="12"/>
  <c r="H601" i="12"/>
  <c r="H602" i="12"/>
  <c r="I602" i="12" s="1"/>
  <c r="H603" i="12"/>
  <c r="H604" i="12"/>
  <c r="H605" i="12"/>
  <c r="I605" i="12" s="1"/>
  <c r="H606" i="12"/>
  <c r="H607" i="12"/>
  <c r="H608" i="12"/>
  <c r="I608" i="12" s="1"/>
  <c r="H609" i="12"/>
  <c r="H610" i="12"/>
  <c r="H611" i="12"/>
  <c r="I611" i="12" s="1"/>
  <c r="H612" i="12"/>
  <c r="H613" i="12"/>
  <c r="H614" i="12"/>
  <c r="I614" i="12" s="1"/>
  <c r="H615" i="12"/>
  <c r="H616" i="12"/>
  <c r="H617" i="12"/>
  <c r="I617" i="12" s="1"/>
  <c r="H618" i="12"/>
  <c r="H619" i="12"/>
  <c r="H620" i="12"/>
  <c r="I620" i="12" s="1"/>
  <c r="H621" i="12"/>
  <c r="H622" i="12"/>
  <c r="H623" i="12"/>
  <c r="I623" i="12" s="1"/>
  <c r="H624" i="12"/>
  <c r="H625" i="12"/>
  <c r="H626" i="12"/>
  <c r="I626" i="12" s="1"/>
  <c r="H627" i="12"/>
  <c r="H628" i="12"/>
  <c r="H629" i="12"/>
  <c r="I629" i="12" s="1"/>
  <c r="H630" i="12"/>
  <c r="H631" i="12"/>
  <c r="H632" i="12"/>
  <c r="I632" i="12" s="1"/>
  <c r="H633" i="12"/>
  <c r="H634" i="12"/>
  <c r="H635" i="12"/>
  <c r="I635" i="12" s="1"/>
  <c r="H636" i="12"/>
  <c r="H637" i="12"/>
  <c r="H638" i="12"/>
  <c r="I638" i="12" s="1"/>
  <c r="H639" i="12"/>
  <c r="H640" i="12"/>
  <c r="H641" i="12"/>
  <c r="I641" i="12" s="1"/>
  <c r="H642" i="12"/>
  <c r="H643" i="12"/>
  <c r="H644" i="12"/>
  <c r="I644" i="12" s="1"/>
  <c r="H645" i="12"/>
  <c r="H646" i="12"/>
  <c r="H647" i="12"/>
  <c r="I647" i="12" s="1"/>
  <c r="H648" i="12"/>
  <c r="H649" i="12"/>
  <c r="H650" i="12"/>
  <c r="I650" i="12" s="1"/>
  <c r="H651" i="12"/>
  <c r="H652" i="12"/>
  <c r="H653" i="12"/>
  <c r="I653" i="12" s="1"/>
  <c r="H654" i="12"/>
  <c r="H655" i="12"/>
  <c r="H656" i="12"/>
  <c r="I656" i="12" s="1"/>
  <c r="H657" i="12"/>
  <c r="H658" i="12"/>
  <c r="H659" i="12"/>
  <c r="I659" i="12" s="1"/>
  <c r="H660" i="12"/>
  <c r="H661" i="12"/>
  <c r="H662" i="12"/>
  <c r="I662" i="12" s="1"/>
  <c r="H663" i="12"/>
  <c r="H664" i="12"/>
  <c r="H665" i="12"/>
  <c r="I665" i="12" s="1"/>
  <c r="H666" i="12"/>
  <c r="H667" i="12"/>
  <c r="H668" i="12"/>
  <c r="I668" i="12" s="1"/>
  <c r="H669" i="12"/>
  <c r="H670" i="12"/>
  <c r="H671" i="12"/>
  <c r="I671" i="12" s="1"/>
  <c r="H672" i="12"/>
  <c r="H673" i="12"/>
  <c r="H674" i="12"/>
  <c r="I674" i="12" s="1"/>
  <c r="H675" i="12"/>
  <c r="H676" i="12"/>
  <c r="H677" i="12"/>
  <c r="I677" i="12" s="1"/>
  <c r="H678" i="12"/>
  <c r="H679" i="12"/>
  <c r="H680" i="12"/>
  <c r="I680" i="12" s="1"/>
  <c r="H681" i="12"/>
  <c r="H682" i="12"/>
  <c r="H683" i="12"/>
  <c r="I683" i="12" s="1"/>
  <c r="H684" i="12"/>
  <c r="H685" i="12"/>
  <c r="H686" i="12"/>
  <c r="I686" i="12" s="1"/>
  <c r="H687" i="12"/>
  <c r="H688" i="12"/>
  <c r="H689" i="12"/>
  <c r="I689" i="12" s="1"/>
  <c r="H690" i="12"/>
  <c r="H691" i="12"/>
  <c r="H692" i="12"/>
  <c r="I692" i="12" s="1"/>
  <c r="H693" i="12"/>
  <c r="H694" i="12"/>
  <c r="H695" i="12"/>
  <c r="I695" i="12" s="1"/>
  <c r="H696" i="12"/>
  <c r="H697" i="12"/>
  <c r="H698" i="12"/>
  <c r="I698" i="12" s="1"/>
  <c r="H699" i="12"/>
  <c r="H700" i="12"/>
  <c r="H701" i="12"/>
  <c r="I701" i="12" s="1"/>
  <c r="H702" i="12"/>
  <c r="H703" i="12"/>
  <c r="H704" i="12"/>
  <c r="I704" i="12" s="1"/>
  <c r="H705" i="12"/>
  <c r="H706" i="12"/>
  <c r="H707" i="12"/>
  <c r="I707" i="12" s="1"/>
  <c r="H708" i="12"/>
  <c r="I708" i="12" s="1"/>
  <c r="H709" i="12"/>
  <c r="H710" i="12"/>
  <c r="I710" i="12" s="1"/>
  <c r="H711" i="12"/>
  <c r="I711" i="12" s="1"/>
  <c r="H712" i="12"/>
  <c r="H713" i="12"/>
  <c r="I713" i="12" s="1"/>
  <c r="H714" i="12"/>
  <c r="H715" i="12"/>
  <c r="H716" i="12"/>
  <c r="I716" i="12" s="1"/>
  <c r="H717" i="12"/>
  <c r="I717" i="12" s="1"/>
  <c r="H718" i="12"/>
  <c r="H719" i="12"/>
  <c r="I719" i="12" s="1"/>
  <c r="H720" i="12"/>
  <c r="I720" i="12" s="1"/>
  <c r="H721" i="12"/>
  <c r="I721" i="12" s="1"/>
  <c r="H722" i="12"/>
  <c r="I722" i="12" s="1"/>
  <c r="H723" i="12"/>
  <c r="H724" i="12"/>
  <c r="H725" i="12"/>
  <c r="I725" i="12" s="1"/>
  <c r="H726" i="12"/>
  <c r="I726" i="12" s="1"/>
  <c r="H727" i="12"/>
  <c r="I727" i="12" s="1"/>
  <c r="H728" i="12"/>
  <c r="I728" i="12" s="1"/>
  <c r="H729" i="12"/>
  <c r="I729" i="12" s="1"/>
  <c r="H730" i="12"/>
  <c r="I730" i="12" s="1"/>
  <c r="H731" i="12"/>
  <c r="I731" i="12" s="1"/>
  <c r="H732" i="12"/>
  <c r="H733" i="12"/>
  <c r="I733" i="12" s="1"/>
  <c r="H734" i="12"/>
  <c r="I734" i="12" s="1"/>
  <c r="H735" i="12"/>
  <c r="I735" i="12" s="1"/>
  <c r="H736" i="12"/>
  <c r="I736" i="12" s="1"/>
  <c r="H737" i="12"/>
  <c r="I737" i="12" s="1"/>
  <c r="H738" i="12"/>
  <c r="I738" i="12" s="1"/>
  <c r="H739" i="12"/>
  <c r="H740" i="12"/>
  <c r="I740" i="12" s="1"/>
  <c r="H741" i="12"/>
  <c r="H742" i="12"/>
  <c r="I742" i="12" s="1"/>
  <c r="H743" i="12"/>
  <c r="I743" i="12" s="1"/>
  <c r="H744" i="12"/>
  <c r="I744" i="12" s="1"/>
  <c r="H745" i="12"/>
  <c r="H746" i="12"/>
  <c r="I746" i="12" s="1"/>
  <c r="H747" i="12"/>
  <c r="I747" i="12" s="1"/>
  <c r="H748" i="12"/>
  <c r="I748" i="12" s="1"/>
  <c r="H749" i="12"/>
  <c r="I749" i="12" s="1"/>
  <c r="H750" i="12"/>
  <c r="H751" i="12"/>
  <c r="H752" i="12"/>
  <c r="I752" i="12" s="1"/>
  <c r="H753" i="12"/>
  <c r="I753" i="12" s="1"/>
  <c r="H754" i="12"/>
  <c r="I754" i="12" s="1"/>
  <c r="H755" i="12"/>
  <c r="I755" i="12" s="1"/>
  <c r="H756" i="12"/>
  <c r="I756" i="12" s="1"/>
  <c r="H757" i="12"/>
  <c r="I757" i="12" s="1"/>
  <c r="H758" i="12"/>
  <c r="I758" i="12" s="1"/>
  <c r="H759" i="12"/>
  <c r="H760" i="12"/>
  <c r="I760" i="12" s="1"/>
  <c r="H761" i="12"/>
  <c r="I761" i="12" s="1"/>
  <c r="H762" i="12"/>
  <c r="I762" i="12" s="1"/>
  <c r="H763" i="12"/>
  <c r="I763" i="12" s="1"/>
  <c r="H764" i="12"/>
  <c r="I764" i="12" s="1"/>
  <c r="H765" i="12"/>
  <c r="I765" i="12" s="1"/>
  <c r="H766" i="12"/>
  <c r="H767" i="12"/>
  <c r="I767" i="12" s="1"/>
  <c r="H768" i="12"/>
  <c r="H769" i="12"/>
  <c r="I769" i="12" s="1"/>
  <c r="H770" i="12"/>
  <c r="I770" i="12" s="1"/>
  <c r="H771" i="12"/>
  <c r="I771" i="12" s="1"/>
  <c r="H772" i="12"/>
  <c r="H773" i="12"/>
  <c r="I773" i="12" s="1"/>
  <c r="H774" i="12"/>
  <c r="I774" i="12" s="1"/>
  <c r="H775" i="12"/>
  <c r="I775" i="12" s="1"/>
  <c r="H776" i="12"/>
  <c r="I776" i="12" s="1"/>
  <c r="H777" i="12"/>
  <c r="H778" i="12"/>
  <c r="H779" i="12"/>
  <c r="I779" i="12" s="1"/>
  <c r="H780" i="12"/>
  <c r="I780" i="12" s="1"/>
  <c r="H781" i="12"/>
  <c r="I781" i="12" s="1"/>
  <c r="H782" i="12"/>
  <c r="I782" i="12" s="1"/>
  <c r="H783" i="12"/>
  <c r="I783" i="12" s="1"/>
  <c r="H784" i="12"/>
  <c r="I784" i="12" s="1"/>
  <c r="H785" i="12"/>
  <c r="I785" i="12" s="1"/>
  <c r="H786" i="12"/>
  <c r="H787" i="12"/>
  <c r="I787" i="12" s="1"/>
  <c r="H788" i="12"/>
  <c r="I788" i="12" s="1"/>
  <c r="H789" i="12"/>
  <c r="I789" i="12" s="1"/>
  <c r="H790" i="12"/>
  <c r="I790" i="12" s="1"/>
  <c r="H791" i="12"/>
  <c r="I791" i="12" s="1"/>
  <c r="H792" i="12"/>
  <c r="I792" i="12" s="1"/>
  <c r="H793" i="12"/>
  <c r="H794" i="12"/>
  <c r="I794" i="12" s="1"/>
  <c r="H795" i="12"/>
  <c r="H796" i="12"/>
  <c r="I796" i="12" s="1"/>
  <c r="H797" i="12"/>
  <c r="I797" i="12" s="1"/>
  <c r="H798" i="12"/>
  <c r="I798" i="12" s="1"/>
  <c r="H799" i="12"/>
  <c r="H800" i="12"/>
  <c r="I800" i="12" s="1"/>
  <c r="H801" i="12"/>
  <c r="I801" i="12" s="1"/>
  <c r="H802" i="12"/>
  <c r="I802" i="12" s="1"/>
  <c r="H803" i="12"/>
  <c r="I803" i="12" s="1"/>
  <c r="H804" i="12"/>
  <c r="H805" i="12"/>
  <c r="H806" i="12"/>
  <c r="I806" i="12" s="1"/>
  <c r="H807" i="12"/>
  <c r="I807" i="12" s="1"/>
  <c r="H808" i="12"/>
  <c r="I808" i="12" s="1"/>
  <c r="H809" i="12"/>
  <c r="I809" i="12" s="1"/>
  <c r="H810" i="12"/>
  <c r="I810" i="12" s="1"/>
  <c r="H811" i="12"/>
  <c r="I811" i="12" s="1"/>
  <c r="H812" i="12"/>
  <c r="I812" i="12" s="1"/>
  <c r="H813" i="12"/>
  <c r="H814" i="12"/>
  <c r="I814" i="12" s="1"/>
  <c r="H815" i="12"/>
  <c r="I815" i="12" s="1"/>
  <c r="H816" i="12"/>
  <c r="I816" i="12" s="1"/>
  <c r="H817" i="12"/>
  <c r="I817" i="12" s="1"/>
  <c r="H818" i="12"/>
  <c r="I818" i="12" s="1"/>
  <c r="H819" i="12"/>
  <c r="I819" i="12" s="1"/>
  <c r="H820" i="12"/>
  <c r="H821" i="12"/>
  <c r="I821" i="12" s="1"/>
  <c r="H822" i="12"/>
  <c r="I822" i="12" s="1"/>
  <c r="H823" i="12"/>
  <c r="I823" i="12" s="1"/>
  <c r="H824" i="12"/>
  <c r="H825" i="12"/>
  <c r="I825" i="12" s="1"/>
  <c r="H3" i="12"/>
  <c r="I3" i="12" s="1"/>
  <c r="I824" i="12"/>
  <c r="I820" i="12"/>
  <c r="I813" i="12"/>
  <c r="I805" i="12"/>
  <c r="I804" i="12"/>
  <c r="I799" i="12"/>
  <c r="I795" i="12"/>
  <c r="I793" i="12"/>
  <c r="I786" i="12"/>
  <c r="I778" i="12"/>
  <c r="I777" i="12"/>
  <c r="I772" i="12"/>
  <c r="I768" i="12"/>
  <c r="I766" i="12"/>
  <c r="I759" i="12"/>
  <c r="I751" i="12"/>
  <c r="I750" i="12"/>
  <c r="I745" i="12"/>
  <c r="I741" i="12"/>
  <c r="I739" i="12"/>
  <c r="I732" i="12"/>
  <c r="I724" i="12"/>
  <c r="I723" i="12"/>
  <c r="I718" i="12"/>
  <c r="I715" i="12"/>
  <c r="I714" i="12"/>
  <c r="I712" i="12"/>
  <c r="I709" i="12"/>
  <c r="I706" i="12"/>
  <c r="I705" i="12"/>
  <c r="I703" i="12"/>
  <c r="I702" i="12"/>
  <c r="I700" i="12"/>
  <c r="I699" i="12"/>
  <c r="I697" i="12"/>
  <c r="I696" i="12"/>
  <c r="I694" i="12"/>
  <c r="I693" i="12"/>
  <c r="I691" i="12"/>
  <c r="I690" i="12"/>
  <c r="I688" i="12"/>
  <c r="I687" i="12"/>
  <c r="I685" i="12"/>
  <c r="I684" i="12"/>
  <c r="I682" i="12"/>
  <c r="I681" i="12"/>
  <c r="I679" i="12"/>
  <c r="I678" i="12"/>
  <c r="I676" i="12"/>
  <c r="I675" i="12"/>
  <c r="I673" i="12"/>
  <c r="I672" i="12"/>
  <c r="I670" i="12"/>
  <c r="I669" i="12"/>
  <c r="I667" i="12"/>
  <c r="I666" i="12"/>
  <c r="I664" i="12"/>
  <c r="I663" i="12"/>
  <c r="I661" i="12"/>
  <c r="I660" i="12"/>
  <c r="I658" i="12"/>
  <c r="I657" i="12"/>
  <c r="I655" i="12"/>
  <c r="I654" i="12"/>
  <c r="I652" i="12"/>
  <c r="I651" i="12"/>
  <c r="I649" i="12"/>
  <c r="I648" i="12"/>
  <c r="I646" i="12"/>
  <c r="I645" i="12"/>
  <c r="I643" i="12"/>
  <c r="I642" i="12"/>
  <c r="I640" i="12"/>
  <c r="I639" i="12"/>
  <c r="I637" i="12"/>
  <c r="I636" i="12"/>
  <c r="I634" i="12"/>
  <c r="I633" i="12"/>
  <c r="I631" i="12"/>
  <c r="I630" i="12"/>
  <c r="I628" i="12"/>
  <c r="I627" i="12"/>
  <c r="I625" i="12"/>
  <c r="I624" i="12"/>
  <c r="I622" i="12"/>
  <c r="I621" i="12"/>
  <c r="I619" i="12"/>
  <c r="I618" i="12"/>
  <c r="I616" i="12"/>
  <c r="I615" i="12"/>
  <c r="I613" i="12"/>
  <c r="I612" i="12"/>
  <c r="I610" i="12"/>
  <c r="I609" i="12"/>
  <c r="I607" i="12"/>
  <c r="I606" i="12"/>
  <c r="I604" i="12"/>
  <c r="I603" i="12"/>
  <c r="I601" i="12"/>
  <c r="I600" i="12"/>
  <c r="I598" i="12"/>
  <c r="I597" i="12"/>
  <c r="I595" i="12"/>
  <c r="I594" i="12"/>
  <c r="I592" i="12"/>
  <c r="I591" i="12"/>
  <c r="I589" i="12"/>
  <c r="I588" i="12"/>
  <c r="I586" i="12"/>
  <c r="I585" i="12"/>
  <c r="I583" i="12"/>
  <c r="I582" i="12"/>
  <c r="I580" i="12"/>
  <c r="I579" i="12"/>
  <c r="I577" i="12"/>
  <c r="I576" i="12"/>
  <c r="I574" i="12"/>
  <c r="I573" i="12"/>
  <c r="I571" i="12"/>
  <c r="I570"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9" i="12"/>
  <c r="I8" i="12"/>
  <c r="I7" i="12"/>
  <c r="I6" i="12"/>
  <c r="I5" i="12"/>
  <c r="I4" i="12"/>
  <c r="AU10" i="14" l="1"/>
  <c r="AU12" i="14"/>
  <c r="AT12" i="14"/>
  <c r="AT10" i="14"/>
  <c r="AU11" i="14" l="1"/>
  <c r="AU13" i="14"/>
  <c r="AJ9" i="14"/>
  <c r="AH7" i="14"/>
  <c r="AG10" i="14"/>
  <c r="AJ10" i="14"/>
  <c r="AH8" i="14"/>
  <c r="AG6" i="14"/>
  <c r="AJ6" i="14"/>
  <c r="AH9" i="14"/>
  <c r="AI7" i="14"/>
  <c r="AH10" i="14"/>
  <c r="AI8" i="14"/>
  <c r="AH6" i="14"/>
  <c r="AG9" i="14"/>
  <c r="AI9" i="14"/>
  <c r="AG7" i="14"/>
  <c r="AJ7" i="14"/>
  <c r="AI10" i="14"/>
  <c r="AG8" i="14"/>
  <c r="AI6" i="14"/>
  <c r="AJ8" i="14"/>
  <c r="AT11" i="14"/>
  <c r="AT13" i="14"/>
  <c r="AI11" i="14" l="1"/>
  <c r="AJ11" i="14"/>
  <c r="AH11" i="14"/>
  <c r="AG11" i="14"/>
  <c r="U46" i="14"/>
  <c r="U44" i="14"/>
  <c r="T46" i="14"/>
  <c r="T44" i="14"/>
  <c r="W33" i="14"/>
  <c r="W32" i="14"/>
  <c r="U33" i="14"/>
  <c r="U22" i="14"/>
  <c r="U20" i="14"/>
  <c r="T22" i="14"/>
  <c r="T20" i="14"/>
  <c r="V18" i="14"/>
  <c r="W9" i="14"/>
  <c r="W8" i="14"/>
  <c r="V9" i="14"/>
  <c r="V8" i="14"/>
  <c r="U8" i="14"/>
  <c r="U9" i="14"/>
  <c r="T45" i="14" l="1"/>
  <c r="U45" i="14"/>
  <c r="U48" i="14" s="1"/>
  <c r="U21" i="14"/>
  <c r="T47" i="14"/>
  <c r="U47" i="14"/>
  <c r="T23" i="14"/>
  <c r="T21" i="14"/>
  <c r="U23" i="14"/>
  <c r="U24" i="14"/>
  <c r="T24" i="14"/>
  <c r="V20" i="14"/>
  <c r="V40" i="14"/>
  <c r="V46" i="14"/>
  <c r="V22" i="14"/>
  <c r="V42" i="14"/>
  <c r="V44" i="14"/>
  <c r="T48" i="14"/>
  <c r="V10" i="14"/>
  <c r="U34" i="14"/>
  <c r="W34" i="14"/>
  <c r="U10" i="14"/>
  <c r="W10" i="14"/>
  <c r="V48" i="14" l="1"/>
  <c r="V49" i="14" s="1"/>
  <c r="N34" i="14"/>
  <c r="N32" i="14"/>
  <c r="N21" i="14"/>
  <c r="N19" i="14"/>
  <c r="M34" i="14"/>
  <c r="M32" i="14"/>
  <c r="M21" i="14"/>
  <c r="M19" i="14"/>
  <c r="F34" i="14"/>
  <c r="F32" i="14"/>
  <c r="F19" i="14"/>
  <c r="F8" i="14"/>
  <c r="F6" i="14"/>
  <c r="E34" i="14"/>
  <c r="E32" i="14"/>
  <c r="E19" i="14"/>
  <c r="E8" i="14"/>
  <c r="AT6" i="14"/>
  <c r="AD10" i="14"/>
  <c r="AB9" i="14"/>
  <c r="AD8" i="14"/>
  <c r="AB8" i="14"/>
  <c r="M22" i="14" l="1"/>
  <c r="F35" i="14"/>
  <c r="N35" i="14"/>
  <c r="N22" i="14"/>
  <c r="E33" i="14"/>
  <c r="M33" i="14"/>
  <c r="N20" i="14"/>
  <c r="F10" i="14"/>
  <c r="M35" i="14"/>
  <c r="F22" i="14"/>
  <c r="F20" i="14"/>
  <c r="E35" i="14"/>
  <c r="E7" i="14"/>
  <c r="E10" i="14"/>
  <c r="F33" i="14"/>
  <c r="N33" i="14"/>
  <c r="E22" i="14"/>
  <c r="E20" i="14"/>
  <c r="M20" i="14"/>
  <c r="G6" i="14"/>
  <c r="AD9" i="14"/>
  <c r="AU6" i="14"/>
  <c r="AB10" i="14"/>
  <c r="AB6" i="14"/>
  <c r="AT8" i="14"/>
  <c r="AB7" i="14"/>
  <c r="AT14" i="14"/>
  <c r="AD6" i="14"/>
  <c r="AU8" i="14"/>
  <c r="AD7" i="14"/>
  <c r="F9" i="14"/>
  <c r="E9" i="14"/>
  <c r="F7" i="14"/>
  <c r="W42" i="14"/>
  <c r="W40" i="14"/>
  <c r="W44" i="14"/>
  <c r="W46" i="14"/>
  <c r="N6" i="14"/>
  <c r="M6" i="14"/>
  <c r="G19" i="14"/>
  <c r="G34" i="14"/>
  <c r="O19" i="14"/>
  <c r="O34" i="14"/>
  <c r="O21" i="14"/>
  <c r="G32" i="14"/>
  <c r="M8" i="14"/>
  <c r="N9" i="14"/>
  <c r="O32" i="14"/>
  <c r="G8" i="14"/>
  <c r="O6" i="14" l="1"/>
  <c r="M7" i="14"/>
  <c r="M9" i="14"/>
  <c r="N7" i="14"/>
  <c r="AT9" i="14"/>
  <c r="AT16" i="14"/>
  <c r="AB11" i="14"/>
  <c r="AC6" i="14" s="1"/>
  <c r="AU16" i="14"/>
  <c r="AU9" i="14"/>
  <c r="AD11" i="14"/>
  <c r="AT7" i="14"/>
  <c r="AU7" i="14"/>
  <c r="AU14" i="14"/>
  <c r="O8" i="14"/>
  <c r="N38" i="14"/>
  <c r="N36" i="14"/>
  <c r="N25" i="14"/>
  <c r="N23" i="14"/>
  <c r="F38" i="14"/>
  <c r="F36" i="14"/>
  <c r="F25" i="14"/>
  <c r="M38" i="14"/>
  <c r="M36" i="14"/>
  <c r="M25" i="14"/>
  <c r="M23" i="14"/>
  <c r="E38" i="14"/>
  <c r="E36" i="14"/>
  <c r="E25" i="14"/>
  <c r="N13" i="14" l="1"/>
  <c r="M26" i="14"/>
  <c r="N26" i="14"/>
  <c r="M37" i="14"/>
  <c r="N37" i="14"/>
  <c r="F37" i="14"/>
  <c r="E37" i="14"/>
  <c r="M39" i="14"/>
  <c r="F26" i="14"/>
  <c r="F24" i="14"/>
  <c r="N39" i="14"/>
  <c r="F39" i="14"/>
  <c r="E26" i="14"/>
  <c r="E24" i="14"/>
  <c r="E39" i="14"/>
  <c r="N11" i="14"/>
  <c r="M24" i="14"/>
  <c r="N24" i="14"/>
  <c r="AU18" i="14"/>
  <c r="AU15" i="14" s="1"/>
  <c r="AE6" i="14"/>
  <c r="AF6" i="14" s="1"/>
  <c r="AE10" i="14"/>
  <c r="AE8" i="14"/>
  <c r="AE9" i="14"/>
  <c r="AC10" i="14"/>
  <c r="AC8" i="14"/>
  <c r="AC9" i="14"/>
  <c r="AE7" i="14"/>
  <c r="AC7" i="14"/>
  <c r="AT18" i="14"/>
  <c r="AT15" i="14" s="1"/>
  <c r="G36" i="14"/>
  <c r="O10" i="14"/>
  <c r="G25" i="14"/>
  <c r="O23" i="14"/>
  <c r="O25" i="14"/>
  <c r="O36" i="14"/>
  <c r="O38" i="14"/>
  <c r="G38" i="14"/>
  <c r="F13" i="14"/>
  <c r="F11" i="14"/>
  <c r="E11" i="14"/>
  <c r="E13" i="14"/>
  <c r="T9" i="14"/>
  <c r="T32" i="14"/>
  <c r="T8" i="14"/>
  <c r="T33" i="14"/>
  <c r="E40" i="14"/>
  <c r="M27" i="14"/>
  <c r="M40" i="14"/>
  <c r="N14" i="14"/>
  <c r="F40" i="14"/>
  <c r="N27" i="14"/>
  <c r="N40" i="14"/>
  <c r="AF7" i="14" l="1"/>
  <c r="F14" i="14"/>
  <c r="AF9" i="14"/>
  <c r="AF8" i="14"/>
  <c r="AF10" i="14"/>
  <c r="E15" i="14"/>
  <c r="O12" i="14"/>
  <c r="M13" i="14"/>
  <c r="E14" i="14"/>
  <c r="F15" i="14"/>
  <c r="M11" i="14"/>
  <c r="AU17" i="14"/>
  <c r="AT17" i="14"/>
  <c r="F12" i="14"/>
  <c r="E12" i="14"/>
  <c r="O40" i="14"/>
  <c r="O41" i="14" s="1"/>
  <c r="O27" i="14"/>
  <c r="O28" i="14" s="1"/>
  <c r="G40" i="14"/>
  <c r="G41" i="14" s="1"/>
  <c r="G11" i="14"/>
  <c r="G13" i="14"/>
  <c r="T10" i="14"/>
  <c r="T34" i="14"/>
  <c r="M14" i="14"/>
  <c r="G10" i="14" l="1"/>
  <c r="H38" i="14"/>
  <c r="H34" i="14"/>
  <c r="H32" i="14"/>
  <c r="H36" i="14"/>
  <c r="P38" i="14"/>
  <c r="P34" i="14"/>
  <c r="P32" i="14"/>
  <c r="P36" i="14"/>
  <c r="P21" i="14"/>
  <c r="P19" i="14"/>
  <c r="P23" i="14"/>
  <c r="P25" i="14"/>
  <c r="O14" i="14"/>
  <c r="O15" i="14" s="1"/>
  <c r="G15" i="14"/>
  <c r="H11" i="14" s="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2" i="7"/>
  <c r="I3" i="7"/>
  <c r="I12" i="7"/>
  <c r="I30" i="7"/>
  <c r="I39" i="7"/>
  <c r="I57" i="7"/>
  <c r="I66" i="7"/>
  <c r="I84" i="7"/>
  <c r="I93" i="7"/>
  <c r="I111" i="7"/>
  <c r="I120" i="7"/>
  <c r="I138" i="7"/>
  <c r="I147" i="7"/>
  <c r="I165" i="7"/>
  <c r="I174" i="7"/>
  <c r="I192" i="7"/>
  <c r="I201" i="7"/>
  <c r="I219" i="7"/>
  <c r="I228" i="7"/>
  <c r="I246" i="7"/>
  <c r="I255" i="7"/>
  <c r="I273" i="7"/>
  <c r="I282" i="7"/>
  <c r="I300" i="7"/>
  <c r="I309" i="7"/>
  <c r="I327" i="7"/>
  <c r="I336" i="7"/>
  <c r="I354" i="7"/>
  <c r="I363" i="7"/>
  <c r="I381" i="7"/>
  <c r="I390" i="7"/>
  <c r="I408" i="7"/>
  <c r="I417" i="7"/>
  <c r="I435" i="7"/>
  <c r="I444" i="7"/>
  <c r="I462" i="7"/>
  <c r="I471" i="7"/>
  <c r="I489" i="7"/>
  <c r="I498" i="7"/>
  <c r="I516" i="7"/>
  <c r="I525" i="7"/>
  <c r="I543" i="7"/>
  <c r="I552" i="7"/>
  <c r="I570" i="7"/>
  <c r="I579" i="7"/>
  <c r="I597" i="7"/>
  <c r="I606" i="7"/>
  <c r="I624" i="7"/>
  <c r="I633" i="7"/>
  <c r="I651" i="7"/>
  <c r="I660"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2" i="7"/>
  <c r="G3" i="7"/>
  <c r="G4" i="7"/>
  <c r="I4" i="7" s="1"/>
  <c r="G5" i="7"/>
  <c r="I5" i="7" s="1"/>
  <c r="G6" i="7"/>
  <c r="I6" i="7" s="1"/>
  <c r="G7" i="7"/>
  <c r="I7" i="7" s="1"/>
  <c r="G8" i="7"/>
  <c r="I8" i="7" s="1"/>
  <c r="G9" i="7"/>
  <c r="I9" i="7" s="1"/>
  <c r="G10" i="7"/>
  <c r="I10" i="7" s="1"/>
  <c r="G11" i="7"/>
  <c r="I11" i="7" s="1"/>
  <c r="G12" i="7"/>
  <c r="G13" i="7"/>
  <c r="I13" i="7" s="1"/>
  <c r="G14" i="7"/>
  <c r="I14" i="7" s="1"/>
  <c r="G15" i="7"/>
  <c r="I15" i="7" s="1"/>
  <c r="G16" i="7"/>
  <c r="I16" i="7" s="1"/>
  <c r="G17" i="7"/>
  <c r="I17" i="7" s="1"/>
  <c r="G18" i="7"/>
  <c r="I18" i="7" s="1"/>
  <c r="G19" i="7"/>
  <c r="I19" i="7" s="1"/>
  <c r="G20" i="7"/>
  <c r="I20" i="7" s="1"/>
  <c r="G21" i="7"/>
  <c r="I21" i="7" s="1"/>
  <c r="G22" i="7"/>
  <c r="I22" i="7" s="1"/>
  <c r="G23" i="7"/>
  <c r="I23" i="7" s="1"/>
  <c r="G24" i="7"/>
  <c r="I24" i="7" s="1"/>
  <c r="G25" i="7"/>
  <c r="I25" i="7" s="1"/>
  <c r="G26" i="7"/>
  <c r="I26" i="7" s="1"/>
  <c r="G27" i="7"/>
  <c r="I27" i="7" s="1"/>
  <c r="G28" i="7"/>
  <c r="I28" i="7" s="1"/>
  <c r="G29" i="7"/>
  <c r="I29" i="7" s="1"/>
  <c r="G30" i="7"/>
  <c r="G31" i="7"/>
  <c r="I31" i="7" s="1"/>
  <c r="G32" i="7"/>
  <c r="I32" i="7" s="1"/>
  <c r="G33" i="7"/>
  <c r="I33" i="7" s="1"/>
  <c r="G34" i="7"/>
  <c r="I34" i="7" s="1"/>
  <c r="G35" i="7"/>
  <c r="I35" i="7" s="1"/>
  <c r="G36" i="7"/>
  <c r="I36" i="7" s="1"/>
  <c r="G37" i="7"/>
  <c r="I37" i="7" s="1"/>
  <c r="G38" i="7"/>
  <c r="I38" i="7" s="1"/>
  <c r="G39" i="7"/>
  <c r="G40" i="7"/>
  <c r="I40" i="7" s="1"/>
  <c r="G41" i="7"/>
  <c r="I41" i="7" s="1"/>
  <c r="G42" i="7"/>
  <c r="I42" i="7" s="1"/>
  <c r="G43" i="7"/>
  <c r="I43" i="7" s="1"/>
  <c r="G44" i="7"/>
  <c r="I44" i="7" s="1"/>
  <c r="G45" i="7"/>
  <c r="I45" i="7" s="1"/>
  <c r="G46" i="7"/>
  <c r="I46" i="7" s="1"/>
  <c r="G47" i="7"/>
  <c r="I47" i="7" s="1"/>
  <c r="G48" i="7"/>
  <c r="I48" i="7" s="1"/>
  <c r="G49" i="7"/>
  <c r="I49" i="7" s="1"/>
  <c r="G50" i="7"/>
  <c r="I50" i="7" s="1"/>
  <c r="G51" i="7"/>
  <c r="I51" i="7" s="1"/>
  <c r="G52" i="7"/>
  <c r="I52" i="7" s="1"/>
  <c r="G53" i="7"/>
  <c r="I53" i="7" s="1"/>
  <c r="G54" i="7"/>
  <c r="I54" i="7" s="1"/>
  <c r="G55" i="7"/>
  <c r="I55" i="7" s="1"/>
  <c r="G56" i="7"/>
  <c r="I56" i="7" s="1"/>
  <c r="G57" i="7"/>
  <c r="G58" i="7"/>
  <c r="I58" i="7" s="1"/>
  <c r="G59" i="7"/>
  <c r="I59" i="7" s="1"/>
  <c r="G60" i="7"/>
  <c r="I60" i="7" s="1"/>
  <c r="G61" i="7"/>
  <c r="I61" i="7" s="1"/>
  <c r="G62" i="7"/>
  <c r="I62" i="7" s="1"/>
  <c r="G63" i="7"/>
  <c r="I63" i="7" s="1"/>
  <c r="G64" i="7"/>
  <c r="I64" i="7" s="1"/>
  <c r="G65" i="7"/>
  <c r="I65" i="7" s="1"/>
  <c r="G66" i="7"/>
  <c r="G67" i="7"/>
  <c r="I67" i="7" s="1"/>
  <c r="G68" i="7"/>
  <c r="I68" i="7" s="1"/>
  <c r="G69" i="7"/>
  <c r="I69" i="7" s="1"/>
  <c r="G70" i="7"/>
  <c r="I70" i="7" s="1"/>
  <c r="G71" i="7"/>
  <c r="I71" i="7" s="1"/>
  <c r="G72" i="7"/>
  <c r="I72" i="7" s="1"/>
  <c r="G73" i="7"/>
  <c r="I73" i="7" s="1"/>
  <c r="G74" i="7"/>
  <c r="I74" i="7" s="1"/>
  <c r="G75" i="7"/>
  <c r="I75" i="7" s="1"/>
  <c r="G76" i="7"/>
  <c r="I76" i="7" s="1"/>
  <c r="G77" i="7"/>
  <c r="I77" i="7" s="1"/>
  <c r="G78" i="7"/>
  <c r="I78" i="7" s="1"/>
  <c r="G79" i="7"/>
  <c r="I79" i="7" s="1"/>
  <c r="G80" i="7"/>
  <c r="I80" i="7" s="1"/>
  <c r="G81" i="7"/>
  <c r="I81" i="7" s="1"/>
  <c r="G82" i="7"/>
  <c r="I82" i="7" s="1"/>
  <c r="G83" i="7"/>
  <c r="I83" i="7" s="1"/>
  <c r="G84" i="7"/>
  <c r="G85" i="7"/>
  <c r="I85" i="7" s="1"/>
  <c r="G86" i="7"/>
  <c r="I86" i="7" s="1"/>
  <c r="G87" i="7"/>
  <c r="I87" i="7" s="1"/>
  <c r="G88" i="7"/>
  <c r="I88" i="7" s="1"/>
  <c r="G89" i="7"/>
  <c r="I89" i="7" s="1"/>
  <c r="G90" i="7"/>
  <c r="I90" i="7" s="1"/>
  <c r="G91" i="7"/>
  <c r="I91" i="7" s="1"/>
  <c r="G92" i="7"/>
  <c r="I92" i="7" s="1"/>
  <c r="G93" i="7"/>
  <c r="G94" i="7"/>
  <c r="I94" i="7" s="1"/>
  <c r="G95" i="7"/>
  <c r="I95" i="7" s="1"/>
  <c r="G96" i="7"/>
  <c r="I96" i="7" s="1"/>
  <c r="G97" i="7"/>
  <c r="I97" i="7" s="1"/>
  <c r="G98" i="7"/>
  <c r="I98" i="7" s="1"/>
  <c r="G99" i="7"/>
  <c r="I99" i="7" s="1"/>
  <c r="G100" i="7"/>
  <c r="I100" i="7" s="1"/>
  <c r="G101" i="7"/>
  <c r="I101" i="7" s="1"/>
  <c r="G102" i="7"/>
  <c r="I102" i="7" s="1"/>
  <c r="G103" i="7"/>
  <c r="I103" i="7" s="1"/>
  <c r="G104" i="7"/>
  <c r="I104" i="7" s="1"/>
  <c r="G105" i="7"/>
  <c r="I105" i="7" s="1"/>
  <c r="G106" i="7"/>
  <c r="I106" i="7" s="1"/>
  <c r="G107" i="7"/>
  <c r="I107" i="7" s="1"/>
  <c r="G108" i="7"/>
  <c r="I108" i="7" s="1"/>
  <c r="G109" i="7"/>
  <c r="I109" i="7" s="1"/>
  <c r="G110" i="7"/>
  <c r="I110" i="7" s="1"/>
  <c r="G111" i="7"/>
  <c r="G112" i="7"/>
  <c r="I112" i="7" s="1"/>
  <c r="G113" i="7"/>
  <c r="I113" i="7" s="1"/>
  <c r="G114" i="7"/>
  <c r="I114" i="7" s="1"/>
  <c r="G115" i="7"/>
  <c r="I115" i="7" s="1"/>
  <c r="G116" i="7"/>
  <c r="I116" i="7" s="1"/>
  <c r="G117" i="7"/>
  <c r="I117" i="7" s="1"/>
  <c r="G118" i="7"/>
  <c r="I118" i="7" s="1"/>
  <c r="G119" i="7"/>
  <c r="I119" i="7" s="1"/>
  <c r="G120" i="7"/>
  <c r="G121" i="7"/>
  <c r="I121" i="7" s="1"/>
  <c r="G122" i="7"/>
  <c r="I122" i="7" s="1"/>
  <c r="G123" i="7"/>
  <c r="I123" i="7" s="1"/>
  <c r="G124" i="7"/>
  <c r="I124" i="7" s="1"/>
  <c r="G125" i="7"/>
  <c r="I125" i="7" s="1"/>
  <c r="G126" i="7"/>
  <c r="I126" i="7" s="1"/>
  <c r="G127" i="7"/>
  <c r="I127" i="7" s="1"/>
  <c r="G128" i="7"/>
  <c r="I128" i="7" s="1"/>
  <c r="G129" i="7"/>
  <c r="I129" i="7" s="1"/>
  <c r="G130" i="7"/>
  <c r="I130" i="7" s="1"/>
  <c r="G131" i="7"/>
  <c r="I131" i="7" s="1"/>
  <c r="G132" i="7"/>
  <c r="I132" i="7" s="1"/>
  <c r="G133" i="7"/>
  <c r="I133" i="7" s="1"/>
  <c r="G134" i="7"/>
  <c r="I134" i="7" s="1"/>
  <c r="G135" i="7"/>
  <c r="I135" i="7" s="1"/>
  <c r="G136" i="7"/>
  <c r="I136" i="7" s="1"/>
  <c r="G137" i="7"/>
  <c r="I137" i="7" s="1"/>
  <c r="G138" i="7"/>
  <c r="G139" i="7"/>
  <c r="I139" i="7" s="1"/>
  <c r="G140" i="7"/>
  <c r="I140" i="7" s="1"/>
  <c r="G141" i="7"/>
  <c r="I141" i="7" s="1"/>
  <c r="G142" i="7"/>
  <c r="I142" i="7" s="1"/>
  <c r="G143" i="7"/>
  <c r="I143" i="7" s="1"/>
  <c r="G144" i="7"/>
  <c r="I144" i="7" s="1"/>
  <c r="G145" i="7"/>
  <c r="I145" i="7" s="1"/>
  <c r="G146" i="7"/>
  <c r="I146" i="7" s="1"/>
  <c r="G147" i="7"/>
  <c r="G148" i="7"/>
  <c r="I148" i="7" s="1"/>
  <c r="G149" i="7"/>
  <c r="I149" i="7" s="1"/>
  <c r="G150" i="7"/>
  <c r="I150" i="7" s="1"/>
  <c r="G151" i="7"/>
  <c r="I151" i="7" s="1"/>
  <c r="G152" i="7"/>
  <c r="I152" i="7" s="1"/>
  <c r="G153" i="7"/>
  <c r="I153" i="7" s="1"/>
  <c r="G154" i="7"/>
  <c r="I154" i="7" s="1"/>
  <c r="G155" i="7"/>
  <c r="I155" i="7" s="1"/>
  <c r="G156" i="7"/>
  <c r="I156" i="7" s="1"/>
  <c r="G157" i="7"/>
  <c r="I157" i="7" s="1"/>
  <c r="G158" i="7"/>
  <c r="I158" i="7" s="1"/>
  <c r="G159" i="7"/>
  <c r="I159" i="7" s="1"/>
  <c r="G160" i="7"/>
  <c r="I160" i="7" s="1"/>
  <c r="G161" i="7"/>
  <c r="I161" i="7" s="1"/>
  <c r="G162" i="7"/>
  <c r="I162" i="7" s="1"/>
  <c r="G163" i="7"/>
  <c r="I163" i="7" s="1"/>
  <c r="G164" i="7"/>
  <c r="I164" i="7" s="1"/>
  <c r="G165" i="7"/>
  <c r="G166" i="7"/>
  <c r="I166" i="7" s="1"/>
  <c r="G167" i="7"/>
  <c r="I167" i="7" s="1"/>
  <c r="G168" i="7"/>
  <c r="I168" i="7" s="1"/>
  <c r="G169" i="7"/>
  <c r="I169" i="7" s="1"/>
  <c r="G170" i="7"/>
  <c r="I170" i="7" s="1"/>
  <c r="G171" i="7"/>
  <c r="I171" i="7" s="1"/>
  <c r="G172" i="7"/>
  <c r="I172" i="7" s="1"/>
  <c r="G173" i="7"/>
  <c r="I173" i="7" s="1"/>
  <c r="G174" i="7"/>
  <c r="G175" i="7"/>
  <c r="I175" i="7" s="1"/>
  <c r="G176" i="7"/>
  <c r="I176" i="7" s="1"/>
  <c r="G177" i="7"/>
  <c r="I177" i="7" s="1"/>
  <c r="G178" i="7"/>
  <c r="I178" i="7" s="1"/>
  <c r="G179" i="7"/>
  <c r="I179" i="7" s="1"/>
  <c r="G180" i="7"/>
  <c r="I180" i="7" s="1"/>
  <c r="G181" i="7"/>
  <c r="I181" i="7" s="1"/>
  <c r="G182" i="7"/>
  <c r="I182" i="7" s="1"/>
  <c r="G183" i="7"/>
  <c r="I183" i="7" s="1"/>
  <c r="G184" i="7"/>
  <c r="I184" i="7" s="1"/>
  <c r="G185" i="7"/>
  <c r="I185" i="7" s="1"/>
  <c r="G186" i="7"/>
  <c r="I186" i="7" s="1"/>
  <c r="G187" i="7"/>
  <c r="I187" i="7" s="1"/>
  <c r="G188" i="7"/>
  <c r="I188" i="7" s="1"/>
  <c r="G189" i="7"/>
  <c r="I189" i="7" s="1"/>
  <c r="G190" i="7"/>
  <c r="I190" i="7" s="1"/>
  <c r="G191" i="7"/>
  <c r="I191" i="7" s="1"/>
  <c r="G192" i="7"/>
  <c r="G193" i="7"/>
  <c r="I193" i="7" s="1"/>
  <c r="G194" i="7"/>
  <c r="I194" i="7" s="1"/>
  <c r="G195" i="7"/>
  <c r="I195" i="7" s="1"/>
  <c r="G196" i="7"/>
  <c r="I196" i="7" s="1"/>
  <c r="G197" i="7"/>
  <c r="I197" i="7" s="1"/>
  <c r="G198" i="7"/>
  <c r="I198" i="7" s="1"/>
  <c r="G199" i="7"/>
  <c r="I199" i="7" s="1"/>
  <c r="G200" i="7"/>
  <c r="I200" i="7" s="1"/>
  <c r="G201" i="7"/>
  <c r="G202" i="7"/>
  <c r="I202" i="7" s="1"/>
  <c r="G203" i="7"/>
  <c r="I203" i="7" s="1"/>
  <c r="G204" i="7"/>
  <c r="I204" i="7" s="1"/>
  <c r="G205" i="7"/>
  <c r="I205" i="7" s="1"/>
  <c r="G206" i="7"/>
  <c r="I206" i="7" s="1"/>
  <c r="G207" i="7"/>
  <c r="I207" i="7" s="1"/>
  <c r="G208" i="7"/>
  <c r="I208" i="7" s="1"/>
  <c r="G209" i="7"/>
  <c r="I209" i="7" s="1"/>
  <c r="G210" i="7"/>
  <c r="I210" i="7" s="1"/>
  <c r="G211" i="7"/>
  <c r="I211" i="7" s="1"/>
  <c r="G212" i="7"/>
  <c r="I212" i="7" s="1"/>
  <c r="G213" i="7"/>
  <c r="I213" i="7" s="1"/>
  <c r="G214" i="7"/>
  <c r="I214" i="7" s="1"/>
  <c r="G215" i="7"/>
  <c r="I215" i="7" s="1"/>
  <c r="G216" i="7"/>
  <c r="I216" i="7" s="1"/>
  <c r="G217" i="7"/>
  <c r="I217" i="7" s="1"/>
  <c r="G218" i="7"/>
  <c r="I218" i="7" s="1"/>
  <c r="G219" i="7"/>
  <c r="G220" i="7"/>
  <c r="I220" i="7" s="1"/>
  <c r="G221" i="7"/>
  <c r="I221" i="7" s="1"/>
  <c r="G222" i="7"/>
  <c r="I222" i="7" s="1"/>
  <c r="G223" i="7"/>
  <c r="I223" i="7" s="1"/>
  <c r="G224" i="7"/>
  <c r="I224" i="7" s="1"/>
  <c r="G225" i="7"/>
  <c r="I225" i="7" s="1"/>
  <c r="G226" i="7"/>
  <c r="I226" i="7" s="1"/>
  <c r="G227" i="7"/>
  <c r="I227" i="7" s="1"/>
  <c r="G228" i="7"/>
  <c r="G229" i="7"/>
  <c r="I229" i="7" s="1"/>
  <c r="G230" i="7"/>
  <c r="I230" i="7" s="1"/>
  <c r="G231" i="7"/>
  <c r="I231" i="7" s="1"/>
  <c r="G232" i="7"/>
  <c r="I232" i="7" s="1"/>
  <c r="G233" i="7"/>
  <c r="I233" i="7" s="1"/>
  <c r="G234" i="7"/>
  <c r="I234" i="7" s="1"/>
  <c r="G235" i="7"/>
  <c r="I235" i="7" s="1"/>
  <c r="G236" i="7"/>
  <c r="I236" i="7" s="1"/>
  <c r="G237" i="7"/>
  <c r="I237" i="7" s="1"/>
  <c r="G238" i="7"/>
  <c r="I238" i="7" s="1"/>
  <c r="G239" i="7"/>
  <c r="I239" i="7" s="1"/>
  <c r="G240" i="7"/>
  <c r="I240" i="7" s="1"/>
  <c r="G241" i="7"/>
  <c r="I241" i="7" s="1"/>
  <c r="G242" i="7"/>
  <c r="I242" i="7" s="1"/>
  <c r="G243" i="7"/>
  <c r="I243" i="7" s="1"/>
  <c r="G244" i="7"/>
  <c r="I244" i="7" s="1"/>
  <c r="G245" i="7"/>
  <c r="I245" i="7" s="1"/>
  <c r="G246" i="7"/>
  <c r="G247" i="7"/>
  <c r="I247" i="7" s="1"/>
  <c r="G248" i="7"/>
  <c r="I248" i="7" s="1"/>
  <c r="G249" i="7"/>
  <c r="I249" i="7" s="1"/>
  <c r="G250" i="7"/>
  <c r="I250" i="7" s="1"/>
  <c r="G251" i="7"/>
  <c r="I251" i="7" s="1"/>
  <c r="G252" i="7"/>
  <c r="I252" i="7" s="1"/>
  <c r="G253" i="7"/>
  <c r="I253" i="7" s="1"/>
  <c r="G254" i="7"/>
  <c r="I254" i="7" s="1"/>
  <c r="G255" i="7"/>
  <c r="G256" i="7"/>
  <c r="I256" i="7" s="1"/>
  <c r="G257" i="7"/>
  <c r="I257" i="7" s="1"/>
  <c r="G258" i="7"/>
  <c r="I258" i="7" s="1"/>
  <c r="G259" i="7"/>
  <c r="I259" i="7" s="1"/>
  <c r="G260" i="7"/>
  <c r="I260" i="7" s="1"/>
  <c r="G261" i="7"/>
  <c r="I261" i="7" s="1"/>
  <c r="G262" i="7"/>
  <c r="I262" i="7" s="1"/>
  <c r="G263" i="7"/>
  <c r="I263" i="7" s="1"/>
  <c r="G264" i="7"/>
  <c r="I264" i="7" s="1"/>
  <c r="G265" i="7"/>
  <c r="I265" i="7" s="1"/>
  <c r="G266" i="7"/>
  <c r="I266" i="7" s="1"/>
  <c r="G267" i="7"/>
  <c r="I267" i="7" s="1"/>
  <c r="G268" i="7"/>
  <c r="I268" i="7" s="1"/>
  <c r="G269" i="7"/>
  <c r="I269" i="7" s="1"/>
  <c r="G270" i="7"/>
  <c r="I270" i="7" s="1"/>
  <c r="G271" i="7"/>
  <c r="I271" i="7" s="1"/>
  <c r="G272" i="7"/>
  <c r="I272" i="7" s="1"/>
  <c r="G273" i="7"/>
  <c r="G274" i="7"/>
  <c r="I274" i="7" s="1"/>
  <c r="G275" i="7"/>
  <c r="I275" i="7" s="1"/>
  <c r="G276" i="7"/>
  <c r="I276" i="7" s="1"/>
  <c r="G277" i="7"/>
  <c r="I277" i="7" s="1"/>
  <c r="G278" i="7"/>
  <c r="I278" i="7" s="1"/>
  <c r="G279" i="7"/>
  <c r="I279" i="7" s="1"/>
  <c r="G280" i="7"/>
  <c r="I280" i="7" s="1"/>
  <c r="G281" i="7"/>
  <c r="I281" i="7" s="1"/>
  <c r="G282" i="7"/>
  <c r="G283" i="7"/>
  <c r="I283" i="7" s="1"/>
  <c r="G284" i="7"/>
  <c r="I284" i="7" s="1"/>
  <c r="G285" i="7"/>
  <c r="I285" i="7" s="1"/>
  <c r="G286" i="7"/>
  <c r="I286" i="7" s="1"/>
  <c r="G287" i="7"/>
  <c r="I287" i="7" s="1"/>
  <c r="G288" i="7"/>
  <c r="I288" i="7" s="1"/>
  <c r="G289" i="7"/>
  <c r="I289" i="7" s="1"/>
  <c r="G290" i="7"/>
  <c r="I290" i="7" s="1"/>
  <c r="G291" i="7"/>
  <c r="I291" i="7" s="1"/>
  <c r="G292" i="7"/>
  <c r="I292" i="7" s="1"/>
  <c r="G293" i="7"/>
  <c r="I293" i="7" s="1"/>
  <c r="G294" i="7"/>
  <c r="I294" i="7" s="1"/>
  <c r="G295" i="7"/>
  <c r="I295" i="7" s="1"/>
  <c r="G296" i="7"/>
  <c r="I296" i="7" s="1"/>
  <c r="G297" i="7"/>
  <c r="I297" i="7" s="1"/>
  <c r="G298" i="7"/>
  <c r="I298" i="7" s="1"/>
  <c r="G299" i="7"/>
  <c r="I299" i="7" s="1"/>
  <c r="G300" i="7"/>
  <c r="G301" i="7"/>
  <c r="I301" i="7" s="1"/>
  <c r="G302" i="7"/>
  <c r="I302" i="7" s="1"/>
  <c r="G303" i="7"/>
  <c r="I303" i="7" s="1"/>
  <c r="G304" i="7"/>
  <c r="I304" i="7" s="1"/>
  <c r="G305" i="7"/>
  <c r="I305" i="7" s="1"/>
  <c r="G306" i="7"/>
  <c r="I306" i="7" s="1"/>
  <c r="G307" i="7"/>
  <c r="I307" i="7" s="1"/>
  <c r="G308" i="7"/>
  <c r="I308" i="7" s="1"/>
  <c r="G309" i="7"/>
  <c r="G310" i="7"/>
  <c r="I310" i="7" s="1"/>
  <c r="G311" i="7"/>
  <c r="I311" i="7" s="1"/>
  <c r="G312" i="7"/>
  <c r="I312" i="7" s="1"/>
  <c r="G313" i="7"/>
  <c r="I313" i="7" s="1"/>
  <c r="G314" i="7"/>
  <c r="I314" i="7" s="1"/>
  <c r="G315" i="7"/>
  <c r="I315" i="7" s="1"/>
  <c r="G316" i="7"/>
  <c r="I316" i="7" s="1"/>
  <c r="G317" i="7"/>
  <c r="I317" i="7" s="1"/>
  <c r="G318" i="7"/>
  <c r="I318" i="7" s="1"/>
  <c r="G319" i="7"/>
  <c r="I319" i="7" s="1"/>
  <c r="G320" i="7"/>
  <c r="I320" i="7" s="1"/>
  <c r="G321" i="7"/>
  <c r="I321" i="7" s="1"/>
  <c r="G322" i="7"/>
  <c r="I322" i="7" s="1"/>
  <c r="G323" i="7"/>
  <c r="I323" i="7" s="1"/>
  <c r="G324" i="7"/>
  <c r="I324" i="7" s="1"/>
  <c r="G325" i="7"/>
  <c r="I325" i="7" s="1"/>
  <c r="G326" i="7"/>
  <c r="I326" i="7" s="1"/>
  <c r="G327" i="7"/>
  <c r="G328" i="7"/>
  <c r="I328" i="7" s="1"/>
  <c r="G329" i="7"/>
  <c r="I329" i="7" s="1"/>
  <c r="G330" i="7"/>
  <c r="I330" i="7" s="1"/>
  <c r="G331" i="7"/>
  <c r="I331" i="7" s="1"/>
  <c r="G332" i="7"/>
  <c r="I332" i="7" s="1"/>
  <c r="G333" i="7"/>
  <c r="I333" i="7" s="1"/>
  <c r="G334" i="7"/>
  <c r="I334" i="7" s="1"/>
  <c r="G335" i="7"/>
  <c r="I335" i="7" s="1"/>
  <c r="G336" i="7"/>
  <c r="G337" i="7"/>
  <c r="I337" i="7" s="1"/>
  <c r="G338" i="7"/>
  <c r="I338" i="7" s="1"/>
  <c r="G339" i="7"/>
  <c r="I339" i="7" s="1"/>
  <c r="G340" i="7"/>
  <c r="I340" i="7" s="1"/>
  <c r="G341" i="7"/>
  <c r="I341" i="7" s="1"/>
  <c r="G342" i="7"/>
  <c r="I342" i="7" s="1"/>
  <c r="G343" i="7"/>
  <c r="I343" i="7" s="1"/>
  <c r="G344" i="7"/>
  <c r="I344" i="7" s="1"/>
  <c r="G345" i="7"/>
  <c r="I345" i="7" s="1"/>
  <c r="G346" i="7"/>
  <c r="I346" i="7" s="1"/>
  <c r="G347" i="7"/>
  <c r="I347" i="7" s="1"/>
  <c r="G348" i="7"/>
  <c r="I348" i="7" s="1"/>
  <c r="G349" i="7"/>
  <c r="I349" i="7" s="1"/>
  <c r="G350" i="7"/>
  <c r="I350" i="7" s="1"/>
  <c r="G351" i="7"/>
  <c r="I351" i="7" s="1"/>
  <c r="G352" i="7"/>
  <c r="I352" i="7" s="1"/>
  <c r="G353" i="7"/>
  <c r="I353" i="7" s="1"/>
  <c r="G354" i="7"/>
  <c r="G355" i="7"/>
  <c r="I355" i="7" s="1"/>
  <c r="G356" i="7"/>
  <c r="I356" i="7" s="1"/>
  <c r="G357" i="7"/>
  <c r="I357" i="7" s="1"/>
  <c r="G358" i="7"/>
  <c r="I358" i="7" s="1"/>
  <c r="G359" i="7"/>
  <c r="I359" i="7" s="1"/>
  <c r="G360" i="7"/>
  <c r="I360" i="7" s="1"/>
  <c r="G361" i="7"/>
  <c r="I361" i="7" s="1"/>
  <c r="G362" i="7"/>
  <c r="I362" i="7" s="1"/>
  <c r="G363" i="7"/>
  <c r="G364" i="7"/>
  <c r="I364" i="7" s="1"/>
  <c r="G365" i="7"/>
  <c r="I365" i="7" s="1"/>
  <c r="G366" i="7"/>
  <c r="I366" i="7" s="1"/>
  <c r="G367" i="7"/>
  <c r="I367" i="7" s="1"/>
  <c r="G368" i="7"/>
  <c r="I368" i="7" s="1"/>
  <c r="G369" i="7"/>
  <c r="I369" i="7" s="1"/>
  <c r="G370" i="7"/>
  <c r="I370" i="7" s="1"/>
  <c r="G371" i="7"/>
  <c r="I371" i="7" s="1"/>
  <c r="G372" i="7"/>
  <c r="I372" i="7" s="1"/>
  <c r="G373" i="7"/>
  <c r="I373" i="7" s="1"/>
  <c r="G374" i="7"/>
  <c r="I374" i="7" s="1"/>
  <c r="G375" i="7"/>
  <c r="I375" i="7" s="1"/>
  <c r="G376" i="7"/>
  <c r="I376" i="7" s="1"/>
  <c r="G377" i="7"/>
  <c r="I377" i="7" s="1"/>
  <c r="G378" i="7"/>
  <c r="I378" i="7" s="1"/>
  <c r="G379" i="7"/>
  <c r="I379" i="7" s="1"/>
  <c r="G380" i="7"/>
  <c r="I380" i="7" s="1"/>
  <c r="G381" i="7"/>
  <c r="G382" i="7"/>
  <c r="I382" i="7" s="1"/>
  <c r="G383" i="7"/>
  <c r="I383" i="7" s="1"/>
  <c r="G384" i="7"/>
  <c r="I384" i="7" s="1"/>
  <c r="G385" i="7"/>
  <c r="I385" i="7" s="1"/>
  <c r="G386" i="7"/>
  <c r="I386" i="7" s="1"/>
  <c r="G387" i="7"/>
  <c r="I387" i="7" s="1"/>
  <c r="G388" i="7"/>
  <c r="I388" i="7" s="1"/>
  <c r="G389" i="7"/>
  <c r="I389" i="7" s="1"/>
  <c r="G390" i="7"/>
  <c r="G391" i="7"/>
  <c r="I391" i="7" s="1"/>
  <c r="G392" i="7"/>
  <c r="I392" i="7" s="1"/>
  <c r="G393" i="7"/>
  <c r="I393" i="7" s="1"/>
  <c r="G394" i="7"/>
  <c r="I394" i="7" s="1"/>
  <c r="G395" i="7"/>
  <c r="I395" i="7" s="1"/>
  <c r="G396" i="7"/>
  <c r="I396" i="7" s="1"/>
  <c r="G397" i="7"/>
  <c r="I397" i="7" s="1"/>
  <c r="G398" i="7"/>
  <c r="I398" i="7" s="1"/>
  <c r="G399" i="7"/>
  <c r="I399" i="7" s="1"/>
  <c r="G400" i="7"/>
  <c r="I400" i="7" s="1"/>
  <c r="G401" i="7"/>
  <c r="I401" i="7" s="1"/>
  <c r="G402" i="7"/>
  <c r="I402" i="7" s="1"/>
  <c r="G403" i="7"/>
  <c r="I403" i="7" s="1"/>
  <c r="G404" i="7"/>
  <c r="I404" i="7" s="1"/>
  <c r="G405" i="7"/>
  <c r="I405" i="7" s="1"/>
  <c r="G406" i="7"/>
  <c r="I406" i="7" s="1"/>
  <c r="G407" i="7"/>
  <c r="I407" i="7" s="1"/>
  <c r="G408" i="7"/>
  <c r="G409" i="7"/>
  <c r="I409" i="7" s="1"/>
  <c r="G410" i="7"/>
  <c r="I410" i="7" s="1"/>
  <c r="G411" i="7"/>
  <c r="I411" i="7" s="1"/>
  <c r="G412" i="7"/>
  <c r="I412" i="7" s="1"/>
  <c r="G413" i="7"/>
  <c r="I413" i="7" s="1"/>
  <c r="G414" i="7"/>
  <c r="I414" i="7" s="1"/>
  <c r="G415" i="7"/>
  <c r="I415" i="7" s="1"/>
  <c r="G416" i="7"/>
  <c r="I416" i="7" s="1"/>
  <c r="G417" i="7"/>
  <c r="G418" i="7"/>
  <c r="I418" i="7" s="1"/>
  <c r="G419" i="7"/>
  <c r="I419" i="7" s="1"/>
  <c r="G420" i="7"/>
  <c r="I420" i="7" s="1"/>
  <c r="G421" i="7"/>
  <c r="I421" i="7" s="1"/>
  <c r="G422" i="7"/>
  <c r="I422" i="7" s="1"/>
  <c r="G423" i="7"/>
  <c r="I423" i="7" s="1"/>
  <c r="G424" i="7"/>
  <c r="I424" i="7" s="1"/>
  <c r="G425" i="7"/>
  <c r="I425" i="7" s="1"/>
  <c r="G426" i="7"/>
  <c r="I426" i="7" s="1"/>
  <c r="G427" i="7"/>
  <c r="I427" i="7" s="1"/>
  <c r="G428" i="7"/>
  <c r="I428" i="7" s="1"/>
  <c r="G429" i="7"/>
  <c r="I429" i="7" s="1"/>
  <c r="G430" i="7"/>
  <c r="I430" i="7" s="1"/>
  <c r="G431" i="7"/>
  <c r="I431" i="7" s="1"/>
  <c r="G432" i="7"/>
  <c r="I432" i="7" s="1"/>
  <c r="G433" i="7"/>
  <c r="I433" i="7" s="1"/>
  <c r="G434" i="7"/>
  <c r="I434" i="7" s="1"/>
  <c r="G435" i="7"/>
  <c r="G436" i="7"/>
  <c r="I436" i="7" s="1"/>
  <c r="G437" i="7"/>
  <c r="I437" i="7" s="1"/>
  <c r="G438" i="7"/>
  <c r="I438" i="7" s="1"/>
  <c r="G439" i="7"/>
  <c r="I439" i="7" s="1"/>
  <c r="G440" i="7"/>
  <c r="I440" i="7" s="1"/>
  <c r="G441" i="7"/>
  <c r="I441" i="7" s="1"/>
  <c r="G442" i="7"/>
  <c r="I442" i="7" s="1"/>
  <c r="G443" i="7"/>
  <c r="I443" i="7" s="1"/>
  <c r="G444" i="7"/>
  <c r="G445" i="7"/>
  <c r="I445" i="7" s="1"/>
  <c r="G446" i="7"/>
  <c r="I446" i="7" s="1"/>
  <c r="G447" i="7"/>
  <c r="I447" i="7" s="1"/>
  <c r="G448" i="7"/>
  <c r="I448" i="7" s="1"/>
  <c r="G449" i="7"/>
  <c r="I449" i="7" s="1"/>
  <c r="G450" i="7"/>
  <c r="I450" i="7" s="1"/>
  <c r="G451" i="7"/>
  <c r="I451" i="7" s="1"/>
  <c r="G452" i="7"/>
  <c r="I452" i="7" s="1"/>
  <c r="G453" i="7"/>
  <c r="I453" i="7" s="1"/>
  <c r="G454" i="7"/>
  <c r="I454" i="7" s="1"/>
  <c r="G455" i="7"/>
  <c r="I455" i="7" s="1"/>
  <c r="G456" i="7"/>
  <c r="I456" i="7" s="1"/>
  <c r="G457" i="7"/>
  <c r="I457" i="7" s="1"/>
  <c r="G458" i="7"/>
  <c r="I458" i="7" s="1"/>
  <c r="G459" i="7"/>
  <c r="I459" i="7" s="1"/>
  <c r="G460" i="7"/>
  <c r="I460" i="7" s="1"/>
  <c r="G461" i="7"/>
  <c r="I461" i="7" s="1"/>
  <c r="G462" i="7"/>
  <c r="G463" i="7"/>
  <c r="I463" i="7" s="1"/>
  <c r="G464" i="7"/>
  <c r="I464" i="7" s="1"/>
  <c r="G465" i="7"/>
  <c r="I465" i="7" s="1"/>
  <c r="G466" i="7"/>
  <c r="I466" i="7" s="1"/>
  <c r="G467" i="7"/>
  <c r="I467" i="7" s="1"/>
  <c r="G468" i="7"/>
  <c r="I468" i="7" s="1"/>
  <c r="G469" i="7"/>
  <c r="I469" i="7" s="1"/>
  <c r="G470" i="7"/>
  <c r="I470" i="7" s="1"/>
  <c r="G471" i="7"/>
  <c r="G472" i="7"/>
  <c r="I472" i="7" s="1"/>
  <c r="G473" i="7"/>
  <c r="I473" i="7" s="1"/>
  <c r="G474" i="7"/>
  <c r="I474" i="7" s="1"/>
  <c r="G475" i="7"/>
  <c r="I475" i="7" s="1"/>
  <c r="G476" i="7"/>
  <c r="I476" i="7" s="1"/>
  <c r="G477" i="7"/>
  <c r="I477" i="7" s="1"/>
  <c r="G478" i="7"/>
  <c r="I478" i="7" s="1"/>
  <c r="G479" i="7"/>
  <c r="I479" i="7" s="1"/>
  <c r="G480" i="7"/>
  <c r="I480" i="7" s="1"/>
  <c r="G481" i="7"/>
  <c r="I481" i="7" s="1"/>
  <c r="G482" i="7"/>
  <c r="I482" i="7" s="1"/>
  <c r="G483" i="7"/>
  <c r="I483" i="7" s="1"/>
  <c r="G484" i="7"/>
  <c r="I484" i="7" s="1"/>
  <c r="G485" i="7"/>
  <c r="I485" i="7" s="1"/>
  <c r="G486" i="7"/>
  <c r="I486" i="7" s="1"/>
  <c r="G487" i="7"/>
  <c r="I487" i="7" s="1"/>
  <c r="G488" i="7"/>
  <c r="I488" i="7" s="1"/>
  <c r="G489" i="7"/>
  <c r="G490" i="7"/>
  <c r="I490" i="7" s="1"/>
  <c r="G491" i="7"/>
  <c r="I491" i="7" s="1"/>
  <c r="G492" i="7"/>
  <c r="I492" i="7" s="1"/>
  <c r="G493" i="7"/>
  <c r="I493" i="7" s="1"/>
  <c r="G494" i="7"/>
  <c r="I494" i="7" s="1"/>
  <c r="G495" i="7"/>
  <c r="I495" i="7" s="1"/>
  <c r="G496" i="7"/>
  <c r="I496" i="7" s="1"/>
  <c r="G497" i="7"/>
  <c r="I497" i="7" s="1"/>
  <c r="G498" i="7"/>
  <c r="G499" i="7"/>
  <c r="I499" i="7" s="1"/>
  <c r="G500" i="7"/>
  <c r="I500" i="7" s="1"/>
  <c r="G501" i="7"/>
  <c r="I501" i="7" s="1"/>
  <c r="G502" i="7"/>
  <c r="I502" i="7" s="1"/>
  <c r="G503" i="7"/>
  <c r="I503" i="7" s="1"/>
  <c r="G504" i="7"/>
  <c r="I504" i="7" s="1"/>
  <c r="G505" i="7"/>
  <c r="I505" i="7" s="1"/>
  <c r="G506" i="7"/>
  <c r="I506" i="7" s="1"/>
  <c r="G507" i="7"/>
  <c r="I507" i="7" s="1"/>
  <c r="G508" i="7"/>
  <c r="I508" i="7" s="1"/>
  <c r="G509" i="7"/>
  <c r="I509" i="7" s="1"/>
  <c r="G510" i="7"/>
  <c r="I510" i="7" s="1"/>
  <c r="G511" i="7"/>
  <c r="I511" i="7" s="1"/>
  <c r="G512" i="7"/>
  <c r="I512" i="7" s="1"/>
  <c r="G513" i="7"/>
  <c r="I513" i="7" s="1"/>
  <c r="G514" i="7"/>
  <c r="I514" i="7" s="1"/>
  <c r="G515" i="7"/>
  <c r="I515" i="7" s="1"/>
  <c r="G516" i="7"/>
  <c r="G517" i="7"/>
  <c r="I517" i="7" s="1"/>
  <c r="G518" i="7"/>
  <c r="I518" i="7" s="1"/>
  <c r="G519" i="7"/>
  <c r="I519" i="7" s="1"/>
  <c r="G520" i="7"/>
  <c r="I520" i="7" s="1"/>
  <c r="G521" i="7"/>
  <c r="I521" i="7" s="1"/>
  <c r="G522" i="7"/>
  <c r="I522" i="7" s="1"/>
  <c r="G523" i="7"/>
  <c r="I523" i="7" s="1"/>
  <c r="G524" i="7"/>
  <c r="I524" i="7" s="1"/>
  <c r="G525" i="7"/>
  <c r="G526" i="7"/>
  <c r="I526" i="7" s="1"/>
  <c r="G527" i="7"/>
  <c r="I527" i="7" s="1"/>
  <c r="G528" i="7"/>
  <c r="I528" i="7" s="1"/>
  <c r="G529" i="7"/>
  <c r="I529" i="7" s="1"/>
  <c r="G530" i="7"/>
  <c r="I530" i="7" s="1"/>
  <c r="G531" i="7"/>
  <c r="I531" i="7" s="1"/>
  <c r="G532" i="7"/>
  <c r="I532" i="7" s="1"/>
  <c r="G533" i="7"/>
  <c r="I533" i="7" s="1"/>
  <c r="G534" i="7"/>
  <c r="I534" i="7" s="1"/>
  <c r="G535" i="7"/>
  <c r="I535" i="7" s="1"/>
  <c r="G536" i="7"/>
  <c r="I536" i="7" s="1"/>
  <c r="G537" i="7"/>
  <c r="I537" i="7" s="1"/>
  <c r="G538" i="7"/>
  <c r="I538" i="7" s="1"/>
  <c r="G539" i="7"/>
  <c r="I539" i="7" s="1"/>
  <c r="G540" i="7"/>
  <c r="I540" i="7" s="1"/>
  <c r="G541" i="7"/>
  <c r="I541" i="7" s="1"/>
  <c r="G542" i="7"/>
  <c r="I542" i="7" s="1"/>
  <c r="G543" i="7"/>
  <c r="G544" i="7"/>
  <c r="I544" i="7" s="1"/>
  <c r="G545" i="7"/>
  <c r="I545" i="7" s="1"/>
  <c r="G546" i="7"/>
  <c r="I546" i="7" s="1"/>
  <c r="G547" i="7"/>
  <c r="I547" i="7" s="1"/>
  <c r="G548" i="7"/>
  <c r="I548" i="7" s="1"/>
  <c r="G549" i="7"/>
  <c r="I549" i="7" s="1"/>
  <c r="G550" i="7"/>
  <c r="I550" i="7" s="1"/>
  <c r="G551" i="7"/>
  <c r="I551" i="7" s="1"/>
  <c r="G552" i="7"/>
  <c r="G553" i="7"/>
  <c r="I553" i="7" s="1"/>
  <c r="G554" i="7"/>
  <c r="I554" i="7" s="1"/>
  <c r="G555" i="7"/>
  <c r="I555" i="7" s="1"/>
  <c r="G556" i="7"/>
  <c r="I556" i="7" s="1"/>
  <c r="G557" i="7"/>
  <c r="I557" i="7" s="1"/>
  <c r="G558" i="7"/>
  <c r="I558" i="7" s="1"/>
  <c r="G559" i="7"/>
  <c r="I559" i="7" s="1"/>
  <c r="G560" i="7"/>
  <c r="I560" i="7" s="1"/>
  <c r="G561" i="7"/>
  <c r="I561" i="7" s="1"/>
  <c r="G562" i="7"/>
  <c r="I562" i="7" s="1"/>
  <c r="G563" i="7"/>
  <c r="I563" i="7" s="1"/>
  <c r="G564" i="7"/>
  <c r="I564" i="7" s="1"/>
  <c r="G565" i="7"/>
  <c r="I565" i="7" s="1"/>
  <c r="G566" i="7"/>
  <c r="I566" i="7" s="1"/>
  <c r="G567" i="7"/>
  <c r="I567" i="7" s="1"/>
  <c r="G568" i="7"/>
  <c r="I568" i="7" s="1"/>
  <c r="G569" i="7"/>
  <c r="I569" i="7" s="1"/>
  <c r="G570" i="7"/>
  <c r="G571" i="7"/>
  <c r="I571" i="7" s="1"/>
  <c r="G572" i="7"/>
  <c r="I572" i="7" s="1"/>
  <c r="G573" i="7"/>
  <c r="I573" i="7" s="1"/>
  <c r="G574" i="7"/>
  <c r="I574" i="7" s="1"/>
  <c r="G575" i="7"/>
  <c r="I575" i="7" s="1"/>
  <c r="G576" i="7"/>
  <c r="I576" i="7" s="1"/>
  <c r="G577" i="7"/>
  <c r="I577" i="7" s="1"/>
  <c r="G578" i="7"/>
  <c r="I578" i="7" s="1"/>
  <c r="G579" i="7"/>
  <c r="G580" i="7"/>
  <c r="I580" i="7" s="1"/>
  <c r="G581" i="7"/>
  <c r="I581" i="7" s="1"/>
  <c r="G582" i="7"/>
  <c r="I582" i="7" s="1"/>
  <c r="G583" i="7"/>
  <c r="I583" i="7" s="1"/>
  <c r="G584" i="7"/>
  <c r="I584" i="7" s="1"/>
  <c r="G585" i="7"/>
  <c r="I585" i="7" s="1"/>
  <c r="G586" i="7"/>
  <c r="I586" i="7" s="1"/>
  <c r="G587" i="7"/>
  <c r="I587" i="7" s="1"/>
  <c r="G588" i="7"/>
  <c r="I588" i="7" s="1"/>
  <c r="G589" i="7"/>
  <c r="I589" i="7" s="1"/>
  <c r="G590" i="7"/>
  <c r="I590" i="7" s="1"/>
  <c r="G591" i="7"/>
  <c r="I591" i="7" s="1"/>
  <c r="G592" i="7"/>
  <c r="I592" i="7" s="1"/>
  <c r="G593" i="7"/>
  <c r="I593" i="7" s="1"/>
  <c r="G594" i="7"/>
  <c r="I594" i="7" s="1"/>
  <c r="G595" i="7"/>
  <c r="I595" i="7" s="1"/>
  <c r="G596" i="7"/>
  <c r="I596" i="7" s="1"/>
  <c r="G597" i="7"/>
  <c r="G598" i="7"/>
  <c r="I598" i="7" s="1"/>
  <c r="G599" i="7"/>
  <c r="I599" i="7" s="1"/>
  <c r="G600" i="7"/>
  <c r="I600" i="7" s="1"/>
  <c r="G601" i="7"/>
  <c r="I601" i="7" s="1"/>
  <c r="G602" i="7"/>
  <c r="I602" i="7" s="1"/>
  <c r="G603" i="7"/>
  <c r="I603" i="7" s="1"/>
  <c r="G604" i="7"/>
  <c r="I604" i="7" s="1"/>
  <c r="G605" i="7"/>
  <c r="I605" i="7" s="1"/>
  <c r="G606" i="7"/>
  <c r="G607" i="7"/>
  <c r="I607" i="7" s="1"/>
  <c r="G608" i="7"/>
  <c r="I608" i="7" s="1"/>
  <c r="G609" i="7"/>
  <c r="I609" i="7" s="1"/>
  <c r="G610" i="7"/>
  <c r="I610" i="7" s="1"/>
  <c r="G611" i="7"/>
  <c r="I611" i="7" s="1"/>
  <c r="G612" i="7"/>
  <c r="I612" i="7" s="1"/>
  <c r="G613" i="7"/>
  <c r="I613" i="7" s="1"/>
  <c r="G614" i="7"/>
  <c r="I614" i="7" s="1"/>
  <c r="G615" i="7"/>
  <c r="I615" i="7" s="1"/>
  <c r="G616" i="7"/>
  <c r="I616" i="7" s="1"/>
  <c r="G617" i="7"/>
  <c r="I617" i="7" s="1"/>
  <c r="G618" i="7"/>
  <c r="I618" i="7" s="1"/>
  <c r="G619" i="7"/>
  <c r="I619" i="7" s="1"/>
  <c r="G620" i="7"/>
  <c r="I620" i="7" s="1"/>
  <c r="G621" i="7"/>
  <c r="I621" i="7" s="1"/>
  <c r="G622" i="7"/>
  <c r="I622" i="7" s="1"/>
  <c r="G623" i="7"/>
  <c r="I623" i="7" s="1"/>
  <c r="G624" i="7"/>
  <c r="G625" i="7"/>
  <c r="I625" i="7" s="1"/>
  <c r="G626" i="7"/>
  <c r="I626" i="7" s="1"/>
  <c r="G627" i="7"/>
  <c r="I627" i="7" s="1"/>
  <c r="G628" i="7"/>
  <c r="I628" i="7" s="1"/>
  <c r="G629" i="7"/>
  <c r="I629" i="7" s="1"/>
  <c r="G630" i="7"/>
  <c r="I630" i="7" s="1"/>
  <c r="G631" i="7"/>
  <c r="I631" i="7" s="1"/>
  <c r="G632" i="7"/>
  <c r="I632" i="7" s="1"/>
  <c r="G633" i="7"/>
  <c r="G634" i="7"/>
  <c r="I634" i="7" s="1"/>
  <c r="G635" i="7"/>
  <c r="I635" i="7" s="1"/>
  <c r="G636" i="7"/>
  <c r="I636" i="7" s="1"/>
  <c r="G637" i="7"/>
  <c r="I637" i="7" s="1"/>
  <c r="G638" i="7"/>
  <c r="I638" i="7" s="1"/>
  <c r="G639" i="7"/>
  <c r="I639" i="7" s="1"/>
  <c r="G640" i="7"/>
  <c r="I640" i="7" s="1"/>
  <c r="G641" i="7"/>
  <c r="I641" i="7" s="1"/>
  <c r="G642" i="7"/>
  <c r="I642" i="7" s="1"/>
  <c r="G643" i="7"/>
  <c r="I643" i="7" s="1"/>
  <c r="G644" i="7"/>
  <c r="I644" i="7" s="1"/>
  <c r="G645" i="7"/>
  <c r="I645" i="7" s="1"/>
  <c r="G646" i="7"/>
  <c r="I646" i="7" s="1"/>
  <c r="G647" i="7"/>
  <c r="I647" i="7" s="1"/>
  <c r="G648" i="7"/>
  <c r="I648" i="7" s="1"/>
  <c r="G649" i="7"/>
  <c r="I649" i="7" s="1"/>
  <c r="G650" i="7"/>
  <c r="I650" i="7" s="1"/>
  <c r="G651" i="7"/>
  <c r="G652" i="7"/>
  <c r="I652" i="7" s="1"/>
  <c r="G653" i="7"/>
  <c r="I653" i="7" s="1"/>
  <c r="G654" i="7"/>
  <c r="I654" i="7" s="1"/>
  <c r="G655" i="7"/>
  <c r="I655" i="7" s="1"/>
  <c r="G656" i="7"/>
  <c r="I656" i="7" s="1"/>
  <c r="G657" i="7"/>
  <c r="I657" i="7" s="1"/>
  <c r="G658" i="7"/>
  <c r="I658" i="7" s="1"/>
  <c r="G659" i="7"/>
  <c r="I659" i="7" s="1"/>
  <c r="G660" i="7"/>
  <c r="G661" i="7"/>
  <c r="I661" i="7" s="1"/>
  <c r="G662" i="7"/>
  <c r="I662" i="7" s="1"/>
  <c r="G663" i="7"/>
  <c r="I663" i="7" s="1"/>
  <c r="G664" i="7"/>
  <c r="I664" i="7" s="1"/>
  <c r="G665" i="7"/>
  <c r="I665" i="7" s="1"/>
  <c r="G666" i="7"/>
  <c r="I666" i="7" s="1"/>
  <c r="G667" i="7"/>
  <c r="I667" i="7" s="1"/>
  <c r="G668" i="7"/>
  <c r="I668" i="7" s="1"/>
  <c r="G669" i="7"/>
  <c r="I669" i="7" s="1"/>
  <c r="G670" i="7"/>
  <c r="I670" i="7" s="1"/>
  <c r="G671" i="7"/>
  <c r="I671" i="7" s="1"/>
  <c r="G672" i="7"/>
  <c r="I672" i="7" s="1"/>
  <c r="G673" i="7"/>
  <c r="I673" i="7" s="1"/>
  <c r="G674" i="7"/>
  <c r="I674" i="7" s="1"/>
  <c r="G675" i="7"/>
  <c r="I675" i="7" s="1"/>
  <c r="G676" i="7"/>
  <c r="I676" i="7" s="1"/>
  <c r="G677" i="7"/>
  <c r="I677" i="7" s="1"/>
  <c r="G678" i="7"/>
  <c r="I678" i="7" s="1"/>
  <c r="G679" i="7"/>
  <c r="I679" i="7" s="1"/>
  <c r="G680" i="7"/>
  <c r="I680" i="7" s="1"/>
  <c r="G681" i="7"/>
  <c r="I681" i="7" s="1"/>
  <c r="G682" i="7"/>
  <c r="I682" i="7" s="1"/>
  <c r="G683" i="7"/>
  <c r="I683" i="7" s="1"/>
  <c r="G684" i="7"/>
  <c r="I684" i="7" s="1"/>
  <c r="G685" i="7"/>
  <c r="I685" i="7" s="1"/>
  <c r="G686" i="7"/>
  <c r="I686" i="7" s="1"/>
  <c r="G687" i="7"/>
  <c r="I687" i="7" s="1"/>
  <c r="G688" i="7"/>
  <c r="I688" i="7" s="1"/>
  <c r="G689" i="7"/>
  <c r="I689" i="7" s="1"/>
  <c r="G690" i="7"/>
  <c r="I690" i="7" s="1"/>
  <c r="G691" i="7"/>
  <c r="I691" i="7" s="1"/>
  <c r="G692" i="7"/>
  <c r="I692" i="7" s="1"/>
  <c r="G693" i="7"/>
  <c r="I693" i="7" s="1"/>
  <c r="G694" i="7"/>
  <c r="I694" i="7" s="1"/>
  <c r="G695" i="7"/>
  <c r="I695" i="7" s="1"/>
  <c r="G696" i="7"/>
  <c r="I696" i="7" s="1"/>
  <c r="G697" i="7"/>
  <c r="I697" i="7" s="1"/>
  <c r="G698" i="7"/>
  <c r="I698" i="7" s="1"/>
  <c r="G699" i="7"/>
  <c r="I699" i="7" s="1"/>
  <c r="G700" i="7"/>
  <c r="I700" i="7" s="1"/>
  <c r="G701" i="7"/>
  <c r="I701" i="7" s="1"/>
  <c r="G702" i="7"/>
  <c r="I702" i="7" s="1"/>
  <c r="G703" i="7"/>
  <c r="I703" i="7" s="1"/>
  <c r="G704" i="7"/>
  <c r="I704" i="7" s="1"/>
  <c r="G705" i="7"/>
  <c r="I705" i="7" s="1"/>
  <c r="G706" i="7"/>
  <c r="I706" i="7" s="1"/>
  <c r="G707" i="7"/>
  <c r="I707" i="7" s="1"/>
  <c r="G708" i="7"/>
  <c r="I708" i="7" s="1"/>
  <c r="G709" i="7"/>
  <c r="I709" i="7" s="1"/>
  <c r="G710" i="7"/>
  <c r="I710" i="7" s="1"/>
  <c r="G711" i="7"/>
  <c r="I711" i="7" s="1"/>
  <c r="G712" i="7"/>
  <c r="I712" i="7" s="1"/>
  <c r="G713" i="7"/>
  <c r="I713" i="7" s="1"/>
  <c r="G714" i="7"/>
  <c r="I714" i="7" s="1"/>
  <c r="G715" i="7"/>
  <c r="I715" i="7" s="1"/>
  <c r="G716" i="7"/>
  <c r="I716" i="7" s="1"/>
  <c r="G717" i="7"/>
  <c r="I717" i="7" s="1"/>
  <c r="G718" i="7"/>
  <c r="I718" i="7" s="1"/>
  <c r="G719" i="7"/>
  <c r="I719" i="7" s="1"/>
  <c r="G720" i="7"/>
  <c r="I720" i="7" s="1"/>
  <c r="G721" i="7"/>
  <c r="I721" i="7" s="1"/>
  <c r="G722" i="7"/>
  <c r="I722" i="7" s="1"/>
  <c r="G723" i="7"/>
  <c r="I723" i="7" s="1"/>
  <c r="G724" i="7"/>
  <c r="I724" i="7" s="1"/>
  <c r="G725" i="7"/>
  <c r="I725" i="7" s="1"/>
  <c r="G726" i="7"/>
  <c r="I726" i="7" s="1"/>
  <c r="G727" i="7"/>
  <c r="I727" i="7" s="1"/>
  <c r="G728" i="7"/>
  <c r="I728" i="7" s="1"/>
  <c r="G729" i="7"/>
  <c r="I729" i="7" s="1"/>
  <c r="G730" i="7"/>
  <c r="I730" i="7" s="1"/>
  <c r="G731" i="7"/>
  <c r="I731" i="7" s="1"/>
  <c r="G732" i="7"/>
  <c r="I732" i="7" s="1"/>
  <c r="G733" i="7"/>
  <c r="I733" i="7" s="1"/>
  <c r="G734" i="7"/>
  <c r="I734" i="7" s="1"/>
  <c r="G735" i="7"/>
  <c r="I735" i="7" s="1"/>
  <c r="G736" i="7"/>
  <c r="I736" i="7" s="1"/>
  <c r="G737" i="7"/>
  <c r="I737" i="7" s="1"/>
  <c r="G738" i="7"/>
  <c r="I738" i="7" s="1"/>
  <c r="G739" i="7"/>
  <c r="I739" i="7" s="1"/>
  <c r="G740" i="7"/>
  <c r="I740" i="7" s="1"/>
  <c r="G741" i="7"/>
  <c r="I741" i="7" s="1"/>
  <c r="G742" i="7"/>
  <c r="I742" i="7" s="1"/>
  <c r="G743" i="7"/>
  <c r="I743" i="7" s="1"/>
  <c r="G744" i="7"/>
  <c r="I744" i="7" s="1"/>
  <c r="G745" i="7"/>
  <c r="I745" i="7" s="1"/>
  <c r="G746" i="7"/>
  <c r="I746" i="7" s="1"/>
  <c r="G747" i="7"/>
  <c r="I747" i="7" s="1"/>
  <c r="G748" i="7"/>
  <c r="I748" i="7" s="1"/>
  <c r="G749" i="7"/>
  <c r="I749" i="7" s="1"/>
  <c r="G750" i="7"/>
  <c r="I750" i="7" s="1"/>
  <c r="G751" i="7"/>
  <c r="I751" i="7" s="1"/>
  <c r="G752" i="7"/>
  <c r="I752" i="7" s="1"/>
  <c r="G753" i="7"/>
  <c r="I753" i="7" s="1"/>
  <c r="G754" i="7"/>
  <c r="I754" i="7" s="1"/>
  <c r="G755" i="7"/>
  <c r="I755" i="7" s="1"/>
  <c r="G756" i="7"/>
  <c r="I756" i="7" s="1"/>
  <c r="G757" i="7"/>
  <c r="I757" i="7" s="1"/>
  <c r="G758" i="7"/>
  <c r="I758" i="7" s="1"/>
  <c r="G759" i="7"/>
  <c r="I759" i="7" s="1"/>
  <c r="G760" i="7"/>
  <c r="I760" i="7" s="1"/>
  <c r="G761" i="7"/>
  <c r="I761" i="7" s="1"/>
  <c r="G762" i="7"/>
  <c r="I762" i="7" s="1"/>
  <c r="G763" i="7"/>
  <c r="I763" i="7" s="1"/>
  <c r="G764" i="7"/>
  <c r="I764" i="7" s="1"/>
  <c r="G765" i="7"/>
  <c r="I765" i="7" s="1"/>
  <c r="G766" i="7"/>
  <c r="I766" i="7" s="1"/>
  <c r="G767" i="7"/>
  <c r="I767" i="7" s="1"/>
  <c r="G768" i="7"/>
  <c r="I768" i="7" s="1"/>
  <c r="G769" i="7"/>
  <c r="I769" i="7" s="1"/>
  <c r="G770" i="7"/>
  <c r="I770" i="7" s="1"/>
  <c r="G771" i="7"/>
  <c r="I771" i="7" s="1"/>
  <c r="G772" i="7"/>
  <c r="I772" i="7" s="1"/>
  <c r="G773" i="7"/>
  <c r="I773" i="7" s="1"/>
  <c r="G774" i="7"/>
  <c r="I774" i="7" s="1"/>
  <c r="G775" i="7"/>
  <c r="I775" i="7" s="1"/>
  <c r="G776" i="7"/>
  <c r="I776" i="7" s="1"/>
  <c r="G777" i="7"/>
  <c r="I777" i="7" s="1"/>
  <c r="G778" i="7"/>
  <c r="I778" i="7" s="1"/>
  <c r="G779" i="7"/>
  <c r="I779" i="7" s="1"/>
  <c r="G780" i="7"/>
  <c r="I780" i="7" s="1"/>
  <c r="G781" i="7"/>
  <c r="I781" i="7" s="1"/>
  <c r="G782" i="7"/>
  <c r="I782" i="7" s="1"/>
  <c r="G783" i="7"/>
  <c r="I783" i="7" s="1"/>
  <c r="G784" i="7"/>
  <c r="I784" i="7" s="1"/>
  <c r="G785" i="7"/>
  <c r="I785" i="7" s="1"/>
  <c r="G786" i="7"/>
  <c r="I786" i="7" s="1"/>
  <c r="G787" i="7"/>
  <c r="I787" i="7" s="1"/>
  <c r="G788" i="7"/>
  <c r="I788" i="7" s="1"/>
  <c r="G789" i="7"/>
  <c r="I789" i="7" s="1"/>
  <c r="G790" i="7"/>
  <c r="I790" i="7" s="1"/>
  <c r="G791" i="7"/>
  <c r="I791" i="7" s="1"/>
  <c r="G792" i="7"/>
  <c r="I792" i="7" s="1"/>
  <c r="G793" i="7"/>
  <c r="I793" i="7" s="1"/>
  <c r="G794" i="7"/>
  <c r="I794" i="7" s="1"/>
  <c r="G795" i="7"/>
  <c r="I795" i="7" s="1"/>
  <c r="G796" i="7"/>
  <c r="I796" i="7" s="1"/>
  <c r="G797" i="7"/>
  <c r="I797" i="7" s="1"/>
  <c r="G798" i="7"/>
  <c r="I798" i="7" s="1"/>
  <c r="G799" i="7"/>
  <c r="I799" i="7" s="1"/>
  <c r="G800" i="7"/>
  <c r="I800" i="7" s="1"/>
  <c r="G801" i="7"/>
  <c r="I801" i="7" s="1"/>
  <c r="G802" i="7"/>
  <c r="I802" i="7" s="1"/>
  <c r="G803" i="7"/>
  <c r="I803" i="7" s="1"/>
  <c r="G804" i="7"/>
  <c r="I804" i="7" s="1"/>
  <c r="G805" i="7"/>
  <c r="I805" i="7" s="1"/>
  <c r="G806" i="7"/>
  <c r="I806" i="7" s="1"/>
  <c r="G807" i="7"/>
  <c r="I807" i="7" s="1"/>
  <c r="G808" i="7"/>
  <c r="I808" i="7" s="1"/>
  <c r="G809" i="7"/>
  <c r="I809" i="7" s="1"/>
  <c r="G810" i="7"/>
  <c r="I810" i="7" s="1"/>
  <c r="G811" i="7"/>
  <c r="I811" i="7" s="1"/>
  <c r="G812" i="7"/>
  <c r="I812" i="7" s="1"/>
  <c r="G813" i="7"/>
  <c r="I813" i="7" s="1"/>
  <c r="G814" i="7"/>
  <c r="I814" i="7" s="1"/>
  <c r="G815" i="7"/>
  <c r="I815" i="7" s="1"/>
  <c r="G816" i="7"/>
  <c r="I816" i="7" s="1"/>
  <c r="G817" i="7"/>
  <c r="I817" i="7" s="1"/>
  <c r="G818" i="7"/>
  <c r="I818" i="7" s="1"/>
  <c r="G819" i="7"/>
  <c r="I819" i="7" s="1"/>
  <c r="G820" i="7"/>
  <c r="I820" i="7" s="1"/>
  <c r="G821" i="7"/>
  <c r="I821" i="7" s="1"/>
  <c r="G822" i="7"/>
  <c r="I822" i="7" s="1"/>
  <c r="G823" i="7"/>
  <c r="I823" i="7" s="1"/>
  <c r="G824" i="7"/>
  <c r="I824" i="7" s="1"/>
  <c r="G825" i="7"/>
  <c r="I825" i="7" s="1"/>
  <c r="G826" i="7"/>
  <c r="I826" i="7" s="1"/>
  <c r="G827" i="7"/>
  <c r="I827" i="7" s="1"/>
  <c r="G828" i="7"/>
  <c r="I828" i="7" s="1"/>
  <c r="G829" i="7"/>
  <c r="I829" i="7" s="1"/>
  <c r="G830" i="7"/>
  <c r="I830" i="7" s="1"/>
  <c r="G831" i="7"/>
  <c r="I831" i="7" s="1"/>
  <c r="G832" i="7"/>
  <c r="I832" i="7" s="1"/>
  <c r="G833" i="7"/>
  <c r="I833" i="7" s="1"/>
  <c r="G834" i="7"/>
  <c r="I834" i="7" s="1"/>
  <c r="G835" i="7"/>
  <c r="I835" i="7" s="1"/>
  <c r="G2" i="7"/>
  <c r="I2" i="7" s="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2" i="11"/>
  <c r="H2" i="11" s="1"/>
  <c r="D835" i="7"/>
  <c r="D834" i="7"/>
  <c r="E834" i="7" s="1"/>
  <c r="D833" i="7"/>
  <c r="E833" i="7" s="1"/>
  <c r="D832" i="7"/>
  <c r="E832" i="7" s="1"/>
  <c r="D831" i="7"/>
  <c r="E831" i="7" s="1"/>
  <c r="D830" i="7"/>
  <c r="E830" i="7" s="1"/>
  <c r="D829" i="7"/>
  <c r="E829" i="7" s="1"/>
  <c r="D369" i="7"/>
  <c r="E369" i="7" s="1"/>
  <c r="D287" i="7"/>
  <c r="E287" i="7" s="1"/>
  <c r="D235" i="7"/>
  <c r="E235" i="7" s="1"/>
  <c r="D290" i="7"/>
  <c r="E290" i="7" s="1"/>
  <c r="D764" i="7"/>
  <c r="E764" i="7" s="1"/>
  <c r="D485" i="7"/>
  <c r="E485" i="7" s="1"/>
  <c r="D559" i="7"/>
  <c r="E559" i="7" s="1"/>
  <c r="D328" i="7"/>
  <c r="E328" i="7" s="1"/>
  <c r="D696" i="7"/>
  <c r="E696" i="7" s="1"/>
  <c r="D192" i="7"/>
  <c r="E192" i="7" s="1"/>
  <c r="D227" i="7"/>
  <c r="E227" i="7" s="1"/>
  <c r="D304" i="7"/>
  <c r="E304" i="7" s="1"/>
  <c r="D668" i="7"/>
  <c r="E668" i="7" s="1"/>
  <c r="D401" i="7"/>
  <c r="E401" i="7" s="1"/>
  <c r="D223" i="7"/>
  <c r="E223" i="7" s="1"/>
  <c r="D653" i="7"/>
  <c r="E653" i="7" s="1"/>
  <c r="D534" i="7"/>
  <c r="E534" i="7" s="1"/>
  <c r="D540" i="7"/>
  <c r="E540" i="7" s="1"/>
  <c r="D634" i="7"/>
  <c r="E634" i="7" s="1"/>
  <c r="D476" i="7"/>
  <c r="E476" i="7" s="1"/>
  <c r="D752" i="7"/>
  <c r="E752" i="7" s="1"/>
  <c r="D344" i="7"/>
  <c r="E344" i="7" s="1"/>
  <c r="D407" i="7"/>
  <c r="E407" i="7" s="1"/>
  <c r="D479" i="7"/>
  <c r="E479" i="7" s="1"/>
  <c r="D492" i="7"/>
  <c r="E492" i="7" s="1"/>
  <c r="D242" i="7"/>
  <c r="E242" i="7" s="1"/>
  <c r="D195" i="7"/>
  <c r="E195" i="7" s="1"/>
  <c r="D158" i="7"/>
  <c r="E158" i="7" s="1"/>
  <c r="D43" i="7"/>
  <c r="E43" i="7" s="1"/>
  <c r="D419" i="7"/>
  <c r="E419" i="7" s="1"/>
  <c r="D553" i="7"/>
  <c r="E553" i="7" s="1"/>
  <c r="D536" i="7"/>
  <c r="E536" i="7" s="1"/>
  <c r="D522" i="7"/>
  <c r="E522" i="7" s="1"/>
  <c r="D270" i="7"/>
  <c r="E270" i="7" s="1"/>
  <c r="D283" i="7"/>
  <c r="E283" i="7" s="1"/>
  <c r="D28" i="7"/>
  <c r="E28" i="7" s="1"/>
  <c r="D193" i="7"/>
  <c r="E193" i="7" s="1"/>
  <c r="D498" i="7"/>
  <c r="E498" i="7" s="1"/>
  <c r="D657" i="7"/>
  <c r="E657" i="7" s="1"/>
  <c r="D520" i="7"/>
  <c r="E520" i="7" s="1"/>
  <c r="D565" i="7"/>
  <c r="E565" i="7" s="1"/>
  <c r="D400" i="7"/>
  <c r="E400" i="7" s="1"/>
  <c r="D317" i="7"/>
  <c r="E317" i="7" s="1"/>
  <c r="D444" i="7"/>
  <c r="E444" i="7" s="1"/>
  <c r="D434" i="7"/>
  <c r="E434" i="7" s="1"/>
  <c r="D295" i="7"/>
  <c r="E295" i="7" s="1"/>
  <c r="D355" i="7"/>
  <c r="E355" i="7" s="1"/>
  <c r="D654" i="7"/>
  <c r="E654" i="7" s="1"/>
  <c r="D548" i="7"/>
  <c r="E548" i="7" s="1"/>
  <c r="D257" i="7"/>
  <c r="E257" i="7" s="1"/>
  <c r="D455" i="7"/>
  <c r="E455" i="7" s="1"/>
  <c r="D474" i="7"/>
  <c r="E474" i="7" s="1"/>
  <c r="D356" i="7"/>
  <c r="E356" i="7" s="1"/>
  <c r="D359" i="7"/>
  <c r="E359" i="7" s="1"/>
  <c r="D561" i="7"/>
  <c r="E561" i="7" s="1"/>
  <c r="D153" i="7"/>
  <c r="E153" i="7" s="1"/>
  <c r="D284" i="7"/>
  <c r="E284" i="7" s="1"/>
  <c r="D267" i="7"/>
  <c r="E267" i="7" s="1"/>
  <c r="D131" i="7"/>
  <c r="E131" i="7" s="1"/>
  <c r="D77" i="7"/>
  <c r="E77" i="7" s="1"/>
  <c r="D217" i="7"/>
  <c r="E217" i="7" s="1"/>
  <c r="D233" i="7"/>
  <c r="E233" i="7" s="1"/>
  <c r="D30" i="7"/>
  <c r="E30" i="7" s="1"/>
  <c r="D106" i="7"/>
  <c r="E106" i="7" s="1"/>
  <c r="D76" i="7"/>
  <c r="E76" i="7" s="1"/>
  <c r="D70" i="7"/>
  <c r="E70" i="7" s="1"/>
  <c r="D44" i="7"/>
  <c r="E44" i="7" s="1"/>
  <c r="D8" i="7"/>
  <c r="E8" i="7" s="1"/>
  <c r="D89" i="7"/>
  <c r="E89" i="7" s="1"/>
  <c r="D35" i="7"/>
  <c r="E35" i="7" s="1"/>
  <c r="D72" i="7"/>
  <c r="E72" i="7" s="1"/>
  <c r="D151" i="7"/>
  <c r="E151" i="7" s="1"/>
  <c r="D63" i="7"/>
  <c r="E63" i="7" s="1"/>
  <c r="D170" i="7"/>
  <c r="E170" i="7" s="1"/>
  <c r="D92" i="7"/>
  <c r="E92" i="7" s="1"/>
  <c r="D362" i="7"/>
  <c r="E362" i="7" s="1"/>
  <c r="D198" i="7"/>
  <c r="E198" i="7" s="1"/>
  <c r="D129" i="7"/>
  <c r="E129" i="7" s="1"/>
  <c r="D276" i="7"/>
  <c r="E276" i="7" s="1"/>
  <c r="D252" i="7"/>
  <c r="E252" i="7" s="1"/>
  <c r="D226" i="7"/>
  <c r="E226" i="7" s="1"/>
  <c r="D174" i="7"/>
  <c r="E174" i="7" s="1"/>
  <c r="D210" i="7"/>
  <c r="E210" i="7" s="1"/>
  <c r="D160" i="7"/>
  <c r="E160" i="7" s="1"/>
  <c r="D218" i="7"/>
  <c r="E218" i="7" s="1"/>
  <c r="D157" i="7"/>
  <c r="E157" i="7" s="1"/>
  <c r="D104" i="7"/>
  <c r="E104" i="7" s="1"/>
  <c r="D718" i="7"/>
  <c r="E718" i="7" s="1"/>
  <c r="D395" i="7"/>
  <c r="E395" i="7" s="1"/>
  <c r="D4" i="7"/>
  <c r="E4" i="7" s="1"/>
  <c r="D659" i="7"/>
  <c r="E659" i="7" s="1"/>
  <c r="D591" i="7"/>
  <c r="E591" i="7" s="1"/>
  <c r="D691" i="7"/>
  <c r="E691" i="7" s="1"/>
  <c r="D323" i="7"/>
  <c r="E323" i="7" s="1"/>
  <c r="D75" i="7"/>
  <c r="E75" i="7" s="1"/>
  <c r="D475" i="7"/>
  <c r="E475" i="7" s="1"/>
  <c r="D33" i="7"/>
  <c r="E33" i="7" s="1"/>
  <c r="D568" i="7"/>
  <c r="E568" i="7" s="1"/>
  <c r="D12" i="7"/>
  <c r="E12" i="7" s="1"/>
  <c r="D279" i="7"/>
  <c r="E279" i="7" s="1"/>
  <c r="D100" i="7"/>
  <c r="E100" i="7" s="1"/>
  <c r="D509" i="7"/>
  <c r="E509" i="7" s="1"/>
  <c r="D114" i="7"/>
  <c r="E114" i="7" s="1"/>
  <c r="D186" i="7"/>
  <c r="E186" i="7" s="1"/>
  <c r="D463" i="7"/>
  <c r="E463" i="7" s="1"/>
  <c r="D51" i="7"/>
  <c r="E51" i="7" s="1"/>
  <c r="D431" i="7"/>
  <c r="E431" i="7" s="1"/>
  <c r="D326" i="7"/>
  <c r="E326" i="7" s="1"/>
  <c r="D41" i="7"/>
  <c r="E41" i="7" s="1"/>
  <c r="D660" i="7"/>
  <c r="E660" i="7" s="1"/>
  <c r="D603" i="7"/>
  <c r="E603" i="7" s="1"/>
  <c r="D571" i="7"/>
  <c r="E571" i="7" s="1"/>
  <c r="D229" i="7"/>
  <c r="E229" i="7" s="1"/>
  <c r="D329" i="7"/>
  <c r="E329" i="7" s="1"/>
  <c r="D18" i="7"/>
  <c r="E18" i="7" s="1"/>
  <c r="D102" i="7"/>
  <c r="E102" i="7" s="1"/>
  <c r="D682" i="7"/>
  <c r="E682" i="7" s="1"/>
  <c r="D2" i="7"/>
  <c r="E2" i="7" s="1"/>
  <c r="D738" i="7"/>
  <c r="E738" i="7" s="1"/>
  <c r="D271" i="7"/>
  <c r="E271" i="7" s="1"/>
  <c r="D263" i="7"/>
  <c r="E263" i="7" s="1"/>
  <c r="D487" i="7"/>
  <c r="E487" i="7" s="1"/>
  <c r="D118" i="7"/>
  <c r="E118" i="7" s="1"/>
  <c r="D414" i="7"/>
  <c r="E414" i="7" s="1"/>
  <c r="D306" i="7"/>
  <c r="E306" i="7" s="1"/>
  <c r="D470" i="7"/>
  <c r="E470" i="7" s="1"/>
  <c r="D116" i="7"/>
  <c r="E116" i="7" s="1"/>
  <c r="D551" i="7"/>
  <c r="E551" i="7" s="1"/>
  <c r="D501" i="7"/>
  <c r="E501" i="7" s="1"/>
  <c r="D537" i="7"/>
  <c r="E537" i="7" s="1"/>
  <c r="D386" i="7"/>
  <c r="E386" i="7" s="1"/>
  <c r="D141" i="7"/>
  <c r="E141" i="7" s="1"/>
  <c r="D173" i="7"/>
  <c r="E173" i="7" s="1"/>
  <c r="D144" i="7"/>
  <c r="E144" i="7" s="1"/>
  <c r="D420" i="7"/>
  <c r="E420" i="7" s="1"/>
  <c r="D246" i="7"/>
  <c r="E246" i="7" s="1"/>
  <c r="D133" i="7"/>
  <c r="E133" i="7" s="1"/>
  <c r="D542" i="7"/>
  <c r="E542" i="7" s="1"/>
  <c r="D417" i="7"/>
  <c r="E417" i="7" s="1"/>
  <c r="D143" i="7"/>
  <c r="E143" i="7" s="1"/>
  <c r="D437" i="7"/>
  <c r="E437" i="7" s="1"/>
  <c r="D335" i="7"/>
  <c r="E335" i="7" s="1"/>
  <c r="D648" i="7"/>
  <c r="E648" i="7" s="1"/>
  <c r="D546" i="7"/>
  <c r="E546" i="7" s="1"/>
  <c r="D666" i="7"/>
  <c r="E666" i="7" s="1"/>
  <c r="D278" i="7"/>
  <c r="E278" i="7" s="1"/>
  <c r="D436" i="7"/>
  <c r="E436" i="7" s="1"/>
  <c r="D471" i="7"/>
  <c r="E471" i="7" s="1"/>
  <c r="D181" i="7"/>
  <c r="E181" i="7" s="1"/>
  <c r="D167" i="7"/>
  <c r="E167" i="7" s="1"/>
  <c r="D71" i="7"/>
  <c r="E71" i="7" s="1"/>
  <c r="D154" i="7"/>
  <c r="E154" i="7" s="1"/>
  <c r="D105" i="7"/>
  <c r="E105" i="7" s="1"/>
  <c r="D433" i="7"/>
  <c r="E433" i="7" s="1"/>
  <c r="D452" i="7"/>
  <c r="E452" i="7" s="1"/>
  <c r="D389" i="7"/>
  <c r="E389" i="7" s="1"/>
  <c r="D590" i="7"/>
  <c r="E590" i="7" s="1"/>
  <c r="D588" i="7"/>
  <c r="E588" i="7" s="1"/>
  <c r="D593" i="7"/>
  <c r="E593" i="7" s="1"/>
  <c r="D610" i="7"/>
  <c r="E610" i="7" s="1"/>
  <c r="D625" i="7"/>
  <c r="E625" i="7" s="1"/>
  <c r="D557" i="7"/>
  <c r="E557" i="7" s="1"/>
  <c r="D478" i="7"/>
  <c r="E478" i="7" s="1"/>
  <c r="D728" i="7"/>
  <c r="E728" i="7" s="1"/>
  <c r="D761" i="7"/>
  <c r="E761" i="7" s="1"/>
  <c r="D490" i="7"/>
  <c r="E490" i="7" s="1"/>
  <c r="D460" i="7"/>
  <c r="E460" i="7" s="1"/>
  <c r="D358" i="7"/>
  <c r="E358" i="7" s="1"/>
  <c r="D770" i="7"/>
  <c r="E770" i="7" s="1"/>
  <c r="D517" i="7"/>
  <c r="E517" i="7" s="1"/>
  <c r="D464" i="7"/>
  <c r="E464" i="7" s="1"/>
  <c r="D291" i="7"/>
  <c r="E291" i="7" s="1"/>
  <c r="D424" i="7"/>
  <c r="E424" i="7" s="1"/>
  <c r="D381" i="7"/>
  <c r="E381" i="7" s="1"/>
  <c r="D739" i="7"/>
  <c r="E739" i="7" s="1"/>
  <c r="D785" i="7"/>
  <c r="E785" i="7" s="1"/>
  <c r="D786" i="7"/>
  <c r="E786" i="7" s="1"/>
  <c r="D799" i="7"/>
  <c r="E799" i="7" s="1"/>
  <c r="D802" i="7"/>
  <c r="E802" i="7" s="1"/>
  <c r="D824" i="7"/>
  <c r="E824" i="7" s="1"/>
  <c r="D796" i="7"/>
  <c r="E796" i="7" s="1"/>
  <c r="D705" i="7"/>
  <c r="E705" i="7" s="1"/>
  <c r="D750" i="7"/>
  <c r="E750" i="7" s="1"/>
  <c r="D512" i="7"/>
  <c r="E512" i="7" s="1"/>
  <c r="D567" i="7"/>
  <c r="E567" i="7" s="1"/>
  <c r="D600" i="7"/>
  <c r="E600" i="7" s="1"/>
  <c r="D645" i="7"/>
  <c r="E645" i="7" s="1"/>
  <c r="D699" i="7"/>
  <c r="E699" i="7" s="1"/>
  <c r="D554" i="7"/>
  <c r="E554" i="7" s="1"/>
  <c r="D309" i="7"/>
  <c r="E309" i="7" s="1"/>
  <c r="D644" i="7"/>
  <c r="E644" i="7" s="1"/>
  <c r="D594" i="7"/>
  <c r="E594" i="7" s="1"/>
  <c r="D383" i="7"/>
  <c r="E383" i="7" s="1"/>
  <c r="D685" i="7"/>
  <c r="E685" i="7" s="1"/>
  <c r="D818" i="7"/>
  <c r="E818" i="7" s="1"/>
  <c r="D801" i="7"/>
  <c r="E801" i="7" s="1"/>
  <c r="D468" i="7"/>
  <c r="E468" i="7" s="1"/>
  <c r="D633" i="7"/>
  <c r="E633" i="7" s="1"/>
  <c r="D510" i="7"/>
  <c r="E510" i="7" s="1"/>
  <c r="D528" i="7"/>
  <c r="E528" i="7" s="1"/>
  <c r="D258" i="7"/>
  <c r="E258" i="7" s="1"/>
  <c r="D348" i="7"/>
  <c r="E348" i="7" s="1"/>
  <c r="D80" i="7"/>
  <c r="E80" i="7" s="1"/>
  <c r="D9" i="7"/>
  <c r="E9" i="7" s="1"/>
  <c r="D232" i="7"/>
  <c r="E232" i="7" s="1"/>
  <c r="D438" i="7"/>
  <c r="E438" i="7" s="1"/>
  <c r="D678" i="7"/>
  <c r="E678" i="7" s="1"/>
  <c r="D368" i="7"/>
  <c r="E368" i="7" s="1"/>
  <c r="D339" i="7"/>
  <c r="E339" i="7" s="1"/>
  <c r="D86" i="7"/>
  <c r="E86" i="7" s="1"/>
  <c r="D606" i="7"/>
  <c r="E606" i="7" s="1"/>
  <c r="D684" i="7"/>
  <c r="E684" i="7" s="1"/>
  <c r="D828" i="7"/>
  <c r="E828" i="7" s="1"/>
  <c r="D584" i="7"/>
  <c r="E584" i="7" s="1"/>
  <c r="D481" i="7"/>
  <c r="E481" i="7" s="1"/>
  <c r="D664" i="7"/>
  <c r="E664" i="7" s="1"/>
  <c r="D677" i="7"/>
  <c r="E677" i="7" s="1"/>
  <c r="D599" i="7"/>
  <c r="E599" i="7" s="1"/>
  <c r="D319" i="7"/>
  <c r="E319" i="7" s="1"/>
  <c r="D327" i="7"/>
  <c r="E327" i="7" s="1"/>
  <c r="D496" i="7"/>
  <c r="E496" i="7" s="1"/>
  <c r="D234" i="7"/>
  <c r="E234" i="7" s="1"/>
  <c r="D155" i="7"/>
  <c r="E155" i="7" s="1"/>
  <c r="D275" i="7"/>
  <c r="E275" i="7" s="1"/>
  <c r="D598" i="7"/>
  <c r="E598" i="7" s="1"/>
  <c r="D607" i="7"/>
  <c r="E607" i="7" s="1"/>
  <c r="D686" i="7"/>
  <c r="E686" i="7" s="1"/>
  <c r="D698" i="7"/>
  <c r="E698" i="7" s="1"/>
  <c r="D298" i="7"/>
  <c r="E298" i="7" s="1"/>
  <c r="D96" i="7"/>
  <c r="E96" i="7" s="1"/>
  <c r="D266" i="7"/>
  <c r="E266" i="7" s="1"/>
  <c r="D132" i="7"/>
  <c r="E132" i="7" s="1"/>
  <c r="D110" i="7"/>
  <c r="E110" i="7" s="1"/>
  <c r="D530" i="7"/>
  <c r="E530" i="7" s="1"/>
  <c r="D516" i="7"/>
  <c r="E516" i="7" s="1"/>
  <c r="D646" i="7"/>
  <c r="E646" i="7" s="1"/>
  <c r="D787" i="7"/>
  <c r="E787" i="7" s="1"/>
  <c r="D707" i="7"/>
  <c r="E707" i="7" s="1"/>
  <c r="D308" i="7"/>
  <c r="E308" i="7" s="1"/>
  <c r="D508" i="7"/>
  <c r="E508" i="7" s="1"/>
  <c r="D768" i="7"/>
  <c r="E768" i="7" s="1"/>
  <c r="D775" i="7"/>
  <c r="E775" i="7" s="1"/>
  <c r="D754" i="7"/>
  <c r="E754" i="7" s="1"/>
  <c r="D687" i="7"/>
  <c r="E687" i="7" s="1"/>
  <c r="D345" i="7"/>
  <c r="E345" i="7" s="1"/>
  <c r="D409" i="7"/>
  <c r="E409" i="7" s="1"/>
  <c r="D580" i="7"/>
  <c r="E580" i="7" s="1"/>
  <c r="D473" i="7"/>
  <c r="E473" i="7" s="1"/>
  <c r="D175" i="7"/>
  <c r="E175" i="7" s="1"/>
  <c r="D135" i="7"/>
  <c r="E135" i="7" s="1"/>
  <c r="D207" i="7"/>
  <c r="E207" i="7" s="1"/>
  <c r="D292" i="7"/>
  <c r="E292" i="7" s="1"/>
  <c r="D240" i="7"/>
  <c r="E240" i="7" s="1"/>
  <c r="D376" i="7"/>
  <c r="E376" i="7" s="1"/>
  <c r="D285" i="7"/>
  <c r="E285" i="7" s="1"/>
  <c r="D467" i="7"/>
  <c r="E467" i="7" s="1"/>
  <c r="D538" i="7"/>
  <c r="E538" i="7" s="1"/>
  <c r="D379" i="7"/>
  <c r="E379" i="7" s="1"/>
  <c r="D119" i="7"/>
  <c r="E119" i="7" s="1"/>
  <c r="D147" i="7"/>
  <c r="E147" i="7" s="1"/>
  <c r="D488" i="7"/>
  <c r="E488" i="7" s="1"/>
  <c r="D413" i="7"/>
  <c r="E413" i="7" s="1"/>
  <c r="D453" i="7"/>
  <c r="E453" i="7" s="1"/>
  <c r="D230" i="7"/>
  <c r="E230" i="7" s="1"/>
  <c r="D216" i="7"/>
  <c r="E216" i="7" s="1"/>
  <c r="D103" i="7"/>
  <c r="E103" i="7" s="1"/>
  <c r="D204" i="7"/>
  <c r="E204" i="7" s="1"/>
  <c r="D69" i="7"/>
  <c r="E69" i="7" s="1"/>
  <c r="D166" i="7"/>
  <c r="E166" i="7" s="1"/>
  <c r="D138" i="7"/>
  <c r="E138" i="7" s="1"/>
  <c r="D264" i="7"/>
  <c r="E264" i="7" s="1"/>
  <c r="D817" i="7"/>
  <c r="E817" i="7" s="1"/>
  <c r="D780" i="7"/>
  <c r="E780" i="7" s="1"/>
  <c r="D81" i="7"/>
  <c r="E81" i="7" s="1"/>
  <c r="D161" i="7"/>
  <c r="E161" i="7" s="1"/>
  <c r="D47" i="7"/>
  <c r="E47" i="7" s="1"/>
  <c r="D22" i="7"/>
  <c r="E22" i="7" s="1"/>
  <c r="D36" i="7"/>
  <c r="E36" i="7" s="1"/>
  <c r="D64" i="7"/>
  <c r="E64" i="7" s="1"/>
  <c r="D182" i="7"/>
  <c r="E182" i="7" s="1"/>
  <c r="D781" i="7"/>
  <c r="E781" i="7" s="1"/>
  <c r="D145" i="7"/>
  <c r="E145" i="7" s="1"/>
  <c r="D26" i="7"/>
  <c r="E26" i="7" s="1"/>
  <c r="D84" i="7"/>
  <c r="E84" i="7" s="1"/>
  <c r="D66" i="7"/>
  <c r="E66" i="7" s="1"/>
  <c r="D79" i="7"/>
  <c r="E79" i="7" s="1"/>
  <c r="D87" i="7"/>
  <c r="E87" i="7" s="1"/>
  <c r="D15" i="7"/>
  <c r="E15" i="7" s="1"/>
  <c r="D810" i="7"/>
  <c r="E810" i="7" s="1"/>
  <c r="D117" i="7"/>
  <c r="E117" i="7" s="1"/>
  <c r="D32" i="7"/>
  <c r="E32" i="7" s="1"/>
  <c r="D21" i="7"/>
  <c r="E21" i="7" s="1"/>
  <c r="D60" i="7"/>
  <c r="E60" i="7" s="1"/>
  <c r="D93" i="7"/>
  <c r="E93" i="7" s="1"/>
  <c r="D38" i="7"/>
  <c r="E38" i="7" s="1"/>
  <c r="D122" i="7"/>
  <c r="E122" i="7" s="1"/>
  <c r="D650" i="7"/>
  <c r="E650" i="7" s="1"/>
  <c r="D791" i="7"/>
  <c r="E791" i="7" s="1"/>
  <c r="D7" i="7"/>
  <c r="E7" i="7" s="1"/>
  <c r="D17" i="7"/>
  <c r="E17" i="7" s="1"/>
  <c r="D50" i="7"/>
  <c r="E50" i="7" s="1"/>
  <c r="D16" i="7"/>
  <c r="E16" i="7" s="1"/>
  <c r="D31" i="7"/>
  <c r="E31" i="7" s="1"/>
  <c r="D6" i="7"/>
  <c r="E6" i="7" s="1"/>
  <c r="D819" i="7"/>
  <c r="E819" i="7" s="1"/>
  <c r="D11" i="7"/>
  <c r="E11" i="7" s="1"/>
  <c r="D827" i="7"/>
  <c r="E827" i="7" s="1"/>
  <c r="D187" i="7"/>
  <c r="E187" i="7" s="1"/>
  <c r="D73" i="7"/>
  <c r="E73" i="7" s="1"/>
  <c r="D29" i="7"/>
  <c r="E29" i="7" s="1"/>
  <c r="D14" i="7"/>
  <c r="E14" i="7" s="1"/>
  <c r="D27" i="7"/>
  <c r="E27" i="7" s="1"/>
  <c r="D789" i="7"/>
  <c r="E789" i="7" s="1"/>
  <c r="D762" i="7"/>
  <c r="E762" i="7" s="1"/>
  <c r="D563" i="7"/>
  <c r="E563" i="7" s="1"/>
  <c r="D784" i="7"/>
  <c r="E784" i="7" s="1"/>
  <c r="D745" i="7"/>
  <c r="E745" i="7" s="1"/>
  <c r="D769" i="7"/>
  <c r="E769" i="7" s="1"/>
  <c r="D421" i="7"/>
  <c r="E421" i="7" s="1"/>
  <c r="D792" i="7"/>
  <c r="E792" i="7" s="1"/>
  <c r="D622" i="7"/>
  <c r="E622" i="7" s="1"/>
  <c r="D423" i="7"/>
  <c r="E423" i="7" s="1"/>
  <c r="D228" i="7"/>
  <c r="E228" i="7" s="1"/>
  <c r="D743" i="7"/>
  <c r="E743" i="7" s="1"/>
  <c r="D729" i="7"/>
  <c r="E729" i="7" s="1"/>
  <c r="D753" i="7"/>
  <c r="E753" i="7" s="1"/>
  <c r="D614" i="7"/>
  <c r="E614" i="7" s="1"/>
  <c r="D333" i="7"/>
  <c r="E333" i="7" s="1"/>
  <c r="D208" i="7"/>
  <c r="E208" i="7" s="1"/>
  <c r="D384" i="7"/>
  <c r="E384" i="7" s="1"/>
  <c r="D477" i="7"/>
  <c r="E477" i="7" s="1"/>
  <c r="D377" i="7"/>
  <c r="E377" i="7" s="1"/>
  <c r="D357" i="7"/>
  <c r="E357" i="7" s="1"/>
  <c r="D547" i="7"/>
  <c r="E547" i="7" s="1"/>
  <c r="D334" i="7"/>
  <c r="E334" i="7" s="1"/>
  <c r="D497" i="7"/>
  <c r="E497" i="7" s="1"/>
  <c r="D632" i="7"/>
  <c r="E632" i="7" s="1"/>
  <c r="D505" i="7"/>
  <c r="E505" i="7" s="1"/>
  <c r="D429" i="7"/>
  <c r="E429" i="7" s="1"/>
  <c r="D314" i="7"/>
  <c r="E314" i="7" s="1"/>
  <c r="D524" i="7"/>
  <c r="E524" i="7" s="1"/>
  <c r="D570" i="7"/>
  <c r="E570" i="7" s="1"/>
  <c r="D531" i="7"/>
  <c r="E531" i="7" s="1"/>
  <c r="D378" i="7"/>
  <c r="E378" i="7" s="1"/>
  <c r="D324" i="7"/>
  <c r="E324" i="7" s="1"/>
  <c r="D641" i="7"/>
  <c r="E641" i="7" s="1"/>
  <c r="D535" i="7"/>
  <c r="E535" i="7" s="1"/>
  <c r="D771" i="7"/>
  <c r="E771" i="7" s="1"/>
  <c r="D670" i="7"/>
  <c r="E670" i="7" s="1"/>
  <c r="D671" i="7"/>
  <c r="E671" i="7" s="1"/>
  <c r="D398" i="7"/>
  <c r="E398" i="7" s="1"/>
  <c r="D411" i="7"/>
  <c r="E411" i="7" s="1"/>
  <c r="D592" i="7"/>
  <c r="E592" i="7" s="1"/>
  <c r="D514" i="7"/>
  <c r="E514" i="7" s="1"/>
  <c r="D315" i="7"/>
  <c r="E315" i="7" s="1"/>
  <c r="D674" i="7"/>
  <c r="E674" i="7" s="1"/>
  <c r="D533" i="7"/>
  <c r="E533" i="7" s="1"/>
  <c r="D450" i="7"/>
  <c r="E450" i="7" s="1"/>
  <c r="D206" i="7"/>
  <c r="E206" i="7" s="1"/>
  <c r="D68" i="7"/>
  <c r="E68" i="7" s="1"/>
  <c r="D342" i="7"/>
  <c r="E342" i="7" s="1"/>
  <c r="D385" i="7"/>
  <c r="E385" i="7" s="1"/>
  <c r="D288" i="7"/>
  <c r="E288" i="7" s="1"/>
  <c r="D643" i="7"/>
  <c r="E643" i="7" s="1"/>
  <c r="D647" i="7"/>
  <c r="E647" i="7" s="1"/>
  <c r="D701" i="7"/>
  <c r="E701" i="7" s="1"/>
  <c r="D265" i="7"/>
  <c r="E265" i="7" s="1"/>
  <c r="D456" i="7"/>
  <c r="E456" i="7" s="1"/>
  <c r="D239" i="7"/>
  <c r="E239" i="7" s="1"/>
  <c r="D325" i="7"/>
  <c r="E325" i="7" s="1"/>
  <c r="D360" i="7"/>
  <c r="E360" i="7" s="1"/>
  <c r="D396" i="7"/>
  <c r="E396" i="7" s="1"/>
  <c r="D629" i="7"/>
  <c r="E629" i="7" s="1"/>
  <c r="D519" i="7"/>
  <c r="E519" i="7" s="1"/>
  <c r="D692" i="7"/>
  <c r="E692" i="7" s="1"/>
  <c r="D399" i="7"/>
  <c r="E399" i="7" s="1"/>
  <c r="D518" i="7"/>
  <c r="E518" i="7" s="1"/>
  <c r="D405" i="7"/>
  <c r="E405" i="7" s="1"/>
  <c r="D683" i="7"/>
  <c r="E683" i="7" s="1"/>
  <c r="D375" i="7"/>
  <c r="E375" i="7" s="1"/>
  <c r="D241" i="7"/>
  <c r="E241" i="7" s="1"/>
  <c r="D299" i="7"/>
  <c r="E299" i="7" s="1"/>
  <c r="D597" i="7"/>
  <c r="E597" i="7" s="1"/>
  <c r="D638" i="7"/>
  <c r="E638" i="7" s="1"/>
  <c r="D711" i="7"/>
  <c r="E711" i="7" s="1"/>
  <c r="D564" i="7"/>
  <c r="E564" i="7" s="1"/>
  <c r="D741" i="7"/>
  <c r="E741" i="7" s="1"/>
  <c r="D760" i="7"/>
  <c r="E760" i="7" s="1"/>
  <c r="D527" i="7"/>
  <c r="E527" i="7" s="1"/>
  <c r="D758" i="7"/>
  <c r="E758" i="7" s="1"/>
  <c r="D726" i="7"/>
  <c r="E726" i="7" s="1"/>
  <c r="D353" i="7"/>
  <c r="E353" i="7" s="1"/>
  <c r="D675" i="7"/>
  <c r="E675" i="7" s="1"/>
  <c r="D767" i="7"/>
  <c r="E767" i="7" s="1"/>
  <c r="D635" i="7"/>
  <c r="E635" i="7" s="1"/>
  <c r="D794" i="7"/>
  <c r="E794" i="7" s="1"/>
  <c r="D716" i="7"/>
  <c r="E716" i="7" s="1"/>
  <c r="D529" i="7"/>
  <c r="E529" i="7" s="1"/>
  <c r="D617" i="7"/>
  <c r="E617" i="7" s="1"/>
  <c r="D380" i="7"/>
  <c r="E380" i="7" s="1"/>
  <c r="D426" i="7"/>
  <c r="E426" i="7" s="1"/>
  <c r="D608" i="7"/>
  <c r="E608" i="7" s="1"/>
  <c r="D575" i="7"/>
  <c r="E575" i="7" s="1"/>
  <c r="D800" i="7"/>
  <c r="E800" i="7" s="1"/>
  <c r="D804" i="7"/>
  <c r="E804" i="7" s="1"/>
  <c r="D759" i="7"/>
  <c r="E759" i="7" s="1"/>
  <c r="D772" i="7"/>
  <c r="E772" i="7" s="1"/>
  <c r="D803" i="7"/>
  <c r="E803" i="7" s="1"/>
  <c r="D808" i="7"/>
  <c r="E808" i="7" s="1"/>
  <c r="D150" i="7"/>
  <c r="E150" i="7" s="1"/>
  <c r="D243" i="7"/>
  <c r="E243" i="7" s="1"/>
  <c r="D532" i="7"/>
  <c r="E532" i="7" s="1"/>
  <c r="D194" i="7"/>
  <c r="E194" i="7" s="1"/>
  <c r="D388" i="7"/>
  <c r="E388" i="7" s="1"/>
  <c r="D168" i="7"/>
  <c r="E168" i="7" s="1"/>
  <c r="D406" i="7"/>
  <c r="E406" i="7" s="1"/>
  <c r="D337" i="7"/>
  <c r="E337" i="7" s="1"/>
  <c r="D427" i="7"/>
  <c r="E427" i="7" s="1"/>
  <c r="D578" i="7"/>
  <c r="E578" i="7" s="1"/>
  <c r="D604" i="7"/>
  <c r="E604" i="7" s="1"/>
  <c r="D371" i="7"/>
  <c r="E371" i="7" s="1"/>
  <c r="D416" i="7"/>
  <c r="E416" i="7" s="1"/>
  <c r="D268" i="7"/>
  <c r="E268" i="7" s="1"/>
  <c r="D755" i="7"/>
  <c r="E755" i="7" s="1"/>
  <c r="D447" i="7"/>
  <c r="E447" i="7" s="1"/>
  <c r="D212" i="7"/>
  <c r="E212" i="7" s="1"/>
  <c r="D662" i="7"/>
  <c r="E662" i="7" s="1"/>
  <c r="D574" i="7"/>
  <c r="E574" i="7" s="1"/>
  <c r="D458" i="7"/>
  <c r="E458" i="7" s="1"/>
  <c r="D717" i="7"/>
  <c r="E717" i="7" s="1"/>
  <c r="D363" i="7"/>
  <c r="E363" i="7" s="1"/>
  <c r="D669" i="7"/>
  <c r="E669" i="7" s="1"/>
  <c r="D489" i="7"/>
  <c r="E489" i="7" s="1"/>
  <c r="D302" i="7"/>
  <c r="E302" i="7" s="1"/>
  <c r="D714" i="7"/>
  <c r="E714" i="7" s="1"/>
  <c r="D756" i="7"/>
  <c r="E756" i="7" s="1"/>
  <c r="D573" i="7"/>
  <c r="E573" i="7" s="1"/>
  <c r="D585" i="7"/>
  <c r="E585" i="7" s="1"/>
  <c r="D690" i="7"/>
  <c r="E690" i="7" s="1"/>
  <c r="D397" i="7"/>
  <c r="E397" i="7" s="1"/>
  <c r="D331" i="7"/>
  <c r="E331" i="7" s="1"/>
  <c r="D410" i="7"/>
  <c r="E410" i="7" s="1"/>
  <c r="D562" i="7"/>
  <c r="E562" i="7" s="1"/>
  <c r="D715" i="7"/>
  <c r="E715" i="7" s="1"/>
  <c r="D365" i="7"/>
  <c r="E365" i="7" s="1"/>
  <c r="D351" i="7"/>
  <c r="E351" i="7" s="1"/>
  <c r="D272" i="7"/>
  <c r="E272" i="7" s="1"/>
  <c r="D486" i="7"/>
  <c r="E486" i="7" s="1"/>
  <c r="D255" i="7"/>
  <c r="E255" i="7" s="1"/>
  <c r="D448" i="7"/>
  <c r="E448" i="7" s="1"/>
  <c r="D826" i="7"/>
  <c r="E826" i="7" s="1"/>
  <c r="D57" i="7"/>
  <c r="E57" i="7" s="1"/>
  <c r="D61" i="7"/>
  <c r="E61" i="7" s="1"/>
  <c r="D245" i="7"/>
  <c r="E245" i="7" s="1"/>
  <c r="D127" i="7"/>
  <c r="E127" i="7" s="1"/>
  <c r="D45" i="7"/>
  <c r="E45" i="7" s="1"/>
  <c r="D172" i="7"/>
  <c r="E172" i="7" s="1"/>
  <c r="D541" i="7"/>
  <c r="E541" i="7" s="1"/>
  <c r="D83" i="7"/>
  <c r="E83" i="7" s="1"/>
  <c r="D78" i="7"/>
  <c r="E78" i="7" s="1"/>
  <c r="D42" i="7"/>
  <c r="E42" i="7" s="1"/>
  <c r="D101" i="7"/>
  <c r="E101" i="7" s="1"/>
  <c r="D53" i="7"/>
  <c r="E53" i="7" s="1"/>
  <c r="D162" i="7"/>
  <c r="E162" i="7" s="1"/>
  <c r="D164" i="7"/>
  <c r="E164" i="7" s="1"/>
  <c r="D134" i="7"/>
  <c r="E134" i="7" s="1"/>
  <c r="D52" i="7"/>
  <c r="E52" i="7" s="1"/>
  <c r="D120" i="7"/>
  <c r="E120" i="7" s="1"/>
  <c r="D62" i="7"/>
  <c r="E62" i="7" s="1"/>
  <c r="D736" i="7"/>
  <c r="E736" i="7" s="1"/>
  <c r="D667" i="7"/>
  <c r="E667" i="7" s="1"/>
  <c r="D148" i="7"/>
  <c r="E148" i="7" s="1"/>
  <c r="D459" i="7"/>
  <c r="E459" i="7" s="1"/>
  <c r="D169" i="7"/>
  <c r="E169" i="7" s="1"/>
  <c r="D480" i="7"/>
  <c r="E480" i="7" s="1"/>
  <c r="D439" i="7"/>
  <c r="E439" i="7" s="1"/>
  <c r="D139" i="7"/>
  <c r="E139" i="7" s="1"/>
  <c r="D221" i="7"/>
  <c r="E221" i="7" s="1"/>
  <c r="D366" i="7"/>
  <c r="E366" i="7" s="1"/>
  <c r="D321" i="7"/>
  <c r="E321" i="7" s="1"/>
  <c r="D408" i="7"/>
  <c r="E408" i="7" s="1"/>
  <c r="D219" i="7"/>
  <c r="E219" i="7" s="1"/>
  <c r="D312" i="7"/>
  <c r="E312" i="7" s="1"/>
  <c r="D274" i="7"/>
  <c r="E274" i="7" s="1"/>
  <c r="D589" i="7"/>
  <c r="E589" i="7" s="1"/>
  <c r="D722" i="7"/>
  <c r="E722" i="7" s="1"/>
  <c r="D430" i="7"/>
  <c r="E430" i="7" s="1"/>
  <c r="D507" i="7"/>
  <c r="E507" i="7" s="1"/>
  <c r="D403" i="7"/>
  <c r="E403" i="7" s="1"/>
  <c r="D189" i="7"/>
  <c r="E189" i="7" s="1"/>
  <c r="D196" i="7"/>
  <c r="E196" i="7" s="1"/>
  <c r="D99" i="7"/>
  <c r="E99" i="7" s="1"/>
  <c r="D576" i="7"/>
  <c r="E576" i="7" s="1"/>
  <c r="D504" i="7"/>
  <c r="E504" i="7" s="1"/>
  <c r="D494" i="7"/>
  <c r="E494" i="7" s="1"/>
  <c r="D254" i="7"/>
  <c r="E254" i="7" s="1"/>
  <c r="D354" i="7"/>
  <c r="E354" i="7" s="1"/>
  <c r="D577" i="7"/>
  <c r="E577" i="7" s="1"/>
  <c r="D307" i="7"/>
  <c r="E307" i="7" s="1"/>
  <c r="D809" i="7"/>
  <c r="E809" i="7" s="1"/>
  <c r="D811" i="7"/>
  <c r="E811" i="7" s="1"/>
  <c r="D190" i="7"/>
  <c r="E190" i="7" s="1"/>
  <c r="D281" i="7"/>
  <c r="E281" i="7" s="1"/>
  <c r="D201" i="7"/>
  <c r="E201" i="7" s="1"/>
  <c r="D107" i="7"/>
  <c r="E107" i="7" s="1"/>
  <c r="D156" i="7"/>
  <c r="E156" i="7" s="1"/>
  <c r="D121" i="7"/>
  <c r="E121" i="7" s="1"/>
  <c r="D124" i="7"/>
  <c r="E124" i="7" s="1"/>
  <c r="D34" i="7"/>
  <c r="E34" i="7" s="1"/>
  <c r="D199" i="7"/>
  <c r="E199" i="7" s="1"/>
  <c r="D336" i="7"/>
  <c r="E336" i="7" s="1"/>
  <c r="D821" i="7"/>
  <c r="E821" i="7" s="1"/>
  <c r="D391" i="7"/>
  <c r="E391" i="7" s="1"/>
  <c r="D202" i="7"/>
  <c r="E202" i="7" s="1"/>
  <c r="D40" i="7"/>
  <c r="E40" i="7" s="1"/>
  <c r="D205" i="7"/>
  <c r="E205" i="7" s="1"/>
  <c r="D180" i="7"/>
  <c r="E180" i="7" s="1"/>
  <c r="D171" i="7"/>
  <c r="E171" i="7" s="1"/>
  <c r="D56" i="7"/>
  <c r="E56" i="7" s="1"/>
  <c r="D111" i="7"/>
  <c r="E111" i="7" s="1"/>
  <c r="D67" i="7"/>
  <c r="E67" i="7" s="1"/>
  <c r="D82" i="7"/>
  <c r="E82" i="7" s="1"/>
  <c r="D165" i="7"/>
  <c r="E165" i="7" s="1"/>
  <c r="D742" i="7"/>
  <c r="E742" i="7" s="1"/>
  <c r="D222" i="7"/>
  <c r="E222" i="7" s="1"/>
  <c r="D55" i="7"/>
  <c r="E55" i="7" s="1"/>
  <c r="D19" i="7"/>
  <c r="E19" i="7" s="1"/>
  <c r="D10" i="7"/>
  <c r="E10" i="7" s="1"/>
  <c r="D23" i="7"/>
  <c r="E23" i="7" s="1"/>
  <c r="D46" i="7"/>
  <c r="E46" i="7" s="1"/>
  <c r="D3" i="7"/>
  <c r="E3" i="7" s="1"/>
  <c r="D286" i="7"/>
  <c r="E286" i="7" s="1"/>
  <c r="D412" i="7"/>
  <c r="E412" i="7" s="1"/>
  <c r="D343" i="7"/>
  <c r="E343" i="7" s="1"/>
  <c r="D322" i="7"/>
  <c r="E322" i="7" s="1"/>
  <c r="D663" i="7"/>
  <c r="E663" i="7" s="1"/>
  <c r="D719" i="7"/>
  <c r="E719" i="7" s="1"/>
  <c r="D709" i="7"/>
  <c r="E709" i="7" s="1"/>
  <c r="D513" i="7"/>
  <c r="E513" i="7" s="1"/>
  <c r="D550" i="7"/>
  <c r="E550" i="7" s="1"/>
  <c r="D612" i="7"/>
  <c r="E612" i="7" s="1"/>
  <c r="D628" i="7"/>
  <c r="E628" i="7" s="1"/>
  <c r="D350" i="7"/>
  <c r="E350" i="7" s="1"/>
  <c r="D273" i="7"/>
  <c r="E273" i="7" s="1"/>
  <c r="D556" i="7"/>
  <c r="E556" i="7" s="1"/>
  <c r="D301" i="7"/>
  <c r="E301" i="7" s="1"/>
  <c r="D231" i="7"/>
  <c r="E231" i="7" s="1"/>
  <c r="D733" i="7"/>
  <c r="E733" i="7" s="1"/>
  <c r="D656" i="7"/>
  <c r="E656" i="7" s="1"/>
  <c r="D689" i="7"/>
  <c r="E689" i="7" s="1"/>
  <c r="D694" i="7"/>
  <c r="E694" i="7" s="1"/>
  <c r="D706" i="7"/>
  <c r="E706" i="7" s="1"/>
  <c r="D652" i="7"/>
  <c r="E652" i="7" s="1"/>
  <c r="D700" i="7"/>
  <c r="E700" i="7" s="1"/>
  <c r="D521" i="7"/>
  <c r="E521" i="7" s="1"/>
  <c r="D440" i="7"/>
  <c r="E440" i="7" s="1"/>
  <c r="D569" i="7"/>
  <c r="E569" i="7" s="1"/>
  <c r="D361" i="7"/>
  <c r="E361" i="7" s="1"/>
  <c r="D236" i="7"/>
  <c r="E236" i="7" s="1"/>
  <c r="D313" i="7"/>
  <c r="E313" i="7" s="1"/>
  <c r="D152" i="7"/>
  <c r="E152" i="7" s="1"/>
  <c r="D209" i="7"/>
  <c r="E209" i="7" s="1"/>
  <c r="D311" i="7"/>
  <c r="E311" i="7" s="1"/>
  <c r="D432" i="7"/>
  <c r="E432" i="7" s="1"/>
  <c r="D428" i="7"/>
  <c r="E428" i="7" s="1"/>
  <c r="D200" i="7"/>
  <c r="E200" i="7" s="1"/>
  <c r="D338" i="7"/>
  <c r="E338" i="7" s="1"/>
  <c r="D125" i="7"/>
  <c r="E125" i="7" s="1"/>
  <c r="D109" i="7"/>
  <c r="E109" i="7" s="1"/>
  <c r="D250" i="7"/>
  <c r="E250" i="7" s="1"/>
  <c r="D624" i="7"/>
  <c r="E624" i="7" s="1"/>
  <c r="D790" i="7"/>
  <c r="E790" i="7" s="1"/>
  <c r="D748" i="7"/>
  <c r="E748" i="7" s="1"/>
  <c r="D451" i="7"/>
  <c r="E451" i="7" s="1"/>
  <c r="D820" i="7"/>
  <c r="E820" i="7" s="1"/>
  <c r="D816" i="7"/>
  <c r="E816" i="7" s="1"/>
  <c r="D807" i="7"/>
  <c r="E807" i="7" s="1"/>
  <c r="D332" i="7"/>
  <c r="E332" i="7" s="1"/>
  <c r="D526" i="7"/>
  <c r="E526" i="7" s="1"/>
  <c r="D616" i="7"/>
  <c r="E616" i="7" s="1"/>
  <c r="D723" i="7"/>
  <c r="E723" i="7" s="1"/>
  <c r="D605" i="7"/>
  <c r="E605" i="7" s="1"/>
  <c r="D640" i="7"/>
  <c r="E640" i="7" s="1"/>
  <c r="D583" i="7"/>
  <c r="E583" i="7" s="1"/>
  <c r="D627" i="7"/>
  <c r="E627" i="7" s="1"/>
  <c r="D710" i="7"/>
  <c r="E710" i="7" s="1"/>
  <c r="D679" i="7"/>
  <c r="E679" i="7" s="1"/>
  <c r="D445" i="7"/>
  <c r="E445" i="7" s="1"/>
  <c r="D630" i="7"/>
  <c r="E630" i="7" s="1"/>
  <c r="D454" i="7"/>
  <c r="E454" i="7" s="1"/>
  <c r="D502" i="7"/>
  <c r="E502" i="7" s="1"/>
  <c r="D393" i="7"/>
  <c r="E393" i="7" s="1"/>
  <c r="D261" i="7"/>
  <c r="E261" i="7" s="1"/>
  <c r="D140" i="7"/>
  <c r="E140" i="7" s="1"/>
  <c r="D602" i="7"/>
  <c r="E602" i="7" s="1"/>
  <c r="D211" i="7"/>
  <c r="E211" i="7" s="1"/>
  <c r="D623" i="7"/>
  <c r="E623" i="7" s="1"/>
  <c r="D639" i="7"/>
  <c r="E639" i="7" s="1"/>
  <c r="D515" i="7"/>
  <c r="E515" i="7" s="1"/>
  <c r="D560" i="7"/>
  <c r="E560" i="7" s="1"/>
  <c r="D215" i="7"/>
  <c r="E215" i="7" s="1"/>
  <c r="D676" i="7"/>
  <c r="E676" i="7" s="1"/>
  <c r="D793" i="7"/>
  <c r="E793" i="7" s="1"/>
  <c r="D776" i="7"/>
  <c r="E776" i="7" s="1"/>
  <c r="D788" i="7"/>
  <c r="E788" i="7" s="1"/>
  <c r="D749" i="7"/>
  <c r="E749" i="7" s="1"/>
  <c r="D765" i="7"/>
  <c r="E765" i="7" s="1"/>
  <c r="D782" i="7"/>
  <c r="E782" i="7" s="1"/>
  <c r="D734" i="7"/>
  <c r="E734" i="7" s="1"/>
  <c r="D740" i="7"/>
  <c r="E740" i="7" s="1"/>
  <c r="D672" i="7"/>
  <c r="E672" i="7" s="1"/>
  <c r="D763" i="7"/>
  <c r="E763" i="7" s="1"/>
  <c r="D735" i="7"/>
  <c r="E735" i="7" s="1"/>
  <c r="D720" i="7"/>
  <c r="E720" i="7" s="1"/>
  <c r="D744" i="7"/>
  <c r="E744" i="7" s="1"/>
  <c r="D615" i="7"/>
  <c r="E615" i="7" s="1"/>
  <c r="D797" i="7"/>
  <c r="E797" i="7" s="1"/>
  <c r="D392" i="7"/>
  <c r="E392" i="7" s="1"/>
  <c r="D579" i="7"/>
  <c r="E579" i="7" s="1"/>
  <c r="D179" i="7"/>
  <c r="E179" i="7" s="1"/>
  <c r="D620" i="7"/>
  <c r="E620" i="7" s="1"/>
  <c r="D702" i="7"/>
  <c r="E702" i="7" s="1"/>
  <c r="D601" i="7"/>
  <c r="E601" i="7" s="1"/>
  <c r="D370" i="7"/>
  <c r="E370" i="7" s="1"/>
  <c r="D238" i="7"/>
  <c r="E238" i="7" s="1"/>
  <c r="D253" i="7"/>
  <c r="E253" i="7" s="1"/>
  <c r="D582" i="7"/>
  <c r="E582" i="7" s="1"/>
  <c r="D545" i="7"/>
  <c r="E545" i="7" s="1"/>
  <c r="D484" i="7"/>
  <c r="E484" i="7" s="1"/>
  <c r="D91" i="7"/>
  <c r="E91" i="7" s="1"/>
  <c r="D112" i="7"/>
  <c r="E112" i="7" s="1"/>
  <c r="D642" i="7"/>
  <c r="E642" i="7" s="1"/>
  <c r="D751" i="7"/>
  <c r="E751" i="7" s="1"/>
  <c r="D418" i="7"/>
  <c r="E418" i="7" s="1"/>
  <c r="D539" i="7"/>
  <c r="E539" i="7" s="1"/>
  <c r="D461" i="7"/>
  <c r="E461" i="7" s="1"/>
  <c r="D825" i="7"/>
  <c r="E825" i="7" s="1"/>
  <c r="D394" i="7"/>
  <c r="E394" i="7" s="1"/>
  <c r="D581" i="7"/>
  <c r="E581" i="7" s="1"/>
  <c r="D621" i="7"/>
  <c r="E621" i="7" s="1"/>
  <c r="D566" i="7"/>
  <c r="E566" i="7" s="1"/>
  <c r="D176" i="7"/>
  <c r="E176" i="7" s="1"/>
  <c r="D97" i="7"/>
  <c r="E97" i="7" s="1"/>
  <c r="D184" i="7"/>
  <c r="E184" i="7" s="1"/>
  <c r="D558" i="7"/>
  <c r="E558" i="7" s="1"/>
  <c r="D310" i="7"/>
  <c r="E310" i="7" s="1"/>
  <c r="D197" i="7"/>
  <c r="E197" i="7" s="1"/>
  <c r="D123" i="7"/>
  <c r="E123" i="7" s="1"/>
  <c r="D113" i="7"/>
  <c r="E113" i="7" s="1"/>
  <c r="D721" i="7"/>
  <c r="E721" i="7" s="1"/>
  <c r="D256" i="7"/>
  <c r="E256" i="7" s="1"/>
  <c r="D779" i="7"/>
  <c r="E779" i="7" s="1"/>
  <c r="D732" i="7"/>
  <c r="E732" i="7" s="1"/>
  <c r="D737" i="7"/>
  <c r="E737" i="7" s="1"/>
  <c r="D543" i="7"/>
  <c r="E543" i="7" s="1"/>
  <c r="D665" i="7"/>
  <c r="E665" i="7" s="1"/>
  <c r="D695" i="7"/>
  <c r="E695" i="7" s="1"/>
  <c r="D795" i="7"/>
  <c r="E795" i="7" s="1"/>
  <c r="D778" i="7"/>
  <c r="E778" i="7" s="1"/>
  <c r="D798" i="7"/>
  <c r="E798" i="7" s="1"/>
  <c r="D812" i="7"/>
  <c r="E812" i="7" s="1"/>
  <c r="D346" i="7"/>
  <c r="E346" i="7" s="1"/>
  <c r="D637" i="7"/>
  <c r="E637" i="7" s="1"/>
  <c r="D725" i="7"/>
  <c r="E725" i="7" s="1"/>
  <c r="D244" i="7"/>
  <c r="E244" i="7" s="1"/>
  <c r="D367" i="7"/>
  <c r="E367" i="7" s="1"/>
  <c r="D730" i="7"/>
  <c r="E730" i="7" s="1"/>
  <c r="D693" i="7"/>
  <c r="E693" i="7" s="1"/>
  <c r="D469" i="7"/>
  <c r="E469" i="7" s="1"/>
  <c r="D596" i="7"/>
  <c r="E596" i="7" s="1"/>
  <c r="D626" i="7"/>
  <c r="E626" i="7" s="1"/>
  <c r="D712" i="7"/>
  <c r="E712" i="7" s="1"/>
  <c r="D680" i="7"/>
  <c r="E680" i="7" s="1"/>
  <c r="D549" i="7"/>
  <c r="E549" i="7" s="1"/>
  <c r="D525" i="7"/>
  <c r="E525" i="7" s="1"/>
  <c r="D422" i="7"/>
  <c r="E422" i="7" s="1"/>
  <c r="D340" i="7"/>
  <c r="E340" i="7" s="1"/>
  <c r="D766" i="7"/>
  <c r="E766" i="7" s="1"/>
  <c r="D382" i="7"/>
  <c r="E382" i="7" s="1"/>
  <c r="D449" i="7"/>
  <c r="E449" i="7" s="1"/>
  <c r="D544" i="7"/>
  <c r="E544" i="7" s="1"/>
  <c r="D262" i="7"/>
  <c r="E262" i="7" s="1"/>
  <c r="D294" i="7"/>
  <c r="E294" i="7" s="1"/>
  <c r="D341" i="7"/>
  <c r="E341" i="7" s="1"/>
  <c r="D251" i="7"/>
  <c r="E251" i="7" s="1"/>
  <c r="D387" i="7"/>
  <c r="E387" i="7" s="1"/>
  <c r="D364" i="7"/>
  <c r="E364" i="7" s="1"/>
  <c r="D178" i="7"/>
  <c r="E178" i="7" s="1"/>
  <c r="D225" i="7"/>
  <c r="E225" i="7" s="1"/>
  <c r="D282" i="7"/>
  <c r="E282" i="7" s="1"/>
  <c r="D609" i="7"/>
  <c r="E609" i="7" s="1"/>
  <c r="D372" i="7"/>
  <c r="E372" i="7" s="1"/>
  <c r="D727" i="7"/>
  <c r="E727" i="7" s="1"/>
  <c r="D435" i="7"/>
  <c r="E435" i="7" s="1"/>
  <c r="D493" i="7"/>
  <c r="E493" i="7" s="1"/>
  <c r="D441" i="7"/>
  <c r="E441" i="7" s="1"/>
  <c r="D259" i="7"/>
  <c r="E259" i="7" s="1"/>
  <c r="D390" i="7"/>
  <c r="E390" i="7" s="1"/>
  <c r="D247" i="7"/>
  <c r="E247" i="7" s="1"/>
  <c r="D318" i="7"/>
  <c r="E318" i="7" s="1"/>
  <c r="D491" i="7"/>
  <c r="E491" i="7" s="1"/>
  <c r="D303" i="7"/>
  <c r="E303" i="7" s="1"/>
  <c r="D159" i="7"/>
  <c r="E159" i="7" s="1"/>
  <c r="D177" i="7"/>
  <c r="E177" i="7" s="1"/>
  <c r="D352" i="7"/>
  <c r="E352" i="7" s="1"/>
  <c r="D506" i="7"/>
  <c r="E506" i="7" s="1"/>
  <c r="D297" i="7"/>
  <c r="E297" i="7" s="1"/>
  <c r="D115" i="7"/>
  <c r="E115" i="7" s="1"/>
  <c r="D54" i="7"/>
  <c r="E54" i="7" s="1"/>
  <c r="D188" i="7"/>
  <c r="E188" i="7" s="1"/>
  <c r="D293" i="7"/>
  <c r="E293" i="7" s="1"/>
  <c r="D220" i="7"/>
  <c r="E220" i="7" s="1"/>
  <c r="D402" i="7"/>
  <c r="E402" i="7" s="1"/>
  <c r="D213" i="7"/>
  <c r="E213" i="7" s="1"/>
  <c r="D108" i="7"/>
  <c r="E108" i="7" s="1"/>
  <c r="D163" i="7"/>
  <c r="E163" i="7" s="1"/>
  <c r="D58" i="7"/>
  <c r="E58" i="7" s="1"/>
  <c r="D611" i="7"/>
  <c r="E611" i="7" s="1"/>
  <c r="D425" i="7"/>
  <c r="E425" i="7" s="1"/>
  <c r="D465" i="7"/>
  <c r="E465" i="7" s="1"/>
  <c r="D636" i="7"/>
  <c r="E636" i="7" s="1"/>
  <c r="D595" i="7"/>
  <c r="E595" i="7" s="1"/>
  <c r="D374" i="7"/>
  <c r="E374" i="7" s="1"/>
  <c r="D655" i="7"/>
  <c r="E655" i="7" s="1"/>
  <c r="D572" i="7"/>
  <c r="E572" i="7" s="1"/>
  <c r="D320" i="7"/>
  <c r="E320" i="7" s="1"/>
  <c r="D296" i="7"/>
  <c r="E296" i="7" s="1"/>
  <c r="D214" i="7"/>
  <c r="E214" i="7" s="1"/>
  <c r="D136" i="7"/>
  <c r="E136" i="7" s="1"/>
  <c r="D511" i="7"/>
  <c r="E511" i="7" s="1"/>
  <c r="D649" i="7"/>
  <c r="E649" i="7" s="1"/>
  <c r="D651" i="7"/>
  <c r="E651" i="7" s="1"/>
  <c r="D349" i="7"/>
  <c r="E349" i="7" s="1"/>
  <c r="D713" i="7"/>
  <c r="E713" i="7" s="1"/>
  <c r="D747" i="7"/>
  <c r="E747" i="7" s="1"/>
  <c r="D777" i="7"/>
  <c r="E777" i="7" s="1"/>
  <c r="D731" i="7"/>
  <c r="E731" i="7" s="1"/>
  <c r="D724" i="7"/>
  <c r="E724" i="7" s="1"/>
  <c r="D697" i="7"/>
  <c r="E697" i="7" s="1"/>
  <c r="D280" i="7"/>
  <c r="E280" i="7" s="1"/>
  <c r="D142" i="7"/>
  <c r="E142" i="7" s="1"/>
  <c r="D237" i="7"/>
  <c r="E237" i="7" s="1"/>
  <c r="D289" i="7"/>
  <c r="E289" i="7" s="1"/>
  <c r="D466" i="7"/>
  <c r="E466" i="7" s="1"/>
  <c r="D472" i="7"/>
  <c r="E472" i="7" s="1"/>
  <c r="D137" i="7"/>
  <c r="E137" i="7" s="1"/>
  <c r="D130" i="7"/>
  <c r="E130" i="7" s="1"/>
  <c r="D203" i="7"/>
  <c r="E203" i="7" s="1"/>
  <c r="D249" i="7"/>
  <c r="E249" i="7" s="1"/>
  <c r="D446" i="7"/>
  <c r="E446" i="7" s="1"/>
  <c r="D552" i="7"/>
  <c r="E552" i="7" s="1"/>
  <c r="D555" i="7"/>
  <c r="E555" i="7" s="1"/>
  <c r="D688" i="7"/>
  <c r="E688" i="7" s="1"/>
  <c r="D499" i="7"/>
  <c r="E499" i="7" s="1"/>
  <c r="D708" i="7"/>
  <c r="E708" i="7" s="1"/>
  <c r="D586" i="7"/>
  <c r="E586" i="7" s="1"/>
  <c r="D482" i="7"/>
  <c r="E482" i="7" s="1"/>
  <c r="D300" i="7"/>
  <c r="E300" i="7" s="1"/>
  <c r="D500" i="7"/>
  <c r="E500" i="7" s="1"/>
  <c r="D347" i="7"/>
  <c r="E347" i="7" s="1"/>
  <c r="D658" i="7"/>
  <c r="E658" i="7" s="1"/>
  <c r="D330" i="7"/>
  <c r="E330" i="7" s="1"/>
  <c r="D85" i="7"/>
  <c r="E85" i="7" s="1"/>
  <c r="D316" i="7"/>
  <c r="E316" i="7" s="1"/>
  <c r="D13" i="7"/>
  <c r="E13" i="7" s="1"/>
  <c r="D191" i="7"/>
  <c r="E191" i="7" s="1"/>
  <c r="D95" i="7"/>
  <c r="E95" i="7" s="1"/>
  <c r="D48" i="7"/>
  <c r="E48" i="7" s="1"/>
  <c r="D74" i="7"/>
  <c r="E74" i="7" s="1"/>
  <c r="D443" i="7"/>
  <c r="E443" i="7" s="1"/>
  <c r="D126" i="7"/>
  <c r="E126" i="7" s="1"/>
  <c r="D224" i="7"/>
  <c r="E224" i="7" s="1"/>
  <c r="D457" i="7"/>
  <c r="E457" i="7" s="1"/>
  <c r="D183" i="7"/>
  <c r="E183" i="7" s="1"/>
  <c r="D59" i="7"/>
  <c r="E59" i="7" s="1"/>
  <c r="D20" i="7"/>
  <c r="E20" i="7" s="1"/>
  <c r="D146" i="7"/>
  <c r="E146" i="7" s="1"/>
  <c r="D88" i="7"/>
  <c r="E88" i="7" s="1"/>
  <c r="D90" i="7"/>
  <c r="E90" i="7" s="1"/>
  <c r="D503" i="7"/>
  <c r="E503" i="7" s="1"/>
  <c r="D523" i="7"/>
  <c r="E523" i="7" s="1"/>
  <c r="D49" i="7"/>
  <c r="E49" i="7" s="1"/>
  <c r="D39" i="7"/>
  <c r="E39" i="7" s="1"/>
  <c r="D65" i="7"/>
  <c r="E65" i="7" s="1"/>
  <c r="D25" i="7"/>
  <c r="E25" i="7" s="1"/>
  <c r="D24" i="7"/>
  <c r="E24" i="7" s="1"/>
  <c r="D94" i="7"/>
  <c r="E94" i="7" s="1"/>
  <c r="D37" i="7"/>
  <c r="E37" i="7" s="1"/>
  <c r="D5" i="7"/>
  <c r="E5" i="7" s="1"/>
  <c r="D587" i="7"/>
  <c r="E587" i="7" s="1"/>
  <c r="D404" i="7"/>
  <c r="E404" i="7" s="1"/>
  <c r="D305" i="7"/>
  <c r="E305" i="7" s="1"/>
  <c r="D260" i="7"/>
  <c r="E260" i="7" s="1"/>
  <c r="D98" i="7"/>
  <c r="E98" i="7" s="1"/>
  <c r="D185" i="7"/>
  <c r="E185" i="7" s="1"/>
  <c r="D149" i="7"/>
  <c r="E149" i="7" s="1"/>
  <c r="D462" i="7"/>
  <c r="E462" i="7" s="1"/>
  <c r="D128" i="7"/>
  <c r="E128" i="7" s="1"/>
  <c r="D277" i="7"/>
  <c r="E277" i="7" s="1"/>
  <c r="D373" i="7"/>
  <c r="E373" i="7" s="1"/>
  <c r="D822" i="7"/>
  <c r="E822" i="7" s="1"/>
  <c r="D813" i="7"/>
  <c r="E813" i="7" s="1"/>
  <c r="D681" i="7"/>
  <c r="E681" i="7" s="1"/>
  <c r="D631" i="7"/>
  <c r="E631" i="7" s="1"/>
  <c r="D618" i="7"/>
  <c r="E618" i="7" s="1"/>
  <c r="D619" i="7"/>
  <c r="E619" i="7" s="1"/>
  <c r="D442" i="7"/>
  <c r="E442" i="7" s="1"/>
  <c r="D415" i="7"/>
  <c r="E415" i="7" s="1"/>
  <c r="D483" i="7"/>
  <c r="E483" i="7" s="1"/>
  <c r="D248" i="7"/>
  <c r="E248" i="7" s="1"/>
  <c r="D806" i="7"/>
  <c r="E806" i="7" s="1"/>
  <c r="D774" i="7"/>
  <c r="E774" i="7" s="1"/>
  <c r="D746" i="7"/>
  <c r="E746" i="7" s="1"/>
  <c r="D269" i="7"/>
  <c r="E269" i="7" s="1"/>
  <c r="D703" i="7"/>
  <c r="E703" i="7" s="1"/>
  <c r="D773" i="7"/>
  <c r="E773" i="7" s="1"/>
  <c r="D757" i="7"/>
  <c r="E757" i="7" s="1"/>
  <c r="D495" i="7"/>
  <c r="E495" i="7" s="1"/>
  <c r="D661" i="7"/>
  <c r="E661" i="7" s="1"/>
  <c r="D823" i="7"/>
  <c r="E823" i="7" s="1"/>
  <c r="D805" i="7"/>
  <c r="E805" i="7" s="1"/>
  <c r="D815" i="7"/>
  <c r="E815" i="7" s="1"/>
  <c r="D814" i="7"/>
  <c r="E814" i="7" s="1"/>
  <c r="D783" i="7"/>
  <c r="E783" i="7" s="1"/>
  <c r="D673" i="7"/>
  <c r="E673" i="7" s="1"/>
  <c r="D613" i="7"/>
  <c r="E613" i="7" s="1"/>
  <c r="D704" i="7"/>
  <c r="E704" i="7" s="1"/>
  <c r="P10" i="14" l="1"/>
  <c r="P12" i="14"/>
  <c r="P8" i="14"/>
  <c r="P6" i="14"/>
  <c r="H13" i="14"/>
  <c r="H8" i="14"/>
  <c r="H6" i="14"/>
  <c r="K835" i="7"/>
  <c r="K832" i="7"/>
  <c r="K829" i="7"/>
  <c r="K826" i="7"/>
  <c r="K823" i="7"/>
  <c r="K820" i="7"/>
  <c r="K817" i="7"/>
  <c r="K814" i="7"/>
  <c r="K811" i="7"/>
  <c r="K834" i="7"/>
  <c r="K831" i="7"/>
  <c r="K828" i="7"/>
  <c r="K825" i="7"/>
  <c r="K822" i="7"/>
  <c r="K819" i="7"/>
  <c r="K816" i="7"/>
  <c r="K813" i="7"/>
  <c r="K810" i="7"/>
  <c r="K807" i="7"/>
  <c r="K804" i="7"/>
  <c r="K801" i="7"/>
  <c r="K798" i="7"/>
  <c r="K795" i="7"/>
  <c r="K792" i="7"/>
  <c r="K789" i="7"/>
  <c r="K786" i="7"/>
  <c r="K783" i="7"/>
  <c r="K780" i="7"/>
  <c r="K777" i="7"/>
  <c r="K774" i="7"/>
  <c r="K771" i="7"/>
  <c r="K768" i="7"/>
  <c r="K765" i="7"/>
  <c r="K762" i="7"/>
  <c r="K759" i="7"/>
  <c r="K756" i="7"/>
  <c r="K753" i="7"/>
  <c r="K750" i="7"/>
  <c r="K747" i="7"/>
  <c r="K744" i="7"/>
  <c r="K741" i="7"/>
  <c r="K738" i="7"/>
  <c r="K735" i="7"/>
  <c r="K732" i="7"/>
  <c r="K729" i="7"/>
  <c r="K726" i="7"/>
  <c r="K723" i="7"/>
  <c r="K720" i="7"/>
  <c r="K717" i="7"/>
  <c r="K714" i="7"/>
  <c r="K711" i="7"/>
  <c r="K708" i="7"/>
  <c r="K705" i="7"/>
  <c r="K702" i="7"/>
  <c r="K699" i="7"/>
  <c r="K696" i="7"/>
  <c r="K693" i="7"/>
  <c r="K690" i="7"/>
  <c r="K687" i="7"/>
  <c r="K684" i="7"/>
  <c r="K681" i="7"/>
  <c r="K678" i="7"/>
  <c r="K675" i="7"/>
  <c r="K672" i="7"/>
  <c r="K669" i="7"/>
  <c r="K666" i="7"/>
  <c r="K663" i="7"/>
  <c r="K660" i="7"/>
  <c r="K657" i="7"/>
  <c r="K654" i="7"/>
  <c r="K651" i="7"/>
  <c r="K648" i="7"/>
  <c r="K645" i="7"/>
  <c r="K642" i="7"/>
  <c r="K639" i="7"/>
  <c r="K636" i="7"/>
  <c r="K633" i="7"/>
  <c r="K630" i="7"/>
  <c r="K627" i="7"/>
  <c r="K624" i="7"/>
  <c r="K621" i="7"/>
  <c r="K618" i="7"/>
  <c r="K615" i="7"/>
  <c r="K612" i="7"/>
  <c r="K609" i="7"/>
  <c r="K606" i="7"/>
  <c r="K603" i="7"/>
  <c r="K600" i="7"/>
  <c r="K597" i="7"/>
  <c r="K594" i="7"/>
  <c r="K591" i="7"/>
  <c r="K588" i="7"/>
  <c r="K585" i="7"/>
  <c r="K582" i="7"/>
  <c r="K579" i="7"/>
  <c r="K576" i="7"/>
  <c r="K573" i="7"/>
  <c r="K570" i="7"/>
  <c r="K567" i="7"/>
  <c r="K564" i="7"/>
  <c r="K561" i="7"/>
  <c r="K558" i="7"/>
  <c r="K555" i="7"/>
  <c r="K552" i="7"/>
  <c r="K549" i="7"/>
  <c r="K546" i="7"/>
  <c r="K543" i="7"/>
  <c r="K540" i="7"/>
  <c r="K537" i="7"/>
  <c r="K534" i="7"/>
  <c r="K531" i="7"/>
  <c r="K528" i="7"/>
  <c r="K525" i="7"/>
  <c r="K522" i="7"/>
  <c r="K519" i="7"/>
  <c r="K516" i="7"/>
  <c r="K513" i="7"/>
  <c r="K510" i="7"/>
  <c r="K507" i="7"/>
  <c r="K504" i="7"/>
  <c r="K501" i="7"/>
  <c r="K498" i="7"/>
  <c r="K495" i="7"/>
  <c r="K492" i="7"/>
  <c r="K489" i="7"/>
  <c r="K486" i="7"/>
  <c r="K483" i="7"/>
  <c r="K480" i="7"/>
  <c r="K477" i="7"/>
  <c r="K474" i="7"/>
  <c r="K471" i="7"/>
  <c r="K468" i="7"/>
  <c r="K465" i="7"/>
  <c r="K462" i="7"/>
  <c r="K459" i="7"/>
  <c r="K456" i="7"/>
  <c r="K453" i="7"/>
  <c r="K2" i="7"/>
  <c r="K833" i="7"/>
  <c r="K830" i="7"/>
  <c r="K827" i="7"/>
  <c r="K824" i="7"/>
  <c r="K821" i="7"/>
  <c r="K818" i="7"/>
  <c r="K815" i="7"/>
  <c r="K812" i="7"/>
  <c r="K809" i="7"/>
  <c r="K806" i="7"/>
  <c r="K803" i="7"/>
  <c r="K800" i="7"/>
  <c r="K797" i="7"/>
  <c r="K794" i="7"/>
  <c r="K791" i="7"/>
  <c r="K788" i="7"/>
  <c r="K785" i="7"/>
  <c r="K782" i="7"/>
  <c r="K779" i="7"/>
  <c r="K776" i="7"/>
  <c r="K773" i="7"/>
  <c r="K770" i="7"/>
  <c r="K767" i="7"/>
  <c r="K764" i="7"/>
  <c r="K761" i="7"/>
  <c r="K758" i="7"/>
  <c r="K755" i="7"/>
  <c r="K752" i="7"/>
  <c r="K749" i="7"/>
  <c r="K746" i="7"/>
  <c r="K743" i="7"/>
  <c r="K740" i="7"/>
  <c r="K737" i="7"/>
  <c r="K734" i="7"/>
  <c r="K731" i="7"/>
  <c r="K728" i="7"/>
  <c r="K725" i="7"/>
  <c r="K722" i="7"/>
  <c r="K719" i="7"/>
  <c r="K716" i="7"/>
  <c r="K713" i="7"/>
  <c r="K710" i="7"/>
  <c r="K707" i="7"/>
  <c r="K704" i="7"/>
  <c r="K701" i="7"/>
  <c r="K698" i="7"/>
  <c r="K695" i="7"/>
  <c r="K692" i="7"/>
  <c r="K689" i="7"/>
  <c r="K686" i="7"/>
  <c r="K683" i="7"/>
  <c r="K680" i="7"/>
  <c r="K677" i="7"/>
  <c r="K674" i="7"/>
  <c r="K671" i="7"/>
  <c r="K668" i="7"/>
  <c r="K665" i="7"/>
  <c r="K662" i="7"/>
  <c r="K659" i="7"/>
  <c r="K656" i="7"/>
  <c r="K653" i="7"/>
  <c r="K650" i="7"/>
  <c r="K647" i="7"/>
  <c r="K644" i="7"/>
  <c r="K641" i="7"/>
  <c r="K638" i="7"/>
  <c r="K635" i="7"/>
  <c r="K632" i="7"/>
  <c r="K629" i="7"/>
  <c r="K626" i="7"/>
  <c r="K623" i="7"/>
  <c r="K620" i="7"/>
  <c r="K617" i="7"/>
  <c r="K614" i="7"/>
  <c r="K611" i="7"/>
  <c r="K608" i="7"/>
  <c r="K605" i="7"/>
  <c r="K602" i="7"/>
  <c r="K599" i="7"/>
  <c r="K596" i="7"/>
  <c r="K593" i="7"/>
  <c r="K590" i="7"/>
  <c r="K587" i="7"/>
  <c r="K584" i="7"/>
  <c r="K581" i="7"/>
  <c r="K578" i="7"/>
  <c r="K575" i="7"/>
  <c r="K572" i="7"/>
  <c r="K569" i="7"/>
  <c r="K566" i="7"/>
  <c r="K563" i="7"/>
  <c r="K560" i="7"/>
  <c r="K557" i="7"/>
  <c r="K554" i="7"/>
  <c r="K551" i="7"/>
  <c r="K548" i="7"/>
  <c r="K545" i="7"/>
  <c r="K542" i="7"/>
  <c r="K539" i="7"/>
  <c r="K536" i="7"/>
  <c r="K533" i="7"/>
  <c r="K530" i="7"/>
  <c r="K527" i="7"/>
  <c r="K524" i="7"/>
  <c r="K521" i="7"/>
  <c r="K518" i="7"/>
  <c r="K515" i="7"/>
  <c r="K512" i="7"/>
  <c r="K509" i="7"/>
  <c r="K506" i="7"/>
  <c r="K503" i="7"/>
  <c r="K500" i="7"/>
  <c r="K497" i="7"/>
  <c r="K494" i="7"/>
  <c r="K491" i="7"/>
  <c r="K488" i="7"/>
  <c r="K485" i="7"/>
  <c r="K482" i="7"/>
  <c r="K479" i="7"/>
  <c r="K476" i="7"/>
  <c r="K808" i="7"/>
  <c r="K805" i="7"/>
  <c r="K802" i="7"/>
  <c r="K799" i="7"/>
  <c r="K796" i="7"/>
  <c r="K793" i="7"/>
  <c r="K790" i="7"/>
  <c r="K787" i="7"/>
  <c r="K784" i="7"/>
  <c r="K781" i="7"/>
  <c r="K778" i="7"/>
  <c r="K775" i="7"/>
  <c r="K772" i="7"/>
  <c r="K769" i="7"/>
  <c r="K766" i="7"/>
  <c r="K763" i="7"/>
  <c r="K760" i="7"/>
  <c r="K757" i="7"/>
  <c r="K754" i="7"/>
  <c r="K751" i="7"/>
  <c r="K748" i="7"/>
  <c r="K745" i="7"/>
  <c r="K742" i="7"/>
  <c r="K739" i="7"/>
  <c r="K736" i="7"/>
  <c r="K733" i="7"/>
  <c r="K730" i="7"/>
  <c r="K727" i="7"/>
  <c r="K724" i="7"/>
  <c r="K721" i="7"/>
  <c r="K718" i="7"/>
  <c r="K715" i="7"/>
  <c r="K712" i="7"/>
  <c r="K709" i="7"/>
  <c r="K706" i="7"/>
  <c r="K703" i="7"/>
  <c r="K700" i="7"/>
  <c r="K697" i="7"/>
  <c r="K694" i="7"/>
  <c r="K691" i="7"/>
  <c r="K688" i="7"/>
  <c r="K685" i="7"/>
  <c r="K682" i="7"/>
  <c r="K679" i="7"/>
  <c r="K676" i="7"/>
  <c r="K673" i="7"/>
  <c r="K670" i="7"/>
  <c r="K667" i="7"/>
  <c r="K664" i="7"/>
  <c r="K661" i="7"/>
  <c r="K658" i="7"/>
  <c r="K655" i="7"/>
  <c r="K652" i="7"/>
  <c r="K649" i="7"/>
  <c r="K646" i="7"/>
  <c r="K643" i="7"/>
  <c r="K640" i="7"/>
  <c r="K637" i="7"/>
  <c r="K634" i="7"/>
  <c r="K631" i="7"/>
  <c r="K628" i="7"/>
  <c r="K625" i="7"/>
  <c r="K622" i="7"/>
  <c r="K619" i="7"/>
  <c r="K616" i="7"/>
  <c r="K613" i="7"/>
  <c r="K610" i="7"/>
  <c r="K607" i="7"/>
  <c r="K604" i="7"/>
  <c r="K601" i="7"/>
  <c r="K598" i="7"/>
  <c r="K595" i="7"/>
  <c r="K592" i="7"/>
  <c r="K589" i="7"/>
  <c r="K586" i="7"/>
  <c r="K583" i="7"/>
  <c r="K580" i="7"/>
  <c r="K577" i="7"/>
  <c r="K574" i="7"/>
  <c r="K571" i="7"/>
  <c r="K568" i="7"/>
  <c r="K565" i="7"/>
  <c r="K562" i="7"/>
  <c r="K559" i="7"/>
  <c r="K556" i="7"/>
  <c r="K553" i="7"/>
  <c r="K550" i="7"/>
  <c r="K547" i="7"/>
  <c r="K544" i="7"/>
  <c r="K541" i="7"/>
  <c r="K538" i="7"/>
  <c r="K535" i="7"/>
  <c r="K532" i="7"/>
  <c r="K529" i="7"/>
  <c r="K526" i="7"/>
  <c r="K523" i="7"/>
  <c r="K520" i="7"/>
  <c r="K517" i="7"/>
  <c r="K514" i="7"/>
  <c r="K511" i="7"/>
  <c r="K508" i="7"/>
  <c r="K505" i="7"/>
  <c r="K502" i="7"/>
  <c r="K499" i="7"/>
  <c r="K496" i="7"/>
  <c r="K493" i="7"/>
  <c r="K490" i="7"/>
  <c r="K487" i="7"/>
  <c r="K484" i="7"/>
  <c r="K481" i="7"/>
  <c r="K478" i="7"/>
  <c r="K475" i="7"/>
  <c r="K472" i="7"/>
  <c r="K469" i="7"/>
  <c r="K466" i="7"/>
  <c r="K463" i="7"/>
  <c r="K460" i="7"/>
  <c r="K450" i="7"/>
  <c r="K447" i="7"/>
  <c r="K444" i="7"/>
  <c r="K441" i="7"/>
  <c r="K438" i="7"/>
  <c r="K435" i="7"/>
  <c r="K432" i="7"/>
  <c r="K429" i="7"/>
  <c r="K426" i="7"/>
  <c r="K423" i="7"/>
  <c r="K420" i="7"/>
  <c r="K417" i="7"/>
  <c r="K414" i="7"/>
  <c r="K411" i="7"/>
  <c r="K408" i="7"/>
  <c r="K473" i="7"/>
  <c r="K470" i="7"/>
  <c r="K467" i="7"/>
  <c r="K464" i="7"/>
  <c r="K461" i="7"/>
  <c r="K458" i="7"/>
  <c r="K455" i="7"/>
  <c r="K452" i="7"/>
  <c r="K449" i="7"/>
  <c r="K446" i="7"/>
  <c r="K443" i="7"/>
  <c r="K440" i="7"/>
  <c r="K437" i="7"/>
  <c r="K434" i="7"/>
  <c r="K431" i="7"/>
  <c r="K428" i="7"/>
  <c r="K425" i="7"/>
  <c r="K422" i="7"/>
  <c r="K419" i="7"/>
  <c r="K416" i="7"/>
  <c r="K413" i="7"/>
  <c r="K410" i="7"/>
  <c r="K407" i="7"/>
  <c r="K404" i="7"/>
  <c r="K401" i="7"/>
  <c r="K398" i="7"/>
  <c r="K395" i="7"/>
  <c r="K392" i="7"/>
  <c r="K389" i="7"/>
  <c r="K386" i="7"/>
  <c r="K383" i="7"/>
  <c r="K380" i="7"/>
  <c r="K377" i="7"/>
  <c r="K374" i="7"/>
  <c r="K371" i="7"/>
  <c r="K368" i="7"/>
  <c r="K365" i="7"/>
  <c r="K362" i="7"/>
  <c r="K359" i="7"/>
  <c r="K356" i="7"/>
  <c r="K353" i="7"/>
  <c r="K350" i="7"/>
  <c r="K347" i="7"/>
  <c r="K344" i="7"/>
  <c r="K341" i="7"/>
  <c r="K338" i="7"/>
  <c r="K335" i="7"/>
  <c r="K332" i="7"/>
  <c r="K329" i="7"/>
  <c r="K326" i="7"/>
  <c r="K323" i="7"/>
  <c r="K320" i="7"/>
  <c r="K317" i="7"/>
  <c r="K314" i="7"/>
  <c r="K311" i="7"/>
  <c r="K308" i="7"/>
  <c r="K305" i="7"/>
  <c r="K302" i="7"/>
  <c r="K299" i="7"/>
  <c r="K296" i="7"/>
  <c r="K293" i="7"/>
  <c r="K290" i="7"/>
  <c r="K287" i="7"/>
  <c r="K284" i="7"/>
  <c r="K281" i="7"/>
  <c r="K278" i="7"/>
  <c r="K275" i="7"/>
  <c r="K272" i="7"/>
  <c r="K269" i="7"/>
  <c r="K266" i="7"/>
  <c r="K263" i="7"/>
  <c r="K260" i="7"/>
  <c r="K257" i="7"/>
  <c r="K254" i="7"/>
  <c r="K251" i="7"/>
  <c r="K248" i="7"/>
  <c r="K245" i="7"/>
  <c r="K242" i="7"/>
  <c r="K239" i="7"/>
  <c r="K236" i="7"/>
  <c r="K233" i="7"/>
  <c r="K230" i="7"/>
  <c r="K227" i="7"/>
  <c r="K224" i="7"/>
  <c r="K221" i="7"/>
  <c r="K218" i="7"/>
  <c r="K215" i="7"/>
  <c r="K212" i="7"/>
  <c r="K209" i="7"/>
  <c r="K206" i="7"/>
  <c r="K203" i="7"/>
  <c r="K200" i="7"/>
  <c r="K197" i="7"/>
  <c r="K194" i="7"/>
  <c r="K191" i="7"/>
  <c r="K188" i="7"/>
  <c r="K185" i="7"/>
  <c r="K182" i="7"/>
  <c r="K179" i="7"/>
  <c r="K176" i="7"/>
  <c r="K173" i="7"/>
  <c r="K170" i="7"/>
  <c r="K167" i="7"/>
  <c r="K164" i="7"/>
  <c r="K161" i="7"/>
  <c r="K158" i="7"/>
  <c r="K155" i="7"/>
  <c r="K152" i="7"/>
  <c r="K149" i="7"/>
  <c r="K146" i="7"/>
  <c r="K143" i="7"/>
  <c r="K140" i="7"/>
  <c r="K137" i="7"/>
  <c r="K134" i="7"/>
  <c r="K131" i="7"/>
  <c r="K128" i="7"/>
  <c r="K125" i="7"/>
  <c r="K122" i="7"/>
  <c r="K119" i="7"/>
  <c r="K116" i="7"/>
  <c r="K113" i="7"/>
  <c r="K110" i="7"/>
  <c r="K107" i="7"/>
  <c r="K104" i="7"/>
  <c r="K101" i="7"/>
  <c r="K98" i="7"/>
  <c r="K95" i="7"/>
  <c r="K92" i="7"/>
  <c r="K89" i="7"/>
  <c r="K86" i="7"/>
  <c r="K83" i="7"/>
  <c r="K80" i="7"/>
  <c r="K77" i="7"/>
  <c r="K74" i="7"/>
  <c r="K71" i="7"/>
  <c r="K68" i="7"/>
  <c r="K65" i="7"/>
  <c r="K62" i="7"/>
  <c r="K59" i="7"/>
  <c r="K56" i="7"/>
  <c r="K53" i="7"/>
  <c r="K50" i="7"/>
  <c r="K47" i="7"/>
  <c r="K44" i="7"/>
  <c r="K41" i="7"/>
  <c r="K38" i="7"/>
  <c r="K35" i="7"/>
  <c r="K32" i="7"/>
  <c r="K29" i="7"/>
  <c r="K26" i="7"/>
  <c r="K23" i="7"/>
  <c r="K20" i="7"/>
  <c r="K17" i="7"/>
  <c r="K14" i="7"/>
  <c r="K11" i="7"/>
  <c r="K8" i="7"/>
  <c r="K5" i="7"/>
  <c r="K457" i="7"/>
  <c r="K454" i="7"/>
  <c r="K451" i="7"/>
  <c r="K448" i="7"/>
  <c r="K445" i="7"/>
  <c r="K442" i="7"/>
  <c r="K439" i="7"/>
  <c r="K436" i="7"/>
  <c r="K433" i="7"/>
  <c r="K430" i="7"/>
  <c r="K427" i="7"/>
  <c r="K424" i="7"/>
  <c r="K421" i="7"/>
  <c r="K418" i="7"/>
  <c r="K415" i="7"/>
  <c r="K412" i="7"/>
  <c r="K409" i="7"/>
  <c r="K406" i="7"/>
  <c r="K403" i="7"/>
  <c r="K400" i="7"/>
  <c r="K397" i="7"/>
  <c r="K394" i="7"/>
  <c r="K391" i="7"/>
  <c r="K388" i="7"/>
  <c r="K385" i="7"/>
  <c r="K382" i="7"/>
  <c r="K379" i="7"/>
  <c r="K376" i="7"/>
  <c r="K373" i="7"/>
  <c r="K370" i="7"/>
  <c r="K367" i="7"/>
  <c r="K364" i="7"/>
  <c r="K361" i="7"/>
  <c r="K358" i="7"/>
  <c r="K355" i="7"/>
  <c r="K352" i="7"/>
  <c r="K349" i="7"/>
  <c r="K346" i="7"/>
  <c r="K343" i="7"/>
  <c r="K340" i="7"/>
  <c r="K337" i="7"/>
  <c r="K334" i="7"/>
  <c r="K331" i="7"/>
  <c r="K328" i="7"/>
  <c r="K325" i="7"/>
  <c r="K322" i="7"/>
  <c r="K319" i="7"/>
  <c r="K316" i="7"/>
  <c r="K313" i="7"/>
  <c r="K310" i="7"/>
  <c r="K307" i="7"/>
  <c r="K304" i="7"/>
  <c r="K301" i="7"/>
  <c r="K298" i="7"/>
  <c r="K295" i="7"/>
  <c r="K292" i="7"/>
  <c r="K289" i="7"/>
  <c r="K286" i="7"/>
  <c r="K283" i="7"/>
  <c r="K280" i="7"/>
  <c r="K277" i="7"/>
  <c r="K274" i="7"/>
  <c r="K271" i="7"/>
  <c r="K268" i="7"/>
  <c r="K265" i="7"/>
  <c r="K262" i="7"/>
  <c r="K259" i="7"/>
  <c r="K256" i="7"/>
  <c r="K253" i="7"/>
  <c r="K250" i="7"/>
  <c r="K247" i="7"/>
  <c r="K244" i="7"/>
  <c r="K241" i="7"/>
  <c r="K238" i="7"/>
  <c r="K235" i="7"/>
  <c r="K232" i="7"/>
  <c r="K229" i="7"/>
  <c r="K226" i="7"/>
  <c r="K223" i="7"/>
  <c r="K220" i="7"/>
  <c r="K217" i="7"/>
  <c r="K214" i="7"/>
  <c r="K211" i="7"/>
  <c r="K208" i="7"/>
  <c r="K205" i="7"/>
  <c r="K202" i="7"/>
  <c r="K199" i="7"/>
  <c r="K196" i="7"/>
  <c r="K193" i="7"/>
  <c r="K190" i="7"/>
  <c r="K187" i="7"/>
  <c r="K184" i="7"/>
  <c r="K181" i="7"/>
  <c r="K178" i="7"/>
  <c r="K175" i="7"/>
  <c r="K172" i="7"/>
  <c r="K169" i="7"/>
  <c r="K166" i="7"/>
  <c r="K163" i="7"/>
  <c r="K160" i="7"/>
  <c r="K157" i="7"/>
  <c r="K154" i="7"/>
  <c r="K151" i="7"/>
  <c r="K148" i="7"/>
  <c r="K145" i="7"/>
  <c r="K142" i="7"/>
  <c r="K139" i="7"/>
  <c r="K136" i="7"/>
  <c r="K133" i="7"/>
  <c r="K130" i="7"/>
  <c r="K127" i="7"/>
  <c r="K124" i="7"/>
  <c r="K121" i="7"/>
  <c r="K118" i="7"/>
  <c r="K115" i="7"/>
  <c r="K112" i="7"/>
  <c r="K109" i="7"/>
  <c r="K106" i="7"/>
  <c r="K103" i="7"/>
  <c r="K100" i="7"/>
  <c r="K97" i="7"/>
  <c r="K94" i="7"/>
  <c r="K91" i="7"/>
  <c r="K88" i="7"/>
  <c r="K85" i="7"/>
  <c r="K82" i="7"/>
  <c r="K79" i="7"/>
  <c r="K76" i="7"/>
  <c r="K73" i="7"/>
  <c r="K70" i="7"/>
  <c r="K67" i="7"/>
  <c r="K64" i="7"/>
  <c r="K61" i="7"/>
  <c r="K58" i="7"/>
  <c r="K55" i="7"/>
  <c r="K52" i="7"/>
  <c r="K49" i="7"/>
  <c r="K46" i="7"/>
  <c r="K43" i="7"/>
  <c r="K40" i="7"/>
  <c r="K37" i="7"/>
  <c r="K34" i="7"/>
  <c r="K31" i="7"/>
  <c r="K28" i="7"/>
  <c r="K25" i="7"/>
  <c r="K22" i="7"/>
  <c r="K19" i="7"/>
  <c r="K16" i="7"/>
  <c r="K13" i="7"/>
  <c r="K10" i="7"/>
  <c r="K7" i="7"/>
  <c r="K4" i="7"/>
  <c r="K405" i="7"/>
  <c r="K402" i="7"/>
  <c r="K399" i="7"/>
  <c r="K396" i="7"/>
  <c r="K393" i="7"/>
  <c r="K390" i="7"/>
  <c r="K387" i="7"/>
  <c r="K384" i="7"/>
  <c r="K381" i="7"/>
  <c r="K378" i="7"/>
  <c r="K375" i="7"/>
  <c r="K372" i="7"/>
  <c r="K369" i="7"/>
  <c r="K366" i="7"/>
  <c r="K363" i="7"/>
  <c r="K360" i="7"/>
  <c r="K357" i="7"/>
  <c r="K354" i="7"/>
  <c r="K351" i="7"/>
  <c r="K348" i="7"/>
  <c r="K345" i="7"/>
  <c r="K342" i="7"/>
  <c r="K339" i="7"/>
  <c r="K336" i="7"/>
  <c r="K333" i="7"/>
  <c r="K330" i="7"/>
  <c r="K327" i="7"/>
  <c r="K324" i="7"/>
  <c r="K321" i="7"/>
  <c r="K318" i="7"/>
  <c r="K315" i="7"/>
  <c r="K312" i="7"/>
  <c r="K309" i="7"/>
  <c r="K306" i="7"/>
  <c r="K303" i="7"/>
  <c r="K300" i="7"/>
  <c r="K297" i="7"/>
  <c r="K294" i="7"/>
  <c r="K291" i="7"/>
  <c r="K288" i="7"/>
  <c r="K285" i="7"/>
  <c r="K282" i="7"/>
  <c r="K279" i="7"/>
  <c r="K276" i="7"/>
  <c r="K273" i="7"/>
  <c r="K270" i="7"/>
  <c r="K267" i="7"/>
  <c r="K264" i="7"/>
  <c r="K261" i="7"/>
  <c r="K258" i="7"/>
  <c r="K255" i="7"/>
  <c r="K252" i="7"/>
  <c r="K249" i="7"/>
  <c r="K246" i="7"/>
  <c r="K243" i="7"/>
  <c r="K240" i="7"/>
  <c r="K237" i="7"/>
  <c r="K234" i="7"/>
  <c r="K231" i="7"/>
  <c r="K228" i="7"/>
  <c r="K225" i="7"/>
  <c r="K222" i="7"/>
  <c r="K219" i="7"/>
  <c r="K216" i="7"/>
  <c r="K213" i="7"/>
  <c r="K210" i="7"/>
  <c r="K207" i="7"/>
  <c r="K204" i="7"/>
  <c r="K201" i="7"/>
  <c r="K198" i="7"/>
  <c r="K195" i="7"/>
  <c r="K192" i="7"/>
  <c r="K189" i="7"/>
  <c r="K186" i="7"/>
  <c r="K183" i="7"/>
  <c r="K180" i="7"/>
  <c r="K177" i="7"/>
  <c r="K174" i="7"/>
  <c r="K171" i="7"/>
  <c r="K168" i="7"/>
  <c r="K165" i="7"/>
  <c r="K162" i="7"/>
  <c r="K159" i="7"/>
  <c r="K156" i="7"/>
  <c r="K153" i="7"/>
  <c r="K150" i="7"/>
  <c r="K147" i="7"/>
  <c r="K144" i="7"/>
  <c r="K141" i="7"/>
  <c r="K138" i="7"/>
  <c r="K135" i="7"/>
  <c r="K132" i="7"/>
  <c r="K129" i="7"/>
  <c r="K126" i="7"/>
  <c r="K123" i="7"/>
  <c r="K120" i="7"/>
  <c r="K117" i="7"/>
  <c r="K114" i="7"/>
  <c r="K111" i="7"/>
  <c r="K108" i="7"/>
  <c r="K105" i="7"/>
  <c r="K102" i="7"/>
  <c r="K99" i="7"/>
  <c r="K96" i="7"/>
  <c r="K93" i="7"/>
  <c r="K90" i="7"/>
  <c r="K87" i="7"/>
  <c r="K84" i="7"/>
  <c r="K81" i="7"/>
  <c r="K78" i="7"/>
  <c r="K75" i="7"/>
  <c r="K72" i="7"/>
  <c r="K69" i="7"/>
  <c r="K66" i="7"/>
  <c r="K63" i="7"/>
  <c r="K60" i="7"/>
  <c r="K57" i="7"/>
  <c r="K54" i="7"/>
  <c r="K51" i="7"/>
  <c r="K48" i="7"/>
  <c r="K45" i="7"/>
  <c r="K42" i="7"/>
  <c r="K39" i="7"/>
  <c r="K36" i="7"/>
  <c r="K33" i="7"/>
  <c r="K30" i="7"/>
  <c r="K27" i="7"/>
  <c r="K24" i="7"/>
  <c r="K21" i="7"/>
  <c r="K18" i="7"/>
  <c r="K15" i="7"/>
  <c r="K12" i="7"/>
  <c r="K9" i="7"/>
  <c r="K6" i="7"/>
  <c r="K3" i="7"/>
  <c r="V24" i="14"/>
  <c r="V25" i="14" s="1"/>
  <c r="W20" i="14" s="1"/>
  <c r="W22" i="14" l="1"/>
  <c r="W16" i="14"/>
  <c r="W18" i="14"/>
  <c r="E27" i="14"/>
  <c r="F27" i="14"/>
  <c r="G23" i="14"/>
  <c r="G21" i="14"/>
  <c r="G27" i="14" l="1"/>
  <c r="G28" i="14" s="1"/>
  <c r="H19" i="14" l="1"/>
  <c r="H21" i="14"/>
  <c r="H25" i="14"/>
  <c r="H23" i="14"/>
</calcChain>
</file>

<file path=xl/sharedStrings.xml><?xml version="1.0" encoding="utf-8"?>
<sst xmlns="http://schemas.openxmlformats.org/spreadsheetml/2006/main" count="22232" uniqueCount="3891">
  <si>
    <t>MEDIAN HOUSEHOLD INCOME IN THE PAST 12 MONTHS (IN 2019 INFLATION-ADJUSTED DOLLARS)</t>
  </si>
  <si>
    <t>Note: The table shown may have been modified by user selections. Some information may be missing.</t>
  </si>
  <si>
    <t>Census Code</t>
  </si>
  <si>
    <t>B19013</t>
  </si>
  <si>
    <t>Median Household Income IN the past 12 months</t>
  </si>
  <si>
    <t>DATA NOTES</t>
  </si>
  <si>
    <t/>
  </si>
  <si>
    <t>DP05</t>
  </si>
  <si>
    <t>Average Household Size</t>
  </si>
  <si>
    <t>TABLE ID:</t>
  </si>
  <si>
    <t>S2503</t>
  </si>
  <si>
    <t>Median Census Housing Cost</t>
  </si>
  <si>
    <t>SURVEY/PROGRAM:</t>
  </si>
  <si>
    <t>American Community Survey</t>
  </si>
  <si>
    <t xml:space="preserve">For the Financial Characteristics table, hit transpose  on the Census website </t>
  </si>
  <si>
    <t>VINTAGE:</t>
  </si>
  <si>
    <t>2019</t>
  </si>
  <si>
    <t>Not all columns used</t>
  </si>
  <si>
    <t>DATASET:</t>
  </si>
  <si>
    <t>ACSDT5Y2019</t>
  </si>
  <si>
    <t>PRODUCT:</t>
  </si>
  <si>
    <t>ACS 5-Year Estimates Detailed Tables</t>
  </si>
  <si>
    <t>UNIVERSE:</t>
  </si>
  <si>
    <t>Households</t>
  </si>
  <si>
    <t>FTP URL:</t>
  </si>
  <si>
    <t>None</t>
  </si>
  <si>
    <t>API URL:</t>
  </si>
  <si>
    <t>https://api.census.gov/data/2019/acs/acs5</t>
  </si>
  <si>
    <t>USER SELECTIONS</t>
  </si>
  <si>
    <t>GEOS</t>
  </si>
  <si>
    <t>All Census Tracts within Connecticut</t>
  </si>
  <si>
    <t>TOPICS</t>
  </si>
  <si>
    <t>Income and Poverty; Income (Households, Families, Individuals)</t>
  </si>
  <si>
    <t>EXCLUDED COLUMNS</t>
  </si>
  <si>
    <t>Census Tract 101.01, Fairfield County, Connecticut!!Margin of Error</t>
  </si>
  <si>
    <t>Census Tract 101.02, Fairfield County, Connecticut!!Margin of Error</t>
  </si>
  <si>
    <t>Census Tract 102.01, Fairfield County, Connecticut!!Margin of Error</t>
  </si>
  <si>
    <t>Census Tract 102.02, Fairfield County, Connecticut!!Margin of Error</t>
  </si>
  <si>
    <t>Census Tract 103, Fairfield County, Connecticut!!Margin of Error</t>
  </si>
  <si>
    <t>Census Tract 104, Fairfield County, Connecticut!!Margin of Error</t>
  </si>
  <si>
    <t>Census Tract 105, Fairfield County, Connecticut!!Margin of Error</t>
  </si>
  <si>
    <t>Census Tract 106, Fairfield County, Connecticut!!Margin of Error</t>
  </si>
  <si>
    <t>Census Tract 107, Fairfield County, Connecticut!!Margin of Error</t>
  </si>
  <si>
    <t>Census Tract 108, Fairfield County, Connecticut!!Margin of Error</t>
  </si>
  <si>
    <t>Census Tract 109, Fairfield County, Connecticut!!Margin of Error</t>
  </si>
  <si>
    <t>Census Tract 110, Fairfield County, Connecticut!!Margin of Error</t>
  </si>
  <si>
    <t>Census Tract 111, Fairfield County, Connecticut!!Margin of Error</t>
  </si>
  <si>
    <t>Census Tract 112, Fairfield County, Connecticut!!Margin of Error</t>
  </si>
  <si>
    <t>Census Tract 113, Fairfield County, Connecticut!!Margin of Error</t>
  </si>
  <si>
    <t>Census Tract 201, Fairfield County, Connecticut!!Margin of Error</t>
  </si>
  <si>
    <t>Census Tract 202, Fairfield County, Connecticut!!Margin of Error</t>
  </si>
  <si>
    <t>Census Tract 203, Fairfield County, Connecticut!!Margin of Error</t>
  </si>
  <si>
    <t>Census Tract 204, Fairfield County, Connecticut!!Margin of Error</t>
  </si>
  <si>
    <t>Census Tract 205, Fairfield County, Connecticut!!Margin of Error</t>
  </si>
  <si>
    <t>Census Tract 206, Fairfield County, Connecticut!!Margin of Error</t>
  </si>
  <si>
    <t>Census Tract 207, Fairfield County, Connecticut!!Margin of Error</t>
  </si>
  <si>
    <t>Census Tract 208, Fairfield County, Connecticut!!Margin of Error</t>
  </si>
  <si>
    <t>Census Tract 209, Fairfield County, Connecticut!!Margin of Error</t>
  </si>
  <si>
    <t>Census Tract 210, Fairfield County, Connecticut!!Margin of Error</t>
  </si>
  <si>
    <t>Census Tract 211, Fairfield County, Connecticut!!Margin of Error</t>
  </si>
  <si>
    <t>Census Tract 212, Fairfield County, Connecticut!!Margin of Error</t>
  </si>
  <si>
    <t>Census Tract 213, Fairfield County, Connecticut!!Margin of Error</t>
  </si>
  <si>
    <t>Census Tract 214, Fairfield County, Connecticut!!Margin of Error</t>
  </si>
  <si>
    <t>Census Tract 215, Fairfield County, Connecticut!!Margin of Error</t>
  </si>
  <si>
    <t>Census Tract 216, Fairfield County, Connecticut!!Margin of Error</t>
  </si>
  <si>
    <t>Census Tract 217, Fairfield County, Connecticut!!Margin of Error</t>
  </si>
  <si>
    <t>Census Tract 218.01, Fairfield County, Connecticut!!Margin of Error</t>
  </si>
  <si>
    <t>Census Tract 218.02, Fairfield County, Connecticut!!Margin of Error</t>
  </si>
  <si>
    <t>Census Tract 219, Fairfield County, Connecticut!!Margin of Error</t>
  </si>
  <si>
    <t>Census Tract 220, Fairfield County, Connecticut!!Margin of Error</t>
  </si>
  <si>
    <t>Census Tract 221, Fairfield County, Connecticut!!Margin of Error</t>
  </si>
  <si>
    <t>Census Tract 222, Fairfield County, Connecticut!!Margin of Error</t>
  </si>
  <si>
    <t>Census Tract 223, Fairfield County, Connecticut!!Margin of Error</t>
  </si>
  <si>
    <t>Census Tract 224, Fairfield County, Connecticut!!Margin of Error</t>
  </si>
  <si>
    <t>Census Tract 301, Fairfield County, Connecticut!!Margin of Error</t>
  </si>
  <si>
    <t>Census Tract 302, Fairfield County, Connecticut!!Margin of Error</t>
  </si>
  <si>
    <t>Census Tract 303, Fairfield County, Connecticut!!Margin of Error</t>
  </si>
  <si>
    <t>Census Tract 304, Fairfield County, Connecticut!!Margin of Error</t>
  </si>
  <si>
    <t>Census Tract 305, Fairfield County, Connecticut!!Margin of Error</t>
  </si>
  <si>
    <t>Census Tract 351, Fairfield County, Connecticut!!Margin of Error</t>
  </si>
  <si>
    <t>Census Tract 352, Fairfield County, Connecticut!!Margin of Error</t>
  </si>
  <si>
    <t>Census Tract 353, Fairfield County, Connecticut!!Margin of Error</t>
  </si>
  <si>
    <t>Census Tract 354, Fairfield County, Connecticut!!Margin of Error</t>
  </si>
  <si>
    <t>Census Tract 425, Fairfield County, Connecticut!!Margin of Error</t>
  </si>
  <si>
    <t>Census Tract 426, Fairfield County, Connecticut!!Margin of Error</t>
  </si>
  <si>
    <t>Census Tract 427, Fairfield County, Connecticut!!Margin of Error</t>
  </si>
  <si>
    <t>Census Tract 428, Fairfield County, Connecticut!!Margin of Error</t>
  </si>
  <si>
    <t>Census Tract 429, Fairfield County, Connecticut!!Margin of Error</t>
  </si>
  <si>
    <t>Census Tract 430, Fairfield County, Connecticut!!Margin of Error</t>
  </si>
  <si>
    <t>Census Tract 431, Fairfield County, Connecticut!!Margin of Error</t>
  </si>
  <si>
    <t>Census Tract 432, Fairfield County, Connecticut!!Margin of Error</t>
  </si>
  <si>
    <t>Census Tract 433, Fairfield County, Connecticut!!Margin of Error</t>
  </si>
  <si>
    <t>Census Tract 434, Fairfield County, Connecticut!!Margin of Error</t>
  </si>
  <si>
    <t>Census Tract 435, Fairfield County, Connecticut!!Margin of Error</t>
  </si>
  <si>
    <t>Census Tract 436, Fairfield County, Connecticut!!Margin of Error</t>
  </si>
  <si>
    <t>Census Tract 437, Fairfield County, Connecticut!!Margin of Error</t>
  </si>
  <si>
    <t>Census Tract 438, Fairfield County, Connecticut!!Margin of Error</t>
  </si>
  <si>
    <t>Census Tract 439, Fairfield County, Connecticut!!Margin of Error</t>
  </si>
  <si>
    <t>Census Tract 440, Fairfield County, Connecticut!!Margin of Error</t>
  </si>
  <si>
    <t>Census Tract 441, Fairfield County, Connecticut!!Margin of Error</t>
  </si>
  <si>
    <t>Census Tract 442, Fairfield County, Connecticut!!Margin of Error</t>
  </si>
  <si>
    <t>Census Tract 443, Fairfield County, Connecticut!!Margin of Error</t>
  </si>
  <si>
    <t>Census Tract 444, Fairfield County, Connecticut!!Margin of Error</t>
  </si>
  <si>
    <t>Census Tract 445, Fairfield County, Connecticut!!Margin of Error</t>
  </si>
  <si>
    <t>Census Tract 446, Fairfield County, Connecticut!!Margin of Error</t>
  </si>
  <si>
    <t>Census Tract 451.01, Fairfield County, Connecticut!!Margin of Error</t>
  </si>
  <si>
    <t>Census Tract 451.02, Fairfield County, Connecticut!!Margin of Error</t>
  </si>
  <si>
    <t>Census Tract 452, Fairfield County, Connecticut!!Margin of Error</t>
  </si>
  <si>
    <t>Census Tract 453, Fairfield County, Connecticut!!Margin of Error</t>
  </si>
  <si>
    <t>Census Tract 454, Fairfield County, Connecticut!!Margin of Error</t>
  </si>
  <si>
    <t>Census Tract 501, Fairfield County, Connecticut!!Margin of Error</t>
  </si>
  <si>
    <t>Census Tract 502, Fairfield County, Connecticut!!Margin of Error</t>
  </si>
  <si>
    <t>Census Tract 503, Fairfield County, Connecticut!!Margin of Error</t>
  </si>
  <si>
    <t>Census Tract 504, Fairfield County, Connecticut!!Margin of Error</t>
  </si>
  <si>
    <t>Census Tract 505, Fairfield County, Connecticut!!Margin of Error</t>
  </si>
  <si>
    <t>Census Tract 506, Fairfield County, Connecticut!!Margin of Error</t>
  </si>
  <si>
    <t>Census Tract 551, Fairfield County, Connecticut!!Margin of Error</t>
  </si>
  <si>
    <t>Census Tract 552, Fairfield County, Connecticut!!Margin of Error</t>
  </si>
  <si>
    <t>Census Tract 601, Fairfield County, Connecticut!!Margin of Error</t>
  </si>
  <si>
    <t>Census Tract 602, Fairfield County, Connecticut!!Margin of Error</t>
  </si>
  <si>
    <t>Census Tract 603, Fairfield County, Connecticut!!Margin of Error</t>
  </si>
  <si>
    <t>Census Tract 604, Fairfield County, Connecticut!!Margin of Error</t>
  </si>
  <si>
    <t>Census Tract 605, Fairfield County, Connecticut!!Margin of Error</t>
  </si>
  <si>
    <t>Census Tract 606, Fairfield County, Connecticut!!Margin of Error</t>
  </si>
  <si>
    <t>Census Tract 607, Fairfield County, Connecticut!!Margin of Error</t>
  </si>
  <si>
    <t>Census Tract 608, Fairfield County, Connecticut!!Margin of Error</t>
  </si>
  <si>
    <t>Census Tract 609, Fairfield County, Connecticut!!Margin of Error</t>
  </si>
  <si>
    <t>Census Tract 610, Fairfield County, Connecticut!!Margin of Error</t>
  </si>
  <si>
    <t>Census Tract 611, Fairfield County, Connecticut!!Margin of Error</t>
  </si>
  <si>
    <t>Census Tract 612, Fairfield County, Connecticut!!Margin of Error</t>
  </si>
  <si>
    <t>Census Tract 613, Fairfield County, Connecticut!!Margin of Error</t>
  </si>
  <si>
    <t>Census Tract 614, Fairfield County, Connecticut!!Margin of Error</t>
  </si>
  <si>
    <t>Census Tract 615, Fairfield County, Connecticut!!Margin of Error</t>
  </si>
  <si>
    <t>Census Tract 616, Fairfield County, Connecticut!!Margin of Error</t>
  </si>
  <si>
    <t>Census Tract 701, Fairfield County, Connecticut!!Margin of Error</t>
  </si>
  <si>
    <t>Census Tract 702, Fairfield County, Connecticut!!Margin of Error</t>
  </si>
  <si>
    <t>Census Tract 703, Fairfield County, Connecticut!!Margin of Error</t>
  </si>
  <si>
    <t>Census Tract 704, Fairfield County, Connecticut!!Margin of Error</t>
  </si>
  <si>
    <t>Census Tract 705, Fairfield County, Connecticut!!Margin of Error</t>
  </si>
  <si>
    <t>Census Tract 706, Fairfield County, Connecticut!!Margin of Error</t>
  </si>
  <si>
    <t>Census Tract 709, Fairfield County, Connecticut!!Margin of Error</t>
  </si>
  <si>
    <t>Census Tract 710, Fairfield County, Connecticut!!Margin of Error</t>
  </si>
  <si>
    <t>Census Tract 711, Fairfield County, Connecticut!!Margin of Error</t>
  </si>
  <si>
    <t>Census Tract 712, Fairfield County, Connecticut!!Margin of Error</t>
  </si>
  <si>
    <t>Census Tract 713, Fairfield County, Connecticut!!Margin of Error</t>
  </si>
  <si>
    <t>Census Tract 714, Fairfield County, Connecticut!!Margin of Error</t>
  </si>
  <si>
    <t>Census Tract 716, Fairfield County, Connecticut!!Margin of Error</t>
  </si>
  <si>
    <t>Census Tract 719, Fairfield County, Connecticut!!Margin of Error</t>
  </si>
  <si>
    <t>Census Tract 720, Fairfield County, Connecticut!!Margin of Error</t>
  </si>
  <si>
    <t>Census Tract 721, Fairfield County, Connecticut!!Margin of Error</t>
  </si>
  <si>
    <t>Census Tract 722, Fairfield County, Connecticut!!Margin of Error</t>
  </si>
  <si>
    <t>Census Tract 723, Fairfield County, Connecticut!!Margin of Error</t>
  </si>
  <si>
    <t>Census Tract 724, Fairfield County, Connecticut!!Margin of Error</t>
  </si>
  <si>
    <t>Census Tract 725, Fairfield County, Connecticut!!Margin of Error</t>
  </si>
  <si>
    <t>Census Tract 726, Fairfield County, Connecticut!!Margin of Error</t>
  </si>
  <si>
    <t>Census Tract 727, Fairfield County, Connecticut!!Margin of Error</t>
  </si>
  <si>
    <t>Census Tract 728, Fairfield County, Connecticut!!Margin of Error</t>
  </si>
  <si>
    <t>Census Tract 729, Fairfield County, Connecticut!!Margin of Error</t>
  </si>
  <si>
    <t>Census Tract 730, Fairfield County, Connecticut!!Margin of Error</t>
  </si>
  <si>
    <t>Census Tract 731, Fairfield County, Connecticut!!Margin of Error</t>
  </si>
  <si>
    <t>Census Tract 732, Fairfield County, Connecticut!!Margin of Error</t>
  </si>
  <si>
    <t>Census Tract 733, Fairfield County, Connecticut!!Margin of Error</t>
  </si>
  <si>
    <t>Census Tract 734, Fairfield County, Connecticut!!Margin of Error</t>
  </si>
  <si>
    <t>Census Tract 735, Fairfield County, Connecticut!!Margin of Error</t>
  </si>
  <si>
    <t>Census Tract 736, Fairfield County, Connecticut!!Margin of Error</t>
  </si>
  <si>
    <t>Census Tract 737, Fairfield County, Connecticut!!Margin of Error</t>
  </si>
  <si>
    <t>Census Tract 738, Fairfield County, Connecticut!!Margin of Error</t>
  </si>
  <si>
    <t>Census Tract 739, Fairfield County, Connecticut!!Margin of Error</t>
  </si>
  <si>
    <t>Census Tract 740, Fairfield County, Connecticut!!Margin of Error</t>
  </si>
  <si>
    <t>Census Tract 743, Fairfield County, Connecticut!!Margin of Error</t>
  </si>
  <si>
    <t>Census Tract 744, Fairfield County, Connecticut!!Margin of Error</t>
  </si>
  <si>
    <t>Census Tract 801, Fairfield County, Connecticut!!Margin of Error</t>
  </si>
  <si>
    <t>Census Tract 802, Fairfield County, Connecticut!!Margin of Error</t>
  </si>
  <si>
    <t>Census Tract 804, Fairfield County, Connecticut!!Margin of Error</t>
  </si>
  <si>
    <t>Census Tract 805, Fairfield County, Connecticut!!Margin of Error</t>
  </si>
  <si>
    <t>Census Tract 806, Fairfield County, Connecticut!!Margin of Error</t>
  </si>
  <si>
    <t>Census Tract 807, Fairfield County, Connecticut!!Margin of Error</t>
  </si>
  <si>
    <t>Census Tract 808, Fairfield County, Connecticut!!Margin of Error</t>
  </si>
  <si>
    <t>Census Tract 809, Fairfield County, Connecticut!!Margin of Error</t>
  </si>
  <si>
    <t>Census Tract 810, Fairfield County, Connecticut!!Margin of Error</t>
  </si>
  <si>
    <t>Census Tract 811, Fairfield County, Connecticut!!Margin of Error</t>
  </si>
  <si>
    <t>Census Tract 812, Fairfield County, Connecticut!!Margin of Error</t>
  </si>
  <si>
    <t>Census Tract 813, Fairfield County, Connecticut!!Margin of Error</t>
  </si>
  <si>
    <t>Census Tract 901, Fairfield County, Connecticut!!Margin of Error</t>
  </si>
  <si>
    <t>Census Tract 902, Fairfield County, Connecticut!!Margin of Error</t>
  </si>
  <si>
    <t>Census Tract 903, Fairfield County, Connecticut!!Margin of Error</t>
  </si>
  <si>
    <t>Census Tract 904, Fairfield County, Connecticut!!Margin of Error</t>
  </si>
  <si>
    <t>Census Tract 905, Fairfield County, Connecticut!!Margin of Error</t>
  </si>
  <si>
    <t>Census Tract 906, Fairfield County, Connecticut!!Margin of Error</t>
  </si>
  <si>
    <t>Census Tract 907, Fairfield County, Connecticut!!Margin of Error</t>
  </si>
  <si>
    <t>Census Tract 1001, Fairfield County, Connecticut!!Margin of Error</t>
  </si>
  <si>
    <t>Census Tract 1002, Fairfield County, Connecticut!!Margin of Error</t>
  </si>
  <si>
    <t>Census Tract 1003, Fairfield County, Connecticut!!Margin of Error</t>
  </si>
  <si>
    <t>Census Tract 1051, Fairfield County, Connecticut!!Margin of Error</t>
  </si>
  <si>
    <t>Census Tract 1052, Fairfield County, Connecticut!!Margin of Error</t>
  </si>
  <si>
    <t>Census Tract 1101, Fairfield County, Connecticut!!Margin of Error</t>
  </si>
  <si>
    <t>Census Tract 1102.01, Fairfield County, Connecticut!!Margin of Error</t>
  </si>
  <si>
    <t>Census Tract 1102.02, Fairfield County, Connecticut!!Margin of Error</t>
  </si>
  <si>
    <t>Census Tract 1103.01, Fairfield County, Connecticut!!Margin of Error</t>
  </si>
  <si>
    <t>Census Tract 1103.02, Fairfield County, Connecticut!!Margin of Error</t>
  </si>
  <si>
    <t>Census Tract 1104, Fairfield County, Connecticut!!Margin of Error</t>
  </si>
  <si>
    <t>Census Tract 1105, Fairfield County, Connecticut!!Margin of Error</t>
  </si>
  <si>
    <t>Census Tract 1106, Fairfield County, Connecticut!!Margin of Error</t>
  </si>
  <si>
    <t>Census Tract 2001, Fairfield County, Connecticut!!Margin of Error</t>
  </si>
  <si>
    <t>Census Tract 2002, Fairfield County, Connecticut!!Margin of Error</t>
  </si>
  <si>
    <t>Census Tract 2003.01, Fairfield County, Connecticut!!Margin of Error</t>
  </si>
  <si>
    <t>Census Tract 2003.02, Fairfield County, Connecticut!!Margin of Error</t>
  </si>
  <si>
    <t>Census Tract 2051, Fairfield County, Connecticut!!Margin of Error</t>
  </si>
  <si>
    <t>Census Tract 2052, Fairfield County, Connecticut!!Margin of Error</t>
  </si>
  <si>
    <t>Census Tract 2053, Fairfield County, Connecticut!!Margin of Error</t>
  </si>
  <si>
    <t>Census Tract 2101, Fairfield County, Connecticut!!Margin of Error</t>
  </si>
  <si>
    <t>Census Tract 2102, Fairfield County, Connecticut!!Margin of Error</t>
  </si>
  <si>
    <t>Census Tract 2103, Fairfield County, Connecticut!!Margin of Error</t>
  </si>
  <si>
    <t>Census Tract 2104, Fairfield County, Connecticut!!Margin of Error</t>
  </si>
  <si>
    <t>Census Tract 2105, Fairfield County, Connecticut!!Margin of Error</t>
  </si>
  <si>
    <t>Census Tract 2106, Fairfield County, Connecticut!!Margin of Error</t>
  </si>
  <si>
    <t>Census Tract 2107.01, Fairfield County, Connecticut!!Margin of Error</t>
  </si>
  <si>
    <t>Census Tract 2107.02, Fairfield County, Connecticut!!Margin of Error</t>
  </si>
  <si>
    <t>Census Tract 2108, Fairfield County, Connecticut!!Margin of Error</t>
  </si>
  <si>
    <t>Census Tract 2109, Fairfield County, Connecticut!!Margin of Error</t>
  </si>
  <si>
    <t>Census Tract 2110, Fairfield County, Connecticut!!Margin of Error</t>
  </si>
  <si>
    <t>Census Tract 2111, Fairfield County, Connecticut!!Margin of Error</t>
  </si>
  <si>
    <t>Census Tract 2112, Fairfield County, Connecticut!!Margin of Error</t>
  </si>
  <si>
    <t>Census Tract 2113, Fairfield County, Connecticut!!Margin of Error</t>
  </si>
  <si>
    <t>Census Tract 2114, Fairfield County, Connecticut!!Margin of Error</t>
  </si>
  <si>
    <t>Census Tract 2201, Fairfield County, Connecticut!!Margin of Error</t>
  </si>
  <si>
    <t>Census Tract 2202, Fairfield County, Connecticut!!Margin of Error</t>
  </si>
  <si>
    <t>Census Tract 2203, Fairfield County, Connecticut!!Margin of Error</t>
  </si>
  <si>
    <t>Census Tract 2301, Fairfield County, Connecticut!!Margin of Error</t>
  </si>
  <si>
    <t>Census Tract 2302, Fairfield County, Connecticut!!Margin of Error</t>
  </si>
  <si>
    <t>Census Tract 2303, Fairfield County, Connecticut!!Margin of Error</t>
  </si>
  <si>
    <t>Census Tract 2304, Fairfield County, Connecticut!!Margin of Error</t>
  </si>
  <si>
    <t>Census Tract 2305.01, Fairfield County, Connecticut!!Margin of Error</t>
  </si>
  <si>
    <t>Census Tract 2305.02, Fairfield County, Connecticut!!Margin of Error</t>
  </si>
  <si>
    <t>Census Tract 2401, Fairfield County, Connecticut!!Margin of Error</t>
  </si>
  <si>
    <t>Census Tract 2402, Fairfield County, Connecticut!!Margin of Error</t>
  </si>
  <si>
    <t>Census Tract 2451, Fairfield County, Connecticut!!Margin of Error</t>
  </si>
  <si>
    <t>Census Tract 2452, Fairfield County, Connecticut!!Margin of Error</t>
  </si>
  <si>
    <t>Census Tract 2453, Fairfield County, Connecticut!!Margin of Error</t>
  </si>
  <si>
    <t>Census Tract 2454, Fairfield County, Connecticut!!Margin of Error</t>
  </si>
  <si>
    <t>Census Tract 2455, Fairfield County, Connecticut!!Margin of Error</t>
  </si>
  <si>
    <t>Census Tract 2456, Fairfield County, Connecticut!!Margin of Error</t>
  </si>
  <si>
    <t>Census Tract 2571, Fairfield County, Connecticut!!Margin of Error</t>
  </si>
  <si>
    <t>Census Tract 2572, Fairfield County, Connecticut!!Margin of Error</t>
  </si>
  <si>
    <t>Census Tract 9900, Fairfield County, Connecticut!!Margin of Error</t>
  </si>
  <si>
    <t>Census Tract 3301, Hartford County, Connecticut!!Margin of Error</t>
  </si>
  <si>
    <t>Census Tract 4001, Hartford County, Connecticut!!Margin of Error</t>
  </si>
  <si>
    <t>Census Tract 4002, Hartford County, Connecticut!!Margin of Error</t>
  </si>
  <si>
    <t>Census Tract 4003, Hartford County, Connecticut!!Margin of Error</t>
  </si>
  <si>
    <t>Census Tract 4051, Hartford County, Connecticut!!Margin of Error</t>
  </si>
  <si>
    <t>Census Tract 4052, Hartford County, Connecticut!!Margin of Error</t>
  </si>
  <si>
    <t>Census Tract 4053, Hartford County, Connecticut!!Margin of Error</t>
  </si>
  <si>
    <t>Census Tract 4054.01, Hartford County, Connecticut!!Margin of Error</t>
  </si>
  <si>
    <t>Census Tract 4054.02, Hartford County, Connecticut!!Margin of Error</t>
  </si>
  <si>
    <t>Census Tract 4055, Hartford County, Connecticut!!Margin of Error</t>
  </si>
  <si>
    <t>Census Tract 4056, Hartford County, Connecticut!!Margin of Error</t>
  </si>
  <si>
    <t>Census Tract 4057, Hartford County, Connecticut!!Margin of Error</t>
  </si>
  <si>
    <t>Census Tract 4058, Hartford County, Connecticut!!Margin of Error</t>
  </si>
  <si>
    <t>Census Tract 4059, Hartford County, Connecticut!!Margin of Error</t>
  </si>
  <si>
    <t>Census Tract 4060.01, Hartford County, Connecticut!!Margin of Error</t>
  </si>
  <si>
    <t>Census Tract 4060.02, Hartford County, Connecticut!!Margin of Error</t>
  </si>
  <si>
    <t>Census Tract 4061, Hartford County, Connecticut!!Margin of Error</t>
  </si>
  <si>
    <t>Census Tract 4101.01, Hartford County, Connecticut!!Margin of Error</t>
  </si>
  <si>
    <t>Census Tract 4101.02, Hartford County, Connecticut!!Margin of Error</t>
  </si>
  <si>
    <t>Census Tract 4153, Hartford County, Connecticut!!Margin of Error</t>
  </si>
  <si>
    <t>Census Tract 4154, Hartford County, Connecticut!!Margin of Error</t>
  </si>
  <si>
    <t>Census Tract 4155, Hartford County, Connecticut!!Margin of Error</t>
  </si>
  <si>
    <t>Census Tract 4156, Hartford County, Connecticut!!Margin of Error</t>
  </si>
  <si>
    <t>Census Tract 4157, Hartford County, Connecticut!!Margin of Error</t>
  </si>
  <si>
    <t>Census Tract 4158, Hartford County, Connecticut!!Margin of Error</t>
  </si>
  <si>
    <t>Census Tract 4159, Hartford County, Connecticut!!Margin of Error</t>
  </si>
  <si>
    <t>Census Tract 4160, Hartford County, Connecticut!!Margin of Error</t>
  </si>
  <si>
    <t>Census Tract 4161, Hartford County, Connecticut!!Margin of Error</t>
  </si>
  <si>
    <t>Census Tract 4162, Hartford County, Connecticut!!Margin of Error</t>
  </si>
  <si>
    <t>Census Tract 4163, Hartford County, Connecticut!!Margin of Error</t>
  </si>
  <si>
    <t>Census Tract 4164, Hartford County, Connecticut!!Margin of Error</t>
  </si>
  <si>
    <t>Census Tract 4165, Hartford County, Connecticut!!Margin of Error</t>
  </si>
  <si>
    <t>Census Tract 4166, Hartford County, Connecticut!!Margin of Error</t>
  </si>
  <si>
    <t>Census Tract 4167, Hartford County, Connecticut!!Margin of Error</t>
  </si>
  <si>
    <t>Census Tract 4168, Hartford County, Connecticut!!Margin of Error</t>
  </si>
  <si>
    <t>Census Tract 4171, Hartford County, Connecticut!!Margin of Error</t>
  </si>
  <si>
    <t>Census Tract 4172, Hartford County, Connecticut!!Margin of Error</t>
  </si>
  <si>
    <t>Census Tract 4173, Hartford County, Connecticut!!Margin of Error</t>
  </si>
  <si>
    <t>Census Tract 4174, Hartford County, Connecticut!!Margin of Error</t>
  </si>
  <si>
    <t>Census Tract 4175, Hartford County, Connecticut!!Margin of Error</t>
  </si>
  <si>
    <t>Census Tract 4204, Hartford County, Connecticut!!Margin of Error</t>
  </si>
  <si>
    <t>Census Tract 4205, Hartford County, Connecticut!!Margin of Error</t>
  </si>
  <si>
    <t>Census Tract 4206, Hartford County, Connecticut!!Margin of Error</t>
  </si>
  <si>
    <t>Census Tract 4207, Hartford County, Connecticut!!Margin of Error</t>
  </si>
  <si>
    <t>Census Tract 4301, Hartford County, Connecticut!!Margin of Error</t>
  </si>
  <si>
    <t>Census Tract 4302.01, Hartford County, Connecticut!!Margin of Error</t>
  </si>
  <si>
    <t>Census Tract 4302.02, Hartford County, Connecticut!!Margin of Error</t>
  </si>
  <si>
    <t>Census Tract 4302.03, Hartford County, Connecticut!!Margin of Error</t>
  </si>
  <si>
    <t>Census Tract 4303.01, Hartford County, Connecticut!!Margin of Error</t>
  </si>
  <si>
    <t>Census Tract 4303.02, Hartford County, Connecticut!!Margin of Error</t>
  </si>
  <si>
    <t>Census Tract 4304, Hartford County, Connecticut!!Margin of Error</t>
  </si>
  <si>
    <t>Census Tract 4305, Hartford County, Connecticut!!Margin of Error</t>
  </si>
  <si>
    <t>Census Tract 4306.01, Hartford County, Connecticut!!Margin of Error</t>
  </si>
  <si>
    <t>Census Tract 4306.02, Hartford County, Connecticut!!Margin of Error</t>
  </si>
  <si>
    <t>Census Tract 4601, Hartford County, Connecticut!!Margin of Error</t>
  </si>
  <si>
    <t>Census Tract 4602.02, Hartford County, Connecticut!!Margin of Error</t>
  </si>
  <si>
    <t>Census Tract 4602.03, Hartford County, Connecticut!!Margin of Error</t>
  </si>
  <si>
    <t>Census Tract 4602.04, Hartford County, Connecticut!!Margin of Error</t>
  </si>
  <si>
    <t>Census Tract 4603.01, Hartford County, Connecticut!!Margin of Error</t>
  </si>
  <si>
    <t>Census Tract 4603.02, Hartford County, Connecticut!!Margin of Error</t>
  </si>
  <si>
    <t>Census Tract 4621.01, Hartford County, Connecticut!!Margin of Error</t>
  </si>
  <si>
    <t>Census Tract 4621.02, Hartford County, Connecticut!!Margin of Error</t>
  </si>
  <si>
    <t>Census Tract 4622.01, Hartford County, Connecticut!!Margin of Error</t>
  </si>
  <si>
    <t>Census Tract 4622.02, Hartford County, Connecticut!!Margin of Error</t>
  </si>
  <si>
    <t>Census Tract 4641.01, Hartford County, Connecticut!!Margin of Error</t>
  </si>
  <si>
    <t>Census Tract 4641.02, Hartford County, Connecticut!!Margin of Error</t>
  </si>
  <si>
    <t>Census Tract 4661.01, Hartford County, Connecticut!!Margin of Error</t>
  </si>
  <si>
    <t>Census Tract 4661.02, Hartford County, Connecticut!!Margin of Error</t>
  </si>
  <si>
    <t>Census Tract 4662.01, Hartford County, Connecticut!!Margin of Error</t>
  </si>
  <si>
    <t>Census Tract 4662.02, Hartford County, Connecticut!!Margin of Error</t>
  </si>
  <si>
    <t>Census Tract 4663, Hartford County, Connecticut!!Margin of Error</t>
  </si>
  <si>
    <t>Census Tract 4664, Hartford County, Connecticut!!Margin of Error</t>
  </si>
  <si>
    <t>Census Tract 4681.01, Hartford County, Connecticut!!Margin of Error</t>
  </si>
  <si>
    <t>Census Tract 4681.02, Hartford County, Connecticut!!Margin of Error</t>
  </si>
  <si>
    <t>Census Tract 4701, Hartford County, Connecticut!!Margin of Error</t>
  </si>
  <si>
    <t>Census Tract 4711, Hartford County, Connecticut!!Margin of Error</t>
  </si>
  <si>
    <t>Census Tract 4712, Hartford County, Connecticut!!Margin of Error</t>
  </si>
  <si>
    <t>Census Tract 4713, Hartford County, Connecticut!!Margin of Error</t>
  </si>
  <si>
    <t>Census Tract 4714, Hartford County, Connecticut!!Margin of Error</t>
  </si>
  <si>
    <t>Census Tract 4715, Hartford County, Connecticut!!Margin of Error</t>
  </si>
  <si>
    <t>Census Tract 4731, Hartford County, Connecticut!!Margin of Error</t>
  </si>
  <si>
    <t>Census Tract 4734, Hartford County, Connecticut!!Margin of Error</t>
  </si>
  <si>
    <t>Census Tract 4735.01, Hartford County, Connecticut!!Margin of Error</t>
  </si>
  <si>
    <t>Census Tract 4735.02, Hartford County, Connecticut!!Margin of Error</t>
  </si>
  <si>
    <t>Census Tract 4736.01, Hartford County, Connecticut!!Margin of Error</t>
  </si>
  <si>
    <t>Census Tract 4736.02, Hartford County, Connecticut!!Margin of Error</t>
  </si>
  <si>
    <t>Census Tract 4737, Hartford County, Connecticut!!Margin of Error</t>
  </si>
  <si>
    <t>Census Tract 4738, Hartford County, Connecticut!!Margin of Error</t>
  </si>
  <si>
    <t>Census Tract 4761, Hartford County, Connecticut!!Margin of Error</t>
  </si>
  <si>
    <t>Census Tract 4762, Hartford County, Connecticut!!Margin of Error</t>
  </si>
  <si>
    <t>Census Tract 4763, Hartford County, Connecticut!!Margin of Error</t>
  </si>
  <si>
    <t>Census Tract 4771.01, Hartford County, Connecticut!!Margin of Error</t>
  </si>
  <si>
    <t>Census Tract 4771.02, Hartford County, Connecticut!!Margin of Error</t>
  </si>
  <si>
    <t>Census Tract 4772, Hartford County, Connecticut!!Margin of Error</t>
  </si>
  <si>
    <t>Census Tract 4803, Hartford County, Connecticut!!Margin of Error</t>
  </si>
  <si>
    <t>Census Tract 4804, Hartford County, Connecticut!!Margin of Error</t>
  </si>
  <si>
    <t>Census Tract 4805, Hartford County, Connecticut!!Margin of Error</t>
  </si>
  <si>
    <t>Census Tract 4806, Hartford County, Connecticut!!Margin of Error</t>
  </si>
  <si>
    <t>Census Tract 4807, Hartford County, Connecticut!!Margin of Error</t>
  </si>
  <si>
    <t>Census Tract 4808, Hartford County, Connecticut!!Margin of Error</t>
  </si>
  <si>
    <t>Census Tract 4809, Hartford County, Connecticut!!Margin of Error</t>
  </si>
  <si>
    <t>Census Tract 4810, Hartford County, Connecticut!!Margin of Error</t>
  </si>
  <si>
    <t>Census Tract 4811, Hartford County, Connecticut!!Margin of Error</t>
  </si>
  <si>
    <t>Census Tract 4812, Hartford County, Connecticut!!Margin of Error</t>
  </si>
  <si>
    <t>Census Tract 4813, Hartford County, Connecticut!!Margin of Error</t>
  </si>
  <si>
    <t>Census Tract 4841, Hartford County, Connecticut!!Margin of Error</t>
  </si>
  <si>
    <t>Census Tract 4842, Hartford County, Connecticut!!Margin of Error</t>
  </si>
  <si>
    <t>Census Tract 4871, Hartford County, Connecticut!!Margin of Error</t>
  </si>
  <si>
    <t>Census Tract 4872.01, Hartford County, Connecticut!!Margin of Error</t>
  </si>
  <si>
    <t>Census Tract 4872.02, Hartford County, Connecticut!!Margin of Error</t>
  </si>
  <si>
    <t>Census Tract 4873, Hartford County, Connecticut!!Margin of Error</t>
  </si>
  <si>
    <t>Census Tract 4874, Hartford County, Connecticut!!Margin of Error</t>
  </si>
  <si>
    <t>Census Tract 4875, Hartford County, Connecticut!!Margin of Error</t>
  </si>
  <si>
    <t>Census Tract 4901, Hartford County, Connecticut!!Margin of Error</t>
  </si>
  <si>
    <t>Census Tract 4903.02, Hartford County, Connecticut!!Margin of Error</t>
  </si>
  <si>
    <t>Census Tract 4921, Hartford County, Connecticut!!Margin of Error</t>
  </si>
  <si>
    <t>Census Tract 4922, Hartford County, Connecticut!!Margin of Error</t>
  </si>
  <si>
    <t>Census Tract 4923, Hartford County, Connecticut!!Margin of Error</t>
  </si>
  <si>
    <t>Census Tract 4924, Hartford County, Connecticut!!Margin of Error</t>
  </si>
  <si>
    <t>Census Tract 4925, Hartford County, Connecticut!!Margin of Error</t>
  </si>
  <si>
    <t>Census Tract 4926, Hartford County, Connecticut!!Margin of Error</t>
  </si>
  <si>
    <t>Census Tract 4941, Hartford County, Connecticut!!Margin of Error</t>
  </si>
  <si>
    <t>Census Tract 4942.01, Hartford County, Connecticut!!Margin of Error</t>
  </si>
  <si>
    <t>Census Tract 4942.02, Hartford County, Connecticut!!Margin of Error</t>
  </si>
  <si>
    <t>Census Tract 4943, Hartford County, Connecticut!!Margin of Error</t>
  </si>
  <si>
    <t>Census Tract 4944, Hartford County, Connecticut!!Margin of Error</t>
  </si>
  <si>
    <t>Census Tract 4945, Hartford County, Connecticut!!Margin of Error</t>
  </si>
  <si>
    <t>Census Tract 4946, Hartford County, Connecticut!!Margin of Error</t>
  </si>
  <si>
    <t>Census Tract 4961, Hartford County, Connecticut!!Margin of Error</t>
  </si>
  <si>
    <t>Census Tract 4962, Hartford County, Connecticut!!Margin of Error</t>
  </si>
  <si>
    <t>Census Tract 4963, Hartford County, Connecticut!!Margin of Error</t>
  </si>
  <si>
    <t>Census Tract 4964, Hartford County, Connecticut!!Margin of Error</t>
  </si>
  <si>
    <t>Census Tract 4965, Hartford County, Connecticut!!Margin of Error</t>
  </si>
  <si>
    <t>Census Tract 4966, Hartford County, Connecticut!!Margin of Error</t>
  </si>
  <si>
    <t>Census Tract 4967, Hartford County, Connecticut!!Margin of Error</t>
  </si>
  <si>
    <t>Census Tract 4968, Hartford County, Connecticut!!Margin of Error</t>
  </si>
  <si>
    <t>Census Tract 4969, Hartford County, Connecticut!!Margin of Error</t>
  </si>
  <si>
    <t>Census Tract 4970, Hartford County, Connecticut!!Margin of Error</t>
  </si>
  <si>
    <t>Census Tract 4971, Hartford County, Connecticut!!Margin of Error</t>
  </si>
  <si>
    <t>Census Tract 4972, Hartford County, Connecticut!!Margin of Error</t>
  </si>
  <si>
    <t>Census Tract 4973, Hartford County, Connecticut!!Margin of Error</t>
  </si>
  <si>
    <t>Census Tract 4974, Hartford County, Connecticut!!Margin of Error</t>
  </si>
  <si>
    <t>Census Tract 4975, Hartford County, Connecticut!!Margin of Error</t>
  </si>
  <si>
    <t>Census Tract 4976, Hartford County, Connecticut!!Margin of Error</t>
  </si>
  <si>
    <t>Census Tract 4977, Hartford County, Connecticut!!Margin of Error</t>
  </si>
  <si>
    <t>Census Tract 5001, Hartford County, Connecticut!!Margin of Error</t>
  </si>
  <si>
    <t>Census Tract 5002, Hartford County, Connecticut!!Margin of Error</t>
  </si>
  <si>
    <t>Census Tract 5003, Hartford County, Connecticut!!Margin of Error</t>
  </si>
  <si>
    <t>Census Tract 5004, Hartford County, Connecticut!!Margin of Error</t>
  </si>
  <si>
    <t>Census Tract 5005, Hartford County, Connecticut!!Margin of Error</t>
  </si>
  <si>
    <t>Census Tract 5007, Hartford County, Connecticut!!Margin of Error</t>
  </si>
  <si>
    <t>Census Tract 5009, Hartford County, Connecticut!!Margin of Error</t>
  </si>
  <si>
    <t>Census Tract 5012, Hartford County, Connecticut!!Margin of Error</t>
  </si>
  <si>
    <t>Census Tract 5013, Hartford County, Connecticut!!Margin of Error</t>
  </si>
  <si>
    <t>Census Tract 5014, Hartford County, Connecticut!!Margin of Error</t>
  </si>
  <si>
    <t>Census Tract 5015, Hartford County, Connecticut!!Margin of Error</t>
  </si>
  <si>
    <t>Census Tract 5017, Hartford County, Connecticut!!Margin of Error</t>
  </si>
  <si>
    <t>Census Tract 5018, Hartford County, Connecticut!!Margin of Error</t>
  </si>
  <si>
    <t>Census Tract 5021, Hartford County, Connecticut!!Margin of Error</t>
  </si>
  <si>
    <t>Census Tract 5023, Hartford County, Connecticut!!Margin of Error</t>
  </si>
  <si>
    <t>Census Tract 5024, Hartford County, Connecticut!!Margin of Error</t>
  </si>
  <si>
    <t>Census Tract 5025, Hartford County, Connecticut!!Margin of Error</t>
  </si>
  <si>
    <t>Census Tract 5026, Hartford County, Connecticut!!Margin of Error</t>
  </si>
  <si>
    <t>Census Tract 5027, Hartford County, Connecticut!!Margin of Error</t>
  </si>
  <si>
    <t>Census Tract 5028, Hartford County, Connecticut!!Margin of Error</t>
  </si>
  <si>
    <t>Census Tract 5029, Hartford County, Connecticut!!Margin of Error</t>
  </si>
  <si>
    <t>Census Tract 5030, Hartford County, Connecticut!!Margin of Error</t>
  </si>
  <si>
    <t>Census Tract 5031, Hartford County, Connecticut!!Margin of Error</t>
  </si>
  <si>
    <t>Census Tract 5033, Hartford County, Connecticut!!Margin of Error</t>
  </si>
  <si>
    <t>Census Tract 5035, Hartford County, Connecticut!!Margin of Error</t>
  </si>
  <si>
    <t>Census Tract 5037, Hartford County, Connecticut!!Margin of Error</t>
  </si>
  <si>
    <t>Census Tract 5038, Hartford County, Connecticut!!Margin of Error</t>
  </si>
  <si>
    <t>Census Tract 5039, Hartford County, Connecticut!!Margin of Error</t>
  </si>
  <si>
    <t>Census Tract 5040, Hartford County, Connecticut!!Margin of Error</t>
  </si>
  <si>
    <t>Census Tract 5041, Hartford County, Connecticut!!Margin of Error</t>
  </si>
  <si>
    <t>Census Tract 5042, Hartford County, Connecticut!!Margin of Error</t>
  </si>
  <si>
    <t>Census Tract 5043, Hartford County, Connecticut!!Margin of Error</t>
  </si>
  <si>
    <t>Census Tract 5045, Hartford County, Connecticut!!Margin of Error</t>
  </si>
  <si>
    <t>Census Tract 5048, Hartford County, Connecticut!!Margin of Error</t>
  </si>
  <si>
    <t>Census Tract 5049, Hartford County, Connecticut!!Margin of Error</t>
  </si>
  <si>
    <t>Census Tract 5101, Hartford County, Connecticut!!Margin of Error</t>
  </si>
  <si>
    <t>Census Tract 5102, Hartford County, Connecticut!!Margin of Error</t>
  </si>
  <si>
    <t>Census Tract 5103, Hartford County, Connecticut!!Margin of Error</t>
  </si>
  <si>
    <t>Census Tract 5104, Hartford County, Connecticut!!Margin of Error</t>
  </si>
  <si>
    <t>Census Tract 5105, Hartford County, Connecticut!!Margin of Error</t>
  </si>
  <si>
    <t>Census Tract 5106, Hartford County, Connecticut!!Margin of Error</t>
  </si>
  <si>
    <t>Census Tract 5107, Hartford County, Connecticut!!Margin of Error</t>
  </si>
  <si>
    <t>Census Tract 5108, Hartford County, Connecticut!!Margin of Error</t>
  </si>
  <si>
    <t>Census Tract 5109, Hartford County, Connecticut!!Margin of Error</t>
  </si>
  <si>
    <t>Census Tract 5110, Hartford County, Connecticut!!Margin of Error</t>
  </si>
  <si>
    <t>Census Tract 5111, Hartford County, Connecticut!!Margin of Error</t>
  </si>
  <si>
    <t>Census Tract 5112, Hartford County, Connecticut!!Margin of Error</t>
  </si>
  <si>
    <t>Census Tract 5113, Hartford County, Connecticut!!Margin of Error</t>
  </si>
  <si>
    <t>Census Tract 5114, Hartford County, Connecticut!!Margin of Error</t>
  </si>
  <si>
    <t>Census Tract 5141.01, Hartford County, Connecticut!!Margin of Error</t>
  </si>
  <si>
    <t>Census Tract 5141.02, Hartford County, Connecticut!!Margin of Error</t>
  </si>
  <si>
    <t>Census Tract 5142, Hartford County, Connecticut!!Margin of Error</t>
  </si>
  <si>
    <t>Census Tract 5143, Hartford County, Connecticut!!Margin of Error</t>
  </si>
  <si>
    <t>Census Tract 5144, Hartford County, Connecticut!!Margin of Error</t>
  </si>
  <si>
    <t>Census Tract 5145, Hartford County, Connecticut!!Margin of Error</t>
  </si>
  <si>
    <t>Census Tract 5146, Hartford County, Connecticut!!Margin of Error</t>
  </si>
  <si>
    <t>Census Tract 5147, Hartford County, Connecticut!!Margin of Error</t>
  </si>
  <si>
    <t>Census Tract 5148, Hartford County, Connecticut!!Margin of Error</t>
  </si>
  <si>
    <t>Census Tract 5149, Hartford County, Connecticut!!Margin of Error</t>
  </si>
  <si>
    <t>Census Tract 5150, Hartford County, Connecticut!!Margin of Error</t>
  </si>
  <si>
    <t>Census Tract 5151.01, Hartford County, Connecticut!!Margin of Error</t>
  </si>
  <si>
    <t>Census Tract 5151.02, Hartford County, Connecticut!!Margin of Error</t>
  </si>
  <si>
    <t>Census Tract 5152, Hartford County, Connecticut!!Margin of Error</t>
  </si>
  <si>
    <t>Census Tract 5201, Hartford County, Connecticut!!Margin of Error</t>
  </si>
  <si>
    <t>Census Tract 5202.01, Hartford County, Connecticut!!Margin of Error</t>
  </si>
  <si>
    <t>Census Tract 5202.02, Hartford County, Connecticut!!Margin of Error</t>
  </si>
  <si>
    <t>Census Tract 5203.01, Hartford County, Connecticut!!Margin of Error</t>
  </si>
  <si>
    <t>Census Tract 5203.02, Hartford County, Connecticut!!Margin of Error</t>
  </si>
  <si>
    <t>Census Tract 5204, Hartford County, Connecticut!!Margin of Error</t>
  </si>
  <si>
    <t>Census Tract 5205.01, Hartford County, Connecticut!!Margin of Error</t>
  </si>
  <si>
    <t>Census Tract 5241, Hartford County, Connecticut!!Margin of Error</t>
  </si>
  <si>
    <t>Census Tract 5242, Hartford County, Connecticut!!Margin of Error</t>
  </si>
  <si>
    <t>Census Tract 5243, Hartford County, Connecticut!!Margin of Error</t>
  </si>
  <si>
    <t>Census Tract 5244, Hartford County, Connecticut!!Margin of Error</t>
  </si>
  <si>
    <t>Census Tract 5245.01, Hartford County, Connecticut!!Margin of Error</t>
  </si>
  <si>
    <t>Census Tract 5245.02, Hartford County, Connecticut!!Margin of Error</t>
  </si>
  <si>
    <t>Census Tract 5246, Hartford County, Connecticut!!Margin of Error</t>
  </si>
  <si>
    <t>Census Tract 5247, Hartford County, Connecticut!!Margin of Error</t>
  </si>
  <si>
    <t>Census Tract 9800, Hartford County, Connecticut!!Margin of Error</t>
  </si>
  <si>
    <t>Census Tract 2501, Litchfield County, Connecticut!!Margin of Error</t>
  </si>
  <si>
    <t>Census Tract 2531, Litchfield County, Connecticut!!Margin of Error</t>
  </si>
  <si>
    <t>Census Tract 2532, Litchfield County, Connecticut!!Margin of Error</t>
  </si>
  <si>
    <t>Census Tract 2533, Litchfield County, Connecticut!!Margin of Error</t>
  </si>
  <si>
    <t>Census Tract 2534, Litchfield County, Connecticut!!Margin of Error</t>
  </si>
  <si>
    <t>Census Tract 2535, Litchfield County, Connecticut!!Margin of Error</t>
  </si>
  <si>
    <t>Census Tract 2536, Litchfield County, Connecticut!!Margin of Error</t>
  </si>
  <si>
    <t>Census Tract 2602, Litchfield County, Connecticut!!Margin of Error</t>
  </si>
  <si>
    <t>Census Tract 2611, Litchfield County, Connecticut!!Margin of Error</t>
  </si>
  <si>
    <t>Census Tract 2621, Litchfield County, Connecticut!!Margin of Error</t>
  </si>
  <si>
    <t>Census Tract 2632, Litchfield County, Connecticut!!Margin of Error</t>
  </si>
  <si>
    <t>Census Tract 2651, Litchfield County, Connecticut!!Margin of Error</t>
  </si>
  <si>
    <t>Census Tract 2661, Litchfield County, Connecticut!!Margin of Error</t>
  </si>
  <si>
    <t>Census Tract 2671, Litchfield County, Connecticut!!Margin of Error</t>
  </si>
  <si>
    <t>Census Tract 2681, Litchfield County, Connecticut!!Margin of Error</t>
  </si>
  <si>
    <t>Census Tract 2901, Litchfield County, Connecticut!!Margin of Error</t>
  </si>
  <si>
    <t>Census Tract 2931, Litchfield County, Connecticut!!Margin of Error</t>
  </si>
  <si>
    <t>Census Tract 2961, Litchfield County, Connecticut!!Margin of Error</t>
  </si>
  <si>
    <t>Census Tract 2983, Litchfield County, Connecticut!!Margin of Error</t>
  </si>
  <si>
    <t>Census Tract 2984, Litchfield County, Connecticut!!Margin of Error</t>
  </si>
  <si>
    <t>Census Tract 3001, Litchfield County, Connecticut!!Margin of Error</t>
  </si>
  <si>
    <t>Census Tract 3004, Litchfield County, Connecticut!!Margin of Error</t>
  </si>
  <si>
    <t>Census Tract 3005, Litchfield County, Connecticut!!Margin of Error</t>
  </si>
  <si>
    <t>Census Tract 3031, Litchfield County, Connecticut!!Margin of Error</t>
  </si>
  <si>
    <t>Census Tract 3061, Litchfield County, Connecticut!!Margin of Error</t>
  </si>
  <si>
    <t>Census Tract 3101, Litchfield County, Connecticut!!Margin of Error</t>
  </si>
  <si>
    <t>Census Tract 3102, Litchfield County, Connecticut!!Margin of Error</t>
  </si>
  <si>
    <t>Census Tract 3103, Litchfield County, Connecticut!!Margin of Error</t>
  </si>
  <si>
    <t>Census Tract 3104, Litchfield County, Connecticut!!Margin of Error</t>
  </si>
  <si>
    <t>Census Tract 3105, Litchfield County, Connecticut!!Margin of Error</t>
  </si>
  <si>
    <t>Census Tract 3106.01, Litchfield County, Connecticut!!Margin of Error</t>
  </si>
  <si>
    <t>Census Tract 3106.02, Litchfield County, Connecticut!!Margin of Error</t>
  </si>
  <si>
    <t>Census Tract 3107, Litchfield County, Connecticut!!Margin of Error</t>
  </si>
  <si>
    <t>Census Tract 3108.01, Litchfield County, Connecticut!!Margin of Error</t>
  </si>
  <si>
    <t>Census Tract 3108.03, Litchfield County, Connecticut!!Margin of Error</t>
  </si>
  <si>
    <t>Census Tract 3108.04, Litchfield County, Connecticut!!Margin of Error</t>
  </si>
  <si>
    <t>Census Tract 3201, Litchfield County, Connecticut!!Margin of Error</t>
  </si>
  <si>
    <t>Census Tract 3202, Litchfield County, Connecticut!!Margin of Error</t>
  </si>
  <si>
    <t>Census Tract 3421, Litchfield County, Connecticut!!Margin of Error</t>
  </si>
  <si>
    <t>Census Tract 3491, Litchfield County, Connecticut!!Margin of Error</t>
  </si>
  <si>
    <t>Census Tract 3492, Litchfield County, Connecticut!!Margin of Error</t>
  </si>
  <si>
    <t>Census Tract 3601, Litchfield County, Connecticut!!Margin of Error</t>
  </si>
  <si>
    <t>Census Tract 3602, Litchfield County, Connecticut!!Margin of Error</t>
  </si>
  <si>
    <t>Census Tract 3603, Litchfield County, Connecticut!!Margin of Error</t>
  </si>
  <si>
    <t>Census Tract 3604, Litchfield County, Connecticut!!Margin of Error</t>
  </si>
  <si>
    <t>Census Tract 3621.01, Litchfield County, Connecticut!!Margin of Error</t>
  </si>
  <si>
    <t>Census Tract 3621.02, Litchfield County, Connecticut!!Margin of Error</t>
  </si>
  <si>
    <t>Census Tract 4253, Litchfield County, Connecticut!!Margin of Error</t>
  </si>
  <si>
    <t>Census Tract 4254, Litchfield County, Connecticut!!Margin of Error</t>
  </si>
  <si>
    <t>Census Tract 4255, Litchfield County, Connecticut!!Margin of Error</t>
  </si>
  <si>
    <t>Census Tract 4256, Litchfield County, Connecticut!!Margin of Error</t>
  </si>
  <si>
    <t>Census Tract 5411, Middlesex County, Connecticut!!Margin of Error</t>
  </si>
  <si>
    <t>Census Tract 5412, Middlesex County, Connecticut!!Margin of Error</t>
  </si>
  <si>
    <t>Census Tract 5413, Middlesex County, Connecticut!!Margin of Error</t>
  </si>
  <si>
    <t>Census Tract 5414.01, Middlesex County, Connecticut!!Margin of Error</t>
  </si>
  <si>
    <t>Census Tract 5414.02, Middlesex County, Connecticut!!Margin of Error</t>
  </si>
  <si>
    <t>Census Tract 5415, Middlesex County, Connecticut!!Margin of Error</t>
  </si>
  <si>
    <t>Census Tract 5416, Middlesex County, Connecticut!!Margin of Error</t>
  </si>
  <si>
    <t>Census Tract 5417, Middlesex County, Connecticut!!Margin of Error</t>
  </si>
  <si>
    <t>Census Tract 5420, Middlesex County, Connecticut!!Margin of Error</t>
  </si>
  <si>
    <t>Census Tract 5421, Middlesex County, Connecticut!!Margin of Error</t>
  </si>
  <si>
    <t>Census Tract 5422, Middlesex County, Connecticut!!Margin of Error</t>
  </si>
  <si>
    <t>Census Tract 5501, Middlesex County, Connecticut!!Margin of Error</t>
  </si>
  <si>
    <t>Census Tract 5502.01, Middlesex County, Connecticut!!Margin of Error</t>
  </si>
  <si>
    <t>Census Tract 5502.02, Middlesex County, Connecticut!!Margin of Error</t>
  </si>
  <si>
    <t>Census Tract 5601, Middlesex County, Connecticut!!Margin of Error</t>
  </si>
  <si>
    <t>Census Tract 5602, Middlesex County, Connecticut!!Margin of Error</t>
  </si>
  <si>
    <t>Census Tract 5701, Middlesex County, Connecticut!!Margin of Error</t>
  </si>
  <si>
    <t>Census Tract 5702, Middlesex County, Connecticut!!Margin of Error</t>
  </si>
  <si>
    <t>Census Tract 5703, Middlesex County, Connecticut!!Margin of Error</t>
  </si>
  <si>
    <t>Census Tract 5801, Middlesex County, Connecticut!!Margin of Error</t>
  </si>
  <si>
    <t>Census Tract 5851, Middlesex County, Connecticut!!Margin of Error</t>
  </si>
  <si>
    <t>Census Tract 5901, Middlesex County, Connecticut!!Margin of Error</t>
  </si>
  <si>
    <t>Census Tract 5951.01, Middlesex County, Connecticut!!Margin of Error</t>
  </si>
  <si>
    <t>Census Tract 5951.02, Middlesex County, Connecticut!!Margin of Error</t>
  </si>
  <si>
    <t>Census Tract 6001, Middlesex County, Connecticut!!Margin of Error</t>
  </si>
  <si>
    <t>Census Tract 6101, Middlesex County, Connecticut!!Margin of Error</t>
  </si>
  <si>
    <t>Census Tract 6102, Middlesex County, Connecticut!!Margin of Error</t>
  </si>
  <si>
    <t>Census Tract 6103, Middlesex County, Connecticut!!Margin of Error</t>
  </si>
  <si>
    <t>Census Tract 6104, Middlesex County, Connecticut!!Margin of Error</t>
  </si>
  <si>
    <t>Census Tract 6201, Middlesex County, Connecticut!!Margin of Error</t>
  </si>
  <si>
    <t>Census Tract 6301, Middlesex County, Connecticut!!Margin of Error</t>
  </si>
  <si>
    <t>Census Tract 6401, Middlesex County, Connecticut!!Margin of Error</t>
  </si>
  <si>
    <t>Census Tract 6701, Middlesex County, Connecticut!!Margin of Error</t>
  </si>
  <si>
    <t>Census Tract 6702, Middlesex County, Connecticut!!Margin of Error</t>
  </si>
  <si>
    <t>Census Tract 6801, Middlesex County, Connecticut!!Margin of Error</t>
  </si>
  <si>
    <t>Census Tract 6802, Middlesex County, Connecticut!!Margin of Error</t>
  </si>
  <si>
    <t>Census Tract 9901, Middlesex County, Connecticut!!Margin of Error</t>
  </si>
  <si>
    <t>Census Tract 1201, New Haven County, Connecticut!!Margin of Error</t>
  </si>
  <si>
    <t>Census Tract 1202, New Haven County, Connecticut!!Margin of Error</t>
  </si>
  <si>
    <t>Census Tract 1251, New Haven County, Connecticut!!Margin of Error</t>
  </si>
  <si>
    <t>Census Tract 1252, New Haven County, Connecticut!!Margin of Error</t>
  </si>
  <si>
    <t>Census Tract 1253, New Haven County, Connecticut!!Margin of Error</t>
  </si>
  <si>
    <t>Census Tract 1254, New Haven County, Connecticut!!Margin of Error</t>
  </si>
  <si>
    <t>Census Tract 1301.01, New Haven County, Connecticut!!Margin of Error</t>
  </si>
  <si>
    <t>Census Tract 1301.02, New Haven County, Connecticut!!Margin of Error</t>
  </si>
  <si>
    <t>Census Tract 1302, New Haven County, Connecticut!!Margin of Error</t>
  </si>
  <si>
    <t>Census Tract 1401, New Haven County, Connecticut!!Margin of Error</t>
  </si>
  <si>
    <t>Census Tract 1402, New Haven County, Connecticut!!Margin of Error</t>
  </si>
  <si>
    <t>Census Tract 1403, New Haven County, Connecticut!!Margin of Error</t>
  </si>
  <si>
    <t>Census Tract 1404, New Haven County, Connecticut!!Margin of Error</t>
  </si>
  <si>
    <t>Census Tract 1405, New Haven County, Connecticut!!Margin of Error</t>
  </si>
  <si>
    <t>Census Tract 1406, New Haven County, Connecticut!!Margin of Error</t>
  </si>
  <si>
    <t>Census Tract 1407, New Haven County, Connecticut!!Margin of Error</t>
  </si>
  <si>
    <t>Census Tract 1408, New Haven County, Connecticut!!Margin of Error</t>
  </si>
  <si>
    <t>Census Tract 1409, New Haven County, Connecticut!!Margin of Error</t>
  </si>
  <si>
    <t>Census Tract 1410, New Haven County, Connecticut!!Margin of Error</t>
  </si>
  <si>
    <t>Census Tract 1411, New Haven County, Connecticut!!Margin of Error</t>
  </si>
  <si>
    <t>Census Tract 1412, New Haven County, Connecticut!!Margin of Error</t>
  </si>
  <si>
    <t>Census Tract 1413, New Haven County, Connecticut!!Margin of Error</t>
  </si>
  <si>
    <t>Census Tract 1414, New Haven County, Connecticut!!Margin of Error</t>
  </si>
  <si>
    <t>Census Tract 1415, New Haven County, Connecticut!!Margin of Error</t>
  </si>
  <si>
    <t>Census Tract 1416, New Haven County, Connecticut!!Margin of Error</t>
  </si>
  <si>
    <t>Census Tract 1418, New Haven County, Connecticut!!Margin of Error</t>
  </si>
  <si>
    <t>Census Tract 1419, New Haven County, Connecticut!!Margin of Error</t>
  </si>
  <si>
    <t>Census Tract 1420, New Haven County, Connecticut!!Margin of Error</t>
  </si>
  <si>
    <t>Census Tract 1421, New Haven County, Connecticut!!Margin of Error</t>
  </si>
  <si>
    <t>Census Tract 1422, New Haven County, Connecticut!!Margin of Error</t>
  </si>
  <si>
    <t>Census Tract 1423, New Haven County, Connecticut!!Margin of Error</t>
  </si>
  <si>
    <t>Census Tract 1424, New Haven County, Connecticut!!Margin of Error</t>
  </si>
  <si>
    <t>Census Tract 1425, New Haven County, Connecticut!!Margin of Error</t>
  </si>
  <si>
    <t>Census Tract 1426.01, New Haven County, Connecticut!!Margin of Error</t>
  </si>
  <si>
    <t>Census Tract 1426.03, New Haven County, Connecticut!!Margin of Error</t>
  </si>
  <si>
    <t>Census Tract 1426.04, New Haven County, Connecticut!!Margin of Error</t>
  </si>
  <si>
    <t>Census Tract 1427, New Haven County, Connecticut!!Margin of Error</t>
  </si>
  <si>
    <t>Census Tract 1428, New Haven County, Connecticut!!Margin of Error</t>
  </si>
  <si>
    <t>Census Tract 1501, New Haven County, Connecticut!!Margin of Error</t>
  </si>
  <si>
    <t>Census Tract 1502, New Haven County, Connecticut!!Margin of Error</t>
  </si>
  <si>
    <t>Census Tract 1503, New Haven County, Connecticut!!Margin of Error</t>
  </si>
  <si>
    <t>Census Tract 1504, New Haven County, Connecticut!!Margin of Error</t>
  </si>
  <si>
    <t>Census Tract 1505, New Haven County, Connecticut!!Margin of Error</t>
  </si>
  <si>
    <t>Census Tract 1506, New Haven County, Connecticut!!Margin of Error</t>
  </si>
  <si>
    <t>Census Tract 1507, New Haven County, Connecticut!!Margin of Error</t>
  </si>
  <si>
    <t>Census Tract 1508, New Haven County, Connecticut!!Margin of Error</t>
  </si>
  <si>
    <t>Census Tract 1509, New Haven County, Connecticut!!Margin of Error</t>
  </si>
  <si>
    <t>Census Tract 1510, New Haven County, Connecticut!!Margin of Error</t>
  </si>
  <si>
    <t>Census Tract 1511, New Haven County, Connecticut!!Margin of Error</t>
  </si>
  <si>
    <t>Census Tract 1512, New Haven County, Connecticut!!Margin of Error</t>
  </si>
  <si>
    <t>Census Tract 1541, New Haven County, Connecticut!!Margin of Error</t>
  </si>
  <si>
    <t>Census Tract 1542, New Haven County, Connecticut!!Margin of Error</t>
  </si>
  <si>
    <t>Census Tract 1545, New Haven County, Connecticut!!Margin of Error</t>
  </si>
  <si>
    <t>Census Tract 1546, New Haven County, Connecticut!!Margin of Error</t>
  </si>
  <si>
    <t>Census Tract 1547, New Haven County, Connecticut!!Margin of Error</t>
  </si>
  <si>
    <t>Census Tract 1548, New Haven County, Connecticut!!Margin of Error</t>
  </si>
  <si>
    <t>Census Tract 1549, New Haven County, Connecticut!!Margin of Error</t>
  </si>
  <si>
    <t>Census Tract 1550, New Haven County, Connecticut!!Margin of Error</t>
  </si>
  <si>
    <t>Census Tract 1551, New Haven County, Connecticut!!Margin of Error</t>
  </si>
  <si>
    <t>Census Tract 1571, New Haven County, Connecticut!!Margin of Error</t>
  </si>
  <si>
    <t>Census Tract 1572, New Haven County, Connecticut!!Margin of Error</t>
  </si>
  <si>
    <t>Census Tract 1573, New Haven County, Connecticut!!Margin of Error</t>
  </si>
  <si>
    <t>Census Tract 1574, New Haven County, Connecticut!!Margin of Error</t>
  </si>
  <si>
    <t>Census Tract 1601, New Haven County, Connecticut!!Margin of Error</t>
  </si>
  <si>
    <t>Census Tract 1602, New Haven County, Connecticut!!Margin of Error</t>
  </si>
  <si>
    <t>Census Tract 1611, New Haven County, Connecticut!!Margin of Error</t>
  </si>
  <si>
    <t>Census Tract 1651, New Haven County, Connecticut!!Margin of Error</t>
  </si>
  <si>
    <t>Census Tract 1652, New Haven County, Connecticut!!Margin of Error</t>
  </si>
  <si>
    <t>Census Tract 1653, New Haven County, Connecticut!!Margin of Error</t>
  </si>
  <si>
    <t>Census Tract 1654, New Haven County, Connecticut!!Margin of Error</t>
  </si>
  <si>
    <t>Census Tract 1655, New Haven County, Connecticut!!Margin of Error</t>
  </si>
  <si>
    <t>Census Tract 1656, New Haven County, Connecticut!!Margin of Error</t>
  </si>
  <si>
    <t>Census Tract 1657, New Haven County, Connecticut!!Margin of Error</t>
  </si>
  <si>
    <t>Census Tract 1658.01, New Haven County, Connecticut!!Margin of Error</t>
  </si>
  <si>
    <t>Census Tract 1658.02, New Haven County, Connecticut!!Margin of Error</t>
  </si>
  <si>
    <t>Census Tract 1659, New Haven County, Connecticut!!Margin of Error</t>
  </si>
  <si>
    <t>Census Tract 1660.01, New Haven County, Connecticut!!Margin of Error</t>
  </si>
  <si>
    <t>Census Tract 1660.02, New Haven County, Connecticut!!Margin of Error</t>
  </si>
  <si>
    <t>Census Tract 1671, New Haven County, Connecticut!!Margin of Error</t>
  </si>
  <si>
    <t>Census Tract 1672.01, New Haven County, Connecticut!!Margin of Error</t>
  </si>
  <si>
    <t>Census Tract 1672.02, New Haven County, Connecticut!!Margin of Error</t>
  </si>
  <si>
    <t>Census Tract 1673, New Haven County, Connecticut!!Margin of Error</t>
  </si>
  <si>
    <t>Census Tract 1701, New Haven County, Connecticut!!Margin of Error</t>
  </si>
  <si>
    <t>Census Tract 1702, New Haven County, Connecticut!!Margin of Error</t>
  </si>
  <si>
    <t>Census Tract 1703, New Haven County, Connecticut!!Margin of Error</t>
  </si>
  <si>
    <t>Census Tract 1704, New Haven County, Connecticut!!Margin of Error</t>
  </si>
  <si>
    <t>Census Tract 1705, New Haven County, Connecticut!!Margin of Error</t>
  </si>
  <si>
    <t>Census Tract 1706, New Haven County, Connecticut!!Margin of Error</t>
  </si>
  <si>
    <t>Census Tract 1707, New Haven County, Connecticut!!Margin of Error</t>
  </si>
  <si>
    <t>Census Tract 1708, New Haven County, Connecticut!!Margin of Error</t>
  </si>
  <si>
    <t>Census Tract 1709, New Haven County, Connecticut!!Margin of Error</t>
  </si>
  <si>
    <t>Census Tract 1710, New Haven County, Connecticut!!Margin of Error</t>
  </si>
  <si>
    <t>Census Tract 1711, New Haven County, Connecticut!!Margin of Error</t>
  </si>
  <si>
    <t>Census Tract 1712, New Haven County, Connecticut!!Margin of Error</t>
  </si>
  <si>
    <t>Census Tract 1713, New Haven County, Connecticut!!Margin of Error</t>
  </si>
  <si>
    <t>Census Tract 1714, New Haven County, Connecticut!!Margin of Error</t>
  </si>
  <si>
    <t>Census Tract 1715, New Haven County, Connecticut!!Margin of Error</t>
  </si>
  <si>
    <t>Census Tract 1716, New Haven County, Connecticut!!Margin of Error</t>
  </si>
  <si>
    <t>Census Tract 1717, New Haven County, Connecticut!!Margin of Error</t>
  </si>
  <si>
    <t>Census Tract 1751, New Haven County, Connecticut!!Margin of Error</t>
  </si>
  <si>
    <t>Census Tract 1752, New Haven County, Connecticut!!Margin of Error</t>
  </si>
  <si>
    <t>Census Tract 1753, New Haven County, Connecticut!!Margin of Error</t>
  </si>
  <si>
    <t>Census Tract 1754, New Haven County, Connecticut!!Margin of Error</t>
  </si>
  <si>
    <t>Census Tract 1755, New Haven County, Connecticut!!Margin of Error</t>
  </si>
  <si>
    <t>Census Tract 1756, New Haven County, Connecticut!!Margin of Error</t>
  </si>
  <si>
    <t>Census Tract 1757, New Haven County, Connecticut!!Margin of Error</t>
  </si>
  <si>
    <t>Census Tract 1758, New Haven County, Connecticut!!Margin of Error</t>
  </si>
  <si>
    <t>Census Tract 1759, New Haven County, Connecticut!!Margin of Error</t>
  </si>
  <si>
    <t>Census Tract 1760, New Haven County, Connecticut!!Margin of Error</t>
  </si>
  <si>
    <t>Census Tract 1801, New Haven County, Connecticut!!Margin of Error</t>
  </si>
  <si>
    <t>Census Tract 1802, New Haven County, Connecticut!!Margin of Error</t>
  </si>
  <si>
    <t>Census Tract 1803, New Haven County, Connecticut!!Margin of Error</t>
  </si>
  <si>
    <t>Census Tract 1804, New Haven County, Connecticut!!Margin of Error</t>
  </si>
  <si>
    <t>Census Tract 1805, New Haven County, Connecticut!!Margin of Error</t>
  </si>
  <si>
    <t>Census Tract 1806.01, New Haven County, Connecticut!!Margin of Error</t>
  </si>
  <si>
    <t>Census Tract 1806.02, New Haven County, Connecticut!!Margin of Error</t>
  </si>
  <si>
    <t>Census Tract 1841, New Haven County, Connecticut!!Margin of Error</t>
  </si>
  <si>
    <t>Census Tract 1842, New Haven County, Connecticut!!Margin of Error</t>
  </si>
  <si>
    <t>Census Tract 1843, New Haven County, Connecticut!!Margin of Error</t>
  </si>
  <si>
    <t>Census Tract 1844, New Haven County, Connecticut!!Margin of Error</t>
  </si>
  <si>
    <t>Census Tract 1845, New Haven County, Connecticut!!Margin of Error</t>
  </si>
  <si>
    <t>Census Tract 1846, New Haven County, Connecticut!!Margin of Error</t>
  </si>
  <si>
    <t>Census Tract 1847, New Haven County, Connecticut!!Margin of Error</t>
  </si>
  <si>
    <t>Census Tract 1861, New Haven County, Connecticut!!Margin of Error</t>
  </si>
  <si>
    <t>Census Tract 1862, New Haven County, Connecticut!!Margin of Error</t>
  </si>
  <si>
    <t>Census Tract 1901, New Haven County, Connecticut!!Margin of Error</t>
  </si>
  <si>
    <t>Census Tract 1902, New Haven County, Connecticut!!Margin of Error</t>
  </si>
  <si>
    <t>Census Tract 1903.01, New Haven County, Connecticut!!Margin of Error</t>
  </si>
  <si>
    <t>Census Tract 1903.02, New Haven County, Connecticut!!Margin of Error</t>
  </si>
  <si>
    <t>Census Tract 1903.03, New Haven County, Connecticut!!Margin of Error</t>
  </si>
  <si>
    <t>Census Tract 1941, New Haven County, Connecticut!!Margin of Error</t>
  </si>
  <si>
    <t>Census Tract 1942.01, New Haven County, Connecticut!!Margin of Error</t>
  </si>
  <si>
    <t>Census Tract 1942.02, New Haven County, Connecticut!!Margin of Error</t>
  </si>
  <si>
    <t>Census Tract 3411, New Haven County, Connecticut!!Margin of Error</t>
  </si>
  <si>
    <t>Census Tract 3431.01, New Haven County, Connecticut!!Margin of Error</t>
  </si>
  <si>
    <t>Census Tract 3431.02, New Haven County, Connecticut!!Margin of Error</t>
  </si>
  <si>
    <t>Census Tract 3432, New Haven County, Connecticut!!Margin of Error</t>
  </si>
  <si>
    <t>Census Tract 3433, New Haven County, Connecticut!!Margin of Error</t>
  </si>
  <si>
    <t>Census Tract 3434, New Haven County, Connecticut!!Margin of Error</t>
  </si>
  <si>
    <t>Census Tract 3441, New Haven County, Connecticut!!Margin of Error</t>
  </si>
  <si>
    <t>Census Tract 3442, New Haven County, Connecticut!!Margin of Error</t>
  </si>
  <si>
    <t>Census Tract 3451, New Haven County, Connecticut!!Margin of Error</t>
  </si>
  <si>
    <t>Census Tract 3452.01, New Haven County, Connecticut!!Margin of Error</t>
  </si>
  <si>
    <t>Census Tract 3452.02, New Haven County, Connecticut!!Margin of Error</t>
  </si>
  <si>
    <t>Census Tract 3453, New Haven County, Connecticut!!Margin of Error</t>
  </si>
  <si>
    <t>Census Tract 3454, New Haven County, Connecticut!!Margin of Error</t>
  </si>
  <si>
    <t>Census Tract 3461.01, New Haven County, Connecticut!!Margin of Error</t>
  </si>
  <si>
    <t>Census Tract 3461.02, New Haven County, Connecticut!!Margin of Error</t>
  </si>
  <si>
    <t>Census Tract 3471, New Haven County, Connecticut!!Margin of Error</t>
  </si>
  <si>
    <t>Census Tract 3472, New Haven County, Connecticut!!Margin of Error</t>
  </si>
  <si>
    <t>Census Tract 3481.11, New Haven County, Connecticut!!Margin of Error</t>
  </si>
  <si>
    <t>Census Tract 3481.22, New Haven County, Connecticut!!Margin of Error</t>
  </si>
  <si>
    <t>Census Tract 3481.23, New Haven County, Connecticut!!Margin of Error</t>
  </si>
  <si>
    <t>Census Tract 3481.24, New Haven County, Connecticut!!Margin of Error</t>
  </si>
  <si>
    <t>Census Tract 3481.25, New Haven County, Connecticut!!Margin of Error</t>
  </si>
  <si>
    <t>Census Tract 3501, New Haven County, Connecticut!!Margin of Error</t>
  </si>
  <si>
    <t>Census Tract 3502, New Haven County, Connecticut!!Margin of Error</t>
  </si>
  <si>
    <t>Census Tract 3503, New Haven County, Connecticut!!Margin of Error</t>
  </si>
  <si>
    <t>Census Tract 3504, New Haven County, Connecticut!!Margin of Error</t>
  </si>
  <si>
    <t>Census Tract 3505, New Haven County, Connecticut!!Margin of Error</t>
  </si>
  <si>
    <t>Census Tract 3508, New Haven County, Connecticut!!Margin of Error</t>
  </si>
  <si>
    <t>Census Tract 3509, New Haven County, Connecticut!!Margin of Error</t>
  </si>
  <si>
    <t>Census Tract 3510, New Haven County, Connecticut!!Margin of Error</t>
  </si>
  <si>
    <t>Census Tract 3511, New Haven County, Connecticut!!Margin of Error</t>
  </si>
  <si>
    <t>Census Tract 3512, New Haven County, Connecticut!!Margin of Error</t>
  </si>
  <si>
    <t>Census Tract 3513, New Haven County, Connecticut!!Margin of Error</t>
  </si>
  <si>
    <t>Census Tract 3514, New Haven County, Connecticut!!Margin of Error</t>
  </si>
  <si>
    <t>Census Tract 3515, New Haven County, Connecticut!!Margin of Error</t>
  </si>
  <si>
    <t>Census Tract 3516.01, New Haven County, Connecticut!!Margin of Error</t>
  </si>
  <si>
    <t>Census Tract 3516.02, New Haven County, Connecticut!!Margin of Error</t>
  </si>
  <si>
    <t>Census Tract 3517, New Haven County, Connecticut!!Margin of Error</t>
  </si>
  <si>
    <t>Census Tract 3518, New Haven County, Connecticut!!Margin of Error</t>
  </si>
  <si>
    <t>Census Tract 3519, New Haven County, Connecticut!!Margin of Error</t>
  </si>
  <si>
    <t>Census Tract 3520, New Haven County, Connecticut!!Margin of Error</t>
  </si>
  <si>
    <t>Census Tract 3521, New Haven County, Connecticut!!Margin of Error</t>
  </si>
  <si>
    <t>Census Tract 3522, New Haven County, Connecticut!!Margin of Error</t>
  </si>
  <si>
    <t>Census Tract 3523, New Haven County, Connecticut!!Margin of Error</t>
  </si>
  <si>
    <t>Census Tract 3524, New Haven County, Connecticut!!Margin of Error</t>
  </si>
  <si>
    <t>Census Tract 3525, New Haven County, Connecticut!!Margin of Error</t>
  </si>
  <si>
    <t>Census Tract 3526, New Haven County, Connecticut!!Margin of Error</t>
  </si>
  <si>
    <t>Census Tract 3527.01, New Haven County, Connecticut!!Margin of Error</t>
  </si>
  <si>
    <t>Census Tract 3527.02, New Haven County, Connecticut!!Margin of Error</t>
  </si>
  <si>
    <t>Census Tract 3528, New Haven County, Connecticut!!Margin of Error</t>
  </si>
  <si>
    <t>Census Tract 3611, New Haven County, Connecticut!!Margin of Error</t>
  </si>
  <si>
    <t>Census Tract 3612, New Haven County, Connecticut!!Margin of Error</t>
  </si>
  <si>
    <t>Census Tract 3613, New Haven County, Connecticut!!Margin of Error</t>
  </si>
  <si>
    <t>Census Tract 3614.01, New Haven County, Connecticut!!Margin of Error</t>
  </si>
  <si>
    <t>Census Tract 3614.02, New Haven County, Connecticut!!Margin of Error</t>
  </si>
  <si>
    <t>Census Tract 3615, New Haven County, Connecticut!!Margin of Error</t>
  </si>
  <si>
    <t>Census Tract 9900, New Haven County, Connecticut!!Margin of Error</t>
  </si>
  <si>
    <t>Census Tract 6501, New London County, Connecticut!!Margin of Error</t>
  </si>
  <si>
    <t>Census Tract 6601.01, New London County, Connecticut!!Margin of Error</t>
  </si>
  <si>
    <t>Census Tract 6601.02, New London County, Connecticut!!Margin of Error</t>
  </si>
  <si>
    <t>Census Tract 6903, New London County, Connecticut!!Margin of Error</t>
  </si>
  <si>
    <t>Census Tract 6904, New London County, Connecticut!!Margin of Error</t>
  </si>
  <si>
    <t>Census Tract 6905, New London County, Connecticut!!Margin of Error</t>
  </si>
  <si>
    <t>Census Tract 6907, New London County, Connecticut!!Margin of Error</t>
  </si>
  <si>
    <t>Census Tract 6908, New London County, Connecticut!!Margin of Error</t>
  </si>
  <si>
    <t>Census Tract 6909, New London County, Connecticut!!Margin of Error</t>
  </si>
  <si>
    <t>Census Tract 6933, New London County, Connecticut!!Margin of Error</t>
  </si>
  <si>
    <t>Census Tract 6934, New London County, Connecticut!!Margin of Error</t>
  </si>
  <si>
    <t>Census Tract 6935, New London County, Connecticut!!Margin of Error</t>
  </si>
  <si>
    <t>Census Tract 6936, New London County, Connecticut!!Margin of Error</t>
  </si>
  <si>
    <t>Census Tract 6937, New London County, Connecticut!!Margin of Error</t>
  </si>
  <si>
    <t>Census Tract 6952.01, New London County, Connecticut!!Margin of Error</t>
  </si>
  <si>
    <t>Census Tract 6952.02, New London County, Connecticut!!Margin of Error</t>
  </si>
  <si>
    <t>Census Tract 6961, New London County, Connecticut!!Margin of Error</t>
  </si>
  <si>
    <t>Census Tract 6962, New London County, Connecticut!!Margin of Error</t>
  </si>
  <si>
    <t>Census Tract 6963, New London County, Connecticut!!Margin of Error</t>
  </si>
  <si>
    <t>Census Tract 6964, New London County, Connecticut!!Margin of Error</t>
  </si>
  <si>
    <t>Census Tract 6965, New London County, Connecticut!!Margin of Error</t>
  </si>
  <si>
    <t>Census Tract 6966, New London County, Connecticut!!Margin of Error</t>
  </si>
  <si>
    <t>Census Tract 6967, New London County, Connecticut!!Margin of Error</t>
  </si>
  <si>
    <t>Census Tract 6968, New London County, Connecticut!!Margin of Error</t>
  </si>
  <si>
    <t>Census Tract 6970, New London County, Connecticut!!Margin of Error</t>
  </si>
  <si>
    <t>Census Tract 7001, New London County, Connecticut!!Margin of Error</t>
  </si>
  <si>
    <t>Census Tract 7011, New London County, Connecticut!!Margin of Error</t>
  </si>
  <si>
    <t>Census Tract 7012, New London County, Connecticut!!Margin of Error</t>
  </si>
  <si>
    <t>Census Tract 7021, New London County, Connecticut!!Margin of Error</t>
  </si>
  <si>
    <t>Census Tract 7023, New London County, Connecticut!!Margin of Error</t>
  </si>
  <si>
    <t>Census Tract 7024, New London County, Connecticut!!Margin of Error</t>
  </si>
  <si>
    <t>Census Tract 7025, New London County, Connecticut!!Margin of Error</t>
  </si>
  <si>
    <t>Census Tract 7026, New London County, Connecticut!!Margin of Error</t>
  </si>
  <si>
    <t>Census Tract 7027, New London County, Connecticut!!Margin of Error</t>
  </si>
  <si>
    <t>Census Tract 7028, New London County, Connecticut!!Margin of Error</t>
  </si>
  <si>
    <t>Census Tract 7029, New London County, Connecticut!!Margin of Error</t>
  </si>
  <si>
    <t>Census Tract 7030, New London County, Connecticut!!Margin of Error</t>
  </si>
  <si>
    <t>Census Tract 7051.01, New London County, Connecticut!!Margin of Error</t>
  </si>
  <si>
    <t>Census Tract 7051.02, New London County, Connecticut!!Margin of Error</t>
  </si>
  <si>
    <t>Census Tract 7052, New London County, Connecticut!!Margin of Error</t>
  </si>
  <si>
    <t>Census Tract 7053, New London County, Connecticut!!Margin of Error</t>
  </si>
  <si>
    <t>Census Tract 7054, New London County, Connecticut!!Margin of Error</t>
  </si>
  <si>
    <t>Census Tract 7071, New London County, Connecticut!!Margin of Error</t>
  </si>
  <si>
    <t>Census Tract 7081, New London County, Connecticut!!Margin of Error</t>
  </si>
  <si>
    <t>Census Tract 7091, New London County, Connecticut!!Margin of Error</t>
  </si>
  <si>
    <t>Census Tract 7092, New London County, Connecticut!!Margin of Error</t>
  </si>
  <si>
    <t>Census Tract 7101, New London County, Connecticut!!Margin of Error</t>
  </si>
  <si>
    <t>Census Tract 7111, New London County, Connecticut!!Margin of Error</t>
  </si>
  <si>
    <t>Census Tract 7121, New London County, Connecticut!!Margin of Error</t>
  </si>
  <si>
    <t>Census Tract 7131, New London County, Connecticut!!Margin of Error</t>
  </si>
  <si>
    <t>Census Tract 7141.01, New London County, Connecticut!!Margin of Error</t>
  </si>
  <si>
    <t>Census Tract 7141.03, New London County, Connecticut!!Margin of Error</t>
  </si>
  <si>
    <t>Census Tract 7141.04, New London County, Connecticut!!Margin of Error</t>
  </si>
  <si>
    <t>Census Tract 7151, New London County, Connecticut!!Margin of Error</t>
  </si>
  <si>
    <t>Census Tract 7161.01, New London County, Connecticut!!Margin of Error</t>
  </si>
  <si>
    <t>Census Tract 7161.02, New London County, Connecticut!!Margin of Error</t>
  </si>
  <si>
    <t>Census Tract 8701, New London County, Connecticut!!Margin of Error</t>
  </si>
  <si>
    <t>Census Tract 8702, New London County, Connecticut!!Margin of Error</t>
  </si>
  <si>
    <t>Census Tract 8703, New London County, Connecticut!!Margin of Error</t>
  </si>
  <si>
    <t>Census Tract 8705.01, New London County, Connecticut!!Margin of Error</t>
  </si>
  <si>
    <t>Census Tract 8705.02, New London County, Connecticut!!Margin of Error</t>
  </si>
  <si>
    <t>Census Tract 8707.01, New London County, Connecticut!!Margin of Error</t>
  </si>
  <si>
    <t>Census Tract 8707.03, New London County, Connecticut!!Margin of Error</t>
  </si>
  <si>
    <t>Census Tract 8707.04, New London County, Connecticut!!Margin of Error</t>
  </si>
  <si>
    <t>Census Tract 9800, New London County, Connecticut!!Margin of Error</t>
  </si>
  <si>
    <t>Census Tract 9901, New London County, Connecticut!!Margin of Error</t>
  </si>
  <si>
    <t>Census Tract 5261.01, Tolland County, Connecticut!!Margin of Error</t>
  </si>
  <si>
    <t>Census Tract 5261.02, Tolland County, Connecticut!!Margin of Error</t>
  </si>
  <si>
    <t>Census Tract 5281, Tolland County, Connecticut!!Margin of Error</t>
  </si>
  <si>
    <t>Census Tract 5291, Tolland County, Connecticut!!Margin of Error</t>
  </si>
  <si>
    <t>Census Tract 5301, Tolland County, Connecticut!!Margin of Error</t>
  </si>
  <si>
    <t>Census Tract 5302, Tolland County, Connecticut!!Margin of Error</t>
  </si>
  <si>
    <t>Census Tract 5303.01, Tolland County, Connecticut!!Margin of Error</t>
  </si>
  <si>
    <t>Census Tract 5303.02, Tolland County, Connecticut!!Margin of Error</t>
  </si>
  <si>
    <t>Census Tract 5304, Tolland County, Connecticut!!Margin of Error</t>
  </si>
  <si>
    <t>Census Tract 5305, Tolland County, Connecticut!!Margin of Error</t>
  </si>
  <si>
    <t>Census Tract 5306, Tolland County, Connecticut!!Margin of Error</t>
  </si>
  <si>
    <t>Census Tract 5331.01, Tolland County, Connecticut!!Margin of Error</t>
  </si>
  <si>
    <t>Census Tract 5331.02, Tolland County, Connecticut!!Margin of Error</t>
  </si>
  <si>
    <t>Census Tract 5351, Tolland County, Connecticut!!Margin of Error</t>
  </si>
  <si>
    <t>Census Tract 5352, Tolland County, Connecticut!!Margin of Error</t>
  </si>
  <si>
    <t>Census Tract 5381, Tolland County, Connecticut!!Margin of Error</t>
  </si>
  <si>
    <t>Census Tract 5382.01, Tolland County, Connecticut!!Margin of Error</t>
  </si>
  <si>
    <t>Census Tract 5382.02, Tolland County, Connecticut!!Margin of Error</t>
  </si>
  <si>
    <t>Census Tract 8401, Tolland County, Connecticut!!Margin of Error</t>
  </si>
  <si>
    <t>Census Tract 8501, Tolland County, Connecticut!!Margin of Error</t>
  </si>
  <si>
    <t>Census Tract 8502, Tolland County, Connecticut!!Margin of Error</t>
  </si>
  <si>
    <t>Census Tract 8601, Tolland County, Connecticut!!Margin of Error</t>
  </si>
  <si>
    <t>Census Tract 8811, Tolland County, Connecticut!!Margin of Error</t>
  </si>
  <si>
    <t>Census Tract 8812, Tolland County, Connecticut!!Margin of Error</t>
  </si>
  <si>
    <t>Census Tract 8813, Tolland County, Connecticut!!Margin of Error</t>
  </si>
  <si>
    <t>Census Tract 8815, Tolland County, Connecticut!!Margin of Error</t>
  </si>
  <si>
    <t>Census Tract 8901, Tolland County, Connecticut!!Margin of Error</t>
  </si>
  <si>
    <t>Census Tract 8902.01, Tolland County, Connecticut!!Margin of Error</t>
  </si>
  <si>
    <t>Census Tract 8902.02, Tolland County, Connecticut!!Margin of Error</t>
  </si>
  <si>
    <t>Census Tract 8003, Windham County, Connecticut!!Margin of Error</t>
  </si>
  <si>
    <t>Census Tract 8004, Windham County, Connecticut!!Margin of Error</t>
  </si>
  <si>
    <t>Census Tract 8005, Windham County, Connecticut!!Margin of Error</t>
  </si>
  <si>
    <t>Census Tract 8006, Windham County, Connecticut!!Margin of Error</t>
  </si>
  <si>
    <t>Census Tract 8007, Windham County, Connecticut!!Margin of Error</t>
  </si>
  <si>
    <t>Census Tract 8150, Windham County, Connecticut!!Margin of Error</t>
  </si>
  <si>
    <t>Census Tract 8200, Windham County, Connecticut!!Margin of Error</t>
  </si>
  <si>
    <t>Census Tract 8250, Windham County, Connecticut!!Margin of Error</t>
  </si>
  <si>
    <t>Census Tract 8301, Windham County, Connecticut!!Margin of Error</t>
  </si>
  <si>
    <t>Census Tract 9001, Windham County, Connecticut!!Margin of Error</t>
  </si>
  <si>
    <t>Census Tract 9002, Windham County, Connecticut!!Margin of Error</t>
  </si>
  <si>
    <t>Census Tract 9011, Windham County, Connecticut!!Margin of Error</t>
  </si>
  <si>
    <t>Census Tract 9022, Windham County, Connecticut!!Margin of Error</t>
  </si>
  <si>
    <t>Census Tract 9025, Windham County, Connecticut!!Margin of Error</t>
  </si>
  <si>
    <t>Census Tract 9031, Windham County, Connecticut!!Margin of Error</t>
  </si>
  <si>
    <t>Census Tract 9032, Windham County, Connecticut!!Margin of Error</t>
  </si>
  <si>
    <t>Census Tract 9041, Windham County, Connecticut!!Margin of Error</t>
  </si>
  <si>
    <t>Census Tract 9044, Windham County, Connecticut!!Margin of Error</t>
  </si>
  <si>
    <t>Census Tract 9045, Windham County, Connecticut!!Margin of Error</t>
  </si>
  <si>
    <t>Census Tract 9051, Windham County, Connecticut!!Margin of Error</t>
  </si>
  <si>
    <t>Census Tract 9061, Windham County, Connecticut!!Margin of Error</t>
  </si>
  <si>
    <t>Census Tract 9071, Windham County, Connecticut!!Margin of Error</t>
  </si>
  <si>
    <t>Census Tract 9072, Windham County, Connecticut!!Margin of Error</t>
  </si>
  <si>
    <t>Census Tract 9073, Windham County, Connecticut!!Margin of Error</t>
  </si>
  <si>
    <t>Census Tract 9081, Windham County, Connecticut!!Margin of Error</t>
  </si>
  <si>
    <t>APPLIED FILTERS</t>
  </si>
  <si>
    <t>APPLIED SORTS</t>
  </si>
  <si>
    <t>PIVOT &amp; GROUPING</t>
  </si>
  <si>
    <t>WEB ADDRESS</t>
  </si>
  <si>
    <t>https://data.census.gov/cedsci/table?t=Income%20%28Households,%20Families,%20Individuals%29%3AIncome%20and%20Poverty&amp;g=0400000US09%241400000&amp;tid=ACSDT5Y2019.B19013&amp;moe=false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</si>
  <si>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</si>
  <si>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</si>
  <si>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</si>
  <si>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2015-2019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</si>
  <si>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</si>
  <si>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Between 2018 and 2019 the American Community Survey retirement income question changed. These changes resulted in an increase in both the number of households reporting retirement income and higher aggregate retirement income at the national level. For more information see Changes to the Retirement Income Question .</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</si>
  <si>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</si>
  <si>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</si>
  <si>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</si>
  <si>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</si>
  <si>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Small Load Customers</t>
  </si>
  <si>
    <t>Large Load Customers</t>
  </si>
  <si>
    <t>Home Energy Solutions Program Participation</t>
  </si>
  <si>
    <t>Equitable Distribution Tables</t>
  </si>
  <si>
    <t>Energy Burden</t>
  </si>
  <si>
    <t>Shutoffs and Arreareages</t>
  </si>
  <si>
    <t>Table 1</t>
  </si>
  <si>
    <t>Small Load, All Customers</t>
  </si>
  <si>
    <t>Table 4</t>
  </si>
  <si>
    <t>Large Load, All Customers</t>
  </si>
  <si>
    <t>Table 11</t>
  </si>
  <si>
    <t>Small and Large Load Program Participation in BIPOC quintiles, both companies</t>
  </si>
  <si>
    <t>Table</t>
  </si>
  <si>
    <r>
      <t xml:space="preserve">Energy-burdened </t>
    </r>
    <r>
      <rPr>
        <b/>
        <sz val="12"/>
        <color rgb="FF000000"/>
        <rFont val="Arial"/>
        <family val="2"/>
      </rPr>
      <t>census tracts, small load+large load participation</t>
    </r>
    <r>
      <rPr>
        <sz val="12"/>
        <color rgb="FF000000"/>
        <rFont val="Arial"/>
        <family val="2"/>
      </rPr>
      <t xml:space="preserve"> regardless of program</t>
    </r>
  </si>
  <si>
    <t>UI Service Territory - Top 5 Towns for Shut-offs and Arrearages</t>
  </si>
  <si>
    <t>Table 7</t>
  </si>
  <si>
    <t>2019 HES Program Participation - Number of Units</t>
  </si>
  <si>
    <t>Translation:</t>
  </si>
  <si>
    <t>This table is saying that for both large and small load customers, for example, 21% of CLM collections were from the census tracts with the most amount of POC, and 20% of incentives went to those same tracts</t>
  </si>
  <si>
    <t>2019 Small Load, All Customers </t>
  </si>
  <si>
    <t> Collections  </t>
  </si>
  <si>
    <t> Incentive Disbursements  </t>
  </si>
  <si>
    <t>Ratio (%)</t>
  </si>
  <si>
    <t>Equitable?</t>
  </si>
  <si>
    <t>2019 Large Load, All Customers </t>
  </si>
  <si>
    <t>Ratio</t>
  </si>
  <si>
    <t>2019 HES Participation </t>
  </si>
  <si>
    <t>Tract</t>
  </si>
  <si>
    <t>Total Units </t>
  </si>
  <si>
    <t>Single Family </t>
  </si>
  <si>
    <t>2-4 Units </t>
  </si>
  <si>
    <t>4+ Units </t>
  </si>
  <si>
    <t>Quintile Rank</t>
  </si>
  <si>
    <t xml:space="preserve">Sum of CLM $ Collected </t>
  </si>
  <si>
    <t>Percent of total</t>
  </si>
  <si>
    <t>Sum of Incentive Disbursements</t>
  </si>
  <si>
    <t>Sum of Residential CLM $ Collected</t>
  </si>
  <si>
    <t>Sum of Residential Incentive Disbursements</t>
  </si>
  <si>
    <t>Sum of C&amp;I CLM $ Collected</t>
  </si>
  <si>
    <t>Sum of C&amp;I Incentive Disbursements</t>
  </si>
  <si>
    <t>2019, all loads</t>
  </si>
  <si>
    <t>UI 2019</t>
  </si>
  <si>
    <t>Number of Shutoffs/Arrearages</t>
  </si>
  <si>
    <t>Collections</t>
  </si>
  <si>
    <t>Incentives Disbursed</t>
  </si>
  <si>
    <t>UI</t>
  </si>
  <si>
    <t>Distressed Tracts</t>
  </si>
  <si>
    <t>Amount</t>
  </si>
  <si>
    <t>UI </t>
  </si>
  <si>
    <t>Distressed Tracts </t>
  </si>
  <si>
    <t>Least POC</t>
  </si>
  <si>
    <t>Energy Burdened</t>
  </si>
  <si>
    <t>Bridgeport</t>
  </si>
  <si>
    <t xml:space="preserve">Amount </t>
  </si>
  <si>
    <t>Yes</t>
  </si>
  <si>
    <t>% Of total</t>
  </si>
  <si>
    <t>Other Tracts </t>
  </si>
  <si>
    <t>% of Total</t>
  </si>
  <si>
    <t>Other Tracts</t>
  </si>
  <si>
    <t>Eversource </t>
  </si>
  <si>
    <t>Non-Energy Burdened</t>
  </si>
  <si>
    <t>New Haven</t>
  </si>
  <si>
    <t>No</t>
  </si>
  <si>
    <t>These percent of totals are for total in that service territory</t>
  </si>
  <si>
    <t>Eversource</t>
  </si>
  <si>
    <t>Total</t>
  </si>
  <si>
    <t>All Tracts</t>
  </si>
  <si>
    <t>Most POC</t>
  </si>
  <si>
    <t>West Haven</t>
  </si>
  <si>
    <t>Grand Total</t>
  </si>
  <si>
    <t>Does this need to be state % of total?</t>
  </si>
  <si>
    <t>Hamden</t>
  </si>
  <si>
    <t>Table 8</t>
  </si>
  <si>
    <t>2019 HES Program Participation - Collections and Incentives</t>
  </si>
  <si>
    <t>Stratford</t>
  </si>
  <si>
    <t>5% Margin of Error</t>
  </si>
  <si>
    <t>Collections </t>
  </si>
  <si>
    <t>Incentives</t>
  </si>
  <si>
    <t>Table 12</t>
  </si>
  <si>
    <t>HES/HES-IE Participation in BIPOC quintiles, both companies</t>
  </si>
  <si>
    <t>Check total units, might need to add HES-IE units</t>
  </si>
  <si>
    <t>Table 2</t>
  </si>
  <si>
    <t>Small Load, Residential</t>
  </si>
  <si>
    <t>Table 5</t>
  </si>
  <si>
    <t>Large Load, Residential</t>
  </si>
  <si>
    <t>All Residential</t>
  </si>
  <si>
    <t>HES</t>
  </si>
  <si>
    <t>HES-IE</t>
  </si>
  <si>
    <t>Total Units</t>
  </si>
  <si>
    <t>2019 Small Load, Residential</t>
  </si>
  <si>
    <t>2019 Large Load, Residential</t>
  </si>
  <si>
    <t>% of total</t>
  </si>
  <si>
    <t>HES Incentives</t>
  </si>
  <si>
    <t>HES-IE Incentives</t>
  </si>
  <si>
    <t>Percent</t>
  </si>
  <si>
    <t>Both</t>
  </si>
  <si>
    <t>Eversource 2019</t>
  </si>
  <si>
    <t>HARTFORD</t>
  </si>
  <si>
    <r>
      <t xml:space="preserve">Energy-burdened </t>
    </r>
    <r>
      <rPr>
        <b/>
        <sz val="12"/>
        <color rgb="FF000000"/>
        <rFont val="Arial"/>
        <family val="2"/>
      </rPr>
      <t>census tracts, Residential Program Participation</t>
    </r>
  </si>
  <si>
    <t>5% Margin of error</t>
  </si>
  <si>
    <t>WATERBURY</t>
  </si>
  <si>
    <t>2019 HES</t>
  </si>
  <si>
    <t>Number of Participating Homes</t>
  </si>
  <si>
    <t>NEW BRITAIN</t>
  </si>
  <si>
    <t>Table 9</t>
  </si>
  <si>
    <t>2019 HES-IE Program Participation - Number of Units</t>
  </si>
  <si>
    <t>STAMFORD</t>
  </si>
  <si>
    <t>Unsure if this table is useful because we are missing some census tracts, but not many</t>
  </si>
  <si>
    <t xml:space="preserve">If we are okay with this, we can say things like </t>
  </si>
  <si>
    <t>MERIDEN</t>
  </si>
  <si>
    <t>42% of homes that participated in either HES or HES-IE were in census tracts with, or more than 60% POC</t>
  </si>
  <si>
    <t>~17% of collections were from communities with more than 80% POC, while 18% of incentives went to those same communities</t>
  </si>
  <si>
    <t>Table 3</t>
  </si>
  <si>
    <t>Small Load, C&amp;I</t>
  </si>
  <si>
    <t>Table 6</t>
  </si>
  <si>
    <t>Large Load, C&amp;I</t>
  </si>
  <si>
    <t>39% of collections were from communities with &lt;=60% POC, while 47% of HES-IE incentives went to those same communities</t>
  </si>
  <si>
    <t>2019 Small Load, C&amp;I</t>
  </si>
  <si>
    <t>2019 Large Load, C&amp;I</t>
  </si>
  <si>
    <t>Any combo, really, not sure which ones are helpful</t>
  </si>
  <si>
    <t>Ratio collected/incentives, all res:</t>
  </si>
  <si>
    <t>collections</t>
  </si>
  <si>
    <t>ES</t>
  </si>
  <si>
    <t>Table 10</t>
  </si>
  <si>
    <t>2019 HES-IE Program Participation - Collections and Incentives</t>
  </si>
  <si>
    <t>total</t>
  </si>
  <si>
    <t>2019 HES-IE</t>
  </si>
  <si>
    <t>Total # of Energy Burdened Tracts:</t>
  </si>
  <si>
    <t>List of Tracks Burdened (try to map):</t>
  </si>
  <si>
    <t>id</t>
  </si>
  <si>
    <t>tract</t>
  </si>
  <si>
    <t>Geographic Area Name</t>
  </si>
  <si>
    <t>Census.HOUSEHOLD INCOME IN THE PAST 12 MONTHS (IN 2019 INFLATION-ADJUSTED DOLLARS)</t>
  </si>
  <si>
    <t>Census.Average household size</t>
  </si>
  <si>
    <t>Household Size Adjusted income = (Household Income)/(Household Size)^N ; N/1/2</t>
  </si>
  <si>
    <t>adjusted income (thousands of $)</t>
  </si>
  <si>
    <t>incomee percentile</t>
  </si>
  <si>
    <t>Income Rank</t>
  </si>
  <si>
    <t>median census housing cost</t>
  </si>
  <si>
    <t>housing cost as percentage of income</t>
  </si>
  <si>
    <t>Housing cost rank as fraction of median income percentile</t>
  </si>
  <si>
    <t>housing cost rank</t>
  </si>
  <si>
    <t xml:space="preserve">Housing cost percentile </t>
  </si>
  <si>
    <t>Housing cost rank on absolute housing cost</t>
  </si>
  <si>
    <t>Combined affluence rank</t>
  </si>
  <si>
    <t>Income &lt; 60% SMI?</t>
  </si>
  <si>
    <t>60&lt;Income&lt;80 SMI?</t>
  </si>
  <si>
    <t>Income&gt;80% SMI?</t>
  </si>
  <si>
    <t>1400000US09001010101</t>
  </si>
  <si>
    <t>Census Tract 101.01, Fairfield County, Connecticut</t>
  </si>
  <si>
    <t>Need IF statements</t>
  </si>
  <si>
    <t>1400000US09001010102</t>
  </si>
  <si>
    <t>Census Tract 101.02, Fairfield County, Connecticut</t>
  </si>
  <si>
    <t>1400000US09001010201</t>
  </si>
  <si>
    <t>Census Tract 102.01, Fairfield County, Connecticut</t>
  </si>
  <si>
    <t>1400000US09001010202</t>
  </si>
  <si>
    <t>Census Tract 102.02, Fairfield County, Connecticut</t>
  </si>
  <si>
    <t>1400000US09001010300</t>
  </si>
  <si>
    <t>Census Tract 103, Fairfield County, Connecticut</t>
  </si>
  <si>
    <t>1400000US09001010400</t>
  </si>
  <si>
    <t>Census Tract 104, Fairfield County, Connecticut</t>
  </si>
  <si>
    <t>1400000US09001010500</t>
  </si>
  <si>
    <t>Census Tract 105, Fairfield County, Connecticut</t>
  </si>
  <si>
    <t>1400000US09001010600</t>
  </si>
  <si>
    <t>Census Tract 106, Fairfield County, Connecticut</t>
  </si>
  <si>
    <t>1400000US09001010700</t>
  </si>
  <si>
    <t>Census Tract 107, Fairfield County, Connecticut</t>
  </si>
  <si>
    <t>1400000US09001010800</t>
  </si>
  <si>
    <t>Census Tract 108, Fairfield County, Connecticut</t>
  </si>
  <si>
    <t>1400000US09001010900</t>
  </si>
  <si>
    <t>Census Tract 109, Fairfield County, Connecticut</t>
  </si>
  <si>
    <t>1400000US09001011000</t>
  </si>
  <si>
    <t>Census Tract 110, Fairfield County, Connecticut</t>
  </si>
  <si>
    <t>1400000US09001011100</t>
  </si>
  <si>
    <t>Census Tract 111, Fairfield County, Connecticut</t>
  </si>
  <si>
    <t>1400000US09001011200</t>
  </si>
  <si>
    <t>Census Tract 112, Fairfield County, Connecticut</t>
  </si>
  <si>
    <t>1400000US09001011300</t>
  </si>
  <si>
    <t>Census Tract 113, Fairfield County, Connecticut</t>
  </si>
  <si>
    <t>1400000US09001020100</t>
  </si>
  <si>
    <t>Census Tract 201, Fairfield County, Connecticut</t>
  </si>
  <si>
    <t>1400000US09001020200</t>
  </si>
  <si>
    <t>Census Tract 202, Fairfield County, Connecticut</t>
  </si>
  <si>
    <t>1400000US09001020300</t>
  </si>
  <si>
    <t>Census Tract 203, Fairfield County, Connecticut</t>
  </si>
  <si>
    <t>1400000US09001020400</t>
  </si>
  <si>
    <t>Census Tract 204, Fairfield County, Connecticut</t>
  </si>
  <si>
    <t>1400000US09001020500</t>
  </si>
  <si>
    <t>Census Tract 205, Fairfield County, Connecticut</t>
  </si>
  <si>
    <t>1400000US09001020600</t>
  </si>
  <si>
    <t>Census Tract 206, Fairfield County, Connecticut</t>
  </si>
  <si>
    <t>1400000US09001020700</t>
  </si>
  <si>
    <t>Census Tract 207, Fairfield County, Connecticut</t>
  </si>
  <si>
    <t>1400000US09001020800</t>
  </si>
  <si>
    <t>Census Tract 208, Fairfield County, Connecticut</t>
  </si>
  <si>
    <t>1400000US09001020900</t>
  </si>
  <si>
    <t>Census Tract 209, Fairfield County, Connecticut</t>
  </si>
  <si>
    <t>1400000US09001021000</t>
  </si>
  <si>
    <t>Census Tract 210, Fairfield County, Connecticut</t>
  </si>
  <si>
    <t>1400000US09001021100</t>
  </si>
  <si>
    <t>Census Tract 211, Fairfield County, Connecticut</t>
  </si>
  <si>
    <t>1400000US09001021200</t>
  </si>
  <si>
    <t>Census Tract 212, Fairfield County, Connecticut</t>
  </si>
  <si>
    <t>1400000US09001021300</t>
  </si>
  <si>
    <t>Census Tract 213, Fairfield County, Connecticut</t>
  </si>
  <si>
    <t>1400000US09001021400</t>
  </si>
  <si>
    <t>Census Tract 214, Fairfield County, Connecticut</t>
  </si>
  <si>
    <t>1400000US09001021500</t>
  </si>
  <si>
    <t>Census Tract 215, Fairfield County, Connecticut</t>
  </si>
  <si>
    <t>1400000US09001021600</t>
  </si>
  <si>
    <t>Census Tract 216, Fairfield County, Connecticut</t>
  </si>
  <si>
    <t>1400000US09001021700</t>
  </si>
  <si>
    <t>Census Tract 217, Fairfield County, Connecticut</t>
  </si>
  <si>
    <t>1400000US09001021801</t>
  </si>
  <si>
    <t>Census Tract 218.01, Fairfield County, Connecticut</t>
  </si>
  <si>
    <t>1400000US09001021802</t>
  </si>
  <si>
    <t>Census Tract 218.02, Fairfield County, Connecticut</t>
  </si>
  <si>
    <t>1400000US09001021900</t>
  </si>
  <si>
    <t>Census Tract 219, Fairfield County, Connecticut</t>
  </si>
  <si>
    <t>1400000US09001022000</t>
  </si>
  <si>
    <t>Census Tract 220, Fairfield County, Connecticut</t>
  </si>
  <si>
    <t>1400000US09001022100</t>
  </si>
  <si>
    <t>Census Tract 221, Fairfield County, Connecticut</t>
  </si>
  <si>
    <t>1400000US09001022200</t>
  </si>
  <si>
    <t>Census Tract 222, Fairfield County, Connecticut</t>
  </si>
  <si>
    <t>1400000US09001022300</t>
  </si>
  <si>
    <t>Census Tract 223, Fairfield County, Connecticut</t>
  </si>
  <si>
    <t>1400000US09001022400</t>
  </si>
  <si>
    <t>Census Tract 224, Fairfield County, Connecticut</t>
  </si>
  <si>
    <t>1400000US09001030100</t>
  </si>
  <si>
    <t>Census Tract 301, Fairfield County, Connecticut</t>
  </si>
  <si>
    <t>1400000US09001030200</t>
  </si>
  <si>
    <t>Census Tract 302, Fairfield County, Connecticut</t>
  </si>
  <si>
    <t>1400000US09001030300</t>
  </si>
  <si>
    <t>Census Tract 303, Fairfield County, Connecticut</t>
  </si>
  <si>
    <t>1400000US09001030400</t>
  </si>
  <si>
    <t>Census Tract 304, Fairfield County, Connecticut</t>
  </si>
  <si>
    <t>1400000US09001030500</t>
  </si>
  <si>
    <t>Census Tract 305, Fairfield County, Connecticut</t>
  </si>
  <si>
    <t>1400000US09001035100</t>
  </si>
  <si>
    <t>Census Tract 351, Fairfield County, Connecticut</t>
  </si>
  <si>
    <t>1400000US09001035200</t>
  </si>
  <si>
    <t>Census Tract 352, Fairfield County, Connecticut</t>
  </si>
  <si>
    <t>1400000US09001035300</t>
  </si>
  <si>
    <t>Census Tract 353, Fairfield County, Connecticut</t>
  </si>
  <si>
    <t>1400000US09001035400</t>
  </si>
  <si>
    <t>Census Tract 354, Fairfield County, Connecticut</t>
  </si>
  <si>
    <t>1400000US09001042500</t>
  </si>
  <si>
    <t>Census Tract 425, Fairfield County, Connecticut</t>
  </si>
  <si>
    <t>1400000US09001042600</t>
  </si>
  <si>
    <t>Census Tract 426, Fairfield County, Connecticut</t>
  </si>
  <si>
    <t>1400000US09001042700</t>
  </si>
  <si>
    <t>Census Tract 427, Fairfield County, Connecticut</t>
  </si>
  <si>
    <t>1400000US09001042800</t>
  </si>
  <si>
    <t>Census Tract 428, Fairfield County, Connecticut</t>
  </si>
  <si>
    <t>1400000US09001042900</t>
  </si>
  <si>
    <t>Census Tract 429, Fairfield County, Connecticut</t>
  </si>
  <si>
    <t>1400000US09001043000</t>
  </si>
  <si>
    <t>Census Tract 430, Fairfield County, Connecticut</t>
  </si>
  <si>
    <t>1400000US09001043100</t>
  </si>
  <si>
    <t>Census Tract 431, Fairfield County, Connecticut</t>
  </si>
  <si>
    <t>1400000US09001043200</t>
  </si>
  <si>
    <t>Census Tract 432, Fairfield County, Connecticut</t>
  </si>
  <si>
    <t>1400000US09001043300</t>
  </si>
  <si>
    <t>Census Tract 433, Fairfield County, Connecticut</t>
  </si>
  <si>
    <t>1400000US09001043400</t>
  </si>
  <si>
    <t>Census Tract 434, Fairfield County, Connecticut</t>
  </si>
  <si>
    <t>1400000US09001043500</t>
  </si>
  <si>
    <t>Census Tract 435, Fairfield County, Connecticut</t>
  </si>
  <si>
    <t>1400000US09001043600</t>
  </si>
  <si>
    <t>Census Tract 436, Fairfield County, Connecticut</t>
  </si>
  <si>
    <t>1400000US09001043700</t>
  </si>
  <si>
    <t>Census Tract 437, Fairfield County, Connecticut</t>
  </si>
  <si>
    <t>1400000US09001043800</t>
  </si>
  <si>
    <t>Census Tract 438, Fairfield County, Connecticut</t>
  </si>
  <si>
    <t>1400000US09001043900</t>
  </si>
  <si>
    <t>Census Tract 439, Fairfield County, Connecticut</t>
  </si>
  <si>
    <t>1400000US09001044000</t>
  </si>
  <si>
    <t>Census Tract 440, Fairfield County, Connecticut</t>
  </si>
  <si>
    <t>1400000US09001044100</t>
  </si>
  <si>
    <t>Census Tract 441, Fairfield County, Connecticut</t>
  </si>
  <si>
    <t>1400000US09001044200</t>
  </si>
  <si>
    <t>Census Tract 442, Fairfield County, Connecticut</t>
  </si>
  <si>
    <t>1400000US09001044300</t>
  </si>
  <si>
    <t>Census Tract 443, Fairfield County, Connecticut</t>
  </si>
  <si>
    <t>1400000US09001044400</t>
  </si>
  <si>
    <t>Census Tract 444, Fairfield County, Connecticut</t>
  </si>
  <si>
    <t>1400000US09001044500</t>
  </si>
  <si>
    <t>Census Tract 445, Fairfield County, Connecticut</t>
  </si>
  <si>
    <t>1400000US09001044600</t>
  </si>
  <si>
    <t>Census Tract 446, Fairfield County, Connecticut</t>
  </si>
  <si>
    <t>1400000US09001045101</t>
  </si>
  <si>
    <t>Census Tract 451.01, Fairfield County, Connecticut</t>
  </si>
  <si>
    <t>1400000US09001045102</t>
  </si>
  <si>
    <t>Census Tract 451.02, Fairfield County, Connecticut</t>
  </si>
  <si>
    <t>1400000US09001045200</t>
  </si>
  <si>
    <t>Census Tract 452, Fairfield County, Connecticut</t>
  </si>
  <si>
    <t>1400000US09001045300</t>
  </si>
  <si>
    <t>Census Tract 453, Fairfield County, Connecticut</t>
  </si>
  <si>
    <t>1400000US09001045400</t>
  </si>
  <si>
    <t>Census Tract 454, Fairfield County, Connecticut</t>
  </si>
  <si>
    <t>1400000US09001050100</t>
  </si>
  <si>
    <t>Census Tract 501, Fairfield County, Connecticut</t>
  </si>
  <si>
    <t>1400000US09001050200</t>
  </si>
  <si>
    <t>Census Tract 502, Fairfield County, Connecticut</t>
  </si>
  <si>
    <t>1400000US09001050300</t>
  </si>
  <si>
    <t>Census Tract 503, Fairfield County, Connecticut</t>
  </si>
  <si>
    <t>1400000US09001050400</t>
  </si>
  <si>
    <t>Census Tract 504, Fairfield County, Connecticut</t>
  </si>
  <si>
    <t>1400000US09001050500</t>
  </si>
  <si>
    <t>Census Tract 505, Fairfield County, Connecticut</t>
  </si>
  <si>
    <t>1400000US09001050600</t>
  </si>
  <si>
    <t>Census Tract 506, Fairfield County, Connecticut</t>
  </si>
  <si>
    <t>1400000US09001055100</t>
  </si>
  <si>
    <t>Census Tract 551, Fairfield County, Connecticut</t>
  </si>
  <si>
    <t>1400000US09001055200</t>
  </si>
  <si>
    <t>Census Tract 552, Fairfield County, Connecticut</t>
  </si>
  <si>
    <t>1400000US09001060100</t>
  </si>
  <si>
    <t>Census Tract 601, Fairfield County, Connecticut</t>
  </si>
  <si>
    <t>1400000US09001060200</t>
  </si>
  <si>
    <t>Census Tract 602, Fairfield County, Connecticut</t>
  </si>
  <si>
    <t>1400000US09001060300</t>
  </si>
  <si>
    <t>Census Tract 603, Fairfield County, Connecticut</t>
  </si>
  <si>
    <t>1400000US09001060400</t>
  </si>
  <si>
    <t>Census Tract 604, Fairfield County, Connecticut</t>
  </si>
  <si>
    <t>1400000US09001060500</t>
  </si>
  <si>
    <t>Census Tract 605, Fairfield County, Connecticut</t>
  </si>
  <si>
    <t>1400000US09001060600</t>
  </si>
  <si>
    <t>Census Tract 606, Fairfield County, Connecticut</t>
  </si>
  <si>
    <t>1400000US09001060700</t>
  </si>
  <si>
    <t>Census Tract 607, Fairfield County, Connecticut</t>
  </si>
  <si>
    <t>1400000US09001060800</t>
  </si>
  <si>
    <t>Census Tract 608, Fairfield County, Connecticut</t>
  </si>
  <si>
    <t>1400000US09001060900</t>
  </si>
  <si>
    <t>Census Tract 609, Fairfield County, Connecticut</t>
  </si>
  <si>
    <t>1400000US09001061000</t>
  </si>
  <si>
    <t>Census Tract 610, Fairfield County, Connecticut</t>
  </si>
  <si>
    <t>1400000US09001061100</t>
  </si>
  <si>
    <t>Census Tract 611, Fairfield County, Connecticut</t>
  </si>
  <si>
    <t>1400000US09001061200</t>
  </si>
  <si>
    <t>Census Tract 612, Fairfield County, Connecticut</t>
  </si>
  <si>
    <t>1400000US09001061300</t>
  </si>
  <si>
    <t>Census Tract 613, Fairfield County, Connecticut</t>
  </si>
  <si>
    <t>1400000US09001061400</t>
  </si>
  <si>
    <t>Census Tract 614, Fairfield County, Connecticut</t>
  </si>
  <si>
    <t>1400000US09001061500</t>
  </si>
  <si>
    <t>Census Tract 615, Fairfield County, Connecticut</t>
  </si>
  <si>
    <t>1400000US09001061600</t>
  </si>
  <si>
    <t>Census Tract 616, Fairfield County, Connecticut</t>
  </si>
  <si>
    <t>1400000US09001070100</t>
  </si>
  <si>
    <t>Census Tract 701, Fairfield County, Connecticut</t>
  </si>
  <si>
    <t>1400000US09001070200</t>
  </si>
  <si>
    <t>Census Tract 702, Fairfield County, Connecticut</t>
  </si>
  <si>
    <t>1400000US09001070300</t>
  </si>
  <si>
    <t>Census Tract 703, Fairfield County, Connecticut</t>
  </si>
  <si>
    <t>1400000US09001070400</t>
  </si>
  <si>
    <t>Census Tract 704, Fairfield County, Connecticut</t>
  </si>
  <si>
    <t>1400000US09001070500</t>
  </si>
  <si>
    <t>Census Tract 705, Fairfield County, Connecticut</t>
  </si>
  <si>
    <t>1400000US09001070600</t>
  </si>
  <si>
    <t>Census Tract 706, Fairfield County, Connecticut</t>
  </si>
  <si>
    <t>1400000US09001070900</t>
  </si>
  <si>
    <t>Census Tract 709, Fairfield County, Connecticut</t>
  </si>
  <si>
    <t>1400000US09001071000</t>
  </si>
  <si>
    <t>Census Tract 710, Fairfield County, Connecticut</t>
  </si>
  <si>
    <t>1400000US09001071100</t>
  </si>
  <si>
    <t>Census Tract 711, Fairfield County, Connecticut</t>
  </si>
  <si>
    <t>1400000US09001071200</t>
  </si>
  <si>
    <t>Census Tract 712, Fairfield County, Connecticut</t>
  </si>
  <si>
    <t>1400000US09001071300</t>
  </si>
  <si>
    <t>Census Tract 713, Fairfield County, Connecticut</t>
  </si>
  <si>
    <t>1400000US09001071400</t>
  </si>
  <si>
    <t>Census Tract 714, Fairfield County, Connecticut</t>
  </si>
  <si>
    <t>1400000US09001071600</t>
  </si>
  <si>
    <t>Census Tract 716, Fairfield County, Connecticut</t>
  </si>
  <si>
    <t>1400000US09001071900</t>
  </si>
  <si>
    <t>Census Tract 719, Fairfield County, Connecticut</t>
  </si>
  <si>
    <t>1400000US09001072000</t>
  </si>
  <si>
    <t>Census Tract 720, Fairfield County, Connecticut</t>
  </si>
  <si>
    <t>1400000US09001072100</t>
  </si>
  <si>
    <t>Census Tract 721, Fairfield County, Connecticut</t>
  </si>
  <si>
    <t>1400000US09001072200</t>
  </si>
  <si>
    <t>Census Tract 722, Fairfield County, Connecticut</t>
  </si>
  <si>
    <t>1400000US09001072300</t>
  </si>
  <si>
    <t>Census Tract 723, Fairfield County, Connecticut</t>
  </si>
  <si>
    <t>1400000US09001072400</t>
  </si>
  <si>
    <t>Census Tract 724, Fairfield County, Connecticut</t>
  </si>
  <si>
    <t>1400000US09001072500</t>
  </si>
  <si>
    <t>Census Tract 725, Fairfield County, Connecticut</t>
  </si>
  <si>
    <t>1400000US09001072600</t>
  </si>
  <si>
    <t>Census Tract 726, Fairfield County, Connecticut</t>
  </si>
  <si>
    <t>1400000US09001072700</t>
  </si>
  <si>
    <t>Census Tract 727, Fairfield County, Connecticut</t>
  </si>
  <si>
    <t>1400000US09001072800</t>
  </si>
  <si>
    <t>Census Tract 728, Fairfield County, Connecticut</t>
  </si>
  <si>
    <t>1400000US09001072900</t>
  </si>
  <si>
    <t>Census Tract 729, Fairfield County, Connecticut</t>
  </si>
  <si>
    <t>1400000US09001073000</t>
  </si>
  <si>
    <t>Census Tract 730, Fairfield County, Connecticut</t>
  </si>
  <si>
    <t>1400000US09001073100</t>
  </si>
  <si>
    <t>Census Tract 731, Fairfield County, Connecticut</t>
  </si>
  <si>
    <t>1400000US09001073200</t>
  </si>
  <si>
    <t>Census Tract 732, Fairfield County, Connecticut</t>
  </si>
  <si>
    <t>1400000US09001073300</t>
  </si>
  <si>
    <t>Census Tract 733, Fairfield County, Connecticut</t>
  </si>
  <si>
    <t>1400000US09001073400</t>
  </si>
  <si>
    <t>Census Tract 734, Fairfield County, Connecticut</t>
  </si>
  <si>
    <t>1400000US09001073500</t>
  </si>
  <si>
    <t>Census Tract 735, Fairfield County, Connecticut</t>
  </si>
  <si>
    <t>1400000US09001073600</t>
  </si>
  <si>
    <t>Census Tract 736, Fairfield County, Connecticut</t>
  </si>
  <si>
    <t>1400000US09001073700</t>
  </si>
  <si>
    <t>Census Tract 737, Fairfield County, Connecticut</t>
  </si>
  <si>
    <t>1400000US09001073800</t>
  </si>
  <si>
    <t>Census Tract 738, Fairfield County, Connecticut</t>
  </si>
  <si>
    <t>1400000US09001073900</t>
  </si>
  <si>
    <t>Census Tract 739, Fairfield County, Connecticut</t>
  </si>
  <si>
    <t>1400000US09001074000</t>
  </si>
  <si>
    <t>Census Tract 740, Fairfield County, Connecticut</t>
  </si>
  <si>
    <t>1400000US09001074300</t>
  </si>
  <si>
    <t>Census Tract 743, Fairfield County, Connecticut</t>
  </si>
  <si>
    <t>1400000US09001074400</t>
  </si>
  <si>
    <t>Census Tract 744, Fairfield County, Connecticut</t>
  </si>
  <si>
    <t>1400000US09001080100</t>
  </si>
  <si>
    <t>Census Tract 801, Fairfield County, Connecticut</t>
  </si>
  <si>
    <t>1400000US09001080200</t>
  </si>
  <si>
    <t>Census Tract 802, Fairfield County, Connecticut</t>
  </si>
  <si>
    <t>1400000US09001080400</t>
  </si>
  <si>
    <t>Census Tract 804, Fairfield County, Connecticut</t>
  </si>
  <si>
    <t>1400000US09001080500</t>
  </si>
  <si>
    <t>Census Tract 805, Fairfield County, Connecticut</t>
  </si>
  <si>
    <t>1400000US09001080600</t>
  </si>
  <si>
    <t>Census Tract 806, Fairfield County, Connecticut</t>
  </si>
  <si>
    <t>1400000US09001080700</t>
  </si>
  <si>
    <t>Census Tract 807, Fairfield County, Connecticut</t>
  </si>
  <si>
    <t>1400000US09001080800</t>
  </si>
  <si>
    <t>Census Tract 808, Fairfield County, Connecticut</t>
  </si>
  <si>
    <t>1400000US09001080900</t>
  </si>
  <si>
    <t>Census Tract 809, Fairfield County, Connecticut</t>
  </si>
  <si>
    <t>1400000US09001081000</t>
  </si>
  <si>
    <t>Census Tract 810, Fairfield County, Connecticut</t>
  </si>
  <si>
    <t>1400000US09001081100</t>
  </si>
  <si>
    <t>Census Tract 811, Fairfield County, Connecticut</t>
  </si>
  <si>
    <t>1400000US09001081200</t>
  </si>
  <si>
    <t>Census Tract 812, Fairfield County, Connecticut</t>
  </si>
  <si>
    <t>1400000US09001081300</t>
  </si>
  <si>
    <t>Census Tract 813, Fairfield County, Connecticut</t>
  </si>
  <si>
    <t>1400000US09001090100</t>
  </si>
  <si>
    <t>Census Tract 901, Fairfield County, Connecticut</t>
  </si>
  <si>
    <t>1400000US09001090200</t>
  </si>
  <si>
    <t>Census Tract 902, Fairfield County, Connecticut</t>
  </si>
  <si>
    <t>1400000US09001090300</t>
  </si>
  <si>
    <t>Census Tract 903, Fairfield County, Connecticut</t>
  </si>
  <si>
    <t>1400000US09001090400</t>
  </si>
  <si>
    <t>Census Tract 904, Fairfield County, Connecticut</t>
  </si>
  <si>
    <t>1400000US09001090500</t>
  </si>
  <si>
    <t>Census Tract 905, Fairfield County, Connecticut</t>
  </si>
  <si>
    <t>1400000US09001090600</t>
  </si>
  <si>
    <t>Census Tract 906, Fairfield County, Connecticut</t>
  </si>
  <si>
    <t>1400000US09001090700</t>
  </si>
  <si>
    <t>Census Tract 907, Fairfield County, Connecticut</t>
  </si>
  <si>
    <t>1400000US09001100100</t>
  </si>
  <si>
    <t>Census Tract 1001, Fairfield County, Connecticut</t>
  </si>
  <si>
    <t>1400000US09001100200</t>
  </si>
  <si>
    <t>Census Tract 1002, Fairfield County, Connecticut</t>
  </si>
  <si>
    <t>1400000US09001100300</t>
  </si>
  <si>
    <t>Census Tract 1003, Fairfield County, Connecticut</t>
  </si>
  <si>
    <t>1400000US09001105100</t>
  </si>
  <si>
    <t>Census Tract 1051, Fairfield County, Connecticut</t>
  </si>
  <si>
    <t>1400000US09001105200</t>
  </si>
  <si>
    <t>Census Tract 1052, Fairfield County, Connecticut</t>
  </si>
  <si>
    <t>1400000US09001110100</t>
  </si>
  <si>
    <t>Census Tract 1101, Fairfield County, Connecticut</t>
  </si>
  <si>
    <t>1400000US09001110201</t>
  </si>
  <si>
    <t>Census Tract 1102.01, Fairfield County, Connecticut</t>
  </si>
  <si>
    <t>1400000US09001110202</t>
  </si>
  <si>
    <t>Census Tract 1102.02, Fairfield County, Connecticut</t>
  </si>
  <si>
    <t>1400000US09001110301</t>
  </si>
  <si>
    <t>Census Tract 1103.01, Fairfield County, Connecticut</t>
  </si>
  <si>
    <t>1400000US09001110302</t>
  </si>
  <si>
    <t>Census Tract 1103.02, Fairfield County, Connecticut</t>
  </si>
  <si>
    <t>1400000US09001110400</t>
  </si>
  <si>
    <t>Census Tract 1104, Fairfield County, Connecticut</t>
  </si>
  <si>
    <t>1400000US09001110500</t>
  </si>
  <si>
    <t>Census Tract 1105, Fairfield County, Connecticut</t>
  </si>
  <si>
    <t>1400000US09001110600</t>
  </si>
  <si>
    <t>Census Tract 1106, Fairfield County, Connecticut</t>
  </si>
  <si>
    <t>1400000US09001200100</t>
  </si>
  <si>
    <t>Census Tract 2001, Fairfield County, Connecticut</t>
  </si>
  <si>
    <t>1400000US09001200200</t>
  </si>
  <si>
    <t>Census Tract 2002, Fairfield County, Connecticut</t>
  </si>
  <si>
    <t>1400000US09001200301</t>
  </si>
  <si>
    <t>Census Tract 2003.01, Fairfield County, Connecticut</t>
  </si>
  <si>
    <t>1400000US09001200302</t>
  </si>
  <si>
    <t>Census Tract 2003.02, Fairfield County, Connecticut</t>
  </si>
  <si>
    <t>1400000US09001205100</t>
  </si>
  <si>
    <t>Census Tract 2051, Fairfield County, Connecticut</t>
  </si>
  <si>
    <t>1400000US09001205200</t>
  </si>
  <si>
    <t>Census Tract 2052, Fairfield County, Connecticut</t>
  </si>
  <si>
    <t>1400000US09001205300</t>
  </si>
  <si>
    <t>Census Tract 2053, Fairfield County, Connecticut</t>
  </si>
  <si>
    <t>1400000US09001210100</t>
  </si>
  <si>
    <t>Census Tract 2101, Fairfield County, Connecticut</t>
  </si>
  <si>
    <t>1400000US09001210200</t>
  </si>
  <si>
    <t>Census Tract 2102, Fairfield County, Connecticut</t>
  </si>
  <si>
    <t>1400000US09001210300</t>
  </si>
  <si>
    <t>Census Tract 2103, Fairfield County, Connecticut</t>
  </si>
  <si>
    <t>1400000US09001210400</t>
  </si>
  <si>
    <t>Census Tract 2104, Fairfield County, Connecticut</t>
  </si>
  <si>
    <t>1400000US09001210500</t>
  </si>
  <si>
    <t>Census Tract 2105, Fairfield County, Connecticut</t>
  </si>
  <si>
    <t>1400000US09001210600</t>
  </si>
  <si>
    <t>Census Tract 2106, Fairfield County, Connecticut</t>
  </si>
  <si>
    <t>1400000US09001210701</t>
  </si>
  <si>
    <t>Census Tract 2107.01, Fairfield County, Connecticut</t>
  </si>
  <si>
    <t>1400000US09001210702</t>
  </si>
  <si>
    <t>Census Tract 2107.02, Fairfield County, Connecticut</t>
  </si>
  <si>
    <t>1400000US09001210800</t>
  </si>
  <si>
    <t>Census Tract 2108, Fairfield County, Connecticut</t>
  </si>
  <si>
    <t>1400000US09001210900</t>
  </si>
  <si>
    <t>Census Tract 2109, Fairfield County, Connecticut</t>
  </si>
  <si>
    <t>1400000US09001211000</t>
  </si>
  <si>
    <t>Census Tract 2110, Fairfield County, Connecticut</t>
  </si>
  <si>
    <t>1400000US09001211200</t>
  </si>
  <si>
    <t>Census Tract 2112, Fairfield County, Connecticut</t>
  </si>
  <si>
    <t>1400000US09001211300</t>
  </si>
  <si>
    <t>Census Tract 2113, Fairfield County, Connecticut</t>
  </si>
  <si>
    <t>1400000US09001211400</t>
  </si>
  <si>
    <t>Census Tract 2114, Fairfield County, Connecticut</t>
  </si>
  <si>
    <t>1400000US09001220100</t>
  </si>
  <si>
    <t>Census Tract 2201, Fairfield County, Connecticut</t>
  </si>
  <si>
    <t>1400000US09001220200</t>
  </si>
  <si>
    <t>Census Tract 2202, Fairfield County, Connecticut</t>
  </si>
  <si>
    <t>1400000US09001220300</t>
  </si>
  <si>
    <t>Census Tract 2203, Fairfield County, Connecticut</t>
  </si>
  <si>
    <t>1400000US09001230100</t>
  </si>
  <si>
    <t>Census Tract 2301, Fairfield County, Connecticut</t>
  </si>
  <si>
    <t>1400000US09001230200</t>
  </si>
  <si>
    <t>Census Tract 2302, Fairfield County, Connecticut</t>
  </si>
  <si>
    <t>1400000US09001230300</t>
  </si>
  <si>
    <t>Census Tract 2303, Fairfield County, Connecticut</t>
  </si>
  <si>
    <t>1400000US09001230400</t>
  </si>
  <si>
    <t>Census Tract 2304, Fairfield County, Connecticut</t>
  </si>
  <si>
    <t>1400000US09001230501</t>
  </si>
  <si>
    <t>Census Tract 2305.01, Fairfield County, Connecticut</t>
  </si>
  <si>
    <t>1400000US09001230502</t>
  </si>
  <si>
    <t>Census Tract 2305.02, Fairfield County, Connecticut</t>
  </si>
  <si>
    <t>1400000US09001240100</t>
  </si>
  <si>
    <t>Census Tract 2401, Fairfield County, Connecticut</t>
  </si>
  <si>
    <t>1400000US09001240200</t>
  </si>
  <si>
    <t>Census Tract 2402, Fairfield County, Connecticut</t>
  </si>
  <si>
    <t>1400000US09001245100</t>
  </si>
  <si>
    <t>Census Tract 2451, Fairfield County, Connecticut</t>
  </si>
  <si>
    <t>1400000US09001245200</t>
  </si>
  <si>
    <t>Census Tract 2452, Fairfield County, Connecticut</t>
  </si>
  <si>
    <t>1400000US09001245300</t>
  </si>
  <si>
    <t>Census Tract 2453, Fairfield County, Connecticut</t>
  </si>
  <si>
    <t>1400000US09001245400</t>
  </si>
  <si>
    <t>Census Tract 2454, Fairfield County, Connecticut</t>
  </si>
  <si>
    <t>1400000US09001245500</t>
  </si>
  <si>
    <t>Census Tract 2455, Fairfield County, Connecticut</t>
  </si>
  <si>
    <t>1400000US09001245600</t>
  </si>
  <si>
    <t>Census Tract 2456, Fairfield County, Connecticut</t>
  </si>
  <si>
    <t>1400000US09001257100</t>
  </si>
  <si>
    <t>Census Tract 2571, Fairfield County, Connecticut</t>
  </si>
  <si>
    <t>1400000US09001257200</t>
  </si>
  <si>
    <t>Census Tract 2572, Fairfield County, Connecticut</t>
  </si>
  <si>
    <t>1400000US09003330100</t>
  </si>
  <si>
    <t>Census Tract 3301, Hartford County, Connecticut</t>
  </si>
  <si>
    <t>1400000US09003400100</t>
  </si>
  <si>
    <t>Census Tract 4001, Hartford County, Connecticut</t>
  </si>
  <si>
    <t>1400000US09003400200</t>
  </si>
  <si>
    <t>Census Tract 4002, Hartford County, Connecticut</t>
  </si>
  <si>
    <t>1400000US09003400300</t>
  </si>
  <si>
    <t>Census Tract 4003, Hartford County, Connecticut</t>
  </si>
  <si>
    <t>1400000US09003405100</t>
  </si>
  <si>
    <t>Census Tract 4051, Hartford County, Connecticut</t>
  </si>
  <si>
    <t>1400000US09003405200</t>
  </si>
  <si>
    <t>Census Tract 4052, Hartford County, Connecticut</t>
  </si>
  <si>
    <t>1400000US09003405300</t>
  </si>
  <si>
    <t>Census Tract 4053, Hartford County, Connecticut</t>
  </si>
  <si>
    <t>1400000US09003405401</t>
  </si>
  <si>
    <t>Census Tract 4054.01, Hartford County, Connecticut</t>
  </si>
  <si>
    <t>1400000US09003405402</t>
  </si>
  <si>
    <t>Census Tract 4054.02, Hartford County, Connecticut</t>
  </si>
  <si>
    <t>1400000US09003405500</t>
  </si>
  <si>
    <t>Census Tract 4055, Hartford County, Connecticut</t>
  </si>
  <si>
    <t>1400000US09003405600</t>
  </si>
  <si>
    <t>Census Tract 4056, Hartford County, Connecticut</t>
  </si>
  <si>
    <t>1400000US09003405700</t>
  </si>
  <si>
    <t>Census Tract 4057, Hartford County, Connecticut</t>
  </si>
  <si>
    <t>1400000US09003405800</t>
  </si>
  <si>
    <t>Census Tract 4058, Hartford County, Connecticut</t>
  </si>
  <si>
    <t>1400000US09003405900</t>
  </si>
  <si>
    <t>Census Tract 4059, Hartford County, Connecticut</t>
  </si>
  <si>
    <t>1400000US09003406001</t>
  </si>
  <si>
    <t>Census Tract 4060.01, Hartford County, Connecticut</t>
  </si>
  <si>
    <t>1400000US09003406002</t>
  </si>
  <si>
    <t>Census Tract 4060.02, Hartford County, Connecticut</t>
  </si>
  <si>
    <t>1400000US09003406100</t>
  </si>
  <si>
    <t>Census Tract 4061, Hartford County, Connecticut</t>
  </si>
  <si>
    <t>1400000US09003410101</t>
  </si>
  <si>
    <t>Census Tract 4101.01, Hartford County, Connecticut</t>
  </si>
  <si>
    <t>1400000US09003410102</t>
  </si>
  <si>
    <t>Census Tract 4101.02, Hartford County, Connecticut</t>
  </si>
  <si>
    <t>1400000US09003415300</t>
  </si>
  <si>
    <t>Census Tract 4153, Hartford County, Connecticut</t>
  </si>
  <si>
    <t>1400000US09003415400</t>
  </si>
  <si>
    <t>Census Tract 4154, Hartford County, Connecticut</t>
  </si>
  <si>
    <t>1400000US09003415500</t>
  </si>
  <si>
    <t>Census Tract 4155, Hartford County, Connecticut</t>
  </si>
  <si>
    <t>1400000US09003415600</t>
  </si>
  <si>
    <t>Census Tract 4156, Hartford County, Connecticut</t>
  </si>
  <si>
    <t>1400000US09003415700</t>
  </si>
  <si>
    <t>Census Tract 4157, Hartford County, Connecticut</t>
  </si>
  <si>
    <t>1400000US09003415800</t>
  </si>
  <si>
    <t>Census Tract 4158, Hartford County, Connecticut</t>
  </si>
  <si>
    <t>1400000US09003415900</t>
  </si>
  <si>
    <t>Census Tract 4159, Hartford County, Connecticut</t>
  </si>
  <si>
    <t>1400000US09003416000</t>
  </si>
  <si>
    <t>Census Tract 4160, Hartford County, Connecticut</t>
  </si>
  <si>
    <t>1400000US09003416100</t>
  </si>
  <si>
    <t>Census Tract 4161, Hartford County, Connecticut</t>
  </si>
  <si>
    <t>1400000US09003416200</t>
  </si>
  <si>
    <t>Census Tract 4162, Hartford County, Connecticut</t>
  </si>
  <si>
    <t>1400000US09003416300</t>
  </si>
  <si>
    <t>Census Tract 4163, Hartford County, Connecticut</t>
  </si>
  <si>
    <t>1400000US09003416400</t>
  </si>
  <si>
    <t>Census Tract 4164, Hartford County, Connecticut</t>
  </si>
  <si>
    <t>1400000US09003416500</t>
  </si>
  <si>
    <t>Census Tract 4165, Hartford County, Connecticut</t>
  </si>
  <si>
    <t>1400000US09003416600</t>
  </si>
  <si>
    <t>Census Tract 4166, Hartford County, Connecticut</t>
  </si>
  <si>
    <t>1400000US09003416700</t>
  </si>
  <si>
    <t>Census Tract 4167, Hartford County, Connecticut</t>
  </si>
  <si>
    <t>1400000US09003416800</t>
  </si>
  <si>
    <t>Census Tract 4168, Hartford County, Connecticut</t>
  </si>
  <si>
    <t>1400000US09003417100</t>
  </si>
  <si>
    <t>Census Tract 4171, Hartford County, Connecticut</t>
  </si>
  <si>
    <t>1400000US09003417200</t>
  </si>
  <si>
    <t>Census Tract 4172, Hartford County, Connecticut</t>
  </si>
  <si>
    <t>1400000US09003417400</t>
  </si>
  <si>
    <t>Census Tract 4174, Hartford County, Connecticut</t>
  </si>
  <si>
    <t>1400000US09003417500</t>
  </si>
  <si>
    <t>Census Tract 4175, Hartford County, Connecticut</t>
  </si>
  <si>
    <t>1400000US09003420400</t>
  </si>
  <si>
    <t>Census Tract 4204, Hartford County, Connecticut</t>
  </si>
  <si>
    <t>1400000US09003420500</t>
  </si>
  <si>
    <t>Census Tract 4205, Hartford County, Connecticut</t>
  </si>
  <si>
    <t>1400000US09003420600</t>
  </si>
  <si>
    <t>Census Tract 4206, Hartford County, Connecticut</t>
  </si>
  <si>
    <t>1400000US09003420700</t>
  </si>
  <si>
    <t>Census Tract 4207, Hartford County, Connecticut</t>
  </si>
  <si>
    <t>1400000US09003430100</t>
  </si>
  <si>
    <t>Census Tract 4301, Hartford County, Connecticut</t>
  </si>
  <si>
    <t>1400000US09003430201</t>
  </si>
  <si>
    <t>Census Tract 4302.01, Hartford County, Connecticut</t>
  </si>
  <si>
    <t>1400000US09003430202</t>
  </si>
  <si>
    <t>Census Tract 4302.02, Hartford County, Connecticut</t>
  </si>
  <si>
    <t>1400000US09003430203</t>
  </si>
  <si>
    <t>Census Tract 4302.03, Hartford County, Connecticut</t>
  </si>
  <si>
    <t>1400000US09003430301</t>
  </si>
  <si>
    <t>Census Tract 4303.01, Hartford County, Connecticut</t>
  </si>
  <si>
    <t>1400000US09003430302</t>
  </si>
  <si>
    <t>Census Tract 4303.02, Hartford County, Connecticut</t>
  </si>
  <si>
    <t>1400000US09003430400</t>
  </si>
  <si>
    <t>Census Tract 4304, Hartford County, Connecticut</t>
  </si>
  <si>
    <t>1400000US09003430500</t>
  </si>
  <si>
    <t>Census Tract 4305, Hartford County, Connecticut</t>
  </si>
  <si>
    <t>1400000US09003430601</t>
  </si>
  <si>
    <t>Census Tract 4306.01, Hartford County, Connecticut</t>
  </si>
  <si>
    <t>1400000US09003430602</t>
  </si>
  <si>
    <t>Census Tract 4306.02, Hartford County, Connecticut</t>
  </si>
  <si>
    <t>1400000US09003460100</t>
  </si>
  <si>
    <t>Census Tract 4601, Hartford County, Connecticut</t>
  </si>
  <si>
    <t>1400000US09003460202</t>
  </si>
  <si>
    <t>Census Tract 4602.02, Hartford County, Connecticut</t>
  </si>
  <si>
    <t>1400000US09003460203</t>
  </si>
  <si>
    <t>Census Tract 4602.03, Hartford County, Connecticut</t>
  </si>
  <si>
    <t>1400000US09003460204</t>
  </si>
  <si>
    <t>Census Tract 4602.04, Hartford County, Connecticut</t>
  </si>
  <si>
    <t>1400000US09003460301</t>
  </si>
  <si>
    <t>Census Tract 4603.01, Hartford County, Connecticut</t>
  </si>
  <si>
    <t>1400000US09003460302</t>
  </si>
  <si>
    <t>Census Tract 4603.02, Hartford County, Connecticut</t>
  </si>
  <si>
    <t>1400000US09003462101</t>
  </si>
  <si>
    <t>Census Tract 4621.01, Hartford County, Connecticut</t>
  </si>
  <si>
    <t>1400000US09003462102</t>
  </si>
  <si>
    <t>Census Tract 4621.02, Hartford County, Connecticut</t>
  </si>
  <si>
    <t>1400000US09003462201</t>
  </si>
  <si>
    <t>Census Tract 4622.01, Hartford County, Connecticut</t>
  </si>
  <si>
    <t>1400000US09003462202</t>
  </si>
  <si>
    <t>Census Tract 4622.02, Hartford County, Connecticut</t>
  </si>
  <si>
    <t>1400000US09003464101</t>
  </si>
  <si>
    <t>Census Tract 4641.01, Hartford County, Connecticut</t>
  </si>
  <si>
    <t>1400000US09003464102</t>
  </si>
  <si>
    <t>Census Tract 4641.02, Hartford County, Connecticut</t>
  </si>
  <si>
    <t>1400000US09003466101</t>
  </si>
  <si>
    <t>Census Tract 4661.01, Hartford County, Connecticut</t>
  </si>
  <si>
    <t>1400000US09003466102</t>
  </si>
  <si>
    <t>Census Tract 4661.02, Hartford County, Connecticut</t>
  </si>
  <si>
    <t>1400000US09003466201</t>
  </si>
  <si>
    <t>Census Tract 4662.01, Hartford County, Connecticut</t>
  </si>
  <si>
    <t>1400000US09003466202</t>
  </si>
  <si>
    <t>Census Tract 4662.02, Hartford County, Connecticut</t>
  </si>
  <si>
    <t>1400000US09003466300</t>
  </si>
  <si>
    <t>Census Tract 4663, Hartford County, Connecticut</t>
  </si>
  <si>
    <t>1400000US09003466400</t>
  </si>
  <si>
    <t>Census Tract 4664, Hartford County, Connecticut</t>
  </si>
  <si>
    <t>1400000US09003468101</t>
  </si>
  <si>
    <t>Census Tract 4681.01, Hartford County, Connecticut</t>
  </si>
  <si>
    <t>1400000US09003468102</t>
  </si>
  <si>
    <t>Census Tract 4681.02, Hartford County, Connecticut</t>
  </si>
  <si>
    <t>1400000US09003470100</t>
  </si>
  <si>
    <t>Census Tract 4701, Hartford County, Connecticut</t>
  </si>
  <si>
    <t>1400000US09003471100</t>
  </si>
  <si>
    <t>Census Tract 4711, Hartford County, Connecticut</t>
  </si>
  <si>
    <t>1400000US09003471200</t>
  </si>
  <si>
    <t>Census Tract 4712, Hartford County, Connecticut</t>
  </si>
  <si>
    <t>1400000US09003471300</t>
  </si>
  <si>
    <t>Census Tract 4713, Hartford County, Connecticut</t>
  </si>
  <si>
    <t>1400000US09003471400</t>
  </si>
  <si>
    <t>Census Tract 4714, Hartford County, Connecticut</t>
  </si>
  <si>
    <t>1400000US09003471500</t>
  </si>
  <si>
    <t>Census Tract 4715, Hartford County, Connecticut</t>
  </si>
  <si>
    <t>1400000US09003473100</t>
  </si>
  <si>
    <t>Census Tract 4731, Hartford County, Connecticut</t>
  </si>
  <si>
    <t>1400000US09003473400</t>
  </si>
  <si>
    <t>Census Tract 4734, Hartford County, Connecticut</t>
  </si>
  <si>
    <t>1400000US09003473501</t>
  </si>
  <si>
    <t>Census Tract 4735.01, Hartford County, Connecticut</t>
  </si>
  <si>
    <t>1400000US09003473502</t>
  </si>
  <si>
    <t>Census Tract 4735.02, Hartford County, Connecticut</t>
  </si>
  <si>
    <t>1400000US09003473601</t>
  </si>
  <si>
    <t>Census Tract 4736.01, Hartford County, Connecticut</t>
  </si>
  <si>
    <t>1400000US09003473602</t>
  </si>
  <si>
    <t>Census Tract 4736.02, Hartford County, Connecticut</t>
  </si>
  <si>
    <t>1400000US09003473700</t>
  </si>
  <si>
    <t>Census Tract 4737, Hartford County, Connecticut</t>
  </si>
  <si>
    <t>1400000US09003473800</t>
  </si>
  <si>
    <t>Census Tract 4738, Hartford County, Connecticut</t>
  </si>
  <si>
    <t>1400000US09003476100</t>
  </si>
  <si>
    <t>Census Tract 4761, Hartford County, Connecticut</t>
  </si>
  <si>
    <t>1400000US09003476200</t>
  </si>
  <si>
    <t>Census Tract 4762, Hartford County, Connecticut</t>
  </si>
  <si>
    <t>1400000US09003476300</t>
  </si>
  <si>
    <t>Census Tract 4763, Hartford County, Connecticut</t>
  </si>
  <si>
    <t>1400000US09003477101</t>
  </si>
  <si>
    <t>Census Tract 4771.01, Hartford County, Connecticut</t>
  </si>
  <si>
    <t>1400000US09003477102</t>
  </si>
  <si>
    <t>Census Tract 4771.02, Hartford County, Connecticut</t>
  </si>
  <si>
    <t>1400000US09003477200</t>
  </si>
  <si>
    <t>Census Tract 4772, Hartford County, Connecticut</t>
  </si>
  <si>
    <t>1400000US09003480300</t>
  </si>
  <si>
    <t>Census Tract 4803, Hartford County, Connecticut</t>
  </si>
  <si>
    <t>1400000US09003480400</t>
  </si>
  <si>
    <t>Census Tract 4804, Hartford County, Connecticut</t>
  </si>
  <si>
    <t>1400000US09003480500</t>
  </si>
  <si>
    <t>Census Tract 4805, Hartford County, Connecticut</t>
  </si>
  <si>
    <t>1400000US09003480600</t>
  </si>
  <si>
    <t>Census Tract 4806, Hartford County, Connecticut</t>
  </si>
  <si>
    <t>1400000US09003480700</t>
  </si>
  <si>
    <t>Census Tract 4807, Hartford County, Connecticut</t>
  </si>
  <si>
    <t>1400000US09003480800</t>
  </si>
  <si>
    <t>Census Tract 4808, Hartford County, Connecticut</t>
  </si>
  <si>
    <t>1400000US09003480900</t>
  </si>
  <si>
    <t>Census Tract 4809, Hartford County, Connecticut</t>
  </si>
  <si>
    <t>1400000US09003481000</t>
  </si>
  <si>
    <t>Census Tract 4810, Hartford County, Connecticut</t>
  </si>
  <si>
    <t>1400000US09003481100</t>
  </si>
  <si>
    <t>Census Tract 4811, Hartford County, Connecticut</t>
  </si>
  <si>
    <t>1400000US09003481200</t>
  </si>
  <si>
    <t>Census Tract 4812, Hartford County, Connecticut</t>
  </si>
  <si>
    <t>1400000US09003481300</t>
  </si>
  <si>
    <t>Census Tract 4813, Hartford County, Connecticut</t>
  </si>
  <si>
    <t>1400000US09003484100</t>
  </si>
  <si>
    <t>Census Tract 4841, Hartford County, Connecticut</t>
  </si>
  <si>
    <t>1400000US09003484200</t>
  </si>
  <si>
    <t>Census Tract 4842, Hartford County, Connecticut</t>
  </si>
  <si>
    <t>1400000US09003487100</t>
  </si>
  <si>
    <t>Census Tract 4871, Hartford County, Connecticut</t>
  </si>
  <si>
    <t>1400000US09003487201</t>
  </si>
  <si>
    <t>Census Tract 4872.01, Hartford County, Connecticut</t>
  </si>
  <si>
    <t>1400000US09003487202</t>
  </si>
  <si>
    <t>Census Tract 4872.02, Hartford County, Connecticut</t>
  </si>
  <si>
    <t>1400000US09003487300</t>
  </si>
  <si>
    <t>Census Tract 4873, Hartford County, Connecticut</t>
  </si>
  <si>
    <t>1400000US09003487400</t>
  </si>
  <si>
    <t>Census Tract 4874, Hartford County, Connecticut</t>
  </si>
  <si>
    <t>1400000US09003487500</t>
  </si>
  <si>
    <t>Census Tract 4875, Hartford County, Connecticut</t>
  </si>
  <si>
    <t>1400000US09003490100</t>
  </si>
  <si>
    <t>Census Tract 4901, Hartford County, Connecticut</t>
  </si>
  <si>
    <t>1400000US09003490302</t>
  </si>
  <si>
    <t>Census Tract 4903.02, Hartford County, Connecticut</t>
  </si>
  <si>
    <t>1400000US09003492100</t>
  </si>
  <si>
    <t>Census Tract 4921, Hartford County, Connecticut</t>
  </si>
  <si>
    <t>1400000US09003492200</t>
  </si>
  <si>
    <t>Census Tract 4922, Hartford County, Connecticut</t>
  </si>
  <si>
    <t>1400000US09003492300</t>
  </si>
  <si>
    <t>Census Tract 4923, Hartford County, Connecticut</t>
  </si>
  <si>
    <t>1400000US09003492400</t>
  </si>
  <si>
    <t>Census Tract 4924, Hartford County, Connecticut</t>
  </si>
  <si>
    <t>1400000US09003492500</t>
  </si>
  <si>
    <t>Census Tract 4925, Hartford County, Connecticut</t>
  </si>
  <si>
    <t>1400000US09003492600</t>
  </si>
  <si>
    <t>Census Tract 4926, Hartford County, Connecticut</t>
  </si>
  <si>
    <t>1400000US09003494100</t>
  </si>
  <si>
    <t>Census Tract 4941, Hartford County, Connecticut</t>
  </si>
  <si>
    <t>1400000US09003494201</t>
  </si>
  <si>
    <t>Census Tract 4942.01, Hartford County, Connecticut</t>
  </si>
  <si>
    <t>1400000US09003494202</t>
  </si>
  <si>
    <t>Census Tract 4942.02, Hartford County, Connecticut</t>
  </si>
  <si>
    <t>1400000US09003494300</t>
  </si>
  <si>
    <t>Census Tract 4943, Hartford County, Connecticut</t>
  </si>
  <si>
    <t>1400000US09003494400</t>
  </si>
  <si>
    <t>Census Tract 4944, Hartford County, Connecticut</t>
  </si>
  <si>
    <t>1400000US09003494500</t>
  </si>
  <si>
    <t>Census Tract 4945, Hartford County, Connecticut</t>
  </si>
  <si>
    <t>1400000US09003494600</t>
  </si>
  <si>
    <t>Census Tract 4946, Hartford County, Connecticut</t>
  </si>
  <si>
    <t>1400000US09003496100</t>
  </si>
  <si>
    <t>Census Tract 4961, Hartford County, Connecticut</t>
  </si>
  <si>
    <t>1400000US09003496200</t>
  </si>
  <si>
    <t>Census Tract 4962, Hartford County, Connecticut</t>
  </si>
  <si>
    <t>1400000US09003496300</t>
  </si>
  <si>
    <t>Census Tract 4963, Hartford County, Connecticut</t>
  </si>
  <si>
    <t>1400000US09003496400</t>
  </si>
  <si>
    <t>Census Tract 4964, Hartford County, Connecticut</t>
  </si>
  <si>
    <t>1400000US09003496500</t>
  </si>
  <si>
    <t>Census Tract 4965, Hartford County, Connecticut</t>
  </si>
  <si>
    <t>1400000US09003496600</t>
  </si>
  <si>
    <t>Census Tract 4966, Hartford County, Connecticut</t>
  </si>
  <si>
    <t>1400000US09003496700</t>
  </si>
  <si>
    <t>Census Tract 4967, Hartford County, Connecticut</t>
  </si>
  <si>
    <t>1400000US09003496800</t>
  </si>
  <si>
    <t>Census Tract 4968, Hartford County, Connecticut</t>
  </si>
  <si>
    <t>1400000US09003496900</t>
  </si>
  <si>
    <t>Census Tract 4969, Hartford County, Connecticut</t>
  </si>
  <si>
    <t>1400000US09003497000</t>
  </si>
  <si>
    <t>Census Tract 4970, Hartford County, Connecticut</t>
  </si>
  <si>
    <t>1400000US09003497100</t>
  </si>
  <si>
    <t>Census Tract 4971, Hartford County, Connecticut</t>
  </si>
  <si>
    <t>1400000US09003497200</t>
  </si>
  <si>
    <t>Census Tract 4972, Hartford County, Connecticut</t>
  </si>
  <si>
    <t>1400000US09003497300</t>
  </si>
  <si>
    <t>Census Tract 4973, Hartford County, Connecticut</t>
  </si>
  <si>
    <t>1400000US09003497400</t>
  </si>
  <si>
    <t>Census Tract 4974, Hartford County, Connecticut</t>
  </si>
  <si>
    <t>1400000US09003497500</t>
  </si>
  <si>
    <t>Census Tract 4975, Hartford County, Connecticut</t>
  </si>
  <si>
    <t>1400000US09003497600</t>
  </si>
  <si>
    <t>Census Tract 4976, Hartford County, Connecticut</t>
  </si>
  <si>
    <t>1400000US09003497700</t>
  </si>
  <si>
    <t>Census Tract 4977, Hartford County, Connecticut</t>
  </si>
  <si>
    <t>1400000US09003500100</t>
  </si>
  <si>
    <t>Census Tract 5001, Hartford County, Connecticut</t>
  </si>
  <si>
    <t>1400000US09003500200</t>
  </si>
  <si>
    <t>Census Tract 5002, Hartford County, Connecticut</t>
  </si>
  <si>
    <t>1400000US09003500300</t>
  </si>
  <si>
    <t>Census Tract 5003, Hartford County, Connecticut</t>
  </si>
  <si>
    <t>1400000US09003500400</t>
  </si>
  <si>
    <t>Census Tract 5004, Hartford County, Connecticut</t>
  </si>
  <si>
    <t>1400000US09003500500</t>
  </si>
  <si>
    <t>Census Tract 5005, Hartford County, Connecticut</t>
  </si>
  <si>
    <t>1400000US09003500900</t>
  </si>
  <si>
    <t>Census Tract 5009, Hartford County, Connecticut</t>
  </si>
  <si>
    <t>1400000US09003501200</t>
  </si>
  <si>
    <t>Census Tract 5012, Hartford County, Connecticut</t>
  </si>
  <si>
    <t>1400000US09003501300</t>
  </si>
  <si>
    <t>Census Tract 5013, Hartford County, Connecticut</t>
  </si>
  <si>
    <t>1400000US09003501400</t>
  </si>
  <si>
    <t>Census Tract 5014, Hartford County, Connecticut</t>
  </si>
  <si>
    <t>1400000US09003501500</t>
  </si>
  <si>
    <t>Census Tract 5015, Hartford County, Connecticut</t>
  </si>
  <si>
    <t>1400000US09003501700</t>
  </si>
  <si>
    <t>Census Tract 5017, Hartford County, Connecticut</t>
  </si>
  <si>
    <t>1400000US09003501800</t>
  </si>
  <si>
    <t>Census Tract 5018, Hartford County, Connecticut</t>
  </si>
  <si>
    <t>1400000US09003502100</t>
  </si>
  <si>
    <t>Census Tract 5021, Hartford County, Connecticut</t>
  </si>
  <si>
    <t>1400000US09003502300</t>
  </si>
  <si>
    <t>Census Tract 5023, Hartford County, Connecticut</t>
  </si>
  <si>
    <t>1400000US09003502400</t>
  </si>
  <si>
    <t>Census Tract 5024, Hartford County, Connecticut</t>
  </si>
  <si>
    <t>1400000US09003502500</t>
  </si>
  <si>
    <t>Census Tract 5025, Hartford County, Connecticut</t>
  </si>
  <si>
    <t>1400000US09003502600</t>
  </si>
  <si>
    <t>Census Tract 5026, Hartford County, Connecticut</t>
  </si>
  <si>
    <t>1400000US09003502700</t>
  </si>
  <si>
    <t>Census Tract 5027, Hartford County, Connecticut</t>
  </si>
  <si>
    <t>1400000US09003502800</t>
  </si>
  <si>
    <t>Census Tract 5028, Hartford County, Connecticut</t>
  </si>
  <si>
    <t>1400000US09003502900</t>
  </si>
  <si>
    <t>Census Tract 5029, Hartford County, Connecticut</t>
  </si>
  <si>
    <t>1400000US09003503000</t>
  </si>
  <si>
    <t>Census Tract 5030, Hartford County, Connecticut</t>
  </si>
  <si>
    <t>1400000US09003503100</t>
  </si>
  <si>
    <t>Census Tract 5031, Hartford County, Connecticut</t>
  </si>
  <si>
    <t>1400000US09003503300</t>
  </si>
  <si>
    <t>Census Tract 5033, Hartford County, Connecticut</t>
  </si>
  <si>
    <t>1400000US09003503500</t>
  </si>
  <si>
    <t>Census Tract 5035, Hartford County, Connecticut</t>
  </si>
  <si>
    <t>1400000US09003503700</t>
  </si>
  <si>
    <t>Census Tract 5037, Hartford County, Connecticut</t>
  </si>
  <si>
    <t>1400000US09003503800</t>
  </si>
  <si>
    <t>Census Tract 5038, Hartford County, Connecticut</t>
  </si>
  <si>
    <t>1400000US09003503900</t>
  </si>
  <si>
    <t>Census Tract 5039, Hartford County, Connecticut</t>
  </si>
  <si>
    <t>1400000US09003504000</t>
  </si>
  <si>
    <t>Census Tract 5040, Hartford County, Connecticut</t>
  </si>
  <si>
    <t>1400000US09003504100</t>
  </si>
  <si>
    <t>Census Tract 5041, Hartford County, Connecticut</t>
  </si>
  <si>
    <t>1400000US09003504200</t>
  </si>
  <si>
    <t>Census Tract 5042, Hartford County, Connecticut</t>
  </si>
  <si>
    <t>1400000US09003504300</t>
  </si>
  <si>
    <t>Census Tract 5043, Hartford County, Connecticut</t>
  </si>
  <si>
    <t>1400000US09003504500</t>
  </si>
  <si>
    <t>Census Tract 5045, Hartford County, Connecticut</t>
  </si>
  <si>
    <t>1400000US09003504800</t>
  </si>
  <si>
    <t>Census Tract 5048, Hartford County, Connecticut</t>
  </si>
  <si>
    <t>1400000US09003504900</t>
  </si>
  <si>
    <t>Census Tract 5049, Hartford County, Connecticut</t>
  </si>
  <si>
    <t>1400000US09003510100</t>
  </si>
  <si>
    <t>Census Tract 5101, Hartford County, Connecticut</t>
  </si>
  <si>
    <t>1400000US09003510200</t>
  </si>
  <si>
    <t>Census Tract 5102, Hartford County, Connecticut</t>
  </si>
  <si>
    <t>1400000US09003510300</t>
  </si>
  <si>
    <t>Census Tract 5103, Hartford County, Connecticut</t>
  </si>
  <si>
    <t>1400000US09003510400</t>
  </si>
  <si>
    <t>Census Tract 5104, Hartford County, Connecticut</t>
  </si>
  <si>
    <t>1400000US09003510500</t>
  </si>
  <si>
    <t>Census Tract 5105, Hartford County, Connecticut</t>
  </si>
  <si>
    <t>1400000US09003510600</t>
  </si>
  <si>
    <t>Census Tract 5106, Hartford County, Connecticut</t>
  </si>
  <si>
    <t>1400000US09003510700</t>
  </si>
  <si>
    <t>Census Tract 5107, Hartford County, Connecticut</t>
  </si>
  <si>
    <t>1400000US09003510800</t>
  </si>
  <si>
    <t>Census Tract 5108, Hartford County, Connecticut</t>
  </si>
  <si>
    <t>1400000US09003510900</t>
  </si>
  <si>
    <t>Census Tract 5109, Hartford County, Connecticut</t>
  </si>
  <si>
    <t>1400000US09003511000</t>
  </si>
  <si>
    <t>Census Tract 5110, Hartford County, Connecticut</t>
  </si>
  <si>
    <t>1400000US09003511100</t>
  </si>
  <si>
    <t>Census Tract 5111, Hartford County, Connecticut</t>
  </si>
  <si>
    <t>1400000US09003511200</t>
  </si>
  <si>
    <t>Census Tract 5112, Hartford County, Connecticut</t>
  </si>
  <si>
    <t>1400000US09003511300</t>
  </si>
  <si>
    <t>Census Tract 5113, Hartford County, Connecticut</t>
  </si>
  <si>
    <t>1400000US09003511400</t>
  </si>
  <si>
    <t>Census Tract 5114, Hartford County, Connecticut</t>
  </si>
  <si>
    <t>1400000US09003514101</t>
  </si>
  <si>
    <t>Census Tract 5141.01, Hartford County, Connecticut</t>
  </si>
  <si>
    <t>1400000US09003514102</t>
  </si>
  <si>
    <t>Census Tract 5141.02, Hartford County, Connecticut</t>
  </si>
  <si>
    <t>1400000US09003514200</t>
  </si>
  <si>
    <t>Census Tract 5142, Hartford County, Connecticut</t>
  </si>
  <si>
    <t>1400000US09003514300</t>
  </si>
  <si>
    <t>Census Tract 5143, Hartford County, Connecticut</t>
  </si>
  <si>
    <t>1400000US09003514400</t>
  </si>
  <si>
    <t>Census Tract 5144, Hartford County, Connecticut</t>
  </si>
  <si>
    <t>1400000US09003514500</t>
  </si>
  <si>
    <t>Census Tract 5145, Hartford County, Connecticut</t>
  </si>
  <si>
    <t>1400000US09003514600</t>
  </si>
  <si>
    <t>Census Tract 5146, Hartford County, Connecticut</t>
  </si>
  <si>
    <t>1400000US09003514700</t>
  </si>
  <si>
    <t>Census Tract 5147, Hartford County, Connecticut</t>
  </si>
  <si>
    <t>1400000US09003514800</t>
  </si>
  <si>
    <t>Census Tract 5148, Hartford County, Connecticut</t>
  </si>
  <si>
    <t>1400000US09003514900</t>
  </si>
  <si>
    <t>Census Tract 5149, Hartford County, Connecticut</t>
  </si>
  <si>
    <t>1400000US09003515000</t>
  </si>
  <si>
    <t>Census Tract 5150, Hartford County, Connecticut</t>
  </si>
  <si>
    <t>1400000US09003515101</t>
  </si>
  <si>
    <t>Census Tract 5151.01, Hartford County, Connecticut</t>
  </si>
  <si>
    <t>1400000US09003515102</t>
  </si>
  <si>
    <t>Census Tract 5151.02, Hartford County, Connecticut</t>
  </si>
  <si>
    <t>1400000US09003515200</t>
  </si>
  <si>
    <t>Census Tract 5152, Hartford County, Connecticut</t>
  </si>
  <si>
    <t>1400000US09003520100</t>
  </si>
  <si>
    <t>Census Tract 5201, Hartford County, Connecticut</t>
  </si>
  <si>
    <t>1400000US09003520201</t>
  </si>
  <si>
    <t>Census Tract 5202.01, Hartford County, Connecticut</t>
  </si>
  <si>
    <t>1400000US09003520202</t>
  </si>
  <si>
    <t>Census Tract 5202.02, Hartford County, Connecticut</t>
  </si>
  <si>
    <t>1400000US09003520301</t>
  </si>
  <si>
    <t>Census Tract 5203.01, Hartford County, Connecticut</t>
  </si>
  <si>
    <t>1400000US09003520302</t>
  </si>
  <si>
    <t>Census Tract 5203.02, Hartford County, Connecticut</t>
  </si>
  <si>
    <t>1400000US09003520400</t>
  </si>
  <si>
    <t>Census Tract 5204, Hartford County, Connecticut</t>
  </si>
  <si>
    <t>1400000US09003520501</t>
  </si>
  <si>
    <t>Census Tract 5205.01, Hartford County, Connecticut</t>
  </si>
  <si>
    <t>1400000US09003524100</t>
  </si>
  <si>
    <t>Census Tract 5241, Hartford County, Connecticut</t>
  </si>
  <si>
    <t>1400000US09003524200</t>
  </si>
  <si>
    <t>Census Tract 5242, Hartford County, Connecticut</t>
  </si>
  <si>
    <t>1400000US09003524300</t>
  </si>
  <si>
    <t>Census Tract 5243, Hartford County, Connecticut</t>
  </si>
  <si>
    <t>1400000US09003524400</t>
  </si>
  <si>
    <t>Census Tract 5244, Hartford County, Connecticut</t>
  </si>
  <si>
    <t>1400000US09003524501</t>
  </si>
  <si>
    <t>Census Tract 5245.01, Hartford County, Connecticut</t>
  </si>
  <si>
    <t>1400000US09003524502</t>
  </si>
  <si>
    <t>Census Tract 5245.02, Hartford County, Connecticut</t>
  </si>
  <si>
    <t>1400000US09003524600</t>
  </si>
  <si>
    <t>Census Tract 5246, Hartford County, Connecticut</t>
  </si>
  <si>
    <t>1400000US09003524700</t>
  </si>
  <si>
    <t>Census Tract 5247, Hartford County, Connecticut</t>
  </si>
  <si>
    <t>1400000US09005250100</t>
  </si>
  <si>
    <t>Census Tract 2501, Litchfield County, Connecticut</t>
  </si>
  <si>
    <t>1400000US09005253100</t>
  </si>
  <si>
    <t>Census Tract 2531, Litchfield County, Connecticut</t>
  </si>
  <si>
    <t>1400000US09005253200</t>
  </si>
  <si>
    <t>Census Tract 2532, Litchfield County, Connecticut</t>
  </si>
  <si>
    <t>1400000US09005253300</t>
  </si>
  <si>
    <t>Census Tract 2533, Litchfield County, Connecticut</t>
  </si>
  <si>
    <t>1400000US09005253400</t>
  </si>
  <si>
    <t>Census Tract 2534, Litchfield County, Connecticut</t>
  </si>
  <si>
    <t>1400000US09005253500</t>
  </si>
  <si>
    <t>Census Tract 2535, Litchfield County, Connecticut</t>
  </si>
  <si>
    <t>1400000US09005253600</t>
  </si>
  <si>
    <t>Census Tract 2536, Litchfield County, Connecticut</t>
  </si>
  <si>
    <t>1400000US09005260200</t>
  </si>
  <si>
    <t>Census Tract 2602, Litchfield County, Connecticut</t>
  </si>
  <si>
    <t>1400000US09005261100</t>
  </si>
  <si>
    <t>Census Tract 2611, Litchfield County, Connecticut</t>
  </si>
  <si>
    <t>1400000US09005262100</t>
  </si>
  <si>
    <t>Census Tract 2621, Litchfield County, Connecticut</t>
  </si>
  <si>
    <t>1400000US09005263200</t>
  </si>
  <si>
    <t>Census Tract 2632, Litchfield County, Connecticut</t>
  </si>
  <si>
    <t>1400000US09005265100</t>
  </si>
  <si>
    <t>Census Tract 2651, Litchfield County, Connecticut</t>
  </si>
  <si>
    <t>1400000US09005266100</t>
  </si>
  <si>
    <t>Census Tract 2661, Litchfield County, Connecticut</t>
  </si>
  <si>
    <t>1400000US09005267100</t>
  </si>
  <si>
    <t>Census Tract 2671, Litchfield County, Connecticut</t>
  </si>
  <si>
    <t>1400000US09005268100</t>
  </si>
  <si>
    <t>Census Tract 2681, Litchfield County, Connecticut</t>
  </si>
  <si>
    <t>1400000US09005290100</t>
  </si>
  <si>
    <t>Census Tract 2901, Litchfield County, Connecticut</t>
  </si>
  <si>
    <t>1400000US09005293100</t>
  </si>
  <si>
    <t>Census Tract 2931, Litchfield County, Connecticut</t>
  </si>
  <si>
    <t>1400000US09005296100</t>
  </si>
  <si>
    <t>Census Tract 2961, Litchfield County, Connecticut</t>
  </si>
  <si>
    <t>1400000US09005298300</t>
  </si>
  <si>
    <t>Census Tract 2983, Litchfield County, Connecticut</t>
  </si>
  <si>
    <t>1400000US09005298400</t>
  </si>
  <si>
    <t>Census Tract 2984, Litchfield County, Connecticut</t>
  </si>
  <si>
    <t>1400000US09005300100</t>
  </si>
  <si>
    <t>Census Tract 3001, Litchfield County, Connecticut</t>
  </si>
  <si>
    <t>1400000US09005300400</t>
  </si>
  <si>
    <t>Census Tract 3004, Litchfield County, Connecticut</t>
  </si>
  <si>
    <t>1400000US09005300500</t>
  </si>
  <si>
    <t>Census Tract 3005, Litchfield County, Connecticut</t>
  </si>
  <si>
    <t>1400000US09005303100</t>
  </si>
  <si>
    <t>Census Tract 3031, Litchfield County, Connecticut</t>
  </si>
  <si>
    <t>1400000US09005306100</t>
  </si>
  <si>
    <t>Census Tract 3061, Litchfield County, Connecticut</t>
  </si>
  <si>
    <t>1400000US09005310100</t>
  </si>
  <si>
    <t>Census Tract 3101, Litchfield County, Connecticut</t>
  </si>
  <si>
    <t>1400000US09005310200</t>
  </si>
  <si>
    <t>Census Tract 3102, Litchfield County, Connecticut</t>
  </si>
  <si>
    <t>1400000US09005310300</t>
  </si>
  <si>
    <t>Census Tract 3103, Litchfield County, Connecticut</t>
  </si>
  <si>
    <t>1400000US09005310400</t>
  </si>
  <si>
    <t>Census Tract 3104, Litchfield County, Connecticut</t>
  </si>
  <si>
    <t>1400000US09005310500</t>
  </si>
  <si>
    <t>Census Tract 3105, Litchfield County, Connecticut</t>
  </si>
  <si>
    <t>1400000US09005310601</t>
  </si>
  <si>
    <t>Census Tract 3106.01, Litchfield County, Connecticut</t>
  </si>
  <si>
    <t>1400000US09005310602</t>
  </si>
  <si>
    <t>Census Tract 3106.02, Litchfield County, Connecticut</t>
  </si>
  <si>
    <t>1400000US09005310700</t>
  </si>
  <si>
    <t>Census Tract 3107, Litchfield County, Connecticut</t>
  </si>
  <si>
    <t>1400000US09005310801</t>
  </si>
  <si>
    <t>Census Tract 3108.01, Litchfield County, Connecticut</t>
  </si>
  <si>
    <t>1400000US09005310803</t>
  </si>
  <si>
    <t>Census Tract 3108.03, Litchfield County, Connecticut</t>
  </si>
  <si>
    <t>1400000US09005310804</t>
  </si>
  <si>
    <t>Census Tract 3108.04, Litchfield County, Connecticut</t>
  </si>
  <si>
    <t>1400000US09005320100</t>
  </si>
  <si>
    <t>Census Tract 3201, Litchfield County, Connecticut</t>
  </si>
  <si>
    <t>1400000US09005320200</t>
  </si>
  <si>
    <t>Census Tract 3202, Litchfield County, Connecticut</t>
  </si>
  <si>
    <t>1400000US09005342100</t>
  </si>
  <si>
    <t>Census Tract 3421, Litchfield County, Connecticut</t>
  </si>
  <si>
    <t>1400000US09005349100</t>
  </si>
  <si>
    <t>Census Tract 3491, Litchfield County, Connecticut</t>
  </si>
  <si>
    <t>1400000US09005349200</t>
  </si>
  <si>
    <t>Census Tract 3492, Litchfield County, Connecticut</t>
  </si>
  <si>
    <t>1400000US09005360100</t>
  </si>
  <si>
    <t>Census Tract 3601, Litchfield County, Connecticut</t>
  </si>
  <si>
    <t>1400000US09005360200</t>
  </si>
  <si>
    <t>Census Tract 3602, Litchfield County, Connecticut</t>
  </si>
  <si>
    <t>1400000US09005360300</t>
  </si>
  <si>
    <t>Census Tract 3603, Litchfield County, Connecticut</t>
  </si>
  <si>
    <t>1400000US09005360400</t>
  </si>
  <si>
    <t>Census Tract 3604, Litchfield County, Connecticut</t>
  </si>
  <si>
    <t>1400000US09005362101</t>
  </si>
  <si>
    <t>Census Tract 3621.01, Litchfield County, Connecticut</t>
  </si>
  <si>
    <t>1400000US09005362102</t>
  </si>
  <si>
    <t>Census Tract 3621.02, Litchfield County, Connecticut</t>
  </si>
  <si>
    <t>1400000US09005425300</t>
  </si>
  <si>
    <t>Census Tract 4253, Litchfield County, Connecticut</t>
  </si>
  <si>
    <t>1400000US09005425400</t>
  </si>
  <si>
    <t>Census Tract 4254, Litchfield County, Connecticut</t>
  </si>
  <si>
    <t>1400000US09005425500</t>
  </si>
  <si>
    <t>Census Tract 4255, Litchfield County, Connecticut</t>
  </si>
  <si>
    <t>1400000US09005425600</t>
  </si>
  <si>
    <t>Census Tract 4256, Litchfield County, Connecticut</t>
  </si>
  <si>
    <t>1400000US09007541100</t>
  </si>
  <si>
    <t>Census Tract 5411, Middlesex County, Connecticut</t>
  </si>
  <si>
    <t>1400000US09007541200</t>
  </si>
  <si>
    <t>Census Tract 5412, Middlesex County, Connecticut</t>
  </si>
  <si>
    <t>1400000US09007541300</t>
  </si>
  <si>
    <t>Census Tract 5413, Middlesex County, Connecticut</t>
  </si>
  <si>
    <t>1400000US09007541401</t>
  </si>
  <si>
    <t>Census Tract 5414.01, Middlesex County, Connecticut</t>
  </si>
  <si>
    <t>1400000US09007541402</t>
  </si>
  <si>
    <t>Census Tract 5414.02, Middlesex County, Connecticut</t>
  </si>
  <si>
    <t>1400000US09007541500</t>
  </si>
  <si>
    <t>Census Tract 5415, Middlesex County, Connecticut</t>
  </si>
  <si>
    <t>1400000US09007541600</t>
  </si>
  <si>
    <t>Census Tract 5416, Middlesex County, Connecticut</t>
  </si>
  <si>
    <t>1400000US09007541700</t>
  </si>
  <si>
    <t>Census Tract 5417, Middlesex County, Connecticut</t>
  </si>
  <si>
    <t>1400000US09007542000</t>
  </si>
  <si>
    <t>Census Tract 5420, Middlesex County, Connecticut</t>
  </si>
  <si>
    <t>1400000US09007542100</t>
  </si>
  <si>
    <t>Census Tract 5421, Middlesex County, Connecticut</t>
  </si>
  <si>
    <t>1400000US09007542200</t>
  </si>
  <si>
    <t>Census Tract 5422, Middlesex County, Connecticut</t>
  </si>
  <si>
    <t>1400000US09007550100</t>
  </si>
  <si>
    <t>Census Tract 5501, Middlesex County, Connecticut</t>
  </si>
  <si>
    <t>1400000US09007550201</t>
  </si>
  <si>
    <t>Census Tract 5502.01, Middlesex County, Connecticut</t>
  </si>
  <si>
    <t>1400000US09007550202</t>
  </si>
  <si>
    <t>Census Tract 5502.02, Middlesex County, Connecticut</t>
  </si>
  <si>
    <t>1400000US09007560100</t>
  </si>
  <si>
    <t>Census Tract 5601, Middlesex County, Connecticut</t>
  </si>
  <si>
    <t>1400000US09007560200</t>
  </si>
  <si>
    <t>Census Tract 5602, Middlesex County, Connecticut</t>
  </si>
  <si>
    <t>1400000US09007570100</t>
  </si>
  <si>
    <t>Census Tract 5701, Middlesex County, Connecticut</t>
  </si>
  <si>
    <t>1400000US09007570200</t>
  </si>
  <si>
    <t>Census Tract 5702, Middlesex County, Connecticut</t>
  </si>
  <si>
    <t>1400000US09007570300</t>
  </si>
  <si>
    <t>Census Tract 5703, Middlesex County, Connecticut</t>
  </si>
  <si>
    <t>1400000US09007580100</t>
  </si>
  <si>
    <t>Census Tract 5801, Middlesex County, Connecticut</t>
  </si>
  <si>
    <t>1400000US09007585100</t>
  </si>
  <si>
    <t>Census Tract 5851, Middlesex County, Connecticut</t>
  </si>
  <si>
    <t>1400000US09007590100</t>
  </si>
  <si>
    <t>Census Tract 5901, Middlesex County, Connecticut</t>
  </si>
  <si>
    <t>1400000US09007595101</t>
  </si>
  <si>
    <t>Census Tract 5951.01, Middlesex County, Connecticut</t>
  </si>
  <si>
    <t>1400000US09007595102</t>
  </si>
  <si>
    <t>Census Tract 5951.02, Middlesex County, Connecticut</t>
  </si>
  <si>
    <t>1400000US09007600100</t>
  </si>
  <si>
    <t>Census Tract 6001, Middlesex County, Connecticut</t>
  </si>
  <si>
    <t>1400000US09007610100</t>
  </si>
  <si>
    <t>Census Tract 6101, Middlesex County, Connecticut</t>
  </si>
  <si>
    <t>1400000US09007610200</t>
  </si>
  <si>
    <t>Census Tract 6102, Middlesex County, Connecticut</t>
  </si>
  <si>
    <t>1400000US09007610300</t>
  </si>
  <si>
    <t>Census Tract 6103, Middlesex County, Connecticut</t>
  </si>
  <si>
    <t>1400000US09007610400</t>
  </si>
  <si>
    <t>Census Tract 6104, Middlesex County, Connecticut</t>
  </si>
  <si>
    <t>1400000US09007620100</t>
  </si>
  <si>
    <t>Census Tract 6201, Middlesex County, Connecticut</t>
  </si>
  <si>
    <t>1400000US09007630100</t>
  </si>
  <si>
    <t>Census Tract 6301, Middlesex County, Connecticut</t>
  </si>
  <si>
    <t>1400000US09007640100</t>
  </si>
  <si>
    <t>Census Tract 6401, Middlesex County, Connecticut</t>
  </si>
  <si>
    <t>1400000US09007670100</t>
  </si>
  <si>
    <t>Census Tract 6701, Middlesex County, Connecticut</t>
  </si>
  <si>
    <t>1400000US09007670200</t>
  </si>
  <si>
    <t>Census Tract 6702, Middlesex County, Connecticut</t>
  </si>
  <si>
    <t>1400000US09007680100</t>
  </si>
  <si>
    <t>Census Tract 6801, Middlesex County, Connecticut</t>
  </si>
  <si>
    <t>1400000US09007680200</t>
  </si>
  <si>
    <t>Census Tract 6802, Middlesex County, Connecticut</t>
  </si>
  <si>
    <t>1400000US09009120100</t>
  </si>
  <si>
    <t>Census Tract 1201, New Haven County, Connecticut</t>
  </si>
  <si>
    <t>1400000US09009120200</t>
  </si>
  <si>
    <t>Census Tract 1202, New Haven County, Connecticut</t>
  </si>
  <si>
    <t>1400000US09009125100</t>
  </si>
  <si>
    <t>Census Tract 1251, New Haven County, Connecticut</t>
  </si>
  <si>
    <t>1400000US09009125200</t>
  </si>
  <si>
    <t>Census Tract 1252, New Haven County, Connecticut</t>
  </si>
  <si>
    <t>1400000US09009125300</t>
  </si>
  <si>
    <t>Census Tract 1253, New Haven County, Connecticut</t>
  </si>
  <si>
    <t>1400000US09009125400</t>
  </si>
  <si>
    <t>Census Tract 1254, New Haven County, Connecticut</t>
  </si>
  <si>
    <t>1400000US09009130101</t>
  </si>
  <si>
    <t>Census Tract 1301.01, New Haven County, Connecticut</t>
  </si>
  <si>
    <t>1400000US09009130102</t>
  </si>
  <si>
    <t>Census Tract 1301.02, New Haven County, Connecticut</t>
  </si>
  <si>
    <t>1400000US09009130200</t>
  </si>
  <si>
    <t>Census Tract 1302, New Haven County, Connecticut</t>
  </si>
  <si>
    <t>1400000US09009140100</t>
  </si>
  <si>
    <t>Census Tract 1401, New Haven County, Connecticut</t>
  </si>
  <si>
    <t>1400000US09009140200</t>
  </si>
  <si>
    <t>Census Tract 1402, New Haven County, Connecticut</t>
  </si>
  <si>
    <t>1400000US09009140300</t>
  </si>
  <si>
    <t>Census Tract 1403, New Haven County, Connecticut</t>
  </si>
  <si>
    <t>1400000US09009140400</t>
  </si>
  <si>
    <t>Census Tract 1404, New Haven County, Connecticut</t>
  </si>
  <si>
    <t>1400000US09009140500</t>
  </si>
  <si>
    <t>Census Tract 1405, New Haven County, Connecticut</t>
  </si>
  <si>
    <t>1400000US09009140600</t>
  </si>
  <si>
    <t>Census Tract 1406, New Haven County, Connecticut</t>
  </si>
  <si>
    <t>1400000US09009140700</t>
  </si>
  <si>
    <t>Census Tract 1407, New Haven County, Connecticut</t>
  </si>
  <si>
    <t>1400000US09009140800</t>
  </si>
  <si>
    <t>Census Tract 1408, New Haven County, Connecticut</t>
  </si>
  <si>
    <t>1400000US09009140900</t>
  </si>
  <si>
    <t>Census Tract 1409, New Haven County, Connecticut</t>
  </si>
  <si>
    <t>1400000US09009141000</t>
  </si>
  <si>
    <t>Census Tract 1410, New Haven County, Connecticut</t>
  </si>
  <si>
    <t>1400000US09009141100</t>
  </si>
  <si>
    <t>Census Tract 1411, New Haven County, Connecticut</t>
  </si>
  <si>
    <t>1400000US09009141200</t>
  </si>
  <si>
    <t>Census Tract 1412, New Haven County, Connecticut</t>
  </si>
  <si>
    <t>1400000US09009141300</t>
  </si>
  <si>
    <t>Census Tract 1413, New Haven County, Connecticut</t>
  </si>
  <si>
    <t>1400000US09009141400</t>
  </si>
  <si>
    <t>Census Tract 1414, New Haven County, Connecticut</t>
  </si>
  <si>
    <t>1400000US09009141500</t>
  </si>
  <si>
    <t>Census Tract 1415, New Haven County, Connecticut</t>
  </si>
  <si>
    <t>1400000US09009141600</t>
  </si>
  <si>
    <t>Census Tract 1416, New Haven County, Connecticut</t>
  </si>
  <si>
    <t>1400000US09009141800</t>
  </si>
  <si>
    <t>Census Tract 1418, New Haven County, Connecticut</t>
  </si>
  <si>
    <t>1400000US09009141900</t>
  </si>
  <si>
    <t>Census Tract 1419, New Haven County, Connecticut</t>
  </si>
  <si>
    <t>1400000US09009142000</t>
  </si>
  <si>
    <t>Census Tract 1420, New Haven County, Connecticut</t>
  </si>
  <si>
    <t>1400000US09009142100</t>
  </si>
  <si>
    <t>Census Tract 1421, New Haven County, Connecticut</t>
  </si>
  <si>
    <t>1400000US09009142200</t>
  </si>
  <si>
    <t>Census Tract 1422, New Haven County, Connecticut</t>
  </si>
  <si>
    <t>1400000US09009142300</t>
  </si>
  <si>
    <t>Census Tract 1423, New Haven County, Connecticut</t>
  </si>
  <si>
    <t>1400000US09009142400</t>
  </si>
  <si>
    <t>Census Tract 1424, New Haven County, Connecticut</t>
  </si>
  <si>
    <t>1400000US09009142500</t>
  </si>
  <si>
    <t>Census Tract 1425, New Haven County, Connecticut</t>
  </si>
  <si>
    <t>1400000US09009142601</t>
  </si>
  <si>
    <t>Census Tract 1426.01, New Haven County, Connecticut</t>
  </si>
  <si>
    <t>1400000US09009142603</t>
  </si>
  <si>
    <t>Census Tract 1426.03, New Haven County, Connecticut</t>
  </si>
  <si>
    <t>1400000US09009142604</t>
  </si>
  <si>
    <t>Census Tract 1426.04, New Haven County, Connecticut</t>
  </si>
  <si>
    <t>1400000US09009142700</t>
  </si>
  <si>
    <t>Census Tract 1427, New Haven County, Connecticut</t>
  </si>
  <si>
    <t>1400000US09009142800</t>
  </si>
  <si>
    <t>Census Tract 1428, New Haven County, Connecticut</t>
  </si>
  <si>
    <t>1400000US09009150100</t>
  </si>
  <si>
    <t>Census Tract 1501, New Haven County, Connecticut</t>
  </si>
  <si>
    <t>1400000US09009150200</t>
  </si>
  <si>
    <t>Census Tract 1502, New Haven County, Connecticut</t>
  </si>
  <si>
    <t>1400000US09009150300</t>
  </si>
  <si>
    <t>Census Tract 1503, New Haven County, Connecticut</t>
  </si>
  <si>
    <t>1400000US09009150400</t>
  </si>
  <si>
    <t>Census Tract 1504, New Haven County, Connecticut</t>
  </si>
  <si>
    <t>1400000US09009150500</t>
  </si>
  <si>
    <t>Census Tract 1505, New Haven County, Connecticut</t>
  </si>
  <si>
    <t>1400000US09009150600</t>
  </si>
  <si>
    <t>Census Tract 1506, New Haven County, Connecticut</t>
  </si>
  <si>
    <t>1400000US09009150700</t>
  </si>
  <si>
    <t>Census Tract 1507, New Haven County, Connecticut</t>
  </si>
  <si>
    <t>1400000US09009150800</t>
  </si>
  <si>
    <t>Census Tract 1508, New Haven County, Connecticut</t>
  </si>
  <si>
    <t>1400000US09009150900</t>
  </si>
  <si>
    <t>Census Tract 1509, New Haven County, Connecticut</t>
  </si>
  <si>
    <t>1400000US09009151000</t>
  </si>
  <si>
    <t>Census Tract 1510, New Haven County, Connecticut</t>
  </si>
  <si>
    <t>1400000US09009151100</t>
  </si>
  <si>
    <t>Census Tract 1511, New Haven County, Connecticut</t>
  </si>
  <si>
    <t>1400000US09009151200</t>
  </si>
  <si>
    <t>Census Tract 1512, New Haven County, Connecticut</t>
  </si>
  <si>
    <t>1400000US09009154100</t>
  </si>
  <si>
    <t>Census Tract 1541, New Haven County, Connecticut</t>
  </si>
  <si>
    <t>1400000US09009154200</t>
  </si>
  <si>
    <t>Census Tract 1542, New Haven County, Connecticut</t>
  </si>
  <si>
    <t>1400000US09009154500</t>
  </si>
  <si>
    <t>Census Tract 1545, New Haven County, Connecticut</t>
  </si>
  <si>
    <t>1400000US09009154600</t>
  </si>
  <si>
    <t>Census Tract 1546, New Haven County, Connecticut</t>
  </si>
  <si>
    <t>1400000US09009154700</t>
  </si>
  <si>
    <t>Census Tract 1547, New Haven County, Connecticut</t>
  </si>
  <si>
    <t>1400000US09009154800</t>
  </si>
  <si>
    <t>Census Tract 1548, New Haven County, Connecticut</t>
  </si>
  <si>
    <t>1400000US09009154900</t>
  </si>
  <si>
    <t>Census Tract 1549, New Haven County, Connecticut</t>
  </si>
  <si>
    <t>1400000US09009155000</t>
  </si>
  <si>
    <t>Census Tract 1550, New Haven County, Connecticut</t>
  </si>
  <si>
    <t>1400000US09009155100</t>
  </si>
  <si>
    <t>Census Tract 1551, New Haven County, Connecticut</t>
  </si>
  <si>
    <t>1400000US09009157100</t>
  </si>
  <si>
    <t>Census Tract 1571, New Haven County, Connecticut</t>
  </si>
  <si>
    <t>1400000US09009157200</t>
  </si>
  <si>
    <t>Census Tract 1572, New Haven County, Connecticut</t>
  </si>
  <si>
    <t>1400000US09009157300</t>
  </si>
  <si>
    <t>Census Tract 1573, New Haven County, Connecticut</t>
  </si>
  <si>
    <t>1400000US09009157400</t>
  </si>
  <si>
    <t>Census Tract 1574, New Haven County, Connecticut</t>
  </si>
  <si>
    <t>1400000US09009160100</t>
  </si>
  <si>
    <t>Census Tract 1601, New Haven County, Connecticut</t>
  </si>
  <si>
    <t>1400000US09009160200</t>
  </si>
  <si>
    <t>Census Tract 1602, New Haven County, Connecticut</t>
  </si>
  <si>
    <t>1400000US09009161100</t>
  </si>
  <si>
    <t>Census Tract 1611, New Haven County, Connecticut</t>
  </si>
  <si>
    <t>1400000US09009165100</t>
  </si>
  <si>
    <t>Census Tract 1651, New Haven County, Connecticut</t>
  </si>
  <si>
    <t>1400000US09009165200</t>
  </si>
  <si>
    <t>Census Tract 1652, New Haven County, Connecticut</t>
  </si>
  <si>
    <t>1400000US09009165300</t>
  </si>
  <si>
    <t>Census Tract 1653, New Haven County, Connecticut</t>
  </si>
  <si>
    <t>1400000US09009165400</t>
  </si>
  <si>
    <t>Census Tract 1654, New Haven County, Connecticut</t>
  </si>
  <si>
    <t>1400000US09009165500</t>
  </si>
  <si>
    <t>Census Tract 1655, New Haven County, Connecticut</t>
  </si>
  <si>
    <t>1400000US09009165600</t>
  </si>
  <si>
    <t>Census Tract 1656, New Haven County, Connecticut</t>
  </si>
  <si>
    <t>1400000US09009165700</t>
  </si>
  <si>
    <t>Census Tract 1657, New Haven County, Connecticut</t>
  </si>
  <si>
    <t>1400000US09009165801</t>
  </si>
  <si>
    <t>Census Tract 1658.01, New Haven County, Connecticut</t>
  </si>
  <si>
    <t>1400000US09009165802</t>
  </si>
  <si>
    <t>Census Tract 1658.02, New Haven County, Connecticut</t>
  </si>
  <si>
    <t>1400000US09009165900</t>
  </si>
  <si>
    <t>Census Tract 1659, New Haven County, Connecticut</t>
  </si>
  <si>
    <t>1400000US09009166001</t>
  </si>
  <si>
    <t>Census Tract 1660.01, New Haven County, Connecticut</t>
  </si>
  <si>
    <t>1400000US09009166002</t>
  </si>
  <si>
    <t>Census Tract 1660.02, New Haven County, Connecticut</t>
  </si>
  <si>
    <t>1400000US09009167100</t>
  </si>
  <si>
    <t>Census Tract 1671, New Haven County, Connecticut</t>
  </si>
  <si>
    <t>1400000US09009167201</t>
  </si>
  <si>
    <t>Census Tract 1672.01, New Haven County, Connecticut</t>
  </si>
  <si>
    <t>1400000US09009167202</t>
  </si>
  <si>
    <t>Census Tract 1672.02, New Haven County, Connecticut</t>
  </si>
  <si>
    <t>1400000US09009167300</t>
  </si>
  <si>
    <t>Census Tract 1673, New Haven County, Connecticut</t>
  </si>
  <si>
    <t>1400000US09009170100</t>
  </si>
  <si>
    <t>Census Tract 1701, New Haven County, Connecticut</t>
  </si>
  <si>
    <t>1400000US09009170200</t>
  </si>
  <si>
    <t>Census Tract 1702, New Haven County, Connecticut</t>
  </si>
  <si>
    <t>1400000US09009170300</t>
  </si>
  <si>
    <t>Census Tract 1703, New Haven County, Connecticut</t>
  </si>
  <si>
    <t>1400000US09009170400</t>
  </si>
  <si>
    <t>Census Tract 1704, New Haven County, Connecticut</t>
  </si>
  <si>
    <t>1400000US09009170500</t>
  </si>
  <si>
    <t>Census Tract 1705, New Haven County, Connecticut</t>
  </si>
  <si>
    <t>1400000US09009170600</t>
  </si>
  <si>
    <t>Census Tract 1706, New Haven County, Connecticut</t>
  </si>
  <si>
    <t>1400000US09009170700</t>
  </si>
  <si>
    <t>Census Tract 1707, New Haven County, Connecticut</t>
  </si>
  <si>
    <t>1400000US09009170800</t>
  </si>
  <si>
    <t>Census Tract 1708, New Haven County, Connecticut</t>
  </si>
  <si>
    <t>1400000US09009170900</t>
  </si>
  <si>
    <t>Census Tract 1709, New Haven County, Connecticut</t>
  </si>
  <si>
    <t>1400000US09009171000</t>
  </si>
  <si>
    <t>Census Tract 1710, New Haven County, Connecticut</t>
  </si>
  <si>
    <t>1400000US09009171100</t>
  </si>
  <si>
    <t>Census Tract 1711, New Haven County, Connecticut</t>
  </si>
  <si>
    <t>1400000US09009171200</t>
  </si>
  <si>
    <t>Census Tract 1712, New Haven County, Connecticut</t>
  </si>
  <si>
    <t>1400000US09009171300</t>
  </si>
  <si>
    <t>Census Tract 1713, New Haven County, Connecticut</t>
  </si>
  <si>
    <t>1400000US09009171400</t>
  </si>
  <si>
    <t>Census Tract 1714, New Haven County, Connecticut</t>
  </si>
  <si>
    <t>1400000US09009171500</t>
  </si>
  <si>
    <t>Census Tract 1715, New Haven County, Connecticut</t>
  </si>
  <si>
    <t>1400000US09009171600</t>
  </si>
  <si>
    <t>Census Tract 1716, New Haven County, Connecticut</t>
  </si>
  <si>
    <t>1400000US09009171700</t>
  </si>
  <si>
    <t>Census Tract 1717, New Haven County, Connecticut</t>
  </si>
  <si>
    <t>1400000US09009175100</t>
  </si>
  <si>
    <t>Census Tract 1751, New Haven County, Connecticut</t>
  </si>
  <si>
    <t>1400000US09009175200</t>
  </si>
  <si>
    <t>Census Tract 1752, New Haven County, Connecticut</t>
  </si>
  <si>
    <t>1400000US09009175300</t>
  </si>
  <si>
    <t>Census Tract 1753, New Haven County, Connecticut</t>
  </si>
  <si>
    <t>1400000US09009175400</t>
  </si>
  <si>
    <t>Census Tract 1754, New Haven County, Connecticut</t>
  </si>
  <si>
    <t>1400000US09009175500</t>
  </si>
  <si>
    <t>Census Tract 1755, New Haven County, Connecticut</t>
  </si>
  <si>
    <t>1400000US09009175600</t>
  </si>
  <si>
    <t>Census Tract 1756, New Haven County, Connecticut</t>
  </si>
  <si>
    <t>1400000US09009175700</t>
  </si>
  <si>
    <t>Census Tract 1757, New Haven County, Connecticut</t>
  </si>
  <si>
    <t>1400000US09009175800</t>
  </si>
  <si>
    <t>Census Tract 1758, New Haven County, Connecticut</t>
  </si>
  <si>
    <t>1400000US09009175900</t>
  </si>
  <si>
    <t>Census Tract 1759, New Haven County, Connecticut</t>
  </si>
  <si>
    <t>1400000US09009176000</t>
  </si>
  <si>
    <t>Census Tract 1760, New Haven County, Connecticut</t>
  </si>
  <si>
    <t>1400000US09009180100</t>
  </si>
  <si>
    <t>Census Tract 1801, New Haven County, Connecticut</t>
  </si>
  <si>
    <t>1400000US09009180200</t>
  </si>
  <si>
    <t>Census Tract 1802, New Haven County, Connecticut</t>
  </si>
  <si>
    <t>1400000US09009180300</t>
  </si>
  <si>
    <t>Census Tract 1803, New Haven County, Connecticut</t>
  </si>
  <si>
    <t>1400000US09009180400</t>
  </si>
  <si>
    <t>Census Tract 1804, New Haven County, Connecticut</t>
  </si>
  <si>
    <t>1400000US09009180500</t>
  </si>
  <si>
    <t>Census Tract 1805, New Haven County, Connecticut</t>
  </si>
  <si>
    <t>1400000US09009180601</t>
  </si>
  <si>
    <t>Census Tract 1806.01, New Haven County, Connecticut</t>
  </si>
  <si>
    <t>1400000US09009180602</t>
  </si>
  <si>
    <t>Census Tract 1806.02, New Haven County, Connecticut</t>
  </si>
  <si>
    <t>1400000US09009184100</t>
  </si>
  <si>
    <t>Census Tract 1841, New Haven County, Connecticut</t>
  </si>
  <si>
    <t>1400000US09009184200</t>
  </si>
  <si>
    <t>Census Tract 1842, New Haven County, Connecticut</t>
  </si>
  <si>
    <t>1400000US09009184300</t>
  </si>
  <si>
    <t>Census Tract 1843, New Haven County, Connecticut</t>
  </si>
  <si>
    <t>1400000US09009184400</t>
  </si>
  <si>
    <t>Census Tract 1844, New Haven County, Connecticut</t>
  </si>
  <si>
    <t>1400000US09009184500</t>
  </si>
  <si>
    <t>Census Tract 1845, New Haven County, Connecticut</t>
  </si>
  <si>
    <t>1400000US09009184600</t>
  </si>
  <si>
    <t>Census Tract 1846, New Haven County, Connecticut</t>
  </si>
  <si>
    <t>1400000US09009184700</t>
  </si>
  <si>
    <t>Census Tract 1847, New Haven County, Connecticut</t>
  </si>
  <si>
    <t>1400000US09009186100</t>
  </si>
  <si>
    <t>Census Tract 1861, New Haven County, Connecticut</t>
  </si>
  <si>
    <t>1400000US09009186200</t>
  </si>
  <si>
    <t>Census Tract 1862, New Haven County, Connecticut</t>
  </si>
  <si>
    <t>1400000US09009190100</t>
  </si>
  <si>
    <t>Census Tract 1901, New Haven County, Connecticut</t>
  </si>
  <si>
    <t>1400000US09009190200</t>
  </si>
  <si>
    <t>Census Tract 1902, New Haven County, Connecticut</t>
  </si>
  <si>
    <t>1400000US09009190301</t>
  </si>
  <si>
    <t>Census Tract 1903.01, New Haven County, Connecticut</t>
  </si>
  <si>
    <t>1400000US09009190302</t>
  </si>
  <si>
    <t>Census Tract 1903.02, New Haven County, Connecticut</t>
  </si>
  <si>
    <t>1400000US09009190303</t>
  </si>
  <si>
    <t>Census Tract 1903.03, New Haven County, Connecticut</t>
  </si>
  <si>
    <t>1400000US09009194100</t>
  </si>
  <si>
    <t>Census Tract 1941, New Haven County, Connecticut</t>
  </si>
  <si>
    <t>1400000US09009194201</t>
  </si>
  <si>
    <t>Census Tract 1942.01, New Haven County, Connecticut</t>
  </si>
  <si>
    <t>1400000US09009194202</t>
  </si>
  <si>
    <t>Census Tract 1942.02, New Haven County, Connecticut</t>
  </si>
  <si>
    <t>1400000US09009341100</t>
  </si>
  <si>
    <t>Census Tract 3411, New Haven County, Connecticut</t>
  </si>
  <si>
    <t>1400000US09009343101</t>
  </si>
  <si>
    <t>Census Tract 3431.01, New Haven County, Connecticut</t>
  </si>
  <si>
    <t>1400000US09009343102</t>
  </si>
  <si>
    <t>Census Tract 3431.02, New Haven County, Connecticut</t>
  </si>
  <si>
    <t>1400000US09009343200</t>
  </si>
  <si>
    <t>Census Tract 3432, New Haven County, Connecticut</t>
  </si>
  <si>
    <t>1400000US09009343300</t>
  </si>
  <si>
    <t>Census Tract 3433, New Haven County, Connecticut</t>
  </si>
  <si>
    <t>1400000US09009343400</t>
  </si>
  <si>
    <t>Census Tract 3434, New Haven County, Connecticut</t>
  </si>
  <si>
    <t>1400000US09009344100</t>
  </si>
  <si>
    <t>Census Tract 3441, New Haven County, Connecticut</t>
  </si>
  <si>
    <t>1400000US09009344200</t>
  </si>
  <si>
    <t>Census Tract 3442, New Haven County, Connecticut</t>
  </si>
  <si>
    <t>1400000US09009345100</t>
  </si>
  <si>
    <t>Census Tract 3451, New Haven County, Connecticut</t>
  </si>
  <si>
    <t>1400000US09009345201</t>
  </si>
  <si>
    <t>Census Tract 3452.01, New Haven County, Connecticut</t>
  </si>
  <si>
    <t>1400000US09009345202</t>
  </si>
  <si>
    <t>Census Tract 3452.02, New Haven County, Connecticut</t>
  </si>
  <si>
    <t>1400000US09009345300</t>
  </si>
  <si>
    <t>Census Tract 3453, New Haven County, Connecticut</t>
  </si>
  <si>
    <t>1400000US09009345400</t>
  </si>
  <si>
    <t>Census Tract 3454, New Haven County, Connecticut</t>
  </si>
  <si>
    <t>1400000US09009346101</t>
  </si>
  <si>
    <t>Census Tract 3461.01, New Haven County, Connecticut</t>
  </si>
  <si>
    <t>1400000US09009346102</t>
  </si>
  <si>
    <t>Census Tract 3461.02, New Haven County, Connecticut</t>
  </si>
  <si>
    <t>1400000US09009347100</t>
  </si>
  <si>
    <t>Census Tract 3471, New Haven County, Connecticut</t>
  </si>
  <si>
    <t>1400000US09009347200</t>
  </si>
  <si>
    <t>Census Tract 3472, New Haven County, Connecticut</t>
  </si>
  <si>
    <t>1400000US09009348111</t>
  </si>
  <si>
    <t>Census Tract 3481.11, New Haven County, Connecticut</t>
  </si>
  <si>
    <t>1400000US09009348122</t>
  </si>
  <si>
    <t>Census Tract 3481.22, New Haven County, Connecticut</t>
  </si>
  <si>
    <t>1400000US09009348123</t>
  </si>
  <si>
    <t>Census Tract 3481.23, New Haven County, Connecticut</t>
  </si>
  <si>
    <t>1400000US09009348124</t>
  </si>
  <si>
    <t>Census Tract 3481.24, New Haven County, Connecticut</t>
  </si>
  <si>
    <t>1400000US09009348125</t>
  </si>
  <si>
    <t>Census Tract 3481.25, New Haven County, Connecticut</t>
  </si>
  <si>
    <t>1400000US09009350100</t>
  </si>
  <si>
    <t>Census Tract 3501, New Haven County, Connecticut</t>
  </si>
  <si>
    <t>1400000US09009350200</t>
  </si>
  <si>
    <t>Census Tract 3502, New Haven County, Connecticut</t>
  </si>
  <si>
    <t>1400000US09009350300</t>
  </si>
  <si>
    <t>Census Tract 3503, New Haven County, Connecticut</t>
  </si>
  <si>
    <t>1400000US09009350400</t>
  </si>
  <si>
    <t>Census Tract 3504, New Haven County, Connecticut</t>
  </si>
  <si>
    <t>1400000US09009350500</t>
  </si>
  <si>
    <t>Census Tract 3505, New Haven County, Connecticut</t>
  </si>
  <si>
    <t>1400000US09009350800</t>
  </si>
  <si>
    <t>Census Tract 3508, New Haven County, Connecticut</t>
  </si>
  <si>
    <t>1400000US09009350900</t>
  </si>
  <si>
    <t>Census Tract 3509, New Haven County, Connecticut</t>
  </si>
  <si>
    <t>1400000US09009351000</t>
  </si>
  <si>
    <t>Census Tract 3510, New Haven County, Connecticut</t>
  </si>
  <si>
    <t>1400000US09009351100</t>
  </si>
  <si>
    <t>Census Tract 3511, New Haven County, Connecticut</t>
  </si>
  <si>
    <t>1400000US09009351200</t>
  </si>
  <si>
    <t>Census Tract 3512, New Haven County, Connecticut</t>
  </si>
  <si>
    <t>1400000US09009351300</t>
  </si>
  <si>
    <t>Census Tract 3513, New Haven County, Connecticut</t>
  </si>
  <si>
    <t>1400000US09009351400</t>
  </si>
  <si>
    <t>Census Tract 3514, New Haven County, Connecticut</t>
  </si>
  <si>
    <t>1400000US09009351500</t>
  </si>
  <si>
    <t>Census Tract 3515, New Haven County, Connecticut</t>
  </si>
  <si>
    <t>1400000US09009351601</t>
  </si>
  <si>
    <t>Census Tract 3516.01, New Haven County, Connecticut</t>
  </si>
  <si>
    <t>1400000US09009351602</t>
  </si>
  <si>
    <t>Census Tract 3516.02, New Haven County, Connecticut</t>
  </si>
  <si>
    <t>1400000US09009351700</t>
  </si>
  <si>
    <t>Census Tract 3517, New Haven County, Connecticut</t>
  </si>
  <si>
    <t>1400000US09009351800</t>
  </si>
  <si>
    <t>Census Tract 3518, New Haven County, Connecticut</t>
  </si>
  <si>
    <t>1400000US09009351900</t>
  </si>
  <si>
    <t>Census Tract 3519, New Haven County, Connecticut</t>
  </si>
  <si>
    <t>1400000US09009352000</t>
  </si>
  <si>
    <t>Census Tract 3520, New Haven County, Connecticut</t>
  </si>
  <si>
    <t>1400000US09009352100</t>
  </si>
  <si>
    <t>Census Tract 3521, New Haven County, Connecticut</t>
  </si>
  <si>
    <t>1400000US09009352200</t>
  </si>
  <si>
    <t>Census Tract 3522, New Haven County, Connecticut</t>
  </si>
  <si>
    <t>1400000US09009352300</t>
  </si>
  <si>
    <t>Census Tract 3523, New Haven County, Connecticut</t>
  </si>
  <si>
    <t>1400000US09009352400</t>
  </si>
  <si>
    <t>Census Tract 3524, New Haven County, Connecticut</t>
  </si>
  <si>
    <t>1400000US09009352500</t>
  </si>
  <si>
    <t>Census Tract 3525, New Haven County, Connecticut</t>
  </si>
  <si>
    <t>1400000US09009352600</t>
  </si>
  <si>
    <t>Census Tract 3526, New Haven County, Connecticut</t>
  </si>
  <si>
    <t>1400000US09009352701</t>
  </si>
  <si>
    <t>Census Tract 3527.01, New Haven County, Connecticut</t>
  </si>
  <si>
    <t>1400000US09009352702</t>
  </si>
  <si>
    <t>Census Tract 3527.02, New Haven County, Connecticut</t>
  </si>
  <si>
    <t>1400000US09009352800</t>
  </si>
  <si>
    <t>Census Tract 3528, New Haven County, Connecticut</t>
  </si>
  <si>
    <t>1400000US09009361100</t>
  </si>
  <si>
    <t>Census Tract 3611, New Haven County, Connecticut</t>
  </si>
  <si>
    <t>1400000US09009361200</t>
  </si>
  <si>
    <t>Census Tract 3612, New Haven County, Connecticut</t>
  </si>
  <si>
    <t>1400000US09009361300</t>
  </si>
  <si>
    <t>Census Tract 3613, New Haven County, Connecticut</t>
  </si>
  <si>
    <t>1400000US09009361401</t>
  </si>
  <si>
    <t>Census Tract 3614.01, New Haven County, Connecticut</t>
  </si>
  <si>
    <t>1400000US09009361402</t>
  </si>
  <si>
    <t>Census Tract 3614.02, New Haven County, Connecticut</t>
  </si>
  <si>
    <t>1400000US09009361500</t>
  </si>
  <si>
    <t>Census Tract 3615, New Haven County, Connecticut</t>
  </si>
  <si>
    <t>1400000US09011650100</t>
  </si>
  <si>
    <t>Census Tract 6501, New London County, Connecticut</t>
  </si>
  <si>
    <t>1400000US09011660101</t>
  </si>
  <si>
    <t>Census Tract 6601.01, New London County, Connecticut</t>
  </si>
  <si>
    <t>1400000US09011660102</t>
  </si>
  <si>
    <t>Census Tract 6601.02, New London County, Connecticut</t>
  </si>
  <si>
    <t>1400000US09011690300</t>
  </si>
  <si>
    <t>Census Tract 6903, New London County, Connecticut</t>
  </si>
  <si>
    <t>1400000US09011690400</t>
  </si>
  <si>
    <t>Census Tract 6904, New London County, Connecticut</t>
  </si>
  <si>
    <t>1400000US09011690500</t>
  </si>
  <si>
    <t>Census Tract 6905, New London County, Connecticut</t>
  </si>
  <si>
    <t>1400000US09011690700</t>
  </si>
  <si>
    <t>Census Tract 6907, New London County, Connecticut</t>
  </si>
  <si>
    <t>1400000US09011690800</t>
  </si>
  <si>
    <t>Census Tract 6908, New London County, Connecticut</t>
  </si>
  <si>
    <t>1400000US09011690900</t>
  </si>
  <si>
    <t>Census Tract 6909, New London County, Connecticut</t>
  </si>
  <si>
    <t>1400000US09011693300</t>
  </si>
  <si>
    <t>Census Tract 6933, New London County, Connecticut</t>
  </si>
  <si>
    <t>1400000US09011693400</t>
  </si>
  <si>
    <t>Census Tract 6934, New London County, Connecticut</t>
  </si>
  <si>
    <t>1400000US09011693500</t>
  </si>
  <si>
    <t>Census Tract 6935, New London County, Connecticut</t>
  </si>
  <si>
    <t>1400000US09011693600</t>
  </si>
  <si>
    <t>Census Tract 6936, New London County, Connecticut</t>
  </si>
  <si>
    <t>1400000US09011693700</t>
  </si>
  <si>
    <t>Census Tract 6937, New London County, Connecticut</t>
  </si>
  <si>
    <t>1400000US09011695201</t>
  </si>
  <si>
    <t>Census Tract 6952.01, New London County, Connecticut</t>
  </si>
  <si>
    <t>1400000US09011695202</t>
  </si>
  <si>
    <t>Census Tract 6952.02, New London County, Connecticut</t>
  </si>
  <si>
    <t>1400000US09011696100</t>
  </si>
  <si>
    <t>Census Tract 6961, New London County, Connecticut</t>
  </si>
  <si>
    <t>1400000US09011696200</t>
  </si>
  <si>
    <t>Census Tract 6962, New London County, Connecticut</t>
  </si>
  <si>
    <t>1400000US09011696300</t>
  </si>
  <si>
    <t>Census Tract 6963, New London County, Connecticut</t>
  </si>
  <si>
    <t>1400000US09011696400</t>
  </si>
  <si>
    <t>Census Tract 6964, New London County, Connecticut</t>
  </si>
  <si>
    <t>1400000US09011696500</t>
  </si>
  <si>
    <t>Census Tract 6965, New London County, Connecticut</t>
  </si>
  <si>
    <t>1400000US09011696600</t>
  </si>
  <si>
    <t>Census Tract 6966, New London County, Connecticut</t>
  </si>
  <si>
    <t>1400000US09011696700</t>
  </si>
  <si>
    <t>Census Tract 6967, New London County, Connecticut</t>
  </si>
  <si>
    <t>1400000US09011696800</t>
  </si>
  <si>
    <t>Census Tract 6968, New London County, Connecticut</t>
  </si>
  <si>
    <t>1400000US09011697000</t>
  </si>
  <si>
    <t>Census Tract 6970, New London County, Connecticut</t>
  </si>
  <si>
    <t>1400000US09011700100</t>
  </si>
  <si>
    <t>Census Tract 7001, New London County, Connecticut</t>
  </si>
  <si>
    <t>1400000US09011701100</t>
  </si>
  <si>
    <t>Census Tract 7011, New London County, Connecticut</t>
  </si>
  <si>
    <t>1400000US09011701200</t>
  </si>
  <si>
    <t>Census Tract 7012, New London County, Connecticut</t>
  </si>
  <si>
    <t>1400000US09011702100</t>
  </si>
  <si>
    <t>Census Tract 7021, New London County, Connecticut</t>
  </si>
  <si>
    <t>1400000US09011702300</t>
  </si>
  <si>
    <t>Census Tract 7023, New London County, Connecticut</t>
  </si>
  <si>
    <t>1400000US09011702400</t>
  </si>
  <si>
    <t>Census Tract 7024, New London County, Connecticut</t>
  </si>
  <si>
    <t>1400000US09011702500</t>
  </si>
  <si>
    <t>Census Tract 7025, New London County, Connecticut</t>
  </si>
  <si>
    <t>1400000US09011702600</t>
  </si>
  <si>
    <t>Census Tract 7026, New London County, Connecticut</t>
  </si>
  <si>
    <t>1400000US09011702700</t>
  </si>
  <si>
    <t>Census Tract 7027, New London County, Connecticut</t>
  </si>
  <si>
    <t>1400000US09011702800</t>
  </si>
  <si>
    <t>Census Tract 7028, New London County, Connecticut</t>
  </si>
  <si>
    <t>1400000US09011702900</t>
  </si>
  <si>
    <t>Census Tract 7029, New London County, Connecticut</t>
  </si>
  <si>
    <t>1400000US09011703000</t>
  </si>
  <si>
    <t>Census Tract 7030, New London County, Connecticut</t>
  </si>
  <si>
    <t>1400000US09011705101</t>
  </si>
  <si>
    <t>Census Tract 7051.01, New London County, Connecticut</t>
  </si>
  <si>
    <t>1400000US09011705102</t>
  </si>
  <si>
    <t>Census Tract 7051.02, New London County, Connecticut</t>
  </si>
  <si>
    <t>1400000US09011705200</t>
  </si>
  <si>
    <t>Census Tract 7052, New London County, Connecticut</t>
  </si>
  <si>
    <t>1400000US09011705300</t>
  </si>
  <si>
    <t>Census Tract 7053, New London County, Connecticut</t>
  </si>
  <si>
    <t>1400000US09011705400</t>
  </si>
  <si>
    <t>Census Tract 7054, New London County, Connecticut</t>
  </si>
  <si>
    <t>1400000US09011707100</t>
  </si>
  <si>
    <t>Census Tract 7071, New London County, Connecticut</t>
  </si>
  <si>
    <t>1400000US09011708100</t>
  </si>
  <si>
    <t>Census Tract 7081, New London County, Connecticut</t>
  </si>
  <si>
    <t>1400000US09011709100</t>
  </si>
  <si>
    <t>Census Tract 7091, New London County, Connecticut</t>
  </si>
  <si>
    <t>1400000US09011709200</t>
  </si>
  <si>
    <t>Census Tract 7092, New London County, Connecticut</t>
  </si>
  <si>
    <t>1400000US09011710100</t>
  </si>
  <si>
    <t>Census Tract 7101, New London County, Connecticut</t>
  </si>
  <si>
    <t>1400000US09011711100</t>
  </si>
  <si>
    <t>Census Tract 7111, New London County, Connecticut</t>
  </si>
  <si>
    <t>1400000US09011712100</t>
  </si>
  <si>
    <t>Census Tract 7121, New London County, Connecticut</t>
  </si>
  <si>
    <t>1400000US09011713100</t>
  </si>
  <si>
    <t>Census Tract 7131, New London County, Connecticut</t>
  </si>
  <si>
    <t>1400000US09011714101</t>
  </si>
  <si>
    <t>Census Tract 7141.01, New London County, Connecticut</t>
  </si>
  <si>
    <t>1400000US09011714103</t>
  </si>
  <si>
    <t>Census Tract 7141.03, New London County, Connecticut</t>
  </si>
  <si>
    <t>1400000US09011714104</t>
  </si>
  <si>
    <t>Census Tract 7141.04, New London County, Connecticut</t>
  </si>
  <si>
    <t>1400000US09011715100</t>
  </si>
  <si>
    <t>Census Tract 7151, New London County, Connecticut</t>
  </si>
  <si>
    <t>1400000US09011716101</t>
  </si>
  <si>
    <t>Census Tract 7161.01, New London County, Connecticut</t>
  </si>
  <si>
    <t>1400000US09011716102</t>
  </si>
  <si>
    <t>Census Tract 7161.02, New London County, Connecticut</t>
  </si>
  <si>
    <t>1400000US09011870100</t>
  </si>
  <si>
    <t>Census Tract 8701, New London County, Connecticut</t>
  </si>
  <si>
    <t>1400000US09011870200</t>
  </si>
  <si>
    <t>Census Tract 8702, New London County, Connecticut</t>
  </si>
  <si>
    <t>1400000US09011870300</t>
  </si>
  <si>
    <t>Census Tract 8703, New London County, Connecticut</t>
  </si>
  <si>
    <t>1400000US09011870501</t>
  </si>
  <si>
    <t>Census Tract 8705.01, New London County, Connecticut</t>
  </si>
  <si>
    <t>1400000US09011870502</t>
  </si>
  <si>
    <t>Census Tract 8705.02, New London County, Connecticut</t>
  </si>
  <si>
    <t>1400000US09011870701</t>
  </si>
  <si>
    <t>Census Tract 8707.01, New London County, Connecticut</t>
  </si>
  <si>
    <t>1400000US09011870703</t>
  </si>
  <si>
    <t>Census Tract 8707.03, New London County, Connecticut</t>
  </si>
  <si>
    <t>1400000US09011870704</t>
  </si>
  <si>
    <t>Census Tract 8707.04, New London County, Connecticut</t>
  </si>
  <si>
    <t>1400000US09013526101</t>
  </si>
  <si>
    <t>Census Tract 5261.01, Tolland County, Connecticut</t>
  </si>
  <si>
    <t>1400000US09013526102</t>
  </si>
  <si>
    <t>Census Tract 5261.02, Tolland County, Connecticut</t>
  </si>
  <si>
    <t>1400000US09013528100</t>
  </si>
  <si>
    <t>Census Tract 5281, Tolland County, Connecticut</t>
  </si>
  <si>
    <t>1400000US09013529100</t>
  </si>
  <si>
    <t>Census Tract 5291, Tolland County, Connecticut</t>
  </si>
  <si>
    <t>1400000US09013530100</t>
  </si>
  <si>
    <t>Census Tract 5301, Tolland County, Connecticut</t>
  </si>
  <si>
    <t>1400000US09013530200</t>
  </si>
  <si>
    <t>Census Tract 5302, Tolland County, Connecticut</t>
  </si>
  <si>
    <t>1400000US09013530301</t>
  </si>
  <si>
    <t>Census Tract 5303.01, Tolland County, Connecticut</t>
  </si>
  <si>
    <t>1400000US09013530302</t>
  </si>
  <si>
    <t>Census Tract 5303.02, Tolland County, Connecticut</t>
  </si>
  <si>
    <t>1400000US09013530400</t>
  </si>
  <si>
    <t>Census Tract 5304, Tolland County, Connecticut</t>
  </si>
  <si>
    <t>1400000US09013530500</t>
  </si>
  <si>
    <t>Census Tract 5305, Tolland County, Connecticut</t>
  </si>
  <si>
    <t>1400000US09013530600</t>
  </si>
  <si>
    <t>Census Tract 5306, Tolland County, Connecticut</t>
  </si>
  <si>
    <t>1400000US09013533101</t>
  </si>
  <si>
    <t>Census Tract 5331.01, Tolland County, Connecticut</t>
  </si>
  <si>
    <t>1400000US09013533102</t>
  </si>
  <si>
    <t>Census Tract 5331.02, Tolland County, Connecticut</t>
  </si>
  <si>
    <t>1400000US09013535100</t>
  </si>
  <si>
    <t>Census Tract 5351, Tolland County, Connecticut</t>
  </si>
  <si>
    <t>1400000US09013535200</t>
  </si>
  <si>
    <t>Census Tract 5352, Tolland County, Connecticut</t>
  </si>
  <si>
    <t>1400000US09013538201</t>
  </si>
  <si>
    <t>Census Tract 5382.01, Tolland County, Connecticut</t>
  </si>
  <si>
    <t>1400000US09013538202</t>
  </si>
  <si>
    <t>Census Tract 5382.02, Tolland County, Connecticut</t>
  </si>
  <si>
    <t>1400000US09013840100</t>
  </si>
  <si>
    <t>Census Tract 8401, Tolland County, Connecticut</t>
  </si>
  <si>
    <t>1400000US09013850100</t>
  </si>
  <si>
    <t>Census Tract 8501, Tolland County, Connecticut</t>
  </si>
  <si>
    <t>1400000US09013850200</t>
  </si>
  <si>
    <t>Census Tract 8502, Tolland County, Connecticut</t>
  </si>
  <si>
    <t>1400000US09013860100</t>
  </si>
  <si>
    <t>Census Tract 8601, Tolland County, Connecticut</t>
  </si>
  <si>
    <t>1400000US09013881100</t>
  </si>
  <si>
    <t>Census Tract 8811, Tolland County, Connecticut</t>
  </si>
  <si>
    <t>1400000US09013881200</t>
  </si>
  <si>
    <t>Census Tract 8812, Tolland County, Connecticut</t>
  </si>
  <si>
    <t>1400000US09013881300</t>
  </si>
  <si>
    <t>Census Tract 8813, Tolland County, Connecticut</t>
  </si>
  <si>
    <t>1400000US09013881500</t>
  </si>
  <si>
    <t>Census Tract 8815, Tolland County, Connecticut</t>
  </si>
  <si>
    <t>1400000US09013890100</t>
  </si>
  <si>
    <t>Census Tract 8901, Tolland County, Connecticut</t>
  </si>
  <si>
    <t>1400000US09013890201</t>
  </si>
  <si>
    <t>Census Tract 8902.01, Tolland County, Connecticut</t>
  </si>
  <si>
    <t>1400000US09013890202</t>
  </si>
  <si>
    <t>Census Tract 8902.02, Tolland County, Connecticut</t>
  </si>
  <si>
    <t>1400000US09015800300</t>
  </si>
  <si>
    <t>Census Tract 8003, Windham County, Connecticut</t>
  </si>
  <si>
    <t>1400000US09015800400</t>
  </si>
  <si>
    <t>Census Tract 8004, Windham County, Connecticut</t>
  </si>
  <si>
    <t>1400000US09015800500</t>
  </si>
  <si>
    <t>Census Tract 8005, Windham County, Connecticut</t>
  </si>
  <si>
    <t>1400000US09015800600</t>
  </si>
  <si>
    <t>Census Tract 8006, Windham County, Connecticut</t>
  </si>
  <si>
    <t>1400000US09015800700</t>
  </si>
  <si>
    <t>Census Tract 8007, Windham County, Connecticut</t>
  </si>
  <si>
    <t>1400000US09015815000</t>
  </si>
  <si>
    <t>Census Tract 8150, Windham County, Connecticut</t>
  </si>
  <si>
    <t>1400000US09015820000</t>
  </si>
  <si>
    <t>Census Tract 8200, Windham County, Connecticut</t>
  </si>
  <si>
    <t>1400000US09015825000</t>
  </si>
  <si>
    <t>Census Tract 8250, Windham County, Connecticut</t>
  </si>
  <si>
    <t>1400000US09015830100</t>
  </si>
  <si>
    <t>Census Tract 8301, Windham County, Connecticut</t>
  </si>
  <si>
    <t>1400000US09015900100</t>
  </si>
  <si>
    <t>Census Tract 9001, Windham County, Connecticut</t>
  </si>
  <si>
    <t>1400000US09015900200</t>
  </si>
  <si>
    <t>Census Tract 9002, Windham County, Connecticut</t>
  </si>
  <si>
    <t>1400000US09015901100</t>
  </si>
  <si>
    <t>Census Tract 9011, Windham County, Connecticut</t>
  </si>
  <si>
    <t>1400000US09015902200</t>
  </si>
  <si>
    <t>Census Tract 9022, Windham County, Connecticut</t>
  </si>
  <si>
    <t>1400000US09015902500</t>
  </si>
  <si>
    <t>Census Tract 9025, Windham County, Connecticut</t>
  </si>
  <si>
    <t>1400000US09015903100</t>
  </si>
  <si>
    <t>Census Tract 9031, Windham County, Connecticut</t>
  </si>
  <si>
    <t>1400000US09015903200</t>
  </si>
  <si>
    <t>Census Tract 9032, Windham County, Connecticut</t>
  </si>
  <si>
    <t>1400000US09015904100</t>
  </si>
  <si>
    <t>Census Tract 9041, Windham County, Connecticut</t>
  </si>
  <si>
    <t>1400000US09015904400</t>
  </si>
  <si>
    <t>Census Tract 9044, Windham County, Connecticut</t>
  </si>
  <si>
    <t>1400000US09015904500</t>
  </si>
  <si>
    <t>Census Tract 9045, Windham County, Connecticut</t>
  </si>
  <si>
    <t>1400000US09015905100</t>
  </si>
  <si>
    <t>Census Tract 9051, Windham County, Connecticut</t>
  </si>
  <si>
    <t>1400000US09015906100</t>
  </si>
  <si>
    <t>Census Tract 9061, Windham County, Connecticut</t>
  </si>
  <si>
    <t>1400000US09015907100</t>
  </si>
  <si>
    <t>Census Tract 9071, Windham County, Connecticut</t>
  </si>
  <si>
    <t>1400000US09015907200</t>
  </si>
  <si>
    <t>Census Tract 9072, Windham County, Connecticut</t>
  </si>
  <si>
    <t>1400000US09015907300</t>
  </si>
  <si>
    <t>Census Tract 9073, Windham County, Connecticut</t>
  </si>
  <si>
    <t>CTRUCA.Tract Population, 2010</t>
  </si>
  <si>
    <t>CTRUCA.Land Area (square miles), 2010</t>
  </si>
  <si>
    <t>CTRUCA.Population Density (per square mile), 2010</t>
  </si>
  <si>
    <t>Rural Rank</t>
  </si>
  <si>
    <t>POC population</t>
  </si>
  <si>
    <t>POC % of population</t>
  </si>
  <si>
    <t>racialdiversitytable.percentile rank</t>
  </si>
  <si>
    <t>racial diversity index</t>
  </si>
  <si>
    <t>Composite Index (Income/Rural Rank/DI/Housing)</t>
  </si>
  <si>
    <t>rounded composite</t>
  </si>
  <si>
    <t>Check composites with Mike; all 4 values?</t>
  </si>
  <si>
    <t>RUCA Codes</t>
  </si>
  <si>
    <t>USDA ERS - Rural-Urban Commuting Area Codes</t>
  </si>
  <si>
    <t>Racial/Ethnicity data is from the ACS/Census</t>
  </si>
  <si>
    <t>Placeholder Tab</t>
  </si>
  <si>
    <t>LEAD Data.Avg. Energy Burden (% income)</t>
  </si>
  <si>
    <t>LEAD Data.EnergyBurdened</t>
  </si>
  <si>
    <t>LEAD database from DOE</t>
  </si>
  <si>
    <t>https://www.energy.gov/eere/slsc/maps/lead-tool</t>
  </si>
  <si>
    <t>These tracts are from both ES and UI</t>
  </si>
  <si>
    <t>Totals</t>
  </si>
  <si>
    <t xml:space="preserve">All Customers </t>
  </si>
  <si>
    <t>Customers &lt; 100kW</t>
  </si>
  <si>
    <t>Customers &gt; 100kW</t>
  </si>
  <si>
    <t>Combined</t>
  </si>
  <si>
    <t>Residential</t>
  </si>
  <si>
    <t>C&amp;I</t>
  </si>
  <si>
    <t>CLM Collections</t>
  </si>
  <si>
    <t>Incentives Disbursements</t>
  </si>
  <si>
    <t>As Collected</t>
  </si>
  <si>
    <t xml:space="preserve"> </t>
  </si>
  <si>
    <t>1. Distressed Tracts are tracts that are less than or equal to 60% of the State Median Income and 100% Distressed (Source - Experian).</t>
  </si>
  <si>
    <t>Row Labels</t>
  </si>
  <si>
    <t>Count of BIPOC Index</t>
  </si>
  <si>
    <t>(blank)</t>
  </si>
  <si>
    <t>EQUITABLE DISTRIBUTION OF FUNDS</t>
  </si>
  <si>
    <t>Census Tract</t>
  </si>
  <si>
    <t>Town</t>
  </si>
  <si>
    <r>
      <t>Distressed Tract</t>
    </r>
    <r>
      <rPr>
        <b/>
        <vertAlign val="superscript"/>
        <sz val="12"/>
        <color theme="1"/>
        <rFont val="Calibri"/>
        <family val="2"/>
      </rPr>
      <t>1</t>
    </r>
  </si>
  <si>
    <t xml:space="preserve">CLM $ Collected </t>
  </si>
  <si>
    <t xml:space="preserve">% of Total CLM $ Collected </t>
  </si>
  <si>
    <t>Incentive Disbursements</t>
  </si>
  <si>
    <t>% of Total Incentive Disbursements</t>
  </si>
  <si>
    <t>Residential CLM $ Collected</t>
  </si>
  <si>
    <t>% of Total Residential CLM $ Collected</t>
  </si>
  <si>
    <t>Residential Incentive Disbursements</t>
  </si>
  <si>
    <t xml:space="preserve">% of Total Residential Incentive Disbursements </t>
  </si>
  <si>
    <t>C&amp;I CLM $ Collected</t>
  </si>
  <si>
    <t>% of Total C&amp;I CLM $ Collected</t>
  </si>
  <si>
    <t>C&amp;I Incentive Disbursements</t>
  </si>
  <si>
    <t xml:space="preserve">% of TotalC&amp;I Incentive Disbursements </t>
  </si>
  <si>
    <t xml:space="preserve">Affluence Rank </t>
  </si>
  <si>
    <t>BIPOC Index</t>
  </si>
  <si>
    <t>Energy Burdened?</t>
  </si>
  <si>
    <t>Ratio of Billed Collects to Incentives</t>
  </si>
  <si>
    <t>ANDOVER</t>
  </si>
  <si>
    <t>ASHFORD</t>
  </si>
  <si>
    <t>AVON</t>
  </si>
  <si>
    <t>BARKHAMSTED</t>
  </si>
  <si>
    <t>BEACON FALLS</t>
  </si>
  <si>
    <t>BERLIN</t>
  </si>
  <si>
    <t>BETHANY</t>
  </si>
  <si>
    <t>BETHEL</t>
  </si>
  <si>
    <t>BETHLEHEM</t>
  </si>
  <si>
    <t>BLOOMFIELD</t>
  </si>
  <si>
    <t>BOLTON</t>
  </si>
  <si>
    <t>BRANFORD</t>
  </si>
  <si>
    <t>BRIDGEWATER</t>
  </si>
  <si>
    <t>BRISTOL</t>
  </si>
  <si>
    <t>BROOKFIELD</t>
  </si>
  <si>
    <t>BROOKLYN</t>
  </si>
  <si>
    <t>BURLINGTON</t>
  </si>
  <si>
    <t>CANAAN</t>
  </si>
  <si>
    <t>CANTERBURY</t>
  </si>
  <si>
    <t>CANTON</t>
  </si>
  <si>
    <t>CHAPLIN</t>
  </si>
  <si>
    <t>CHESHIRE</t>
  </si>
  <si>
    <t>CHESTER</t>
  </si>
  <si>
    <t>CLINTON</t>
  </si>
  <si>
    <t>COLCHESTER</t>
  </si>
  <si>
    <t>COLEBROOK</t>
  </si>
  <si>
    <t>COLUMBIA</t>
  </si>
  <si>
    <t>CORNWALL</t>
  </si>
  <si>
    <t>COVENTRY</t>
  </si>
  <si>
    <t>CROMWELL</t>
  </si>
  <si>
    <t>DANBURY</t>
  </si>
  <si>
    <t>DARIEN</t>
  </si>
  <si>
    <t>DEEP RIVER</t>
  </si>
  <si>
    <t>DURHAM</t>
  </si>
  <si>
    <t>EAST GRANBY</t>
  </si>
  <si>
    <t>EAST HADDAM</t>
  </si>
  <si>
    <t>EAST HAMPTON</t>
  </si>
  <si>
    <t>EAST HARTFORD</t>
  </si>
  <si>
    <t>EAST LYME</t>
  </si>
  <si>
    <t>EAST WINDSOR</t>
  </si>
  <si>
    <t>EASTFORD</t>
  </si>
  <si>
    <t>ELLINGTON</t>
  </si>
  <si>
    <t>ENFIELD</t>
  </si>
  <si>
    <t>ESSEX</t>
  </si>
  <si>
    <t>FARMINGTON</t>
  </si>
  <si>
    <t>FRANKLIN</t>
  </si>
  <si>
    <t>GLASTONBURY</t>
  </si>
  <si>
    <t>GOSHEN</t>
  </si>
  <si>
    <t>GRANBY</t>
  </si>
  <si>
    <t>GREENWICH</t>
  </si>
  <si>
    <t>GRISWOLD</t>
  </si>
  <si>
    <t>GROTON</t>
  </si>
  <si>
    <t>GUILFORD</t>
  </si>
  <si>
    <t>HADDAM</t>
  </si>
  <si>
    <t>HAMPTON</t>
  </si>
  <si>
    <t>HARTLAND</t>
  </si>
  <si>
    <t>HARWINTON</t>
  </si>
  <si>
    <t>HEBRON</t>
  </si>
  <si>
    <t>KENT</t>
  </si>
  <si>
    <t>KILLINGLY</t>
  </si>
  <si>
    <t>KILLINGWORTH</t>
  </si>
  <si>
    <t>LEBANON</t>
  </si>
  <si>
    <t>LEDYARD</t>
  </si>
  <si>
    <t>LISBON</t>
  </si>
  <si>
    <t>LITCHFIELD</t>
  </si>
  <si>
    <t>LYME</t>
  </si>
  <si>
    <t>MADISON</t>
  </si>
  <si>
    <t>MANCHESTER</t>
  </si>
  <si>
    <t>MANSFIELD</t>
  </si>
  <si>
    <t>MARLBOROUGH</t>
  </si>
  <si>
    <t>MIDDLEBURY</t>
  </si>
  <si>
    <t>MIDDLEFIELD</t>
  </si>
  <si>
    <t>MIDDLETOWN</t>
  </si>
  <si>
    <t>MONROE</t>
  </si>
  <si>
    <t>MONTVILLE</t>
  </si>
  <si>
    <t>MORRIS</t>
  </si>
  <si>
    <t>NAUGATUCK</t>
  </si>
  <si>
    <t>NEW CANAAN</t>
  </si>
  <si>
    <t>NEW FAIRFIELD</t>
  </si>
  <si>
    <t>NEW HARTFORD</t>
  </si>
  <si>
    <t>NEW LONDON</t>
  </si>
  <si>
    <t>NEW MILFORD</t>
  </si>
  <si>
    <t>NEWINGTON</t>
  </si>
  <si>
    <t>NEWTOWN</t>
  </si>
  <si>
    <t>NORFOLK</t>
  </si>
  <si>
    <t>NORTH CANAAN</t>
  </si>
  <si>
    <t>NORTH STONINGTON</t>
  </si>
  <si>
    <t>NORWALK</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</si>
  <si>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</si>
  <si>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</si>
  <si>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</si>
  <si>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</si>
  <si>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</si>
  <si>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</si>
  <si>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</si>
  <si>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</si>
  <si>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</si>
  <si>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</si>
  <si>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</si>
  <si>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</si>
  <si>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</si>
  <si>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</si>
  <si>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</si>
  <si>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</si>
  <si>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</si>
  <si>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</si>
  <si>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</si>
  <si>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</si>
  <si>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SHERMAN</t>
  </si>
  <si>
    <t>SIMSBURY</t>
  </si>
  <si>
    <t>SOMERS</t>
  </si>
  <si>
    <t>SOUTH WINDSOR</t>
  </si>
  <si>
    <t>SOUTHBURY</t>
  </si>
  <si>
    <t>SOUTHINGTON</t>
  </si>
  <si>
    <t>SPRAGUE</t>
  </si>
  <si>
    <t>STAFFORD</t>
  </si>
  <si>
    <t>STERLING</t>
  </si>
  <si>
    <t>STONINGTON</t>
  </si>
  <si>
    <t>SUFFIELD</t>
  </si>
  <si>
    <t>THOMASTON</t>
  </si>
  <si>
    <t>THOMPSON</t>
  </si>
  <si>
    <t>TOLLAND</t>
  </si>
  <si>
    <t>TORRINGTON</t>
  </si>
  <si>
    <t>UNION</t>
  </si>
  <si>
    <t>VERNON</t>
  </si>
  <si>
    <t>VOLUNTOWN</t>
  </si>
  <si>
    <t>WARREN</t>
  </si>
  <si>
    <t>WASHINGTON</t>
  </si>
  <si>
    <t>WATERFORD</t>
  </si>
  <si>
    <t>WATERTOWN</t>
  </si>
  <si>
    <t>WEST HARTFORD</t>
  </si>
  <si>
    <t>WESTBROOK</t>
  </si>
  <si>
    <t>WESTON</t>
  </si>
  <si>
    <t>WESTPORT</t>
  </si>
  <si>
    <t>WETHERSFIELD</t>
  </si>
  <si>
    <t>WILLINGTON</t>
  </si>
  <si>
    <t>WILTON</t>
  </si>
  <si>
    <t>WINCHESTER</t>
  </si>
  <si>
    <t>WINDHAM</t>
  </si>
  <si>
    <t>WINDSOR</t>
  </si>
  <si>
    <t>WINDSOR LOCKS</t>
  </si>
  <si>
    <t>WOLCOTT</t>
  </si>
  <si>
    <t>WOODBURY</t>
  </si>
  <si>
    <t>WOODSTOCK</t>
  </si>
  <si>
    <t>Customers &gt;100kW</t>
  </si>
  <si>
    <t>Residential Customers</t>
  </si>
  <si>
    <t>Single Family</t>
  </si>
  <si>
    <t>2-4 Units</t>
  </si>
  <si>
    <t>&gt;4 Units</t>
  </si>
  <si>
    <t>Total Units2</t>
  </si>
  <si>
    <t xml:space="preserve">Single Family </t>
  </si>
  <si>
    <t xml:space="preserve"> 2-4 Units</t>
  </si>
  <si>
    <t xml:space="preserve">&gt;4 Units </t>
  </si>
  <si>
    <t xml:space="preserve">Incentives </t>
  </si>
  <si>
    <t xml:space="preserve">Total </t>
  </si>
  <si>
    <t>CT Electric Residential Terminations by Town</t>
  </si>
  <si>
    <t>Year</t>
  </si>
  <si>
    <t>Month</t>
  </si>
  <si>
    <t># Terminations</t>
  </si>
  <si>
    <t>Sum of # Terminations</t>
  </si>
  <si>
    <t>AMSTON</t>
  </si>
  <si>
    <t>WILLIMANTIC</t>
  </si>
  <si>
    <t>WINSTED</t>
  </si>
  <si>
    <t>BALLOUVILLE</t>
  </si>
  <si>
    <t>BALTIC</t>
  </si>
  <si>
    <t>TERRYVILLE</t>
  </si>
  <si>
    <t>DANIELSON</t>
  </si>
  <si>
    <t>BANTAM</t>
  </si>
  <si>
    <t>OAKVILLE</t>
  </si>
  <si>
    <t>STORRS</t>
  </si>
  <si>
    <t>SANDY HOOK</t>
  </si>
  <si>
    <t>PLANTSVILLE</t>
  </si>
  <si>
    <t>STAFFORD SPGS</t>
  </si>
  <si>
    <t>UNCASVILLE</t>
  </si>
  <si>
    <t>PAWCATUCK</t>
  </si>
  <si>
    <t>MYSTIC</t>
  </si>
  <si>
    <t>NIANTIC</t>
  </si>
  <si>
    <t>KENSINGTON</t>
  </si>
  <si>
    <t>BROAD BROOK</t>
  </si>
  <si>
    <t>MOOSUP</t>
  </si>
  <si>
    <t>COLLINSVILLE</t>
  </si>
  <si>
    <t>DAYVILLE</t>
  </si>
  <si>
    <t>OAKDALE</t>
  </si>
  <si>
    <t>GALES FERRY</t>
  </si>
  <si>
    <t>NORTH GROSVENORDALE</t>
  </si>
  <si>
    <t>QUAKER HILL</t>
  </si>
  <si>
    <t>UNIONVILLE</t>
  </si>
  <si>
    <t>HIGGANUM</t>
  </si>
  <si>
    <t>NORTH WINDHAM</t>
  </si>
  <si>
    <t>COS COB</t>
  </si>
  <si>
    <t>LAKEVILLE</t>
  </si>
  <si>
    <t>MOODUS</t>
  </si>
  <si>
    <t>WASHINGTON DEPOT</t>
  </si>
  <si>
    <t>WEATOGUE</t>
  </si>
  <si>
    <t>WEST REDDING</t>
  </si>
  <si>
    <t>RIVERSIDE</t>
  </si>
  <si>
    <t>SOUTH GLASTONBURY</t>
  </si>
  <si>
    <t>OLD GREENWICH</t>
  </si>
  <si>
    <t>TARIFFVILLE</t>
  </si>
  <si>
    <t>WAUREGAN</t>
  </si>
  <si>
    <t>MANSFIELD CTR</t>
  </si>
  <si>
    <t>CENTRAL VILLAGE</t>
  </si>
  <si>
    <t>IVORYTON</t>
  </si>
  <si>
    <t>ROGERS</t>
  </si>
  <si>
    <t>WEST SUFFIELD</t>
  </si>
  <si>
    <t>PLEASANT VALLEY</t>
  </si>
  <si>
    <t>WEST SIMSBURY</t>
  </si>
  <si>
    <t>CORNWALL BRG</t>
  </si>
  <si>
    <t>FALLS VILLAGE</t>
  </si>
  <si>
    <t>SOUTH KENT</t>
  </si>
  <si>
    <t>EAST KILLINGLY</t>
  </si>
  <si>
    <t>NORTHFIELD</t>
  </si>
  <si>
    <t>POMFRET CTR</t>
  </si>
  <si>
    <t>GAYLORDSVILLE</t>
  </si>
  <si>
    <t>NEW PRESTON</t>
  </si>
  <si>
    <t>SOUTH WINDHAM</t>
  </si>
  <si>
    <t>NORTH FRANKLIN</t>
  </si>
  <si>
    <t>QUINEBAUG</t>
  </si>
  <si>
    <t>EAST HARTLAND</t>
  </si>
  <si>
    <t>WEST CORNWALL</t>
  </si>
  <si>
    <t>CENTERBROOK</t>
  </si>
  <si>
    <t>EAST CANAAN</t>
  </si>
  <si>
    <t>GROSVENORDALE</t>
  </si>
  <si>
    <t>NORTH GRANBY</t>
  </si>
  <si>
    <t>WEST GRANBY</t>
  </si>
  <si>
    <t>EAST BERLIN</t>
  </si>
  <si>
    <t>MARION</t>
  </si>
  <si>
    <t>WOODSTOCK VLY</t>
  </si>
  <si>
    <t>OLD MYSTIC</t>
  </si>
  <si>
    <t>REDDING RIDGE</t>
  </si>
  <si>
    <t>ROCKFALL</t>
  </si>
  <si>
    <t>COBALT</t>
  </si>
  <si>
    <t>MIDDLE HADDAM</t>
  </si>
  <si>
    <t>ONECO</t>
  </si>
  <si>
    <t>PEQUABUCK</t>
  </si>
  <si>
    <t>PINE MEADOW</t>
  </si>
  <si>
    <t>WINCHESTER CENTER</t>
  </si>
  <si>
    <t>RIVERTON</t>
  </si>
  <si>
    <t>LAKESIDE</t>
  </si>
  <si>
    <t>VERSAILLES</t>
  </si>
  <si>
    <t>WEST HARTLAND</t>
  </si>
  <si>
    <t>HADDAM NECK</t>
  </si>
  <si>
    <t>HADLYME</t>
  </si>
  <si>
    <t>HANOVER</t>
  </si>
  <si>
    <t>NORTH BRANFORD</t>
  </si>
  <si>
    <t>WOODBRIDGE</t>
  </si>
  <si>
    <t>GEORGETOWN</t>
  </si>
  <si>
    <t>MILLDALE</t>
  </si>
  <si>
    <t>TACONIC</t>
  </si>
  <si>
    <t>WOODSTOCK VALLEY</t>
  </si>
  <si>
    <t>Note</t>
  </si>
  <si>
    <t>Equitable 3</t>
  </si>
  <si>
    <t>Easton</t>
  </si>
  <si>
    <t>Fairfield</t>
  </si>
  <si>
    <t>Trumbull</t>
  </si>
  <si>
    <t>BRIDGEPORT</t>
  </si>
  <si>
    <t>TRUMBULL</t>
  </si>
  <si>
    <t>ANSONIA</t>
  </si>
  <si>
    <t>Milford</t>
  </si>
  <si>
    <t>Shelton</t>
  </si>
  <si>
    <t>Ansonia</t>
  </si>
  <si>
    <t>Derby</t>
  </si>
  <si>
    <t>Orange</t>
  </si>
  <si>
    <t>DERBY</t>
  </si>
  <si>
    <t>Woodbridge</t>
  </si>
  <si>
    <t>NEW HAVEN</t>
  </si>
  <si>
    <t>EAST HAVEN</t>
  </si>
  <si>
    <t>HAMDEN</t>
  </si>
  <si>
    <t>MILFORD</t>
  </si>
  <si>
    <t>NORTH HAVEN</t>
  </si>
  <si>
    <t>ORANGE</t>
  </si>
  <si>
    <t>SHELTON</t>
  </si>
  <si>
    <t>STRATFORD</t>
  </si>
  <si>
    <t>WEST HAVEN</t>
  </si>
  <si>
    <t>North Haven</t>
  </si>
  <si>
    <t>North Branford</t>
  </si>
  <si>
    <t>EASTON</t>
  </si>
  <si>
    <t>2-4 Units2</t>
  </si>
  <si>
    <t xml:space="preserve">Shuttoff/Arrearages </t>
  </si>
  <si>
    <t>Total per Town</t>
  </si>
  <si>
    <t>FAIRFIELD</t>
  </si>
  <si>
    <t>SOUTHPORT</t>
  </si>
  <si>
    <t>Monthly Totals</t>
  </si>
  <si>
    <t>Table 1: Housing Cost Data</t>
  </si>
  <si>
    <t>Table 2: Housing Rank Calculations</t>
  </si>
  <si>
    <t>NAME</t>
  </si>
  <si>
    <t>S2503_C01_013E</t>
  </si>
  <si>
    <t>S2503_C01_024E</t>
  </si>
  <si>
    <t>Housing Cost as a Percent of Income</t>
  </si>
  <si>
    <t>Housing Cost Percentile</t>
  </si>
  <si>
    <t>Housing Cost Rank on abolsute housing cost</t>
  </si>
  <si>
    <t>!Median household income (dollars)</t>
  </si>
  <si>
    <t xml:space="preserve">MONTHLY HOUSING COSTS!!Median </t>
  </si>
  <si>
    <t>Directions: Copy Census Tracts and data to rank</t>
  </si>
  <si>
    <t>Census Tract 7029 New London County Connecticut</t>
  </si>
  <si>
    <t>Census Tract 703 Fairfield County Connecticut</t>
  </si>
  <si>
    <t>Sort by smallest to largest</t>
  </si>
  <si>
    <t>Census Tract 4701 Hartford County Connecticut</t>
  </si>
  <si>
    <t>Census Tract 3501 New Haven County Connecticut</t>
  </si>
  <si>
    <t>Calculation</t>
  </si>
  <si>
    <t>Census Tract 2984 Litchfield County Connecticut</t>
  </si>
  <si>
    <t>Census Tract 1402 New Haven County Connecticut</t>
  </si>
  <si>
    <t>To import to main table, use Vlookup to make sure census tracts match</t>
  </si>
  <si>
    <t>Census Tract 2983 Litchfield County Connecticut</t>
  </si>
  <si>
    <t>Census Tract 5416 Middlesex County Connecticut</t>
  </si>
  <si>
    <t>Census Tract 4926 Hartford County Connecticut</t>
  </si>
  <si>
    <t>Census Tract 1426.03 New Haven County Connecticut</t>
  </si>
  <si>
    <t>Census Tract 4974 Hartford County Connecticut</t>
  </si>
  <si>
    <t>Census Tract 5009 Hartford County Connecticut</t>
  </si>
  <si>
    <t>Census Tract 7131 New London County Connecticut</t>
  </si>
  <si>
    <t>Census Tract 738 Fairfield County Connecticut</t>
  </si>
  <si>
    <t>Census Tract 4714 Hartford County Connecticut</t>
  </si>
  <si>
    <t>Census Tract 716 Fairfield County Connecticut</t>
  </si>
  <si>
    <t>Census Tract 4812 Hartford County Connecticut</t>
  </si>
  <si>
    <t>Census Tract 5012 Hartford County Connecticut</t>
  </si>
  <si>
    <t>Census Tract 9025 Windham County Connecticut</t>
  </si>
  <si>
    <t>Census Tract 5018 Hartford County Connecticut</t>
  </si>
  <si>
    <t>Census Tract 2621 Litchfield County Connecticut</t>
  </si>
  <si>
    <t>Census Tract 3504 New Haven County Connecticut</t>
  </si>
  <si>
    <t>Census Tract 4808 Hartford County Connecticut</t>
  </si>
  <si>
    <t>Census Tract 5030 Hartford County Connecticut</t>
  </si>
  <si>
    <t>Census Tract 8902.01 Tolland County Connecticut</t>
  </si>
  <si>
    <t>Census Tract 5014 Hartford County Connecticut</t>
  </si>
  <si>
    <t>Census Tract 6937 New London County Connecticut</t>
  </si>
  <si>
    <t>Census Tract 706 Fairfield County Connecticut</t>
  </si>
  <si>
    <t>Census Tract 5601 Middlesex County Connecticut</t>
  </si>
  <si>
    <t>Census Tract 5027 Hartford County Connecticut</t>
  </si>
  <si>
    <t>Census Tract 3432 New Haven County Connecticut</t>
  </si>
  <si>
    <t>Census Tract 712 Fairfield County Connecticut</t>
  </si>
  <si>
    <t>Census Tract 3433 New Haven County Connecticut</t>
  </si>
  <si>
    <t>Census Tract 5003 Hartford County Connecticut</t>
  </si>
  <si>
    <t>Census Tract 4809 Hartford County Connecticut</t>
  </si>
  <si>
    <t>Census Tract 705 Fairfield County Connecticut</t>
  </si>
  <si>
    <t>Census Tract 7161.02 New London County Connecticut</t>
  </si>
  <si>
    <t>Census Tract 8703 New London County Connecticut</t>
  </si>
  <si>
    <t>Census Tract 4622.02 Hartford County Connecticut</t>
  </si>
  <si>
    <t>Census Tract 5002 Hartford County Connecticut</t>
  </si>
  <si>
    <t>Census Tract 9022 Windham County Connecticut</t>
  </si>
  <si>
    <t>Census Tract 3505 New Haven County Connecticut</t>
  </si>
  <si>
    <t>Census Tract 4661.02 Hartford County Connecticut</t>
  </si>
  <si>
    <t>Census Tract 5042 Hartford County Connecticut</t>
  </si>
  <si>
    <t>Census Tract 2961 Litchfield County Connecticut</t>
  </si>
  <si>
    <t>Census Tract 5043 Hartford County Connecticut</t>
  </si>
  <si>
    <t>Census Tract 4976 Hartford County Connecticut</t>
  </si>
  <si>
    <t>Census Tract 5038 Hartford County Connecticut</t>
  </si>
  <si>
    <t>Census Tract 6909 New London County Connecticut</t>
  </si>
  <si>
    <t>Census Tract 1415 New Haven County Connecticut</t>
  </si>
  <si>
    <t>Census Tract 5021 Hartford County Connecticut</t>
  </si>
  <si>
    <t>Census Tract 3503 New Haven County Connecticut</t>
  </si>
  <si>
    <t>Census Tract 4734 Hartford County Connecticut</t>
  </si>
  <si>
    <t>Census Tract 8003 Windham County Connecticut</t>
  </si>
  <si>
    <t>Census Tract 606 Fairfield County Connecticut</t>
  </si>
  <si>
    <t>Census Tract 713 Fairfield County Connecticut</t>
  </si>
  <si>
    <t>Census Tract 4304 Hartford County Connecticut</t>
  </si>
  <si>
    <t>Census Tract 1406 New Haven County Connecticut</t>
  </si>
  <si>
    <t>Census Tract 3001 Litchfield County Connecticut</t>
  </si>
  <si>
    <t>Census Tract 5017 Hartford County Connecticut</t>
  </si>
  <si>
    <t>Census Tract 4661.01 Hartford County Connecticut</t>
  </si>
  <si>
    <t>Census Tract 6905 New London County Connecticut</t>
  </si>
  <si>
    <t>Census Tract 3434 New Haven County Connecticut</t>
  </si>
  <si>
    <t>Census Tract 5001 Hartford County Connecticut</t>
  </si>
  <si>
    <t>Census Tract 8601 Tolland County Connecticut</t>
  </si>
  <si>
    <t>Census Tract 4159 Hartford County Connecticut</t>
  </si>
  <si>
    <t>Census Tract 1713 New Haven County Connecticut</t>
  </si>
  <si>
    <t>Census Tract 1709 New Haven County Connecticut</t>
  </si>
  <si>
    <t>Census Tract 1717 New Haven County Connecticut</t>
  </si>
  <si>
    <t>Census Tract 1405 New Haven County Connecticut</t>
  </si>
  <si>
    <t>Census Tract 6601.02 New London County Connecticut</t>
  </si>
  <si>
    <t>Census Tract 1408 New Haven County Connecticut</t>
  </si>
  <si>
    <t>Census Tract 1758 New Haven County Connecticut</t>
  </si>
  <si>
    <t>Census Tract 4171 Hartford County Connecticut</t>
  </si>
  <si>
    <t>Census Tract 4969 Hartford County Connecticut</t>
  </si>
  <si>
    <t>Census Tract 5013 Hartford County Connecticut</t>
  </si>
  <si>
    <t>Census Tract 1654 New Haven County Connecticut</t>
  </si>
  <si>
    <t>Census Tract 8812 Tolland County Connecticut</t>
  </si>
  <si>
    <t>Census Tract 4253 Litchfield County Connecticut</t>
  </si>
  <si>
    <t>Census Tract 5031 Hartford County Connecticut</t>
  </si>
  <si>
    <t>Census Tract 4622.01 Hartford County Connecticut</t>
  </si>
  <si>
    <t>Census Tract 4161 Hartford County Connecticut</t>
  </si>
  <si>
    <t>Census Tract 5205.01 Hartford County Connecticut</t>
  </si>
  <si>
    <t>Census Tract 1407 New Haven County Connecticut</t>
  </si>
  <si>
    <t>Census Tract 1756 New Haven County Connecticut</t>
  </si>
  <si>
    <t>Census Tract 1701 New Haven County Connecticut</t>
  </si>
  <si>
    <t>Census Tract 9002 Windham County Connecticut</t>
  </si>
  <si>
    <t>Census Tract 4166 Hartford County Connecticut</t>
  </si>
  <si>
    <t>Census Tract 4970 Hartford County Connecticut</t>
  </si>
  <si>
    <t>Census Tract 3522 New Haven County Connecticut</t>
  </si>
  <si>
    <t>Census Tract 4964 Hartford County Connecticut</t>
  </si>
  <si>
    <t>Census Tract 5028 Hartford County Connecticut</t>
  </si>
  <si>
    <t>Census Tract 4052 Hartford County Connecticut</t>
  </si>
  <si>
    <t>Census Tract 3502 New Haven County Connecticut</t>
  </si>
  <si>
    <t>Census Tract 3106.02 Litchfield County Connecticut</t>
  </si>
  <si>
    <t>Census Tract 5024 Hartford County Connecticut</t>
  </si>
  <si>
    <t>Census Tract 8707.04 New London County Connecticut</t>
  </si>
  <si>
    <t>Census Tract 5015 Hartford County Connecticut</t>
  </si>
  <si>
    <t>Census Tract 5243 Hartford County Connecticut</t>
  </si>
  <si>
    <t>Census Tract 5417 Middlesex County Connecticut</t>
  </si>
  <si>
    <t>Census Tract 4002 Hartford County Connecticut</t>
  </si>
  <si>
    <t>Census Tract 3614.01 New Haven County Connecticut</t>
  </si>
  <si>
    <t>Census Tract 732 Fairfield County Connecticut</t>
  </si>
  <si>
    <t>Census Tract 5045 Hartford County Connecticut</t>
  </si>
  <si>
    <t>Census Tract 5382.01 Tolland County Connecticut</t>
  </si>
  <si>
    <t>Census Tract 3517 New Haven County Connecticut</t>
  </si>
  <si>
    <t>Census Tract 9032 Windham County Connecticut</t>
  </si>
  <si>
    <t>Census Tract 1416 New Haven County Connecticut</t>
  </si>
  <si>
    <t>Census Tract 7024 New London County Connecticut</t>
  </si>
  <si>
    <t>Census Tract 4172 Hartford County Connecticut</t>
  </si>
  <si>
    <t>Census Tract 5201 Hartford County Connecticut</t>
  </si>
  <si>
    <t>Census Tract 1409 New Haven County Connecticut</t>
  </si>
  <si>
    <t>Census Tract 5414.02 Middlesex County Connecticut</t>
  </si>
  <si>
    <t>Census Tract 4153 Hartford County Connecticut</t>
  </si>
  <si>
    <t>Census Tract 7054 New London County Connecticut</t>
  </si>
  <si>
    <t>Census Tract 4155 Hartford County Connecticut</t>
  </si>
  <si>
    <t>Census Tract 3431.02 New Haven County Connecticut</t>
  </si>
  <si>
    <t>Census Tract 4806 Hartford County Connecticut</t>
  </si>
  <si>
    <t>Census Tract 5281 Tolland County Connecticut</t>
  </si>
  <si>
    <t>Census Tract 5004 Hartford County Connecticut</t>
  </si>
  <si>
    <t>Census Tract 5242 Hartford County Connecticut</t>
  </si>
  <si>
    <t>Census Tract 1403 New Haven County Connecticut</t>
  </si>
  <si>
    <t>Census Tract 112 Fairfield County Connecticut</t>
  </si>
  <si>
    <t>Census Tract 5033 Hartford County Connecticut</t>
  </si>
  <si>
    <t>Census Tract 1760 New Haven County Connecticut</t>
  </si>
  <si>
    <t>Census Tract 733 Fairfield County Connecticut</t>
  </si>
  <si>
    <t>Census Tract 4762 Hartford County Connecticut</t>
  </si>
  <si>
    <t>Census Tract 736 Fairfield County Connecticut</t>
  </si>
  <si>
    <t>Census Tract 5152 Hartford County Connecticut</t>
  </si>
  <si>
    <t>Census Tract 3514 New Haven County Connecticut</t>
  </si>
  <si>
    <t>Census Tract 5331.01 Tolland County Connecticut</t>
  </si>
  <si>
    <t>Census Tract 3511 New Haven County Connecticut</t>
  </si>
  <si>
    <t>Census Tract 9011 Windham County Connecticut</t>
  </si>
  <si>
    <t>Census Tract 5035 Hartford County Connecticut</t>
  </si>
  <si>
    <t>Census Tract 4771.02 Hartford County Connecticut</t>
  </si>
  <si>
    <t>Census Tract 739 Fairfield County Connecticut</t>
  </si>
  <si>
    <t>Census Tract 4621.01 Hartford County Connecticut</t>
  </si>
  <si>
    <t>Census Tract 5411 Middlesex County Connecticut</t>
  </si>
  <si>
    <t>Census Tract 8707.03 New London County Connecticut</t>
  </si>
  <si>
    <t>Census Tract 704 Fairfield County Connecticut</t>
  </si>
  <si>
    <t>Census Tract 4621.02 Hartford County Connecticut</t>
  </si>
  <si>
    <t>Census Tract 1710 New Haven County Connecticut</t>
  </si>
  <si>
    <t>Census Tract 4603.01 Hartford County Connecticut</t>
  </si>
  <si>
    <t>Census Tract 4162 Hartford County Connecticut</t>
  </si>
  <si>
    <t>Census Tract 4736.01 Hartford County Connecticut</t>
  </si>
  <si>
    <t>Census Tract 709 Fairfield County Connecticut</t>
  </si>
  <si>
    <t>Census Tract 4255 Litchfield County Connecticut</t>
  </si>
  <si>
    <t>Census Tract 8006 Windham County Connecticut</t>
  </si>
  <si>
    <t>Census Tract 4942.02 Hartford County Connecticut</t>
  </si>
  <si>
    <t>Census Tract 1424 New Haven County Connecticut</t>
  </si>
  <si>
    <t>Census Tract 4813 Hartford County Connecticut</t>
  </si>
  <si>
    <t>Census Tract 5246 Hartford County Connecticut</t>
  </si>
  <si>
    <t>Census Tract 4771.01 Hartford County Connecticut</t>
  </si>
  <si>
    <t>Census Tract 1413 New Haven County Connecticut</t>
  </si>
  <si>
    <t>Census Tract 4305 Hartford County Connecticut</t>
  </si>
  <si>
    <t>Census Tract 5026 Hartford County Connecticut</t>
  </si>
  <si>
    <t>Census Tract 4841 Hartford County Connecticut</t>
  </si>
  <si>
    <t>Census Tract 3508 New Haven County Connecticut</t>
  </si>
  <si>
    <t>Census Tract 4302.01 Hartford County Connecticut</t>
  </si>
  <si>
    <t>Census Tract 5041 Hartford County Connecticut</t>
  </si>
  <si>
    <t>Census Tract 7101 New London County Connecticut</t>
  </si>
  <si>
    <t>Census Tract 5037 Hartford County Connecticut</t>
  </si>
  <si>
    <t>Census Tract 4054.02 Hartford County Connecticut</t>
  </si>
  <si>
    <t>Census Tract 5104 Hartford County Connecticut</t>
  </si>
  <si>
    <t>Census Tract 4663 Hartford County Connecticut</t>
  </si>
  <si>
    <t>Census Tract 4163 Hartford County Connecticut</t>
  </si>
  <si>
    <t>Census Tract 4965 Hartford County Connecticut</t>
  </si>
  <si>
    <t>Census Tract 1423 New Haven County Connecticut</t>
  </si>
  <si>
    <t>Census Tract 3301 Hartford County Connecticut</t>
  </si>
  <si>
    <t>Census Tract 3512 New Haven County Connecticut</t>
  </si>
  <si>
    <t>Census Tract 446 Fairfield County Connecticut</t>
  </si>
  <si>
    <t>Census Tract 731 Fairfield County Connecticut</t>
  </si>
  <si>
    <t>Census Tract 3441 New Haven County Connecticut</t>
  </si>
  <si>
    <t>Census Tract 735 Fairfield County Connecticut</t>
  </si>
  <si>
    <t>Census Tract 1653 New Haven County Connecticut</t>
  </si>
  <si>
    <t>Census Tract 5049 Hartford County Connecticut</t>
  </si>
  <si>
    <t>Census Tract 7151 New London County Connecticut</t>
  </si>
  <si>
    <t>Census Tract 1254 New Haven County Connecticut</t>
  </si>
  <si>
    <t>Census Tract 4872.01 Hartford County Connecticut</t>
  </si>
  <si>
    <t>Census Tract 5025 Hartford County Connecticut</t>
  </si>
  <si>
    <t>Census Tract 7091 New London County Connecticut</t>
  </si>
  <si>
    <t>Census Tract 740 Fairfield County Connecticut</t>
  </si>
  <si>
    <t>Census Tract 4973 Hartford County Connecticut</t>
  </si>
  <si>
    <t>Census Tract 7025 New London County Connecticut</t>
  </si>
  <si>
    <t>Census Tract 5331.02 Tolland County Connecticut</t>
  </si>
  <si>
    <t>Census Tract 737 Fairfield County Connecticut</t>
  </si>
  <si>
    <t>Census Tract 3004 Litchfield County Connecticut</t>
  </si>
  <si>
    <t>Census Tract 3102 Litchfield County Connecticut</t>
  </si>
  <si>
    <t>Census Tract 4641.01 Hartford County Connecticut</t>
  </si>
  <si>
    <t>Census Tract 714 Fairfield County Connecticut</t>
  </si>
  <si>
    <t>Census Tract 7141.03 New London County Connecticut</t>
  </si>
  <si>
    <t>Census Tract 1412 New Haven County Connecticut</t>
  </si>
  <si>
    <t>Census Tract 1755 New Haven County Connecticut</t>
  </si>
  <si>
    <t>Census Tract 743 Fairfield County Connecticut</t>
  </si>
  <si>
    <t>Census Tract 5149 Hartford County Connecticut</t>
  </si>
  <si>
    <t>Census Tract 6903 New London County Connecticut</t>
  </si>
  <si>
    <t>Census Tract 7053 New London County Connecticut</t>
  </si>
  <si>
    <t>Census Tract 2101 Fairfield County Connecticut</t>
  </si>
  <si>
    <t>Census Tract 4963 Hartford County Connecticut</t>
  </si>
  <si>
    <t>Census Tract 5106 Hartford County Connecticut</t>
  </si>
  <si>
    <t>Census Tract 3104 Litchfield County Connecticut</t>
  </si>
  <si>
    <t>Census Tract 1551 New Haven County Connecticut</t>
  </si>
  <si>
    <t>Census Tract 1105 Fairfield County Connecticut</t>
  </si>
  <si>
    <t>Census Tract 4160 Hartford County Connecticut</t>
  </si>
  <si>
    <t>Census Tract 4059 Hartford County Connecticut</t>
  </si>
  <si>
    <t>Census Tract 1427 New Haven County Connecticut</t>
  </si>
  <si>
    <t>Census Tract 6935 New London County Connecticut</t>
  </si>
  <si>
    <t>Census Tract 5245.01 Hartford County Connecticut</t>
  </si>
  <si>
    <t>Census Tract 4174 Hartford County Connecticut</t>
  </si>
  <si>
    <t>Census Tract 1425 New Haven County Connecticut</t>
  </si>
  <si>
    <t>Census Tract 4101.02 Hartford County Connecticut</t>
  </si>
  <si>
    <t>Census Tract 3103 Litchfield County Connecticut</t>
  </si>
  <si>
    <t>Census Tract 5351 Tolland County Connecticut</t>
  </si>
  <si>
    <t>Census Tract 1703 New Haven County Connecticut</t>
  </si>
  <si>
    <t>Census Tract 5202.02 Hartford County Connecticut</t>
  </si>
  <si>
    <t>Census Tract 702 Fairfield County Connecticut</t>
  </si>
  <si>
    <t>Census Tract 7121 New London County Connecticut</t>
  </si>
  <si>
    <t>Census Tract 1404 New Haven County Connecticut</t>
  </si>
  <si>
    <t>Census Tract 6952.02 New London County Connecticut</t>
  </si>
  <si>
    <t>Census Tract 719 Fairfield County Connecticut</t>
  </si>
  <si>
    <t>Census Tract 1106 Fairfield County Connecticut</t>
  </si>
  <si>
    <t>Census Tract 3526 New Haven County Connecticut</t>
  </si>
  <si>
    <t>Census Tract 3108.04 Litchfield County Connecticut</t>
  </si>
  <si>
    <t>Census Tract 215 Fairfield County Connecticut</t>
  </si>
  <si>
    <t>Census Tract 4874 Hartford County Connecticut</t>
  </si>
  <si>
    <t>Census Tract 4057 Hartford County Connecticut</t>
  </si>
  <si>
    <t>Census Tract 7030 New London County Connecticut</t>
  </si>
  <si>
    <t>Census Tract 5029 Hartford County Connecticut</t>
  </si>
  <si>
    <t>Census Tract 103 Fairfield County Connecticut</t>
  </si>
  <si>
    <t>Census Tract 6961 New London County Connecticut</t>
  </si>
  <si>
    <t>Census Tract 6802 Middlesex County Connecticut</t>
  </si>
  <si>
    <t>Census Tract 1702 New Haven County Connecticut</t>
  </si>
  <si>
    <t>Census Tract 7012 New London County Connecticut</t>
  </si>
  <si>
    <t>Census Tract 5147 Hartford County Connecticut</t>
  </si>
  <si>
    <t>Census Tract 5303.02 Tolland County Connecticut</t>
  </si>
  <si>
    <t>Census Tract 3523 New Haven County Connecticut</t>
  </si>
  <si>
    <t>Census Tract 4872.02 Hartford County Connecticut</t>
  </si>
  <si>
    <t>Census Tract 3513 New Haven County Connecticut</t>
  </si>
  <si>
    <t>Census Tract 3452.02 New Haven County Connecticut</t>
  </si>
  <si>
    <t>Census Tract 2107.01 Fairfield County Connecticut</t>
  </si>
  <si>
    <t>Census Tract 5202.01 Hartford County Connecticut</t>
  </si>
  <si>
    <t>Census Tract 1421 New Haven County Connecticut</t>
  </si>
  <si>
    <t>Census Tract 8902.02 Tolland County Connecticut</t>
  </si>
  <si>
    <t>Census Tract 1202 New Haven County Connecticut</t>
  </si>
  <si>
    <t>Census Tract 3603 Litchfield County Connecticut</t>
  </si>
  <si>
    <t>Census Tract 5102 Hartford County Connecticut</t>
  </si>
  <si>
    <t>Census Tract 1843 New Haven County Connecticut</t>
  </si>
  <si>
    <t>Census Tract 5005 Hartford County Connecticut</t>
  </si>
  <si>
    <t>Census Tract 1759 New Haven County Connecticut</t>
  </si>
  <si>
    <t>Census Tract 4154 Hartford County Connecticut</t>
  </si>
  <si>
    <t>Census Tract 6966 New London County Connecticut</t>
  </si>
  <si>
    <t>Census Tract 1545 New Haven County Connecticut</t>
  </si>
  <si>
    <t>Census Tract 1712 New Haven County Connecticut</t>
  </si>
  <si>
    <t>Census Tract 4061 Hartford County Connecticut</t>
  </si>
  <si>
    <t>Census Tract 3481.11 New Haven County Connecticut</t>
  </si>
  <si>
    <t>Census Tract 5244 Hartford County Connecticut</t>
  </si>
  <si>
    <t>Census Tract 4060.02 Hartford County Connecticut</t>
  </si>
  <si>
    <t>Census Tract 8007 Windham County Connecticut</t>
  </si>
  <si>
    <t>Census Tract 7021 New London County Connecticut</t>
  </si>
  <si>
    <t>Census Tract 1252 New Haven County Connecticut</t>
  </si>
  <si>
    <t>Census Tract 3061 Litchfield County Connecticut</t>
  </si>
  <si>
    <t>Census Tract 4167 Hartford County Connecticut</t>
  </si>
  <si>
    <t>Census Tract 1846 New Haven County Connecticut</t>
  </si>
  <si>
    <t>Census Tract 6964 New London County Connecticut</t>
  </si>
  <si>
    <t>Census Tract 701 Fairfield County Connecticut</t>
  </si>
  <si>
    <t>Census Tract 8813 Tolland County Connecticut</t>
  </si>
  <si>
    <t>Census Tract 4810 Hartford County Connecticut</t>
  </si>
  <si>
    <t>Census Tract 214 Fairfield County Connecticut</t>
  </si>
  <si>
    <t>Census Tract 5701 Middlesex County Connecticut</t>
  </si>
  <si>
    <t>Census Tract 5113 Hartford County Connecticut</t>
  </si>
  <si>
    <t>Census Tract 102.02 Fairfield County Connecticut</t>
  </si>
  <si>
    <t>Census Tract 744 Fairfield County Connecticut</t>
  </si>
  <si>
    <t>Census Tract 4681.01 Hartford County Connecticut</t>
  </si>
  <si>
    <t>Census Tract 6970 New London County Connecticut</t>
  </si>
  <si>
    <t>Census Tract 2931 Litchfield County Connecticut</t>
  </si>
  <si>
    <t>Census Tract 1715 New Haven County Connecticut</t>
  </si>
  <si>
    <t>Census Tract 4003 Hartford County Connecticut</t>
  </si>
  <si>
    <t>Census Tract 1546 New Haven County Connecticut</t>
  </si>
  <si>
    <t>Census Tract 5420 Middlesex County Connecticut</t>
  </si>
  <si>
    <t>Census Tract 1714 New Haven County Connecticut</t>
  </si>
  <si>
    <t>Census Tract 504 Fairfield County Connecticut</t>
  </si>
  <si>
    <t>Census Tract 6968 New London County Connecticut</t>
  </si>
  <si>
    <t>Census Tract 4921 Hartford County Connecticut</t>
  </si>
  <si>
    <t>Census Tract 710 Fairfield County Connecticut</t>
  </si>
  <si>
    <t>Census Tract 3471 New Haven County Connecticut</t>
  </si>
  <si>
    <t>Census Tract 1655 New Haven County Connecticut</t>
  </si>
  <si>
    <t>Census Tract 102.01 Fairfield County Connecticut</t>
  </si>
  <si>
    <t>Census Tract 711 Fairfield County Connecticut</t>
  </si>
  <si>
    <t>Census Tract 4966 Hartford County Connecticut</t>
  </si>
  <si>
    <t>Census Tract 6967 New London County Connecticut</t>
  </si>
  <si>
    <t>Census Tract 1652 New Haven County Connecticut</t>
  </si>
  <si>
    <t>Census Tract 1803 New Haven County Connecticut</t>
  </si>
  <si>
    <t>Census Tract 5261.02 Tolland County Connecticut</t>
  </si>
  <si>
    <t>Census Tract 4158 Hartford County Connecticut</t>
  </si>
  <si>
    <t>Census Tract 4977 Hartford County Connecticut</t>
  </si>
  <si>
    <t>Census Tract 3108.03 Litchfield County Connecticut</t>
  </si>
  <si>
    <t>Census Tract 4945 Hartford County Connecticut</t>
  </si>
  <si>
    <t>Census Tract 5302 Tolland County Connecticut</t>
  </si>
  <si>
    <t>Census Tract 5203.01 Hartford County Connecticut</t>
  </si>
  <si>
    <t>Census Tract 4156 Hartford County Connecticut</t>
  </si>
  <si>
    <t>Census Tract 5951.02 Middlesex County Connecticut</t>
  </si>
  <si>
    <t>Census Tract 6907 New London County Connecticut</t>
  </si>
  <si>
    <t>Census Tract 5261.01 Tolland County Connecticut</t>
  </si>
  <si>
    <t>Census Tract 5039 Hartford County Connecticut</t>
  </si>
  <si>
    <t>Census Tract 4662.01 Hartford County Connecticut</t>
  </si>
  <si>
    <t>Census Tract 3614.02 New Haven County Connecticut</t>
  </si>
  <si>
    <t>Census Tract 5352 Tolland County Connecticut</t>
  </si>
  <si>
    <t>Census Tract 722 Fairfield County Connecticut</t>
  </si>
  <si>
    <t>Census Tract 1901 New Haven County Connecticut</t>
  </si>
  <si>
    <t>Census Tract 4303.01 Hartford County Connecticut</t>
  </si>
  <si>
    <t>Census Tract 4157 Hartford County Connecticut</t>
  </si>
  <si>
    <t>Census Tract 6963 New London County Connecticut</t>
  </si>
  <si>
    <t>Census Tract 5023 Hartford County Connecticut</t>
  </si>
  <si>
    <t>Census Tract 109 Fairfield County Connecticut</t>
  </si>
  <si>
    <t>Census Tract 3516.01 New Haven County Connecticut</t>
  </si>
  <si>
    <t>Census Tract 6936 New London County Connecticut</t>
  </si>
  <si>
    <t>Census Tract 5112 Hartford County Connecticut</t>
  </si>
  <si>
    <t>Census Tract 4735.02 Hartford County Connecticut</t>
  </si>
  <si>
    <t>Census Tract 6904 New London County Connecticut</t>
  </si>
  <si>
    <t>Census Tract 8502 Tolland County Connecticut</t>
  </si>
  <si>
    <t>Census Tract 3527.01 New Haven County Connecticut</t>
  </si>
  <si>
    <t>Census Tract 110 Fairfield County Connecticut</t>
  </si>
  <si>
    <t>Census Tract 3524 New Haven County Connecticut</t>
  </si>
  <si>
    <t>Census Tract 302 Fairfield County Connecticut</t>
  </si>
  <si>
    <t>Census Tract 2102 Fairfield County Connecticut</t>
  </si>
  <si>
    <t>Census Tract 5151.01 Hartford County Connecticut</t>
  </si>
  <si>
    <t>Census Tract 4060.01 Hartford County Connecticut</t>
  </si>
  <si>
    <t>Census Tract 5204 Hartford County Connecticut</t>
  </si>
  <si>
    <t>Census Tract 2572 Fairfield County Connecticut</t>
  </si>
  <si>
    <t>Census Tract 5851 Middlesex County Connecticut</t>
  </si>
  <si>
    <t>Census Tract 3525 New Haven County Connecticut</t>
  </si>
  <si>
    <t>Census Tract 8701 New London County Connecticut</t>
  </si>
  <si>
    <t>Census Tract 1420 New Haven County Connecticut</t>
  </si>
  <si>
    <t>Census Tract 501 Fairfield County Connecticut</t>
  </si>
  <si>
    <t>Census Tract 6908 New London County Connecticut</t>
  </si>
  <si>
    <t>Census Tract 4302.03 Hartford County Connecticut</t>
  </si>
  <si>
    <t>Census Tract 1414 New Haven County Connecticut</t>
  </si>
  <si>
    <t>Census Tract 5301 Tolland County Connecticut</t>
  </si>
  <si>
    <t>Census Tract 440 Fairfield County Connecticut</t>
  </si>
  <si>
    <t>Census Tract 1711 New Haven County Connecticut</t>
  </si>
  <si>
    <t>Census Tract 804 Fairfield County Connecticut</t>
  </si>
  <si>
    <t>Census Tract 1506 New Haven County Connecticut</t>
  </si>
  <si>
    <t>Census Tract 7092 New London County Connecticut</t>
  </si>
  <si>
    <t>Census Tract 4871 Hartford County Connecticut</t>
  </si>
  <si>
    <t>Census Tract 1253 New Haven County Connecticut</t>
  </si>
  <si>
    <t>Census Tract 6962 New London County Connecticut</t>
  </si>
  <si>
    <t>Census Tract 728 Fairfield County Connecticut</t>
  </si>
  <si>
    <t>Census Tract 8250 Windham County Connecticut</t>
  </si>
  <si>
    <t>Census Tract 5103 Hartford County Connecticut</t>
  </si>
  <si>
    <t>Census Tract 3612 New Haven County Connecticut</t>
  </si>
  <si>
    <t>Census Tract 720 Fairfield County Connecticut</t>
  </si>
  <si>
    <t>Census Tract 3107 Litchfield County Connecticut</t>
  </si>
  <si>
    <t>Census Tract 734 Fairfield County Connecticut</t>
  </si>
  <si>
    <t>Census Tract 3454 New Haven County Connecticut</t>
  </si>
  <si>
    <t>Census Tract 5146 Hartford County Connecticut</t>
  </si>
  <si>
    <t>Census Tract 1757 New Haven County Connecticut</t>
  </si>
  <si>
    <t>Census Tract 5148 Hartford County Connecticut</t>
  </si>
  <si>
    <t>Census Tract 5382.02 Tolland County Connecticut</t>
  </si>
  <si>
    <t>Census Tract 9045 Windham County Connecticut</t>
  </si>
  <si>
    <t>Census Tract 8707.01 New London County Connecticut</t>
  </si>
  <si>
    <t>Census Tract 3518 New Haven County Connecticut</t>
  </si>
  <si>
    <t>Census Tract 4001 Hartford County Connecticut</t>
  </si>
  <si>
    <t>Census Tract 8815 Tolland County Connecticut</t>
  </si>
  <si>
    <t>Census Tract 4944 Hartford County Connecticut</t>
  </si>
  <si>
    <t>Census Tract 5105 Hartford County Connecticut</t>
  </si>
  <si>
    <t>Census Tract 3201 Litchfield County Connecticut</t>
  </si>
  <si>
    <t>Census Tract 3105 Litchfield County Connecticut</t>
  </si>
  <si>
    <t>Census Tract 1501 New Haven County Connecticut</t>
  </si>
  <si>
    <t>Census Tract 5048 Hartford County Connecticut</t>
  </si>
  <si>
    <t>Census Tract 5801 Middlesex County Connecticut</t>
  </si>
  <si>
    <t>Census Tract 4165 Hartford County Connecticut</t>
  </si>
  <si>
    <t>Census Tract 4207 Hartford County Connecticut</t>
  </si>
  <si>
    <t>Census Tract 5303.01 Tolland County Connecticut</t>
  </si>
  <si>
    <t>Census Tract 8301 Windham County Connecticut</t>
  </si>
  <si>
    <t>Census Tract 1708 New Haven County Connecticut</t>
  </si>
  <si>
    <t>Census Tract 9061 Windham County Connecticut</t>
  </si>
  <si>
    <t>Census Tract 3528 New Haven County Connecticut</t>
  </si>
  <si>
    <t>Census Tract 604 Fairfield County Connecticut</t>
  </si>
  <si>
    <t>Census Tract 442 Fairfield County Connecticut</t>
  </si>
  <si>
    <t>Census Tract 6601.01 New London County Connecticut</t>
  </si>
  <si>
    <t>Census Tract 1418 New Haven County Connecticut</t>
  </si>
  <si>
    <t>Census Tract 4681.02 Hartford County Connecticut</t>
  </si>
  <si>
    <t>Census Tract 2106 Fairfield County Connecticut</t>
  </si>
  <si>
    <t>Census Tract 4164 Hartford County Connecticut</t>
  </si>
  <si>
    <t>Census Tract 3510 New Haven County Connecticut</t>
  </si>
  <si>
    <t>Census Tract 4101.01 Hartford County Connecticut</t>
  </si>
  <si>
    <t>Census Tract 2536 Litchfield County Connecticut</t>
  </si>
  <si>
    <t>Census Tract 7011 New London County Connecticut</t>
  </si>
  <si>
    <t>Census Tract 5040 Hartford County Connecticut</t>
  </si>
  <si>
    <t>Census Tract 4942.01 Hartford County Connecticut</t>
  </si>
  <si>
    <t>Census Tract 1426.01 New Haven County Connecticut</t>
  </si>
  <si>
    <t>Census Tract 4903.02 Hartford County Connecticut</t>
  </si>
  <si>
    <t>Census Tract 5415 Middlesex County Connecticut</t>
  </si>
  <si>
    <t>Census Tract 1753 New Haven County Connecticut</t>
  </si>
  <si>
    <t>Census Tract 8702 New London County Connecticut</t>
  </si>
  <si>
    <t>Census Tract 9073 Windham County Connecticut</t>
  </si>
  <si>
    <t>Census Tract 721 Fairfield County Connecticut</t>
  </si>
  <si>
    <t>Census Tract 4256 Litchfield County Connecticut</t>
  </si>
  <si>
    <t>Census Tract 7027 New London County Connecticut</t>
  </si>
  <si>
    <t>Census Tract 9001 Windham County Connecticut</t>
  </si>
  <si>
    <t>Census Tract 3515 New Haven County Connecticut</t>
  </si>
  <si>
    <t>Census Tract 4206 Hartford County Connecticut</t>
  </si>
  <si>
    <t>Census Tract 1542 New Haven County Connecticut</t>
  </si>
  <si>
    <t>Census Tract 4055 Hartford County Connecticut</t>
  </si>
  <si>
    <t>Census Tract 4306.01 Hartford County Connecticut</t>
  </si>
  <si>
    <t>Census Tract 208 Fairfield County Connecticut</t>
  </si>
  <si>
    <t>Census Tract 2107.02 Fairfield County Connecticut</t>
  </si>
  <si>
    <t>Census Tract 2901 Litchfield County Connecticut</t>
  </si>
  <si>
    <t>Census Tract 2531 Litchfield County Connecticut</t>
  </si>
  <si>
    <t>Census Tract 6933 New London County Connecticut</t>
  </si>
  <si>
    <t>Census Tract 9031 Windham County Connecticut</t>
  </si>
  <si>
    <t>Census Tract 3101 Litchfield County Connecticut</t>
  </si>
  <si>
    <t>Census Tract 7051.02 New London County Connecticut</t>
  </si>
  <si>
    <t>Census Tract 4972 Hartford County Connecticut</t>
  </si>
  <si>
    <t>Census Tract 1706 New Haven County Connecticut</t>
  </si>
  <si>
    <t>Census Tract 4735.01 Hartford County Connecticut</t>
  </si>
  <si>
    <t>Census Tract 3521 New Haven County Connecticut</t>
  </si>
  <si>
    <t>Census Tract 6301 Middlesex County Connecticut</t>
  </si>
  <si>
    <t>Census Tract 5245.02 Hartford County Connecticut</t>
  </si>
  <si>
    <t>Census Tract 5150 Hartford County Connecticut</t>
  </si>
  <si>
    <t>Census Tract 3108.01 Litchfield County Connecticut</t>
  </si>
  <si>
    <t>Census Tract 2681 Litchfield County Connecticut</t>
  </si>
  <si>
    <t>Census Tract 9044 Windham County Connecticut</t>
  </si>
  <si>
    <t>Census Tract 8501 Tolland County Connecticut</t>
  </si>
  <si>
    <t>Census Tract 3615 New Haven County Connecticut</t>
  </si>
  <si>
    <t>Census Tract 1716 New Haven County Connecticut</t>
  </si>
  <si>
    <t>Census Tract 4807 Hartford County Connecticut</t>
  </si>
  <si>
    <t>Census Tract 1673 New Haven County Connecticut</t>
  </si>
  <si>
    <t>Census Tract 5107 Hartford County Connecticut</t>
  </si>
  <si>
    <t>Census Tract 5151.02 Hartford County Connecticut</t>
  </si>
  <si>
    <t>Census Tract 1704 New Haven County Connecticut</t>
  </si>
  <si>
    <t>Census Tract 221 Fairfield County Connecticut</t>
  </si>
  <si>
    <t>Census Tract 1509 New Haven County Connecticut</t>
  </si>
  <si>
    <t>Census Tract 8005 Windham County Connecticut</t>
  </si>
  <si>
    <t>Census Tract 1602 New Haven County Connecticut</t>
  </si>
  <si>
    <t>Census Tract 445 Fairfield County Connecticut</t>
  </si>
  <si>
    <t>Census Tract 205 Fairfield County Connecticut</t>
  </si>
  <si>
    <t>Census Tract 1101 Fairfield County Connecticut</t>
  </si>
  <si>
    <t>Census Tract 8200 Windham County Connecticut</t>
  </si>
  <si>
    <t>Census Tract 4967 Hartford County Connecticut</t>
  </si>
  <si>
    <t>Census Tract 202 Fairfield County Connecticut</t>
  </si>
  <si>
    <t>Census Tract 724 Fairfield County Connecticut</t>
  </si>
  <si>
    <t>Census Tract 552 Fairfield County Connecticut</t>
  </si>
  <si>
    <t>Census Tract 5108 Hartford County Connecticut</t>
  </si>
  <si>
    <t>Census Tract 5141.01 Hartford County Connecticut</t>
  </si>
  <si>
    <t>Census Tract 3481.24 New Haven County Connecticut</t>
  </si>
  <si>
    <t>Census Tract 2501 Litchfield County Connecticut</t>
  </si>
  <si>
    <t>Census Tract 6965 New London County Connecticut</t>
  </si>
  <si>
    <t>Census Tract 1507 New Haven County Connecticut</t>
  </si>
  <si>
    <t>Census Tract 4053 Hartford County Connecticut</t>
  </si>
  <si>
    <t>Census Tract 4601 Hartford County Connecticut</t>
  </si>
  <si>
    <t>Census Tract 3516.02 New Haven County Connecticut</t>
  </si>
  <si>
    <t>Census Tract 5111 Hartford County Connecticut</t>
  </si>
  <si>
    <t>Census Tract 4961 Hartford County Connecticut</t>
  </si>
  <si>
    <t>Census Tract 4603.02 Hartford County Connecticut</t>
  </si>
  <si>
    <t>Census Tract 4842 Hartford County Connecticut</t>
  </si>
  <si>
    <t>Census Tract 5304 Tolland County Connecticut</t>
  </si>
  <si>
    <t>Census Tract 2103 Fairfield County Connecticut</t>
  </si>
  <si>
    <t>Census Tract 4303.02 Hartford County Connecticut</t>
  </si>
  <si>
    <t>Census Tract 4662.02 Hartford County Connecticut</t>
  </si>
  <si>
    <t>Census Tract 1752 New Haven County Connecticut</t>
  </si>
  <si>
    <t>Census Tract 2632 Litchfield County Connecticut</t>
  </si>
  <si>
    <t>Census Tract 1656 New Haven County Connecticut</t>
  </si>
  <si>
    <t>Census Tract 1660.02 New Haven County Connecticut</t>
  </si>
  <si>
    <t>Census Tract 107 Fairfield County Connecticut</t>
  </si>
  <si>
    <t>Census Tract 7052 New London County Connecticut</t>
  </si>
  <si>
    <t>Census Tract 8004 Windham County Connecticut</t>
  </si>
  <si>
    <t>Census Tract 2671 Litchfield County Connecticut</t>
  </si>
  <si>
    <t>Census Tract 1841 New Haven County Connecticut</t>
  </si>
  <si>
    <t>Census Tract 2112 Fairfield County Connecticut</t>
  </si>
  <si>
    <t>Census Tract 2002 Fairfield County Connecticut</t>
  </si>
  <si>
    <t>Census Tract 1903.01 New Haven County Connecticut</t>
  </si>
  <si>
    <t>Census Tract 8901 Tolland County Connecticut</t>
  </si>
  <si>
    <t>Census Tract 5702 Middlesex County Connecticut</t>
  </si>
  <si>
    <t>Census Tract 4205 Hartford County Connecticut</t>
  </si>
  <si>
    <t>Census Tract 5602 Middlesex County Connecticut</t>
  </si>
  <si>
    <t>Census Tract 4761 Hartford County Connecticut</t>
  </si>
  <si>
    <t>Census Tract 506 Fairfield County Connecticut</t>
  </si>
  <si>
    <t>Census Tract 3461.01 New Haven County Connecticut</t>
  </si>
  <si>
    <t>Census Tract 2602 Litchfield County Connecticut</t>
  </si>
  <si>
    <t>Census Tract 3613 New Haven County Connecticut</t>
  </si>
  <si>
    <t>Census Tract 4175 Hartford County Connecticut</t>
  </si>
  <si>
    <t>Census Tract 5101 Hartford County Connecticut</t>
  </si>
  <si>
    <t>Census Tract 5144 Hartford County Connecticut</t>
  </si>
  <si>
    <t>Census Tract 1401 New Haven County Connecticut</t>
  </si>
  <si>
    <t>Census Tract 4168 Hartford County Connecticut</t>
  </si>
  <si>
    <t>Census Tract 6101 Middlesex County Connecticut</t>
  </si>
  <si>
    <t>United States</t>
  </si>
  <si>
    <t>Census Tract 1802 New Haven County Connecticut</t>
  </si>
  <si>
    <t>Census Tract 3431.01 New Haven County Connecticut</t>
  </si>
  <si>
    <t>Census Tract 5421 Middlesex County Connecticut</t>
  </si>
  <si>
    <t>Census Tract 4922 Hartford County Connecticut</t>
  </si>
  <si>
    <t>Census Tract 4763 Hartford County Connecticut</t>
  </si>
  <si>
    <t>Census Tract 2453 Fairfield County Connecticut</t>
  </si>
  <si>
    <t>Census Tract 726 Fairfield County Connecticut</t>
  </si>
  <si>
    <t>Census Tract 1601 New Haven County Connecticut</t>
  </si>
  <si>
    <t>Census Tract 4056 Hartford County Connecticut</t>
  </si>
  <si>
    <t>Census Tract 1754 New Haven County Connecticut</t>
  </si>
  <si>
    <t>Census Tract 5142 Hartford County Connecticut</t>
  </si>
  <si>
    <t>Census Tract 4941 Hartford County Connecticut</t>
  </si>
  <si>
    <t>Census Tract 6934 New London County Connecticut</t>
  </si>
  <si>
    <t>Census Tract 2452 Fairfield County Connecticut</t>
  </si>
  <si>
    <t>Census Tract 4712 Hartford County Connecticut</t>
  </si>
  <si>
    <t>Census Tract 1751 New Haven County Connecticut</t>
  </si>
  <si>
    <t>Census Tract 201 Fairfield County Connecticut</t>
  </si>
  <si>
    <t>Census Tract 106 Fairfield County Connecticut</t>
  </si>
  <si>
    <t>Census Tract 1806.01 New Haven County Connecticut</t>
  </si>
  <si>
    <t>Census Tract 1102.01 Fairfield County Connecticut</t>
  </si>
  <si>
    <t>Census Tract 729 Fairfield County Connecticut</t>
  </si>
  <si>
    <t>Census Tract 5412 Middlesex County Connecticut</t>
  </si>
  <si>
    <t>Census Tract 3604 Litchfield County Connecticut</t>
  </si>
  <si>
    <t>Census Tract 4602.02 Hartford County Connecticut</t>
  </si>
  <si>
    <t>Census Tract 1550 New Haven County Connecticut</t>
  </si>
  <si>
    <t>Census Tract 7141.04 New London County Connecticut</t>
  </si>
  <si>
    <t>Census Tract 5203.02 Hartford County Connecticut</t>
  </si>
  <si>
    <t>Census Tract 209 Fairfield County Connecticut</t>
  </si>
  <si>
    <t>Census Tract 5241 Hartford County Connecticut</t>
  </si>
  <si>
    <t>Census Tract 3451 New Haven County Connecticut</t>
  </si>
  <si>
    <t>Census Tract 1707 New Haven County Connecticut</t>
  </si>
  <si>
    <t>Census Tract 1842 New Haven County Connecticut</t>
  </si>
  <si>
    <t>Census Tract 3202 Litchfield County Connecticut</t>
  </si>
  <si>
    <t>Census Tract 1671 New Haven County Connecticut</t>
  </si>
  <si>
    <t>Census Tract 6102 Middlesex County Connecticut</t>
  </si>
  <si>
    <t>Census Tract 6201 Middlesex County Connecticut</t>
  </si>
  <si>
    <t>Census Tract 3492 Litchfield County Connecticut</t>
  </si>
  <si>
    <t>Census Tract 7081 New London County Connecticut</t>
  </si>
  <si>
    <t>Census Tract 723 Fairfield County Connecticut</t>
  </si>
  <si>
    <t>Census Tract 6952.01 New London County Connecticut</t>
  </si>
  <si>
    <t>Census Tract 725 Fairfield County Connecticut</t>
  </si>
  <si>
    <t>Census Tract 4772 Hartford County Connecticut</t>
  </si>
  <si>
    <t>Census Tract 9072 Windham County Connecticut</t>
  </si>
  <si>
    <t>Census Tract 1504 New Haven County Connecticut</t>
  </si>
  <si>
    <t>Census Tract 601 Fairfield County Connecticut</t>
  </si>
  <si>
    <t>Census Tract 4901 Hartford County Connecticut</t>
  </si>
  <si>
    <t>Census Tract 1410 New Haven County Connecticut</t>
  </si>
  <si>
    <t>Census Tract 3481.25 New Haven County Connecticut</t>
  </si>
  <si>
    <t>Census Tract 1001 Fairfield County Connecticut</t>
  </si>
  <si>
    <t>Census Tract 5413 Middlesex County Connecticut</t>
  </si>
  <si>
    <t>Census Tract 6501 New London County Connecticut</t>
  </si>
  <si>
    <t>Census Tract 1201 New Haven County Connecticut</t>
  </si>
  <si>
    <t>Census Tract 2611 Litchfield County Connecticut</t>
  </si>
  <si>
    <t>Census Tract 810 Fairfield County Connecticut</t>
  </si>
  <si>
    <t>Census Tract 5143 Hartford County Connecticut</t>
  </si>
  <si>
    <t>Census Tract 219 Fairfield County Connecticut</t>
  </si>
  <si>
    <t>Census Tract 5502.02 Middlesex County Connecticut</t>
  </si>
  <si>
    <t>Census Tract 5901 Middlesex County Connecticut</t>
  </si>
  <si>
    <t>Census Tract 8705.02 New London County Connecticut</t>
  </si>
  <si>
    <t>Census Tract 5501 Middlesex County Connecticut</t>
  </si>
  <si>
    <t>Census Tract 3453 New Haven County Connecticut</t>
  </si>
  <si>
    <t>Census Tract 3481.22 New Haven County Connecticut</t>
  </si>
  <si>
    <t>Census Tract 8401 Tolland County Connecticut</t>
  </si>
  <si>
    <t>Census Tract 1571 New Haven County Connecticut</t>
  </si>
  <si>
    <t>Census Tract 4924 Hartford County Connecticut</t>
  </si>
  <si>
    <t>Census Tract 1301.01 New Haven County Connecticut</t>
  </si>
  <si>
    <t>Census Tract 2451 Fairfield County Connecticut</t>
  </si>
  <si>
    <t>Census Tract 1541 New Haven County Connecticut</t>
  </si>
  <si>
    <t>Census Tract 4805 Hartford County Connecticut</t>
  </si>
  <si>
    <t>Census Tract 1422 New Haven County Connecticut</t>
  </si>
  <si>
    <t>Census Tract 9041 Windham County Connecticut</t>
  </si>
  <si>
    <t>Census Tract 7141.01 New London County Connecticut</t>
  </si>
  <si>
    <t>Census Tract 1903.02 New Haven County Connecticut</t>
  </si>
  <si>
    <t>Census Tract 1801 New Haven County Connecticut</t>
  </si>
  <si>
    <t>Census Tract 4971 Hartford County Connecticut</t>
  </si>
  <si>
    <t>Census Tract 4923 Hartford County Connecticut</t>
  </si>
  <si>
    <t>Census Tract 503 Fairfield County Connecticut</t>
  </si>
  <si>
    <t>Census Tract 5703 Middlesex County Connecticut</t>
  </si>
  <si>
    <t>Census Tract 1705 New Haven County Connecticut</t>
  </si>
  <si>
    <t>Census Tract 7111 New London County Connecticut</t>
  </si>
  <si>
    <t>Census Tract 1573 New Haven County Connecticut</t>
  </si>
  <si>
    <t>Census Tract 3527.02 New Haven County Connecticut</t>
  </si>
  <si>
    <t>Census Tract 607 Fairfield County Connecticut</t>
  </si>
  <si>
    <t>Census Tract 4968 Hartford County Connecticut</t>
  </si>
  <si>
    <t>Census Tract 4803 Hartford County Connecticut</t>
  </si>
  <si>
    <t>Census Tract 2303 Fairfield County Connecticut</t>
  </si>
  <si>
    <t>Census Tract 218.02 Fairfield County Connecticut</t>
  </si>
  <si>
    <t>Census Tract 104 Fairfield County Connecticut</t>
  </si>
  <si>
    <t>Census Tract 1428 New Haven County Connecticut</t>
  </si>
  <si>
    <t>Census Tract 2305.01 Fairfield County Connecticut</t>
  </si>
  <si>
    <t>Census Tract 3601 Litchfield County Connecticut</t>
  </si>
  <si>
    <t>Census Tract 4875 Hartford County Connecticut</t>
  </si>
  <si>
    <t>Census Tract 5291 Tolland County Connecticut</t>
  </si>
  <si>
    <t>Census Tract 1658.01 New Haven County Connecticut</t>
  </si>
  <si>
    <t>Census Tract 3421 Litchfield County Connecticut</t>
  </si>
  <si>
    <t>Census Tract 8705.01 New London County Connecticut</t>
  </si>
  <si>
    <t>Census Tract 432 Fairfield County Connecticut</t>
  </si>
  <si>
    <t>Census Tract 4051 Hartford County Connecticut</t>
  </si>
  <si>
    <t>Census Tract 2302 Fairfield County Connecticut</t>
  </si>
  <si>
    <t>Census Tract 2454 Fairfield County Connecticut</t>
  </si>
  <si>
    <t>Census Tract 1549 New Haven County Connecticut</t>
  </si>
  <si>
    <t>Census Tract 2534 Litchfield County Connecticut</t>
  </si>
  <si>
    <t>Census Tract 444 Fairfield County Connecticut</t>
  </si>
  <si>
    <t>Census Tract 907 Fairfield County Connecticut</t>
  </si>
  <si>
    <t>Census Tract 8150 Windham County Connecticut</t>
  </si>
  <si>
    <t>Census Tract 9051 Windham County Connecticut</t>
  </si>
  <si>
    <t>Census Tract 802 Fairfield County Connecticut</t>
  </si>
  <si>
    <t>Census Tract 4301 Hartford County Connecticut</t>
  </si>
  <si>
    <t>Census Tract 2533 Litchfield County Connecticut</t>
  </si>
  <si>
    <t>Census Tract 1660.01 New Haven County Connecticut</t>
  </si>
  <si>
    <t>Census Tract 4731 Hartford County Connecticut</t>
  </si>
  <si>
    <t>Census Tract 5145 Hartford County Connecticut</t>
  </si>
  <si>
    <t>Census Tract 431 Fairfield County Connecticut</t>
  </si>
  <si>
    <t>Census Tract 1672.02 New Haven County Connecticut</t>
  </si>
  <si>
    <t>Census Tract 437 Fairfield County Connecticut</t>
  </si>
  <si>
    <t>Census Tract 3509 New Haven County Connecticut</t>
  </si>
  <si>
    <t>Census Tract 5306 Tolland County Connecticut</t>
  </si>
  <si>
    <t>Census Tract 1502 New Haven County Connecticut</t>
  </si>
  <si>
    <t>Census Tract 4736.02 Hartford County Connecticut</t>
  </si>
  <si>
    <t>Census Tract 5109 Hartford County Connecticut</t>
  </si>
  <si>
    <t>Census Tract 813 Fairfield County Connecticut</t>
  </si>
  <si>
    <t>Census Tract 7028 New London County Connecticut</t>
  </si>
  <si>
    <t>Census Tract 2305.02 Fairfield County Connecticut</t>
  </si>
  <si>
    <t>Census Tract 1301.02 New Haven County Connecticut</t>
  </si>
  <si>
    <t>Census Tract 4713 Hartford County Connecticut</t>
  </si>
  <si>
    <t>Census Tract 4058 Hartford County Connecticut</t>
  </si>
  <si>
    <t>Census Tract 3611 New Haven County Connecticut</t>
  </si>
  <si>
    <t>Census Tract 352 Fairfield County Connecticut</t>
  </si>
  <si>
    <t>Census Tract 806 Fairfield County Connecticut</t>
  </si>
  <si>
    <t>Census Tract 1942.02 New Haven County Connecticut</t>
  </si>
  <si>
    <t>Census Tract 2202 Fairfield County Connecticut</t>
  </si>
  <si>
    <t>Census Tract 5305 Tolland County Connecticut</t>
  </si>
  <si>
    <t>Census Tract 4737 Hartford County Connecticut</t>
  </si>
  <si>
    <t>Census Tract 441 Fairfield County Connecticut</t>
  </si>
  <si>
    <t>Census Tract 4804 Hartford County Connecticut</t>
  </si>
  <si>
    <t>Census Tract 1847 New Haven County Connecticut</t>
  </si>
  <si>
    <t>Census Tract 5110 Hartford County Connecticut</t>
  </si>
  <si>
    <t>Census Tract 801 Fairfield County Connecticut</t>
  </si>
  <si>
    <t>Census Tract 605 Fairfield County Connecticut</t>
  </si>
  <si>
    <t>Census Tract 9071 Windham County Connecticut</t>
  </si>
  <si>
    <t>Census Tract 1503 New Haven County Connecticut</t>
  </si>
  <si>
    <t>Census Tract 3005 Litchfield County Connecticut</t>
  </si>
  <si>
    <t>Census Tract 303 Fairfield County Connecticut</t>
  </si>
  <si>
    <t>Census Tract 7051.01 New London County Connecticut</t>
  </si>
  <si>
    <t>Census Tract 2053 Fairfield County Connecticut</t>
  </si>
  <si>
    <t>Census Tract 4946 Hartford County Connecticut</t>
  </si>
  <si>
    <t>Census Tract 4641.02 Hartford County Connecticut</t>
  </si>
  <si>
    <t>Census Tract 502 Fairfield County Connecticut</t>
  </si>
  <si>
    <t>Census Tract 4811 Hartford County Connecticut</t>
  </si>
  <si>
    <t>Census Tract 1426.04 New Haven County Connecticut</t>
  </si>
  <si>
    <t>Census Tract 3602 Litchfield County Connecticut</t>
  </si>
  <si>
    <t>Census Tract 807 Fairfield County Connecticut</t>
  </si>
  <si>
    <t>Census Tract 5414.01 Middlesex County Connecticut</t>
  </si>
  <si>
    <t>Census Tract 108 Fairfield County Connecticut</t>
  </si>
  <si>
    <t>Census Tract 1104 Fairfield County Connecticut</t>
  </si>
  <si>
    <t>Census Tract 4204 Hartford County Connecticut</t>
  </si>
  <si>
    <t>Census Tract 2571 Fairfield County Connecticut</t>
  </si>
  <si>
    <t>Census Tract 1103.01 Fairfield County Connecticut</t>
  </si>
  <si>
    <t>Census Tract 6702 Middlesex County Connecticut</t>
  </si>
  <si>
    <t>Census Tract 101.02 Fairfield County Connecticut</t>
  </si>
  <si>
    <t>Census Tract 438 Fairfield County Connecticut</t>
  </si>
  <si>
    <t>Census Tract 3621.02 Litchfield County Connecticut</t>
  </si>
  <si>
    <t>Census Tract 7023 New London County Connecticut</t>
  </si>
  <si>
    <t>Census Tract 611 Fairfield County Connecticut</t>
  </si>
  <si>
    <t>Census Tract 3621.01 Litchfield County Connecticut</t>
  </si>
  <si>
    <t>Census Tract 5951.01 Middlesex County Connecticut</t>
  </si>
  <si>
    <t>Census Tract 2108 Fairfield County Connecticut</t>
  </si>
  <si>
    <t>Census Tract 6001 Middlesex County Connecticut</t>
  </si>
  <si>
    <t>Census Tract 6701 Middlesex County Connecticut</t>
  </si>
  <si>
    <t>Census Tract 1657 New Haven County Connecticut</t>
  </si>
  <si>
    <t>Census Tract 5141.02 Hartford County Connecticut</t>
  </si>
  <si>
    <t>Census Tract 111 Fairfield County Connecticut</t>
  </si>
  <si>
    <t>Census Tract 4602.04 Hartford County Connecticut</t>
  </si>
  <si>
    <t>Census Tract 7001 New London County Connecticut</t>
  </si>
  <si>
    <t>Census Tract 5247 Hartford County Connecticut</t>
  </si>
  <si>
    <t>Census Tract 1611 New Haven County Connecticut</t>
  </si>
  <si>
    <t>Census Tract 505 Fairfield County Connecticut</t>
  </si>
  <si>
    <t>Census Tract 4711 Hartford County Connecticut</t>
  </si>
  <si>
    <t>Census Tract 4962 Hartford County Connecticut</t>
  </si>
  <si>
    <t>Census Tract 1102.02 Fairfield County Connecticut</t>
  </si>
  <si>
    <t>Census Tract 203 Fairfield County Connecticut</t>
  </si>
  <si>
    <t>Census Tract 3442 New Haven County Connecticut</t>
  </si>
  <si>
    <t>Census Tract 4302.02 Hartford County Connecticut</t>
  </si>
  <si>
    <t>Census Tract 727 Fairfield County Connecticut</t>
  </si>
  <si>
    <t>Census Tract 5422 Middlesex County Connecticut</t>
  </si>
  <si>
    <t>Census Tract 7071 New London County Connecticut</t>
  </si>
  <si>
    <t>Census Tract 1103.02 Fairfield County Connecticut</t>
  </si>
  <si>
    <t>Census Tract 4664 Hartford County Connecticut</t>
  </si>
  <si>
    <t>Census Tract 2455 Fairfield County Connecticut</t>
  </si>
  <si>
    <t>Census Tract 1806.02 New Haven County Connecticut</t>
  </si>
  <si>
    <t>Census Tract 2661 Litchfield County Connecticut</t>
  </si>
  <si>
    <t>Census Tract 3519 New Haven County Connecticut</t>
  </si>
  <si>
    <t>Census Tract 3031 Litchfield County Connecticut</t>
  </si>
  <si>
    <t>Census Tract 6104 Middlesex County Connecticut</t>
  </si>
  <si>
    <t>Census Tract 351 Fairfield County Connecticut</t>
  </si>
  <si>
    <t>Census Tract 1508 New Haven County Connecticut</t>
  </si>
  <si>
    <t>Census Tract 2104 Fairfield County Connecticut</t>
  </si>
  <si>
    <t>Census Tract 7161.01 New London County Connecticut</t>
  </si>
  <si>
    <t>Census Tract 210 Fairfield County Connecticut</t>
  </si>
  <si>
    <t>Census Tract 2001 Fairfield County Connecticut</t>
  </si>
  <si>
    <t>Census Tract 454 Fairfield County Connecticut</t>
  </si>
  <si>
    <t>Census Tract 3452.01 New Haven County Connecticut</t>
  </si>
  <si>
    <t>Census Tract 207 Fairfield County Connecticut</t>
  </si>
  <si>
    <t>Census Tract 1845 New Haven County Connecticut</t>
  </si>
  <si>
    <t>Census Tract 353 Fairfield County Connecticut</t>
  </si>
  <si>
    <t>Census Tract 434 Fairfield County Connecticut</t>
  </si>
  <si>
    <t>Census Tract 3520 New Haven County Connecticut</t>
  </si>
  <si>
    <t>Census Tract 5502.01 Middlesex County Connecticut</t>
  </si>
  <si>
    <t>Census Tract 2456 Fairfield County Connecticut</t>
  </si>
  <si>
    <t>Census Tract 1651 New Haven County Connecticut</t>
  </si>
  <si>
    <t>Census Tract 354 Fairfield County Connecticut</t>
  </si>
  <si>
    <t>Census Tract 1574 New Haven County Connecticut</t>
  </si>
  <si>
    <t>Census Tract 1861 New Haven County Connecticut</t>
  </si>
  <si>
    <t>Census Tract 9081 Windham County Connecticut</t>
  </si>
  <si>
    <t>Census Tract 2651 Litchfield County Connecticut</t>
  </si>
  <si>
    <t>Census Tract 4715 Hartford County Connecticut</t>
  </si>
  <si>
    <t>Census Tract 3481.23 New Haven County Connecticut</t>
  </si>
  <si>
    <t>Census Tract 610 Fairfield County Connecticut</t>
  </si>
  <si>
    <t>Census Tract 603 Fairfield County Connecticut</t>
  </si>
  <si>
    <t>Census Tract 1510 New Haven County Connecticut</t>
  </si>
  <si>
    <t>Census Tract 4738 Hartford County Connecticut</t>
  </si>
  <si>
    <t>Census Tract 4943 Hartford County Connecticut</t>
  </si>
  <si>
    <t>Census Tract 6401 Middlesex County Connecticut</t>
  </si>
  <si>
    <t>Census Tract 7026 New London County Connecticut</t>
  </si>
  <si>
    <t>Census Tract 6801 Middlesex County Connecticut</t>
  </si>
  <si>
    <t>Census Tract 608 Fairfield County Connecticut</t>
  </si>
  <si>
    <t>Census Tract 4602.03 Hartford County Connecticut</t>
  </si>
  <si>
    <t>Census Tract 4254 Litchfield County Connecticut</t>
  </si>
  <si>
    <t>Census Tract 616 Fairfield County Connecticut</t>
  </si>
  <si>
    <t>Census Tract 220 Fairfield County Connecticut</t>
  </si>
  <si>
    <t>Census Tract 301 Fairfield County Connecticut</t>
  </si>
  <si>
    <t>Census Tract 1941 New Haven County Connecticut</t>
  </si>
  <si>
    <t>Census Tract 2051 Fairfield County Connecticut</t>
  </si>
  <si>
    <t>Census Tract 223 Fairfield County Connecticut</t>
  </si>
  <si>
    <t>Census Tract 113 Fairfield County Connecticut</t>
  </si>
  <si>
    <t>Census Tract 3491 Litchfield County Connecticut</t>
  </si>
  <si>
    <t>Census Tract 4975 Hartford County Connecticut</t>
  </si>
  <si>
    <t>Census Tract 1805 New Haven County Connecticut</t>
  </si>
  <si>
    <t>Census Tract 4306.02 Hartford County Connecticut</t>
  </si>
  <si>
    <t>Census Tract 8811 Tolland County Connecticut</t>
  </si>
  <si>
    <t>Census Tract 5114 Hartford County Connecticut</t>
  </si>
  <si>
    <t>Census Tract 1844 New Haven County Connecticut</t>
  </si>
  <si>
    <t>Census Tract 435 Fairfield County Connecticut</t>
  </si>
  <si>
    <t>Census Tract 2114 Fairfield County Connecticut</t>
  </si>
  <si>
    <t>Census Tract 1903.03 New Haven County Connecticut</t>
  </si>
  <si>
    <t>Census Tract 612 Fairfield County Connecticut</t>
  </si>
  <si>
    <t>Census Tract 6103 Middlesex County Connecticut</t>
  </si>
  <si>
    <t>Census Tract 1804 New Haven County Connecticut</t>
  </si>
  <si>
    <t>Census Tract 812 Fairfield County Connecticut</t>
  </si>
  <si>
    <t>Census Tract 4054.01 Hartford County Connecticut</t>
  </si>
  <si>
    <t>Census Tract 2203 Fairfield County Connecticut</t>
  </si>
  <si>
    <t>Census Tract 615 Fairfield County Connecticut</t>
  </si>
  <si>
    <t>Census Tract 805 Fairfield County Connecticut</t>
  </si>
  <si>
    <t>Census Tract 3106.01 Litchfield County Connecticut</t>
  </si>
  <si>
    <t>Census Tract 2109 Fairfield County Connecticut</t>
  </si>
  <si>
    <t>Census Tract 433 Fairfield County Connecticut</t>
  </si>
  <si>
    <t>Census Tract 4925 Hartford County Connecticut</t>
  </si>
  <si>
    <t>Census Tract 1419 New Haven County Connecticut</t>
  </si>
  <si>
    <t>Census Tract 4873 Hartford County Connecticut</t>
  </si>
  <si>
    <t>Census Tract 1251 New Haven County Connecticut</t>
  </si>
  <si>
    <t>Census Tract 1302 New Haven County Connecticut</t>
  </si>
  <si>
    <t>Census Tract 2535 Litchfield County Connecticut</t>
  </si>
  <si>
    <t>Census Tract 212 Fairfield County Connecticut</t>
  </si>
  <si>
    <t>Census Tract 1512 New Haven County Connecticut</t>
  </si>
  <si>
    <t>Census Tract 1862 New Haven County Connecticut</t>
  </si>
  <si>
    <t>Census Tract 3472 New Haven County Connecticut</t>
  </si>
  <si>
    <t>Census Tract 3411 New Haven County Connecticut</t>
  </si>
  <si>
    <t>Census Tract 1902 New Haven County Connecticut</t>
  </si>
  <si>
    <t>Census Tract 211 Fairfield County Connecticut</t>
  </si>
  <si>
    <t>Census Tract 216 Fairfield County Connecticut</t>
  </si>
  <si>
    <t>Census Tract 3461.02 New Haven County Connecticut</t>
  </si>
  <si>
    <t>Census Tract 2301 Fairfield County Connecticut</t>
  </si>
  <si>
    <t>Census Tract 2401 Fairfield County Connecticut</t>
  </si>
  <si>
    <t>Census Tract 217 Fairfield County Connecticut</t>
  </si>
  <si>
    <t>Census Tract 904 Fairfield County Connecticut</t>
  </si>
  <si>
    <t>Census Tract 2003.01 Fairfield County Connecticut</t>
  </si>
  <si>
    <t>Census Tract 1547 New Haven County Connecticut</t>
  </si>
  <si>
    <t>Census Tract 1411 New Haven County Connecticut</t>
  </si>
  <si>
    <t>Census Tract 811 Fairfield County Connecticut</t>
  </si>
  <si>
    <t>Census Tract 1052 Fairfield County Connecticut</t>
  </si>
  <si>
    <t>Census Tract 1672.01 New Haven County Connecticut</t>
  </si>
  <si>
    <t>Census Tract 1548 New Haven County Connecticut</t>
  </si>
  <si>
    <t>Census Tract 1942.01 New Haven County Connecticut</t>
  </si>
  <si>
    <t>Census Tract 453 Fairfield County Connecticut</t>
  </si>
  <si>
    <t>Census Tract 427 Fairfield County Connecticut</t>
  </si>
  <si>
    <t>Census Tract 439 Fairfield County Connecticut</t>
  </si>
  <si>
    <t>Census Tract 436 Fairfield County Connecticut</t>
  </si>
  <si>
    <t>Census Tract 2304 Fairfield County Connecticut</t>
  </si>
  <si>
    <t>Census Tract 2110 Fairfield County Connecticut</t>
  </si>
  <si>
    <t>Census Tract 206 Fairfield County Connecticut</t>
  </si>
  <si>
    <t>Census Tract 1505 New Haven County Connecticut</t>
  </si>
  <si>
    <t>Census Tract 426 Fairfield County Connecticut</t>
  </si>
  <si>
    <t>Census Tract 1511 New Haven County Connecticut</t>
  </si>
  <si>
    <t>Census Tract 1572 New Haven County Connecticut</t>
  </si>
  <si>
    <t>Census Tract 2532 Litchfield County Connecticut</t>
  </si>
  <si>
    <t>Census Tract 218.01 Fairfield County Connecticut</t>
  </si>
  <si>
    <t>Census Tract 809 Fairfield County Connecticut</t>
  </si>
  <si>
    <t>Census Tract 808 Fairfield County Connecticut</t>
  </si>
  <si>
    <t>Census Tract 1051 Fairfield County Connecticut</t>
  </si>
  <si>
    <t>Census Tract 2105 Fairfield County Connecticut</t>
  </si>
  <si>
    <t>Census Tract 613 Fairfield County Connecticut</t>
  </si>
  <si>
    <t>Census Tract 901 Fairfield County Connecticut</t>
  </si>
  <si>
    <t>Census Tract 101.01 Fairfield County Connecticut</t>
  </si>
  <si>
    <t>Census Tract 614 Fairfield County Connecticut</t>
  </si>
  <si>
    <t>Census Tract 903 Fairfield County Connecticut</t>
  </si>
  <si>
    <t>Census Tract 730 Fairfield County Connecticut</t>
  </si>
  <si>
    <t>Census Tract 105 Fairfield County Connecticut</t>
  </si>
  <si>
    <t>Census Tract 905 Fairfield County Connecticut</t>
  </si>
  <si>
    <t>Census Tract 2003.02 Fairfield County Connecticut</t>
  </si>
  <si>
    <t>Census Tract 430 Fairfield County Connecticut</t>
  </si>
  <si>
    <t>Census Tract 222 Fairfield County Connecticut</t>
  </si>
  <si>
    <t>Census Tract 2201 Fairfield County Connecticut</t>
  </si>
  <si>
    <t>Census Tract 452 Fairfield County Connecticut</t>
  </si>
  <si>
    <t>Census Tract 2113 Fairfield County Connecticut</t>
  </si>
  <si>
    <t>Census Tract 451.01 Fairfield County Connecticut</t>
  </si>
  <si>
    <t>Census Tract 2052 Fairfield County Connecticut</t>
  </si>
  <si>
    <t>Census Tract 602 Fairfield County Connecticut</t>
  </si>
  <si>
    <t>Census Tract 609 Fairfield County Connecticut</t>
  </si>
  <si>
    <t>Census Tract 425 Fairfield County Connecticut</t>
  </si>
  <si>
    <t>Census Tract 443 Fairfield County Connecticut</t>
  </si>
  <si>
    <t>Census Tract 1658.02 New Haven County Connecticut</t>
  </si>
  <si>
    <t>Census Tract 1003 Fairfield County Connecticut</t>
  </si>
  <si>
    <t>Census Tract 204 Fairfield County Connecticut</t>
  </si>
  <si>
    <t>Census Tract 451.02 Fairfield County Connecticut</t>
  </si>
  <si>
    <t>Census Tract 551 Fairfield County Connecticut</t>
  </si>
  <si>
    <t>Census Tract 305 Fairfield County Connecticut</t>
  </si>
  <si>
    <t>Census Tract 1659 New Haven County Connecticut</t>
  </si>
  <si>
    <t>Census Tract 906 Fairfield County Connecticut</t>
  </si>
  <si>
    <t>Census Tract 213 Fairfield County Connecticut</t>
  </si>
  <si>
    <t>Census Tract 428 Fairfield County Connecticut</t>
  </si>
  <si>
    <t>Census Tract 224 Fairfield County Connecticut</t>
  </si>
  <si>
    <t>Census Tract 2402 Fairfield County Connecticut</t>
  </si>
  <si>
    <t>Census Tract 1002 Fairfield County Connecticut</t>
  </si>
  <si>
    <t>Census Tract 429 Fairfield County Connecticut</t>
  </si>
  <si>
    <t>Census Tract 902 Fairfield County Connecticut</t>
  </si>
  <si>
    <t>Census Tract 304 Fairfield County Connecticut</t>
  </si>
  <si>
    <t>Census Tract 2111 Fairfield County Connecticut</t>
  </si>
  <si>
    <t>Census Tract 4173 Hartford County Connecticut</t>
  </si>
  <si>
    <t>Census Tract 5007 Hartford County Connecticut</t>
  </si>
  <si>
    <t>Census Tract 5381 Tolland County Connecticut</t>
  </si>
  <si>
    <t>Census Tract 9800 Hartford County Connecticut</t>
  </si>
  <si>
    <t>Census Tract 9800 New London County Connecticut</t>
  </si>
  <si>
    <t>Census Tract 9900 Fairfield County Connecticut</t>
  </si>
  <si>
    <t>Census Tract 9900 New Haven County Connecticut</t>
  </si>
  <si>
    <t>Census Tract 9901 Middlesex County Connecticut</t>
  </si>
  <si>
    <t>Census Tract 9901 New London County Connecticut</t>
  </si>
  <si>
    <t>Adjusted income in thousands of dollars</t>
  </si>
  <si>
    <t>Percentile Rank</t>
  </si>
  <si>
    <t>Data from B</t>
  </si>
  <si>
    <t>Percentile Rank, With Function</t>
  </si>
  <si>
    <t>Median household income in the past 12 months (in 2019 inflation-adjusted dollars)</t>
  </si>
  <si>
    <t>Median Household Income Adjusted for Household Size</t>
  </si>
  <si>
    <t>Income Percentile Rank</t>
  </si>
  <si>
    <t>Reverse Income Percentile</t>
  </si>
  <si>
    <t>Reverse Income Rank</t>
  </si>
  <si>
    <t>Median Housing Cost, Census</t>
  </si>
  <si>
    <t>Housing Cost Rank</t>
  </si>
  <si>
    <t>Column B&amp;C are from the Census Website</t>
  </si>
  <si>
    <t>Column E is calculated with the formula (Household income/(Avg HH size^0.5))</t>
  </si>
  <si>
    <t>Column F is calculated with the RANK.EQ function</t>
  </si>
  <si>
    <t>(additional processing required; open file, copy data, transpose to rearrange)</t>
  </si>
  <si>
    <t>-</t>
  </si>
  <si>
    <t>%</t>
  </si>
  <si>
    <t>2. CLM $ Collected equals the Conservation Adjustment Mechanism (CAM) Charge.</t>
  </si>
  <si>
    <t xml:space="preserve">3. Incentives include all residential incentives and is not just inclusive of HES and HES-IE.   </t>
  </si>
  <si>
    <t>East  Haven</t>
  </si>
  <si>
    <t>UNKNOWN</t>
  </si>
  <si>
    <t>NCP</t>
  </si>
  <si>
    <t>Eversource CT 2021</t>
  </si>
  <si>
    <t>UI 2021</t>
  </si>
  <si>
    <t>CLM Collections represent the Conservation Adjustment Mechanism (CAM) charge on customer bills.</t>
  </si>
  <si>
    <t>NO</t>
  </si>
  <si>
    <t>YES</t>
  </si>
  <si>
    <t>East Haven</t>
  </si>
  <si>
    <t>RNC</t>
  </si>
  <si>
    <t>UPSTREAM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</si>
</sst>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0.000"/>
    <numFmt numFmtId="165" formatCode="_(&quot;$&quot;* #,##0_);_(&quot;$&quot;* \(#,##0\);_(&quot;$&quot;* &quot;-&quot;??_);_(@_)"/>
    <numFmt numFmtId="166" formatCode="0.000%"/>
    <numFmt numFmtId="167" formatCode="&quot;$&quot;#,##0.00"/>
    <numFmt numFmtId="169" formatCode="&quot;$&quot;#,##0"/>
    <numFmt numFmtId="170" formatCode="00000000000"/>
    <numFmt numFmtId="171" formatCode="0.0%"/>
  </numFmts>
  <fonts count="34" x14ac:knownFonts="1">
    <font>
      <sz val="11"/>
      <color theme="1"/>
      <name val="Calibri"/>
      <family val="2"/>
      <scheme val="minor"/>
    </font>
    <font>
      <sz val="11"/>
      <color theme="1"/>
      <name val="Calibri"/>
      <family val="2"/>
      <scheme val="minor"/>
    </font>
    <font>
      <b/>
      <sz val="16"/>
      <name val="Calibri"/>
      <family val="2"/>
    </font>
    <font>
      <b/>
      <sz val="11"/>
      <name val="Calibri"/>
      <family val="2"/>
    </font>
    <font>
      <b/>
      <sz val="11"/>
      <color theme="1"/>
      <name val="Calibri"/>
      <family val="2"/>
      <scheme val="minor"/>
    </font>
    <font>
      <b/>
      <sz val="14"/>
      <color rgb="FF333333"/>
      <name val="Roboto"/>
    </font>
    <font>
      <sz val="12"/>
      <color rgb="FF0A0101"/>
      <name val="Arial"/>
      <family val="2"/>
    </font>
    <font>
      <b/>
      <sz val="11"/>
      <color rgb="FF333333"/>
      <name val="Calibri"/>
      <family val="2"/>
      <scheme val="minor"/>
    </font>
    <font>
      <sz val="11"/>
      <color theme="1"/>
      <name val="Calibri"/>
      <family val="2"/>
      <scheme val="minor"/>
    </font>
    <font>
      <sz val="10"/>
      <color theme="1"/>
      <name val="Calibri"/>
      <family val="2"/>
      <scheme val="minor"/>
    </font>
    <font>
      <b/>
      <sz val="10"/>
      <color theme="1"/>
      <name val="Calibri"/>
      <family val="2"/>
    </font>
    <font>
      <sz val="10"/>
      <color theme="1"/>
      <name val="Calibri"/>
      <family val="2"/>
    </font>
    <font>
      <sz val="9"/>
      <color rgb="FF000000"/>
      <name val="Arial"/>
      <family val="2"/>
    </font>
    <font>
      <sz val="11"/>
      <name val="Calibri"/>
      <family val="2"/>
      <scheme val="minor"/>
    </font>
    <font>
      <sz val="11"/>
      <color rgb="FF000000"/>
      <name val="Calibri"/>
      <family val="2"/>
    </font>
    <font>
      <b/>
      <sz val="12"/>
      <name val="Calibri"/>
      <family val="2"/>
      <scheme val="minor"/>
    </font>
    <font>
      <b/>
      <sz val="11"/>
      <name val="Calibri"/>
      <family val="2"/>
      <scheme val="minor"/>
    </font>
    <font>
      <b/>
      <sz val="12"/>
      <color theme="1"/>
      <name val="Calibri"/>
      <family val="2"/>
    </font>
    <font>
      <b/>
      <vertAlign val="superscript"/>
      <sz val="12"/>
      <color theme="1"/>
      <name val="Calibri"/>
      <family val="2"/>
    </font>
    <font>
      <sz val="11"/>
      <color theme="1"/>
      <name val="Calibri"/>
      <family val="2"/>
    </font>
    <font>
      <b/>
      <sz val="12"/>
      <color rgb="FF000000"/>
      <name val="Calibri"/>
      <family val="2"/>
    </font>
    <font>
      <b/>
      <sz val="14"/>
      <color theme="1"/>
      <name val="Calibri"/>
      <family val="2"/>
      <scheme val="minor"/>
    </font>
    <font>
      <sz val="10"/>
      <color theme="1"/>
      <name val="Arial"/>
      <family val="2"/>
    </font>
    <font>
      <b/>
      <u/>
      <sz val="11"/>
      <color theme="1"/>
      <name val="Calibri"/>
      <family val="2"/>
      <scheme val="minor"/>
    </font>
    <font>
      <b/>
      <sz val="12"/>
      <name val="Calibri"/>
      <family val="2"/>
      <scheme val="minor"/>
    </font>
    <font>
      <sz val="16"/>
      <color theme="1"/>
      <name val="Calibri"/>
      <family val="2"/>
      <scheme val="minor"/>
    </font>
    <font>
      <u/>
      <sz val="11"/>
      <color theme="10"/>
      <name val="Calibri"/>
      <family val="2"/>
      <scheme val="minor"/>
    </font>
    <font>
      <sz val="11"/>
      <color rgb="FF000000"/>
      <name val="Calibri"/>
      <family val="2"/>
      <scheme val="minor"/>
    </font>
    <font>
      <sz val="12"/>
      <color rgb="FF000000"/>
      <name val="Arial"/>
      <family val="2"/>
    </font>
    <font>
      <b/>
      <sz val="12"/>
      <color rgb="FF000000"/>
      <name val="Arial"/>
      <family val="2"/>
    </font>
    <font>
      <b/>
      <sz val="11"/>
      <color rgb="FF000000"/>
      <name val="Calibri"/>
      <family val="2"/>
      <scheme val="minor"/>
    </font>
    <font>
      <sz val="11"/>
      <color rgb="FF000000"/>
      <name val="Calibri"/>
      <family val="2"/>
    </font>
    <font>
      <sz val="11"/>
      <color theme="1"/>
      <name val="Calibri"/>
      <family val="2"/>
      <scheme val="minor"/>
    </font>
    <font>
      <sz val="8"/>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bgColor rgb="FF000000"/>
      </patternFill>
    </fill>
    <fill>
      <patternFill patternType="solid">
        <fgColor rgb="FFF2DCDC"/>
        <bgColor indexed="64"/>
      </patternFill>
    </fill>
    <fill>
      <patternFill patternType="solid">
        <fgColor rgb="FFFFFDCD"/>
        <bgColor indexed="64"/>
      </patternFill>
    </fill>
    <fill>
      <patternFill patternType="solid">
        <fgColor theme="6" tint="0.79998168889431442"/>
        <bgColor indexed="64"/>
      </patternFill>
    </fill>
    <fill>
      <patternFill patternType="solid">
        <fgColor rgb="FFDCE6F1"/>
        <bgColor rgb="FFDCE6F1"/>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249977111117893"/>
        <bgColor rgb="FF000000"/>
      </patternFill>
    </fill>
  </fills>
  <borders count="45">
    <border>
      <left/>
      <right/>
      <top/>
      <bottom/>
      <diagonal/>
    </border>
    <border>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right/>
      <top style="thin">
        <color rgb="FF95B3D7"/>
      </top>
      <bottom/>
      <diagonal/>
    </border>
    <border>
      <left/>
      <right/>
      <top/>
      <bottom style="thin">
        <color rgb="FF95B3D7"/>
      </bottom>
      <diagonal/>
    </border>
    <border>
      <left/>
      <right/>
      <top style="thin">
        <color indexed="64"/>
      </top>
      <bottom style="thin">
        <color theme="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rgb="FFD0D7E5"/>
      </left>
      <right style="thin">
        <color rgb="FFD0D7E5"/>
      </right>
      <top style="thin">
        <color rgb="FFD0D7E5"/>
      </top>
      <bottom style="thin">
        <color rgb="FFD0D7E5"/>
      </bottom>
      <diagonal/>
    </border>
    <border>
      <left/>
      <right style="medium">
        <color indexed="64"/>
      </right>
      <top style="thin">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thin">
        <color indexed="64"/>
      </left>
      <right/>
      <top/>
      <bottom/>
      <diagonal/>
    </border>
    <border>
      <left/>
      <right style="thin">
        <color indexed="64"/>
      </right>
      <top/>
      <bottom/>
      <diagonal/>
    </border>
  </borders>
  <cellStyleXfs count="5">
    <xf numFmtId="0" fontId="0" fillId="0" borderId="0"/>
    <xf numFmtId="44" fontId="8" fillId="0" borderId="0" applyFont="0" applyFill="0" applyBorder="0" applyAlignment="0" applyProtection="0"/>
    <xf numFmtId="9" fontId="8" fillId="0" borderId="0" applyFont="0" applyFill="0" applyBorder="0" applyAlignment="0" applyProtection="0"/>
    <xf numFmtId="0" fontId="22" fillId="0" borderId="0"/>
    <xf numFmtId="0" fontId="26" fillId="0" borderId="0" applyNumberFormat="0" applyFill="0" applyBorder="0" applyAlignment="0" applyProtection="0"/>
  </cellStyleXfs>
  <cellXfs count="353">
    <xf numFmtId="0" fontId="0" fillId="0" borderId="0" xfId="0"/>
    <xf numFmtId="0" fontId="0" fillId="0" borderId="0" xfId="0" applyAlignment="1">
      <alignment vertical="top" wrapText="1"/>
    </xf>
    <xf numFmtId="0" fontId="0" fillId="0" borderId="1" xfId="0" applyBorder="1"/>
    <xf numFmtId="0" fontId="3" fillId="0" borderId="0" xfId="0" applyFont="1" applyAlignment="1">
      <alignment vertical="top" wrapText="1"/>
    </xf>
    <xf numFmtId="0" fontId="0" fillId="0" borderId="0" xfId="0" applyAlignment="1">
      <alignment wrapText="1"/>
    </xf>
    <xf numFmtId="0" fontId="0" fillId="0" borderId="0" xfId="0" applyAlignment="1">
      <alignment horizontal="center" vertical="center"/>
    </xf>
    <xf numFmtId="0" fontId="5" fillId="0" borderId="0" xfId="0" applyFont="1" applyAlignment="1">
      <alignment vertical="center"/>
    </xf>
    <xf numFmtId="164" fontId="0" fillId="0" borderId="0" xfId="0" applyNumberFormat="1"/>
    <xf numFmtId="164" fontId="6" fillId="0" borderId="0" xfId="0" applyNumberFormat="1" applyFont="1"/>
    <xf numFmtId="0" fontId="7" fillId="0" borderId="0" xfId="0" applyFont="1" applyAlignment="1">
      <alignment vertical="center"/>
    </xf>
    <xf numFmtId="0" fontId="4" fillId="0" borderId="0" xfId="0" applyFont="1"/>
    <xf numFmtId="164" fontId="0" fillId="0" borderId="0" xfId="0" applyNumberFormat="1" applyAlignment="1">
      <alignment horizontal="center" vertical="center"/>
    </xf>
    <xf numFmtId="0" fontId="0" fillId="2" borderId="0" xfId="0" applyFill="1"/>
    <xf numFmtId="3" fontId="0" fillId="0" borderId="0" xfId="0" applyNumberFormat="1"/>
    <xf numFmtId="0" fontId="4" fillId="2" borderId="2" xfId="0" applyFont="1" applyFill="1" applyBorder="1" applyAlignment="1">
      <alignment horizontal="left"/>
    </xf>
    <xf numFmtId="165" fontId="11" fillId="0" borderId="6"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165" fontId="11" fillId="0" borderId="4" xfId="1" applyNumberFormat="1" applyFont="1" applyFill="1" applyBorder="1" applyAlignment="1">
      <alignment horizontal="center" vertical="center"/>
    </xf>
    <xf numFmtId="165" fontId="11" fillId="0" borderId="5" xfId="1" applyNumberFormat="1" applyFont="1" applyFill="1" applyBorder="1" applyAlignment="1">
      <alignment horizontal="center" vertical="center"/>
    </xf>
    <xf numFmtId="0" fontId="0" fillId="0" borderId="2" xfId="0" applyBorder="1" applyAlignment="1">
      <alignment horizontal="right"/>
    </xf>
    <xf numFmtId="9" fontId="0" fillId="0" borderId="0" xfId="0" applyNumberFormat="1"/>
    <xf numFmtId="0" fontId="13" fillId="0" borderId="0" xfId="0" applyFont="1"/>
    <xf numFmtId="0" fontId="14" fillId="0" borderId="0" xfId="0" applyFont="1"/>
    <xf numFmtId="0" fontId="14" fillId="0" borderId="0" xfId="0" applyFont="1" applyAlignment="1">
      <alignment horizontal="center"/>
    </xf>
    <xf numFmtId="165" fontId="14" fillId="0" borderId="0" xfId="1" applyNumberFormat="1" applyFont="1" applyFill="1" applyBorder="1" applyAlignment="1">
      <alignment horizontal="center"/>
    </xf>
    <xf numFmtId="0" fontId="0" fillId="0" borderId="0" xfId="0" applyAlignment="1">
      <alignment horizontal="right"/>
    </xf>
    <xf numFmtId="9" fontId="0" fillId="0" borderId="0" xfId="2" applyFont="1"/>
    <xf numFmtId="42" fontId="0" fillId="0" borderId="0" xfId="0" applyNumberFormat="1"/>
    <xf numFmtId="166" fontId="14" fillId="0" borderId="2" xfId="2" applyNumberFormat="1" applyFont="1" applyBorder="1" applyAlignment="1">
      <alignment horizontal="center"/>
    </xf>
    <xf numFmtId="42" fontId="14" fillId="0" borderId="2" xfId="1" applyNumberFormat="1" applyFont="1" applyBorder="1" applyAlignment="1">
      <alignment horizontal="center"/>
    </xf>
    <xf numFmtId="0" fontId="0" fillId="0" borderId="2" xfId="0" applyBorder="1"/>
    <xf numFmtId="166" fontId="0" fillId="0" borderId="0" xfId="0" applyNumberFormat="1"/>
    <xf numFmtId="167" fontId="0" fillId="0" borderId="0" xfId="0" applyNumberFormat="1"/>
    <xf numFmtId="49" fontId="14" fillId="0" borderId="0" xfId="0" applyNumberFormat="1" applyFont="1" applyProtection="1">
      <protection hidden="1"/>
    </xf>
    <xf numFmtId="0" fontId="15" fillId="0" borderId="28"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6" xfId="0" applyFont="1" applyBorder="1" applyAlignment="1">
      <alignment horizontal="center" vertical="center" wrapText="1"/>
    </xf>
    <xf numFmtId="0" fontId="17" fillId="0" borderId="18" xfId="0" applyFont="1" applyBorder="1" applyAlignment="1">
      <alignment horizontal="center" vertical="center"/>
    </xf>
    <xf numFmtId="0" fontId="23" fillId="0" borderId="0" xfId="0" applyFont="1"/>
    <xf numFmtId="0" fontId="17" fillId="0" borderId="8" xfId="0" applyFont="1" applyBorder="1" applyAlignment="1">
      <alignment horizontal="center" vertical="center" wrapText="1"/>
    </xf>
    <xf numFmtId="167" fontId="16" fillId="0" borderId="18" xfId="0" applyNumberFormat="1" applyFont="1" applyBorder="1" applyAlignment="1">
      <alignment horizontal="center" vertical="center" wrapText="1"/>
    </xf>
    <xf numFmtId="9" fontId="16" fillId="0" borderId="8" xfId="2" applyFont="1" applyBorder="1" applyAlignment="1">
      <alignment horizontal="center" vertical="center" wrapText="1"/>
    </xf>
    <xf numFmtId="167" fontId="16" fillId="0" borderId="8" xfId="0" applyNumberFormat="1" applyFont="1" applyBorder="1" applyAlignment="1">
      <alignment horizontal="center" vertical="center" wrapText="1"/>
    </xf>
    <xf numFmtId="167" fontId="14" fillId="0" borderId="16" xfId="1" applyNumberFormat="1" applyFont="1" applyBorder="1" applyAlignment="1">
      <alignment horizontal="center"/>
    </xf>
    <xf numFmtId="166" fontId="14" fillId="0" borderId="15" xfId="2" applyNumberFormat="1" applyFont="1" applyBorder="1" applyAlignment="1">
      <alignment horizontal="center"/>
    </xf>
    <xf numFmtId="167" fontId="14" fillId="0" borderId="15" xfId="1" applyNumberFormat="1" applyFont="1" applyBorder="1" applyAlignment="1">
      <alignment horizontal="center"/>
    </xf>
    <xf numFmtId="49" fontId="0" fillId="0" borderId="6" xfId="0" applyNumberFormat="1" applyBorder="1"/>
    <xf numFmtId="0" fontId="24" fillId="0" borderId="31" xfId="0" applyFont="1" applyBorder="1" applyAlignment="1">
      <alignment horizontal="center" vertical="center" wrapText="1"/>
    </xf>
    <xf numFmtId="2" fontId="0" fillId="0" borderId="0" xfId="0" applyNumberFormat="1"/>
    <xf numFmtId="0" fontId="0" fillId="0" borderId="0" xfId="0" applyAlignment="1">
      <alignment vertical="top"/>
    </xf>
    <xf numFmtId="0" fontId="26" fillId="0" borderId="0" xfId="4"/>
    <xf numFmtId="0" fontId="0" fillId="9" borderId="0" xfId="0" applyFill="1" applyAlignment="1">
      <alignment vertical="top" wrapText="1"/>
    </xf>
    <xf numFmtId="0" fontId="0" fillId="10" borderId="0" xfId="0" applyFill="1" applyAlignment="1">
      <alignment vertical="top" wrapText="1"/>
    </xf>
    <xf numFmtId="0" fontId="0" fillId="10" borderId="0" xfId="0" applyFill="1" applyAlignment="1">
      <alignment vertical="top"/>
    </xf>
    <xf numFmtId="0" fontId="0" fillId="11" borderId="0" xfId="0" applyFill="1" applyAlignment="1">
      <alignment vertical="top" wrapText="1"/>
    </xf>
    <xf numFmtId="0" fontId="13" fillId="11" borderId="0" xfId="0" applyFont="1" applyFill="1" applyAlignment="1">
      <alignment vertical="top" wrapText="1"/>
    </xf>
    <xf numFmtId="0" fontId="0" fillId="11" borderId="0" xfId="0" applyFill="1" applyAlignment="1">
      <alignment vertical="top"/>
    </xf>
    <xf numFmtId="0" fontId="27" fillId="0" borderId="0" xfId="0" applyFont="1"/>
    <xf numFmtId="0" fontId="27" fillId="12" borderId="33" xfId="0" applyFont="1" applyFill="1" applyBorder="1"/>
    <xf numFmtId="0" fontId="27" fillId="12" borderId="0" xfId="0" applyFont="1" applyFill="1"/>
    <xf numFmtId="0" fontId="27" fillId="0" borderId="34" xfId="0" applyFont="1" applyBorder="1"/>
    <xf numFmtId="4" fontId="27" fillId="0" borderId="0" xfId="0" applyNumberFormat="1" applyFont="1"/>
    <xf numFmtId="0" fontId="28" fillId="0" borderId="0" xfId="0" applyFont="1"/>
    <xf numFmtId="0" fontId="15" fillId="0" borderId="31" xfId="0" applyFont="1" applyBorder="1" applyAlignment="1">
      <alignment horizontal="center" vertical="center" wrapText="1"/>
    </xf>
    <xf numFmtId="2" fontId="0" fillId="10" borderId="0" xfId="0" applyNumberFormat="1" applyFill="1"/>
    <xf numFmtId="0" fontId="15" fillId="0" borderId="0" xfId="0" applyFont="1" applyAlignment="1">
      <alignment horizontal="center" vertical="center" wrapText="1"/>
    </xf>
    <xf numFmtId="0" fontId="27" fillId="0" borderId="0" xfId="0" applyFont="1" applyAlignment="1">
      <alignment horizontal="left" indent="1"/>
    </xf>
    <xf numFmtId="49" fontId="0" fillId="0" borderId="2" xfId="0" applyNumberFormat="1" applyBorder="1"/>
    <xf numFmtId="0" fontId="0" fillId="0" borderId="0" xfId="0" pivotButton="1"/>
    <xf numFmtId="0" fontId="0" fillId="0" borderId="0" xfId="0" applyAlignment="1">
      <alignment horizontal="left"/>
    </xf>
    <xf numFmtId="0" fontId="27" fillId="10" borderId="0" xfId="0" applyFont="1" applyFill="1"/>
    <xf numFmtId="2" fontId="27" fillId="0" borderId="0" xfId="0" applyNumberFormat="1" applyFont="1"/>
    <xf numFmtId="0" fontId="0" fillId="0" borderId="0" xfId="0" applyAlignment="1">
      <alignment vertical="center"/>
    </xf>
    <xf numFmtId="2" fontId="0" fillId="15" borderId="0" xfId="0" applyNumberFormat="1" applyFill="1" applyAlignment="1">
      <alignment vertical="center"/>
    </xf>
    <xf numFmtId="2" fontId="0" fillId="15" borderId="0" xfId="0" applyNumberFormat="1" applyFill="1" applyAlignment="1">
      <alignment horizontal="center" vertical="center" wrapText="1"/>
    </xf>
    <xf numFmtId="2" fontId="0" fillId="15" borderId="0" xfId="0" applyNumberFormat="1" applyFill="1" applyAlignment="1">
      <alignment horizontal="center" vertical="center"/>
    </xf>
    <xf numFmtId="2" fontId="0" fillId="15" borderId="0" xfId="0" applyNumberFormat="1" applyFill="1" applyAlignment="1">
      <alignment vertical="center" wrapText="1"/>
    </xf>
    <xf numFmtId="0" fontId="27" fillId="15" borderId="0" xfId="0" applyFont="1" applyFill="1"/>
    <xf numFmtId="9" fontId="27" fillId="15" borderId="0" xfId="0" applyNumberFormat="1" applyFont="1" applyFill="1"/>
    <xf numFmtId="0" fontId="0" fillId="15" borderId="0" xfId="0" applyFill="1" applyAlignment="1">
      <alignment vertical="center"/>
    </xf>
    <xf numFmtId="0" fontId="0" fillId="15" borderId="0" xfId="0" applyFill="1" applyAlignment="1">
      <alignment horizontal="center" vertical="center" wrapText="1"/>
    </xf>
    <xf numFmtId="0" fontId="4" fillId="15" borderId="0" xfId="0" applyFont="1" applyFill="1" applyAlignment="1">
      <alignment vertical="center"/>
    </xf>
    <xf numFmtId="0" fontId="0" fillId="0" borderId="0" xfId="0" applyAlignment="1">
      <alignment horizontal="center" vertical="center" wrapText="1"/>
    </xf>
    <xf numFmtId="0" fontId="0" fillId="15" borderId="0" xfId="0" applyFill="1" applyAlignment="1">
      <alignment horizontal="center" vertical="center"/>
    </xf>
    <xf numFmtId="17" fontId="4" fillId="0" borderId="2" xfId="0" applyNumberFormat="1" applyFont="1" applyBorder="1"/>
    <xf numFmtId="0" fontId="0" fillId="0" borderId="0" xfId="0" applyAlignment="1">
      <alignment horizontal="left" vertical="top" wrapText="1"/>
    </xf>
    <xf numFmtId="0" fontId="0" fillId="0" borderId="0" xfId="0" applyAlignment="1">
      <alignment horizontal="left" vertical="top"/>
    </xf>
    <xf numFmtId="167" fontId="14" fillId="17" borderId="2" xfId="1" applyNumberFormat="1" applyFont="1" applyFill="1" applyBorder="1" applyAlignment="1">
      <alignment horizontal="center"/>
    </xf>
    <xf numFmtId="167" fontId="14" fillId="0" borderId="2" xfId="1" applyNumberFormat="1" applyFont="1" applyBorder="1" applyAlignment="1">
      <alignment horizontal="center"/>
    </xf>
    <xf numFmtId="167" fontId="0" fillId="0" borderId="0" xfId="0" applyNumberFormat="1" applyAlignment="1">
      <alignment horizontal="center" vertical="center"/>
    </xf>
    <xf numFmtId="0" fontId="30" fillId="18" borderId="2" xfId="0" applyFont="1" applyFill="1" applyBorder="1" applyAlignment="1">
      <alignment horizontal="center" vertical="top"/>
    </xf>
    <xf numFmtId="0" fontId="30" fillId="18" borderId="2" xfId="0" applyFont="1" applyFill="1" applyBorder="1" applyAlignment="1">
      <alignment vertical="top"/>
    </xf>
    <xf numFmtId="0" fontId="27" fillId="0" borderId="2" xfId="0" applyFont="1" applyBorder="1" applyAlignment="1">
      <alignment horizontal="center" vertical="top"/>
    </xf>
    <xf numFmtId="0" fontId="27" fillId="0" borderId="2" xfId="0" applyFont="1" applyBorder="1" applyAlignment="1">
      <alignment vertical="top"/>
    </xf>
    <xf numFmtId="42" fontId="14" fillId="0" borderId="35" xfId="1" applyNumberFormat="1" applyFont="1" applyBorder="1" applyAlignment="1">
      <alignment horizontal="center"/>
    </xf>
    <xf numFmtId="39" fontId="14" fillId="0" borderId="35" xfId="1" applyNumberFormat="1" applyFont="1" applyBorder="1" applyAlignment="1">
      <alignment horizontal="center"/>
    </xf>
    <xf numFmtId="39" fontId="14" fillId="0" borderId="0" xfId="1" applyNumberFormat="1" applyFont="1" applyBorder="1" applyAlignment="1">
      <alignment horizontal="center"/>
    </xf>
    <xf numFmtId="0" fontId="1" fillId="0" borderId="0" xfId="0" applyFont="1"/>
    <xf numFmtId="1" fontId="1" fillId="0" borderId="7" xfId="0" applyNumberFormat="1" applyFont="1" applyBorder="1"/>
    <xf numFmtId="2" fontId="1" fillId="0" borderId="7" xfId="0" applyNumberFormat="1" applyFont="1" applyBorder="1"/>
    <xf numFmtId="1" fontId="1" fillId="0" borderId="2" xfId="0" applyNumberFormat="1" applyFont="1" applyBorder="1"/>
    <xf numFmtId="2" fontId="1" fillId="0" borderId="2" xfId="0" applyNumberFormat="1" applyFont="1" applyBorder="1"/>
    <xf numFmtId="1" fontId="1" fillId="0" borderId="3" xfId="0" applyNumberFormat="1" applyFont="1" applyBorder="1"/>
    <xf numFmtId="2" fontId="1" fillId="0" borderId="3" xfId="0" applyNumberFormat="1" applyFont="1" applyBorder="1"/>
    <xf numFmtId="0" fontId="0" fillId="14" borderId="0" xfId="0" applyFill="1" applyAlignment="1">
      <alignment horizontal="center" vertical="center"/>
    </xf>
    <xf numFmtId="0" fontId="0" fillId="11" borderId="0" xfId="0" applyFill="1" applyAlignment="1">
      <alignment horizontal="center" vertical="center"/>
    </xf>
    <xf numFmtId="44" fontId="0" fillId="0" borderId="0" xfId="0" applyNumberFormat="1"/>
    <xf numFmtId="49" fontId="4" fillId="0" borderId="2" xfId="0" applyNumberFormat="1" applyFont="1" applyBorder="1" applyAlignment="1">
      <alignment horizontal="center"/>
    </xf>
    <xf numFmtId="169" fontId="14" fillId="0" borderId="2" xfId="1" applyNumberFormat="1" applyFont="1" applyBorder="1" applyAlignment="1">
      <alignment horizontal="right"/>
    </xf>
    <xf numFmtId="49" fontId="0" fillId="17" borderId="36" xfId="0" applyNumberFormat="1" applyFill="1" applyBorder="1"/>
    <xf numFmtId="0" fontId="0" fillId="17" borderId="37" xfId="0" applyFill="1" applyBorder="1"/>
    <xf numFmtId="42" fontId="14" fillId="17" borderId="27" xfId="1" applyNumberFormat="1" applyFont="1" applyFill="1" applyBorder="1" applyAlignment="1">
      <alignment horizontal="center"/>
    </xf>
    <xf numFmtId="3" fontId="0" fillId="17" borderId="27" xfId="0" applyNumberFormat="1" applyFill="1" applyBorder="1"/>
    <xf numFmtId="42" fontId="0" fillId="17" borderId="26" xfId="0" applyNumberFormat="1" applyFill="1" applyBorder="1"/>
    <xf numFmtId="42" fontId="0" fillId="17" borderId="26" xfId="0" applyNumberFormat="1" applyFill="1" applyBorder="1" applyAlignment="1">
      <alignment horizontal="center"/>
    </xf>
    <xf numFmtId="167" fontId="31" fillId="0" borderId="17" xfId="1" applyNumberFormat="1" applyFont="1" applyBorder="1" applyAlignment="1">
      <alignment horizontal="center"/>
    </xf>
    <xf numFmtId="165" fontId="19" fillId="6" borderId="1" xfId="1" applyNumberFormat="1" applyFont="1" applyFill="1" applyBorder="1" applyAlignment="1">
      <alignment vertical="center"/>
    </xf>
    <xf numFmtId="165" fontId="19" fillId="6" borderId="19" xfId="1" applyNumberFormat="1" applyFont="1" applyFill="1" applyBorder="1" applyAlignment="1">
      <alignment vertical="center"/>
    </xf>
    <xf numFmtId="0" fontId="0" fillId="16" borderId="0" xfId="0" applyFill="1" applyAlignment="1">
      <alignment horizontal="center"/>
    </xf>
    <xf numFmtId="0" fontId="27" fillId="0" borderId="2" xfId="0" applyFont="1" applyBorder="1"/>
    <xf numFmtId="0" fontId="32" fillId="0" borderId="0" xfId="0" applyFont="1"/>
    <xf numFmtId="0" fontId="0" fillId="0" borderId="2" xfId="0" applyBorder="1" applyAlignment="1">
      <alignment horizontal="center" vertical="center"/>
    </xf>
    <xf numFmtId="167" fontId="0" fillId="0" borderId="2" xfId="0" applyNumberFormat="1" applyBorder="1"/>
    <xf numFmtId="10" fontId="0" fillId="0" borderId="2" xfId="0" applyNumberFormat="1" applyBorder="1" applyAlignment="1">
      <alignment horizontal="center" vertical="center"/>
    </xf>
    <xf numFmtId="167" fontId="16" fillId="0" borderId="2" xfId="0" applyNumberFormat="1" applyFont="1" applyBorder="1" applyAlignment="1">
      <alignment horizontal="center" vertical="center" wrapText="1"/>
    </xf>
    <xf numFmtId="0" fontId="16" fillId="0" borderId="2" xfId="0" applyFont="1" applyBorder="1" applyAlignment="1">
      <alignment horizontal="center" vertical="center" wrapText="1"/>
    </xf>
    <xf numFmtId="0" fontId="15" fillId="0" borderId="2" xfId="0" applyFont="1" applyBorder="1" applyAlignment="1">
      <alignment horizontal="center" vertical="center" wrapText="1"/>
    </xf>
    <xf numFmtId="10" fontId="15" fillId="0" borderId="2" xfId="0" applyNumberFormat="1" applyFont="1" applyBorder="1" applyAlignment="1">
      <alignment horizontal="center" vertical="center" wrapText="1"/>
    </xf>
    <xf numFmtId="49" fontId="0" fillId="0" borderId="2" xfId="0" applyNumberFormat="1" applyBorder="1" applyAlignment="1">
      <alignment horizontal="center"/>
    </xf>
    <xf numFmtId="49" fontId="4" fillId="0" borderId="2" xfId="0" applyNumberFormat="1" applyFont="1" applyBorder="1"/>
    <xf numFmtId="167" fontId="0" fillId="0" borderId="2" xfId="0" applyNumberFormat="1" applyBorder="1" applyAlignment="1">
      <alignment horizontal="center"/>
    </xf>
    <xf numFmtId="167" fontId="31" fillId="0" borderId="15" xfId="1" applyNumberFormat="1" applyFont="1" applyBorder="1" applyAlignment="1">
      <alignment horizontal="center"/>
    </xf>
    <xf numFmtId="166" fontId="31" fillId="0" borderId="15" xfId="2" applyNumberFormat="1" applyFont="1" applyBorder="1" applyAlignment="1">
      <alignment horizontal="center"/>
    </xf>
    <xf numFmtId="167" fontId="31" fillId="0" borderId="16" xfId="1" applyNumberFormat="1" applyFont="1" applyBorder="1" applyAlignment="1">
      <alignment horizontal="center"/>
    </xf>
    <xf numFmtId="0" fontId="15" fillId="0" borderId="20"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41" xfId="0" applyFont="1" applyBorder="1" applyAlignment="1">
      <alignment horizontal="center" vertical="center" wrapText="1"/>
    </xf>
    <xf numFmtId="49" fontId="32" fillId="0" borderId="38" xfId="0" applyNumberFormat="1" applyFont="1" applyBorder="1" applyAlignment="1">
      <alignment vertical="center" wrapText="1"/>
    </xf>
    <xf numFmtId="49" fontId="32" fillId="0" borderId="38" xfId="0" applyNumberFormat="1" applyFont="1" applyBorder="1" applyAlignment="1">
      <alignment horizontal="center" vertical="center"/>
    </xf>
    <xf numFmtId="0" fontId="31" fillId="0" borderId="38" xfId="0" applyFont="1" applyBorder="1" applyAlignment="1">
      <alignment horizontal="center" vertical="center" wrapText="1"/>
    </xf>
    <xf numFmtId="49" fontId="4" fillId="0" borderId="4" xfId="0" applyNumberFormat="1" applyFont="1" applyBorder="1" applyAlignment="1">
      <alignment horizontal="center" vertical="center"/>
    </xf>
    <xf numFmtId="167" fontId="14" fillId="0" borderId="30" xfId="1" applyNumberFormat="1" applyFont="1" applyBorder="1" applyAlignment="1">
      <alignment horizontal="center"/>
    </xf>
    <xf numFmtId="167" fontId="14" fillId="0" borderId="4" xfId="1" applyNumberFormat="1" applyFont="1" applyBorder="1" applyAlignment="1">
      <alignment horizontal="center"/>
    </xf>
    <xf numFmtId="0" fontId="32" fillId="0" borderId="38" xfId="0" applyFont="1" applyBorder="1" applyAlignment="1">
      <alignment vertical="center" wrapText="1"/>
    </xf>
    <xf numFmtId="0" fontId="31" fillId="0" borderId="38" xfId="0" applyFont="1" applyBorder="1" applyAlignment="1">
      <alignment vertical="center" wrapText="1"/>
    </xf>
    <xf numFmtId="0" fontId="17" fillId="0" borderId="2" xfId="0" applyFont="1" applyBorder="1" applyAlignment="1">
      <alignment horizontal="center" vertical="center"/>
    </xf>
    <xf numFmtId="0" fontId="17" fillId="0" borderId="2" xfId="0" applyFont="1" applyBorder="1" applyAlignment="1">
      <alignment horizontal="center" vertical="center" wrapText="1"/>
    </xf>
    <xf numFmtId="166" fontId="32" fillId="0" borderId="2" xfId="2" applyNumberFormat="1" applyFont="1" applyBorder="1" applyAlignment="1">
      <alignment horizontal="center"/>
    </xf>
    <xf numFmtId="0" fontId="32" fillId="0" borderId="2" xfId="0" applyFont="1" applyBorder="1" applyAlignment="1">
      <alignment horizontal="center" vertical="center"/>
    </xf>
    <xf numFmtId="49" fontId="32" fillId="0" borderId="2" xfId="0" applyNumberFormat="1" applyFont="1" applyBorder="1" applyAlignment="1">
      <alignment horizontal="center"/>
    </xf>
    <xf numFmtId="167" fontId="32" fillId="0" borderId="2" xfId="1" applyNumberFormat="1" applyFont="1" applyBorder="1" applyAlignment="1">
      <alignment horizontal="center"/>
    </xf>
    <xf numFmtId="0" fontId="15" fillId="0" borderId="14" xfId="0" applyFont="1" applyBorder="1" applyAlignment="1">
      <alignment horizontal="center" vertical="center" wrapText="1"/>
    </xf>
    <xf numFmtId="167" fontId="14" fillId="0" borderId="2" xfId="1" applyNumberFormat="1" applyFont="1" applyFill="1" applyBorder="1" applyAlignment="1">
      <alignment horizontal="center"/>
    </xf>
    <xf numFmtId="0" fontId="0" fillId="0" borderId="2" xfId="0" applyBorder="1" applyAlignment="1">
      <alignment horizontal="center" vertical="center" wrapText="1"/>
    </xf>
    <xf numFmtId="44" fontId="0" fillId="0" borderId="2" xfId="1" applyFont="1" applyFill="1" applyBorder="1" applyAlignment="1">
      <alignment horizontal="center" vertical="center" wrapText="1"/>
    </xf>
    <xf numFmtId="2" fontId="0" fillId="0" borderId="2" xfId="0" applyNumberFormat="1" applyBorder="1" applyAlignment="1">
      <alignment horizontal="center" vertical="center" wrapText="1"/>
    </xf>
    <xf numFmtId="167" fontId="0" fillId="0" borderId="2" xfId="0" applyNumberFormat="1" applyBorder="1" applyAlignment="1">
      <alignment horizontal="right"/>
    </xf>
    <xf numFmtId="44" fontId="0" fillId="0" borderId="2" xfId="1" applyFont="1" applyFill="1" applyBorder="1"/>
    <xf numFmtId="42" fontId="12" fillId="0" borderId="8" xfId="0" applyNumberFormat="1" applyFont="1" applyBorder="1"/>
    <xf numFmtId="42" fontId="0" fillId="0" borderId="3" xfId="0" applyNumberFormat="1" applyBorder="1"/>
    <xf numFmtId="42" fontId="0" fillId="0" borderId="9" xfId="0" applyNumberFormat="1" applyBorder="1"/>
    <xf numFmtId="42" fontId="0" fillId="0" borderId="10" xfId="0" applyNumberFormat="1" applyBorder="1"/>
    <xf numFmtId="42" fontId="12" fillId="0" borderId="11" xfId="0" applyNumberFormat="1" applyFont="1" applyBorder="1"/>
    <xf numFmtId="42" fontId="0" fillId="0" borderId="7" xfId="0" applyNumberFormat="1" applyBorder="1"/>
    <xf numFmtId="42" fontId="0" fillId="0" borderId="12" xfId="0" applyNumberFormat="1" applyBorder="1"/>
    <xf numFmtId="42" fontId="0" fillId="0" borderId="13" xfId="0" applyNumberFormat="1" applyBorder="1"/>
    <xf numFmtId="42" fontId="16" fillId="0" borderId="2" xfId="0" applyNumberFormat="1" applyFont="1" applyBorder="1" applyAlignment="1">
      <alignment horizontal="center" vertical="center" wrapText="1"/>
    </xf>
    <xf numFmtId="9" fontId="16" fillId="0" borderId="2" xfId="2" applyFont="1" applyBorder="1" applyAlignment="1">
      <alignment horizontal="center" vertical="center" wrapText="1"/>
    </xf>
    <xf numFmtId="9" fontId="15" fillId="0" borderId="2" xfId="0" applyNumberFormat="1" applyFont="1" applyBorder="1" applyAlignment="1">
      <alignment horizontal="center" vertical="center" wrapText="1"/>
    </xf>
    <xf numFmtId="170" fontId="0" fillId="0" borderId="0" xfId="0" applyNumberFormat="1"/>
    <xf numFmtId="42" fontId="14" fillId="0" borderId="2" xfId="1" applyNumberFormat="1" applyFont="1" applyBorder="1" applyAlignment="1">
      <alignment horizontal="right"/>
    </xf>
    <xf numFmtId="166" fontId="14" fillId="0" borderId="6" xfId="2" applyNumberFormat="1" applyFont="1" applyBorder="1" applyAlignment="1">
      <alignment horizontal="center"/>
    </xf>
    <xf numFmtId="49" fontId="0" fillId="0" borderId="10" xfId="0" applyNumberFormat="1" applyBorder="1"/>
    <xf numFmtId="0" fontId="0" fillId="0" borderId="3" xfId="0" applyBorder="1"/>
    <xf numFmtId="49" fontId="4" fillId="0" borderId="3" xfId="0" applyNumberFormat="1" applyFont="1" applyBorder="1" applyAlignment="1">
      <alignment horizontal="center"/>
    </xf>
    <xf numFmtId="166" fontId="14" fillId="0" borderId="3" xfId="2" applyNumberFormat="1" applyFont="1" applyBorder="1" applyAlignment="1">
      <alignment horizontal="center"/>
    </xf>
    <xf numFmtId="42" fontId="14" fillId="0" borderId="3" xfId="1" applyNumberFormat="1" applyFont="1" applyBorder="1" applyAlignment="1">
      <alignment horizontal="center"/>
    </xf>
    <xf numFmtId="166" fontId="14" fillId="0" borderId="8" xfId="2" applyNumberFormat="1" applyFont="1" applyBorder="1" applyAlignment="1">
      <alignment horizontal="center"/>
    </xf>
    <xf numFmtId="0" fontId="17" fillId="0" borderId="8" xfId="0" applyFont="1" applyBorder="1" applyAlignment="1">
      <alignment horizontal="center" vertical="center"/>
    </xf>
    <xf numFmtId="0" fontId="17" fillId="0" borderId="28" xfId="0" applyFont="1" applyBorder="1" applyAlignment="1">
      <alignment horizontal="center" vertical="center" wrapText="1"/>
    </xf>
    <xf numFmtId="42" fontId="16" fillId="0" borderId="9" xfId="0" applyNumberFormat="1" applyFont="1" applyBorder="1" applyAlignment="1">
      <alignment horizontal="center" vertical="center" wrapText="1"/>
    </xf>
    <xf numFmtId="42" fontId="16" fillId="0" borderId="8" xfId="0" applyNumberFormat="1" applyFont="1" applyBorder="1" applyAlignment="1">
      <alignment horizontal="center" vertical="center" wrapText="1"/>
    </xf>
    <xf numFmtId="42" fontId="14" fillId="0" borderId="0" xfId="1" applyNumberFormat="1" applyFont="1" applyFill="1" applyBorder="1" applyAlignment="1">
      <alignment horizontal="center"/>
    </xf>
    <xf numFmtId="49" fontId="4" fillId="17" borderId="37" xfId="0" applyNumberFormat="1" applyFont="1" applyFill="1" applyBorder="1" applyAlignment="1">
      <alignment horizontal="left"/>
    </xf>
    <xf numFmtId="6" fontId="0" fillId="0" borderId="2" xfId="1" applyNumberFormat="1" applyFont="1" applyBorder="1"/>
    <xf numFmtId="44" fontId="0" fillId="0" borderId="0" xfId="1" applyFont="1"/>
    <xf numFmtId="167" fontId="14" fillId="0" borderId="17" xfId="1" applyNumberFormat="1" applyFont="1" applyBorder="1" applyAlignment="1">
      <alignment horizontal="center"/>
    </xf>
    <xf numFmtId="9" fontId="14" fillId="0" borderId="0" xfId="2" applyFont="1" applyBorder="1" applyAlignment="1">
      <alignment horizontal="center"/>
    </xf>
    <xf numFmtId="167" fontId="14" fillId="0" borderId="0" xfId="1" applyNumberFormat="1" applyFont="1" applyBorder="1" applyAlignment="1">
      <alignment horizontal="center"/>
    </xf>
    <xf numFmtId="10" fontId="14" fillId="0" borderId="15" xfId="2" applyNumberFormat="1" applyFont="1" applyBorder="1" applyAlignment="1">
      <alignment horizontal="center"/>
    </xf>
    <xf numFmtId="9" fontId="14" fillId="0" borderId="14" xfId="2" applyFont="1" applyBorder="1" applyAlignment="1">
      <alignment horizontal="center"/>
    </xf>
    <xf numFmtId="10" fontId="31" fillId="0" borderId="15" xfId="2" applyNumberFormat="1" applyFont="1" applyBorder="1" applyAlignment="1">
      <alignment horizontal="center"/>
    </xf>
    <xf numFmtId="9" fontId="31" fillId="0" borderId="14" xfId="2" applyFont="1" applyBorder="1" applyAlignment="1">
      <alignment horizontal="center"/>
    </xf>
    <xf numFmtId="8" fontId="31" fillId="0" borderId="0" xfId="2" applyNumberFormat="1" applyFont="1" applyBorder="1" applyAlignment="1">
      <alignment horizontal="center"/>
    </xf>
    <xf numFmtId="8" fontId="31" fillId="0" borderId="15" xfId="2" applyNumberFormat="1" applyFont="1" applyBorder="1" applyAlignment="1">
      <alignment horizontal="center"/>
    </xf>
    <xf numFmtId="8" fontId="31" fillId="0" borderId="14" xfId="2" applyNumberFormat="1" applyFont="1" applyBorder="1" applyAlignment="1">
      <alignment horizontal="center"/>
    </xf>
    <xf numFmtId="167" fontId="31" fillId="0" borderId="0" xfId="1" applyNumberFormat="1" applyFont="1" applyBorder="1" applyAlignment="1">
      <alignment horizontal="center"/>
    </xf>
    <xf numFmtId="0" fontId="0" fillId="0" borderId="4" xfId="0" applyBorder="1"/>
    <xf numFmtId="171" fontId="14" fillId="0" borderId="4" xfId="2" applyNumberFormat="1" applyFont="1" applyBorder="1" applyAlignment="1">
      <alignment horizontal="center"/>
    </xf>
    <xf numFmtId="9" fontId="14" fillId="0" borderId="4" xfId="2" applyFont="1" applyBorder="1" applyAlignment="1">
      <alignment horizontal="center"/>
    </xf>
    <xf numFmtId="10" fontId="14" fillId="0" borderId="4" xfId="2" applyNumberFormat="1" applyFont="1" applyBorder="1" applyAlignment="1">
      <alignment horizontal="center"/>
    </xf>
    <xf numFmtId="9" fontId="14" fillId="0" borderId="5" xfId="2" applyFont="1" applyBorder="1" applyAlignment="1">
      <alignment horizontal="center"/>
    </xf>
    <xf numFmtId="49" fontId="0" fillId="0" borderId="2" xfId="0" applyNumberFormat="1" applyBorder="1" applyAlignment="1">
      <alignment horizontal="center" vertical="center"/>
    </xf>
    <xf numFmtId="10" fontId="14" fillId="0" borderId="2" xfId="2" applyNumberFormat="1" applyFont="1" applyBorder="1" applyAlignment="1">
      <alignment horizontal="center" vertical="center"/>
    </xf>
    <xf numFmtId="10" fontId="14" fillId="0" borderId="2" xfId="2" applyNumberFormat="1" applyFont="1" applyBorder="1" applyAlignment="1">
      <alignment horizontal="center"/>
    </xf>
    <xf numFmtId="8" fontId="32" fillId="0" borderId="2" xfId="2" applyNumberFormat="1" applyFont="1" applyBorder="1" applyAlignment="1">
      <alignment horizontal="center" vertical="center"/>
    </xf>
    <xf numFmtId="8" fontId="14" fillId="0" borderId="6" xfId="2" applyNumberFormat="1" applyFont="1" applyBorder="1" applyAlignment="1">
      <alignment horizontal="center"/>
    </xf>
    <xf numFmtId="9" fontId="14" fillId="0" borderId="2" xfId="2" applyFont="1" applyBorder="1" applyAlignment="1">
      <alignment horizontal="center"/>
    </xf>
    <xf numFmtId="171" fontId="14" fillId="0" borderId="2" xfId="2" applyNumberFormat="1" applyFont="1" applyBorder="1" applyAlignment="1">
      <alignment horizontal="center"/>
    </xf>
    <xf numFmtId="166" fontId="0" fillId="0" borderId="2" xfId="2" applyNumberFormat="1" applyFont="1" applyBorder="1"/>
    <xf numFmtId="10" fontId="0" fillId="0" borderId="2" xfId="2" applyNumberFormat="1" applyFont="1" applyBorder="1"/>
    <xf numFmtId="0" fontId="32" fillId="0" borderId="5" xfId="0" applyFont="1" applyBorder="1" applyAlignment="1">
      <alignment horizontal="center" vertical="center"/>
    </xf>
    <xf numFmtId="1" fontId="0" fillId="0" borderId="2" xfId="0" applyNumberFormat="1" applyBorder="1"/>
    <xf numFmtId="0" fontId="13" fillId="0" borderId="2" xfId="0" applyFont="1" applyBorder="1" applyAlignment="1">
      <alignment horizontal="center"/>
    </xf>
    <xf numFmtId="0" fontId="0" fillId="0" borderId="2" xfId="0" applyBorder="1" applyAlignment="1">
      <alignment horizontal="center"/>
    </xf>
    <xf numFmtId="0" fontId="0" fillId="0" borderId="2" xfId="1" applyNumberFormat="1" applyFont="1" applyFill="1" applyBorder="1"/>
    <xf numFmtId="1" fontId="0" fillId="0" borderId="2" xfId="0" applyNumberFormat="1" applyBorder="1" applyAlignment="1">
      <alignment horizontal="center"/>
    </xf>
    <xf numFmtId="2" fontId="0" fillId="0" borderId="2" xfId="0" applyNumberFormat="1" applyBorder="1"/>
    <xf numFmtId="49" fontId="0" fillId="0" borderId="3" xfId="0" applyNumberFormat="1" applyBorder="1" applyAlignment="1">
      <alignment horizontal="center"/>
    </xf>
    <xf numFmtId="0" fontId="13" fillId="0" borderId="3" xfId="0" applyFont="1" applyBorder="1" applyAlignment="1">
      <alignment horizontal="center"/>
    </xf>
    <xf numFmtId="167" fontId="14" fillId="0" borderId="3" xfId="1" applyNumberFormat="1" applyFont="1" applyFill="1" applyBorder="1" applyAlignment="1">
      <alignment horizontal="center"/>
    </xf>
    <xf numFmtId="0" fontId="0" fillId="0" borderId="3" xfId="0" applyBorder="1" applyAlignment="1">
      <alignment horizontal="center"/>
    </xf>
    <xf numFmtId="0" fontId="0" fillId="0" borderId="3" xfId="1" applyNumberFormat="1" applyFont="1" applyFill="1" applyBorder="1" applyAlignment="1">
      <alignment horizontal="center"/>
    </xf>
    <xf numFmtId="1" fontId="0" fillId="0" borderId="3" xfId="0" applyNumberFormat="1" applyBorder="1" applyAlignment="1">
      <alignment horizontal="center"/>
    </xf>
    <xf numFmtId="167" fontId="0" fillId="0" borderId="3" xfId="1" applyNumberFormat="1" applyFont="1" applyFill="1" applyBorder="1" applyAlignment="1">
      <alignment horizontal="right"/>
    </xf>
    <xf numFmtId="1" fontId="0" fillId="0" borderId="3" xfId="0" applyNumberFormat="1" applyBorder="1"/>
    <xf numFmtId="2" fontId="0" fillId="0" borderId="3" xfId="0" applyNumberFormat="1" applyBorder="1"/>
    <xf numFmtId="0" fontId="17" fillId="0" borderId="3" xfId="0" applyFont="1" applyBorder="1" applyAlignment="1">
      <alignment horizontal="center" vertical="center"/>
    </xf>
    <xf numFmtId="165" fontId="0" fillId="0" borderId="0" xfId="1" applyNumberFormat="1" applyFont="1"/>
    <xf numFmtId="165" fontId="0" fillId="0" borderId="2" xfId="1" applyNumberFormat="1" applyFont="1" applyBorder="1"/>
    <xf numFmtId="0" fontId="0" fillId="0" borderId="7" xfId="0" applyBorder="1"/>
    <xf numFmtId="42" fontId="14" fillId="0" borderId="42" xfId="1" applyNumberFormat="1" applyFont="1" applyFill="1" applyBorder="1" applyAlignment="1">
      <alignment horizontal="center"/>
    </xf>
    <xf numFmtId="42" fontId="0" fillId="0" borderId="2" xfId="0" applyNumberFormat="1" applyBorder="1"/>
    <xf numFmtId="3" fontId="1" fillId="0" borderId="0" xfId="0" applyNumberFormat="1" applyFont="1"/>
    <xf numFmtId="0" fontId="2" fillId="0" borderId="1" xfId="0" applyFont="1" applyBorder="1" applyAlignment="1">
      <alignment horizontal="center" vertical="center" wrapText="1"/>
    </xf>
    <xf numFmtId="0" fontId="0" fillId="0" borderId="0" xfId="0" applyAlignment="1">
      <alignment vertical="top" wrapText="1"/>
    </xf>
    <xf numFmtId="0" fontId="3" fillId="0" borderId="0" xfId="0" applyFont="1"/>
    <xf numFmtId="0" fontId="25" fillId="2" borderId="0" xfId="0" applyFont="1" applyFill="1" applyAlignment="1">
      <alignment horizontal="center"/>
    </xf>
    <xf numFmtId="0" fontId="0" fillId="11" borderId="0" xfId="0" applyFill="1" applyAlignment="1">
      <alignment horizontal="center"/>
    </xf>
    <xf numFmtId="0" fontId="0" fillId="0" borderId="0" xfId="0" applyAlignment="1">
      <alignment horizontal="center" vertical="top"/>
    </xf>
    <xf numFmtId="0" fontId="0" fillId="15" borderId="0" xfId="0" applyFill="1" applyAlignment="1">
      <alignment horizontal="center" vertical="center"/>
    </xf>
    <xf numFmtId="0" fontId="0" fillId="14" borderId="0" xfId="0" applyFill="1" applyAlignment="1">
      <alignment horizontal="center" vertical="center"/>
    </xf>
    <xf numFmtId="0" fontId="0" fillId="0" borderId="0" xfId="0" applyAlignment="1">
      <alignment horizontal="center" vertical="center"/>
    </xf>
    <xf numFmtId="0" fontId="27" fillId="10" borderId="0" xfId="0" applyFont="1" applyFill="1" applyAlignment="1">
      <alignment horizontal="center"/>
    </xf>
    <xf numFmtId="0" fontId="27" fillId="13" borderId="0" xfId="0" applyFont="1" applyFill="1" applyAlignment="1">
      <alignment horizontal="center"/>
    </xf>
    <xf numFmtId="0" fontId="0" fillId="0" borderId="0" xfId="0" applyAlignment="1">
      <alignment horizontal="center" vertical="center" wrapText="1"/>
    </xf>
    <xf numFmtId="0" fontId="0" fillId="11" borderId="0" xfId="0" applyFill="1" applyAlignment="1">
      <alignment horizontal="center" vertical="center"/>
    </xf>
    <xf numFmtId="0" fontId="25" fillId="2" borderId="0" xfId="0" applyFont="1" applyFill="1" applyAlignment="1">
      <alignment horizontal="center" vertical="center"/>
    </xf>
    <xf numFmtId="0" fontId="0" fillId="0" borderId="3" xfId="0" applyBorder="1" applyAlignment="1">
      <alignment horizontal="center" vertical="top"/>
    </xf>
    <xf numFmtId="0" fontId="0" fillId="0" borderId="7" xfId="0" applyBorder="1" applyAlignment="1">
      <alignment horizontal="center" vertical="top"/>
    </xf>
    <xf numFmtId="0" fontId="9" fillId="3" borderId="4" xfId="0" applyFont="1" applyFill="1" applyBorder="1" applyAlignment="1">
      <alignment horizontal="center"/>
    </xf>
    <xf numFmtId="0" fontId="9" fillId="3" borderId="5" xfId="0" applyFont="1" applyFill="1" applyBorder="1" applyAlignment="1">
      <alignment horizontal="center"/>
    </xf>
    <xf numFmtId="165" fontId="10" fillId="4" borderId="6" xfId="1" applyNumberFormat="1" applyFont="1" applyFill="1" applyBorder="1" applyAlignment="1">
      <alignment horizontal="center" vertical="center"/>
    </xf>
    <xf numFmtId="165" fontId="10" fillId="4" borderId="4" xfId="1" applyNumberFormat="1" applyFont="1" applyFill="1" applyBorder="1" applyAlignment="1">
      <alignment horizontal="center" vertical="center"/>
    </xf>
    <xf numFmtId="165" fontId="10" fillId="5" borderId="6" xfId="1" applyNumberFormat="1" applyFont="1" applyFill="1" applyBorder="1" applyAlignment="1">
      <alignment horizontal="center" vertical="center"/>
    </xf>
    <xf numFmtId="165" fontId="10" fillId="5" borderId="4" xfId="1" applyNumberFormat="1" applyFont="1" applyFill="1" applyBorder="1" applyAlignment="1">
      <alignment horizontal="center" vertical="center"/>
    </xf>
    <xf numFmtId="165" fontId="10" fillId="5" borderId="5" xfId="1" applyNumberFormat="1" applyFont="1" applyFill="1" applyBorder="1" applyAlignment="1">
      <alignment horizontal="center" vertical="center"/>
    </xf>
    <xf numFmtId="0" fontId="0" fillId="0" borderId="0" xfId="0" applyAlignment="1">
      <alignment horizontal="center"/>
    </xf>
    <xf numFmtId="165" fontId="17" fillId="8" borderId="20" xfId="1" applyNumberFormat="1" applyFont="1" applyFill="1" applyBorder="1" applyAlignment="1">
      <alignment horizontal="center" vertical="center"/>
    </xf>
    <xf numFmtId="165" fontId="17" fillId="8" borderId="1" xfId="1" applyNumberFormat="1" applyFont="1" applyFill="1" applyBorder="1" applyAlignment="1">
      <alignment horizontal="center" vertical="center"/>
    </xf>
    <xf numFmtId="165" fontId="17" fillId="8" borderId="19" xfId="1" applyNumberFormat="1" applyFont="1" applyFill="1" applyBorder="1" applyAlignment="1">
      <alignment horizontal="center" vertical="center"/>
    </xf>
    <xf numFmtId="0" fontId="21" fillId="0" borderId="16" xfId="0" applyFont="1" applyBorder="1" applyAlignment="1">
      <alignment horizontal="center" vertical="center"/>
    </xf>
    <xf numFmtId="0" fontId="21" fillId="0" borderId="15" xfId="0" applyFont="1" applyBorder="1" applyAlignment="1">
      <alignment horizontal="center" vertical="center"/>
    </xf>
    <xf numFmtId="0" fontId="21" fillId="0" borderId="14" xfId="0" applyFont="1" applyBorder="1" applyAlignment="1">
      <alignment horizontal="center" vertical="center"/>
    </xf>
    <xf numFmtId="0" fontId="21" fillId="0" borderId="25" xfId="0" applyFont="1" applyBorder="1" applyAlignment="1">
      <alignment horizontal="center" vertical="center"/>
    </xf>
    <xf numFmtId="0" fontId="21" fillId="0" borderId="24" xfId="0" applyFont="1" applyBorder="1" applyAlignment="1">
      <alignment horizontal="center" vertical="center"/>
    </xf>
    <xf numFmtId="0" fontId="21" fillId="0" borderId="23" xfId="0" applyFont="1" applyBorder="1" applyAlignment="1">
      <alignment horizontal="center" vertical="center"/>
    </xf>
    <xf numFmtId="165" fontId="19" fillId="6" borderId="16" xfId="1" applyNumberFormat="1" applyFont="1" applyFill="1" applyBorder="1" applyAlignment="1">
      <alignment horizontal="center" vertical="center"/>
    </xf>
    <xf numFmtId="165" fontId="19" fillId="6" borderId="15" xfId="1" applyNumberFormat="1" applyFont="1" applyFill="1" applyBorder="1" applyAlignment="1">
      <alignment horizontal="center" vertical="center"/>
    </xf>
    <xf numFmtId="165" fontId="19" fillId="6" borderId="14" xfId="1" applyNumberFormat="1" applyFont="1" applyFill="1" applyBorder="1" applyAlignment="1">
      <alignment horizontal="center" vertical="center"/>
    </xf>
    <xf numFmtId="165" fontId="19" fillId="3" borderId="17" xfId="1" applyNumberFormat="1" applyFont="1" applyFill="1" applyBorder="1" applyAlignment="1">
      <alignment horizontal="center" vertical="center"/>
    </xf>
    <xf numFmtId="165" fontId="19" fillId="3" borderId="0" xfId="1" applyNumberFormat="1" applyFont="1" applyFill="1" applyBorder="1" applyAlignment="1">
      <alignment horizontal="center" vertical="center"/>
    </xf>
    <xf numFmtId="165" fontId="19" fillId="7" borderId="17"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0" fontId="20" fillId="2" borderId="22" xfId="0" applyFont="1" applyFill="1" applyBorder="1" applyAlignment="1">
      <alignment horizontal="center"/>
    </xf>
    <xf numFmtId="0" fontId="20" fillId="2" borderId="21" xfId="0" applyFont="1" applyFill="1" applyBorder="1" applyAlignment="1">
      <alignment horizontal="center"/>
    </xf>
    <xf numFmtId="0" fontId="14" fillId="0" borderId="18" xfId="0" applyFont="1" applyBorder="1" applyAlignment="1">
      <alignment horizontal="center"/>
    </xf>
    <xf numFmtId="0" fontId="14" fillId="0" borderId="9" xfId="0" applyFont="1" applyBorder="1" applyAlignment="1">
      <alignment horizontal="center"/>
    </xf>
    <xf numFmtId="0" fontId="14" fillId="0" borderId="39" xfId="0" applyFont="1" applyBorder="1" applyAlignment="1">
      <alignment horizontal="center"/>
    </xf>
    <xf numFmtId="0" fontId="20" fillId="2" borderId="32" xfId="0" applyFont="1" applyFill="1" applyBorder="1" applyAlignment="1">
      <alignment horizontal="center"/>
    </xf>
    <xf numFmtId="165" fontId="19" fillId="3" borderId="16" xfId="1" applyNumberFormat="1" applyFont="1" applyFill="1" applyBorder="1" applyAlignment="1">
      <alignment horizontal="center" vertical="center"/>
    </xf>
    <xf numFmtId="165" fontId="19" fillId="3" borderId="15" xfId="1" applyNumberFormat="1" applyFont="1" applyFill="1" applyBorder="1" applyAlignment="1">
      <alignment horizontal="center" vertical="center"/>
    </xf>
    <xf numFmtId="165" fontId="19" fillId="3" borderId="14" xfId="1" applyNumberFormat="1" applyFont="1" applyFill="1" applyBorder="1" applyAlignment="1">
      <alignment horizontal="center" vertical="center"/>
    </xf>
    <xf numFmtId="165" fontId="19" fillId="7" borderId="16" xfId="1" applyNumberFormat="1" applyFont="1" applyFill="1" applyBorder="1" applyAlignment="1">
      <alignment horizontal="center" vertical="center"/>
    </xf>
    <xf numFmtId="165" fontId="19" fillId="7" borderId="15" xfId="1" applyNumberFormat="1" applyFont="1" applyFill="1" applyBorder="1" applyAlignment="1">
      <alignment horizontal="center" vertical="center"/>
    </xf>
    <xf numFmtId="165" fontId="19" fillId="7" borderId="14" xfId="1" applyNumberFormat="1" applyFont="1" applyFill="1" applyBorder="1" applyAlignment="1">
      <alignment horizontal="center" vertical="center"/>
    </xf>
    <xf numFmtId="165" fontId="17" fillId="8" borderId="15" xfId="1" applyNumberFormat="1" applyFont="1" applyFill="1" applyBorder="1" applyAlignment="1">
      <alignment horizontal="center" vertical="center"/>
    </xf>
    <xf numFmtId="0" fontId="14" fillId="0" borderId="29" xfId="0" applyFont="1" applyBorder="1" applyAlignment="1">
      <alignment horizontal="center"/>
    </xf>
    <xf numFmtId="0" fontId="14" fillId="0" borderId="27" xfId="0" applyFont="1" applyBorder="1" applyAlignment="1">
      <alignment horizontal="center"/>
    </xf>
    <xf numFmtId="42" fontId="19" fillId="3" borderId="25" xfId="1" applyNumberFormat="1" applyFont="1" applyFill="1" applyBorder="1" applyAlignment="1">
      <alignment horizontal="center" vertical="center"/>
    </xf>
    <xf numFmtId="42" fontId="19" fillId="3" borderId="24" xfId="1" applyNumberFormat="1" applyFont="1" applyFill="1" applyBorder="1" applyAlignment="1">
      <alignment horizontal="center" vertical="center"/>
    </xf>
    <xf numFmtId="165" fontId="19" fillId="6" borderId="1" xfId="1" applyNumberFormat="1" applyFont="1" applyFill="1" applyBorder="1" applyAlignment="1">
      <alignment horizontal="center" vertical="center"/>
    </xf>
    <xf numFmtId="165" fontId="19" fillId="6" borderId="19" xfId="1" applyNumberFormat="1" applyFont="1" applyFill="1" applyBorder="1" applyAlignment="1">
      <alignment horizontal="center" vertical="center"/>
    </xf>
    <xf numFmtId="165" fontId="19" fillId="7" borderId="20" xfId="1" applyNumberFormat="1" applyFont="1" applyFill="1" applyBorder="1" applyAlignment="1">
      <alignment horizontal="center" vertical="center"/>
    </xf>
    <xf numFmtId="165" fontId="19" fillId="7" borderId="1" xfId="1" applyNumberFormat="1" applyFont="1" applyFill="1" applyBorder="1" applyAlignment="1">
      <alignment horizontal="center" vertical="center"/>
    </xf>
    <xf numFmtId="165" fontId="19" fillId="7" borderId="19" xfId="1" applyNumberFormat="1" applyFont="1" applyFill="1" applyBorder="1" applyAlignment="1">
      <alignment horizontal="center" vertical="center"/>
    </xf>
    <xf numFmtId="0" fontId="30" fillId="18" borderId="6" xfId="0" applyFont="1" applyFill="1" applyBorder="1" applyAlignment="1">
      <alignment horizontal="center" vertical="top"/>
    </xf>
    <xf numFmtId="0" fontId="30" fillId="18" borderId="4" xfId="0" applyFont="1" applyFill="1" applyBorder="1" applyAlignment="1">
      <alignment horizontal="center" vertical="top"/>
    </xf>
    <xf numFmtId="0" fontId="30" fillId="18" borderId="5" xfId="0" applyFont="1" applyFill="1" applyBorder="1" applyAlignment="1">
      <alignment horizontal="center" vertical="top"/>
    </xf>
    <xf numFmtId="0" fontId="0" fillId="0" borderId="10" xfId="0" applyBorder="1" applyAlignment="1">
      <alignment horizontal="center" vertical="top"/>
    </xf>
    <xf numFmtId="0" fontId="0" fillId="0" borderId="13" xfId="0" applyBorder="1" applyAlignment="1">
      <alignment horizontal="center" vertical="top"/>
    </xf>
    <xf numFmtId="2" fontId="21" fillId="0" borderId="16" xfId="0" applyNumberFormat="1" applyFont="1" applyBorder="1" applyAlignment="1">
      <alignment horizontal="center" vertical="center"/>
    </xf>
    <xf numFmtId="2" fontId="21" fillId="0" borderId="15" xfId="0" applyNumberFormat="1" applyFont="1" applyBorder="1" applyAlignment="1">
      <alignment horizontal="center" vertical="center"/>
    </xf>
    <xf numFmtId="2" fontId="21" fillId="0" borderId="14" xfId="0" applyNumberFormat="1" applyFont="1" applyBorder="1" applyAlignment="1">
      <alignment horizontal="center" vertical="center"/>
    </xf>
    <xf numFmtId="2" fontId="21" fillId="0" borderId="25" xfId="0" applyNumberFormat="1" applyFont="1" applyBorder="1" applyAlignment="1">
      <alignment horizontal="center" vertical="center"/>
    </xf>
    <xf numFmtId="2" fontId="21" fillId="0" borderId="24" xfId="0" applyNumberFormat="1" applyFont="1" applyBorder="1" applyAlignment="1">
      <alignment horizontal="center" vertical="center"/>
    </xf>
    <xf numFmtId="2" fontId="21" fillId="0" borderId="23" xfId="0" applyNumberFormat="1" applyFont="1" applyBorder="1" applyAlignment="1">
      <alignment horizontal="center" vertical="center"/>
    </xf>
    <xf numFmtId="0" fontId="14" fillId="0" borderId="26" xfId="0" applyFont="1" applyBorder="1" applyAlignment="1">
      <alignment horizontal="center"/>
    </xf>
    <xf numFmtId="165" fontId="19" fillId="3" borderId="25" xfId="1" applyNumberFormat="1" applyFont="1" applyFill="1" applyBorder="1" applyAlignment="1">
      <alignment horizontal="center" vertical="center"/>
    </xf>
    <xf numFmtId="165" fontId="19" fillId="3" borderId="24" xfId="1" applyNumberFormat="1" applyFont="1" applyFill="1" applyBorder="1" applyAlignment="1">
      <alignment horizontal="center" vertical="center"/>
    </xf>
    <xf numFmtId="165" fontId="19" fillId="6" borderId="20" xfId="1" applyNumberFormat="1" applyFont="1" applyFill="1" applyBorder="1" applyAlignment="1">
      <alignment horizontal="center" vertical="center"/>
    </xf>
    <xf numFmtId="0" fontId="21" fillId="0" borderId="2" xfId="0" applyFont="1" applyBorder="1" applyAlignment="1">
      <alignment horizontal="center" vertical="center"/>
    </xf>
    <xf numFmtId="0" fontId="20" fillId="2" borderId="2" xfId="0" applyFont="1" applyFill="1" applyBorder="1" applyAlignment="1">
      <alignment horizontal="center"/>
    </xf>
    <xf numFmtId="165" fontId="17" fillId="8" borderId="2" xfId="1" applyNumberFormat="1" applyFont="1" applyFill="1" applyBorder="1" applyAlignment="1">
      <alignment horizontal="center" vertical="center"/>
    </xf>
    <xf numFmtId="0" fontId="14" fillId="0" borderId="2" xfId="0" applyFont="1" applyBorder="1" applyAlignment="1">
      <alignment horizontal="center"/>
    </xf>
    <xf numFmtId="165" fontId="19" fillId="3" borderId="2" xfId="1" applyNumberFormat="1" applyFont="1" applyFill="1" applyBorder="1" applyAlignment="1">
      <alignment horizontal="center" vertical="center"/>
    </xf>
    <xf numFmtId="165" fontId="19" fillId="7" borderId="2" xfId="1" applyNumberFormat="1" applyFont="1" applyFill="1" applyBorder="1" applyAlignment="1">
      <alignment horizontal="center" vertical="center"/>
    </xf>
    <xf numFmtId="165" fontId="19" fillId="6" borderId="2" xfId="1" applyNumberFormat="1" applyFont="1" applyFill="1" applyBorder="1" applyAlignment="1">
      <alignment horizontal="center" vertical="center"/>
    </xf>
    <xf numFmtId="0" fontId="0" fillId="17" borderId="0" xfId="0" applyFont="1" applyFill="1"/>
    <xf numFmtId="0" fontId="0" fillId="0" borderId="0" xfId="0" applyFont="1"/>
    <xf numFmtId="0" fontId="0" fillId="0" borderId="0" xfId="0" applyNumberFormat="1"/>
    <xf numFmtId="0" fontId="0" fillId="17" borderId="8" xfId="0" applyFont="1" applyFill="1" applyBorder="1"/>
    <xf numFmtId="170" fontId="0" fillId="17" borderId="9" xfId="0" applyNumberFormat="1" applyFont="1" applyFill="1" applyBorder="1"/>
    <xf numFmtId="0" fontId="0" fillId="17" borderId="9" xfId="0" applyFont="1" applyFill="1" applyBorder="1"/>
    <xf numFmtId="42" fontId="14" fillId="17" borderId="8" xfId="1" applyNumberFormat="1" applyFont="1" applyFill="1" applyBorder="1" applyAlignment="1">
      <alignment horizontal="right"/>
    </xf>
    <xf numFmtId="166" fontId="14" fillId="17" borderId="8" xfId="2" applyNumberFormat="1" applyFont="1" applyFill="1" applyBorder="1" applyAlignment="1">
      <alignment horizontal="center"/>
    </xf>
    <xf numFmtId="42" fontId="14" fillId="17" borderId="8" xfId="1" applyNumberFormat="1" applyFont="1" applyFill="1" applyBorder="1" applyAlignment="1">
      <alignment horizontal="center"/>
    </xf>
    <xf numFmtId="165" fontId="0" fillId="17" borderId="8" xfId="1" applyNumberFormat="1" applyFont="1" applyFill="1" applyBorder="1"/>
    <xf numFmtId="0" fontId="0" fillId="17" borderId="10" xfId="0" applyFont="1" applyFill="1" applyBorder="1"/>
    <xf numFmtId="0" fontId="0" fillId="0" borderId="43" xfId="0" applyFont="1" applyBorder="1"/>
    <xf numFmtId="170" fontId="0" fillId="0" borderId="0" xfId="0" applyNumberFormat="1" applyFont="1"/>
    <xf numFmtId="42" fontId="14" fillId="0" borderId="8" xfId="1" applyNumberFormat="1" applyFont="1" applyBorder="1" applyAlignment="1">
      <alignment horizontal="right"/>
    </xf>
    <xf numFmtId="42" fontId="14" fillId="0" borderId="8" xfId="1" applyNumberFormat="1" applyFont="1" applyBorder="1" applyAlignment="1">
      <alignment horizontal="center"/>
    </xf>
    <xf numFmtId="165" fontId="0" fillId="0" borderId="43" xfId="1" applyNumberFormat="1" applyFont="1" applyBorder="1"/>
    <xf numFmtId="0" fontId="0" fillId="0" borderId="44" xfId="0" applyFont="1" applyBorder="1"/>
    <xf numFmtId="0" fontId="0" fillId="17" borderId="43" xfId="0" applyFont="1" applyFill="1" applyBorder="1"/>
    <xf numFmtId="170" fontId="0" fillId="17" borderId="0" xfId="0" applyNumberFormat="1" applyFont="1" applyFill="1"/>
    <xf numFmtId="165" fontId="0" fillId="17" borderId="43" xfId="1" applyNumberFormat="1" applyFont="1" applyFill="1" applyBorder="1"/>
    <xf numFmtId="0" fontId="0" fillId="17" borderId="44" xfId="0" applyFont="1" applyFill="1" applyBorder="1"/>
    <xf numFmtId="0" fontId="0" fillId="0" borderId="11" xfId="0" applyFont="1" applyBorder="1"/>
    <xf numFmtId="170" fontId="0" fillId="0" borderId="12" xfId="0" applyNumberFormat="1" applyFont="1" applyBorder="1"/>
    <xf numFmtId="0" fontId="0" fillId="0" borderId="12" xfId="0" applyFont="1" applyBorder="1"/>
    <xf numFmtId="42" fontId="14" fillId="0" borderId="6" xfId="1" applyNumberFormat="1" applyFont="1" applyBorder="1" applyAlignment="1">
      <alignment horizontal="right"/>
    </xf>
    <xf numFmtId="42" fontId="14" fillId="0" borderId="6" xfId="1" applyNumberFormat="1" applyFont="1" applyBorder="1" applyAlignment="1">
      <alignment horizontal="center"/>
    </xf>
    <xf numFmtId="165" fontId="0" fillId="0" borderId="11" xfId="1" applyNumberFormat="1" applyFont="1" applyBorder="1"/>
    <xf numFmtId="0" fontId="0" fillId="0" borderId="13" xfId="0" applyFont="1" applyBorder="1"/>
    <xf numFmtId="0" fontId="17" fillId="0" borderId="43" xfId="0" applyFont="1" applyBorder="1" applyAlignment="1">
      <alignment horizontal="center" vertical="center"/>
    </xf>
    <xf numFmtId="0" fontId="17" fillId="0" borderId="43" xfId="0" applyFont="1" applyBorder="1" applyAlignment="1">
      <alignment horizontal="center" vertical="center" wrapText="1"/>
    </xf>
    <xf numFmtId="167" fontId="16" fillId="0" borderId="43" xfId="0" applyNumberFormat="1" applyFont="1" applyBorder="1" applyAlignment="1">
      <alignment horizontal="center" vertical="center" wrapText="1"/>
    </xf>
    <xf numFmtId="166" fontId="16" fillId="0" borderId="43" xfId="0" applyNumberFormat="1" applyFont="1" applyBorder="1" applyAlignment="1">
      <alignment horizontal="center" vertical="center" wrapText="1"/>
    </xf>
    <xf numFmtId="42" fontId="15" fillId="0" borderId="43" xfId="0" applyNumberFormat="1" applyFont="1" applyBorder="1" applyAlignment="1">
      <alignment horizontal="center" vertical="center" wrapText="1"/>
    </xf>
    <xf numFmtId="166" fontId="15" fillId="0" borderId="43" xfId="0" applyNumberFormat="1" applyFont="1" applyBorder="1" applyAlignment="1">
      <alignment horizontal="center" vertical="center" wrapText="1"/>
    </xf>
    <xf numFmtId="0" fontId="15" fillId="0" borderId="43" xfId="0" applyFont="1" applyBorder="1" applyAlignment="1">
      <alignment horizontal="center" vertical="center" wrapText="1"/>
    </xf>
  </cellXfs>
  <cellStyles count="5">
    <cellStyle name="Currency" xfId="1" builtinId="4"/>
    <cellStyle name="Hyperlink" xfId="4" builtinId="8"/>
    <cellStyle name="Normal" xfId="0" builtinId="0"/>
    <cellStyle name="Normal 20" xfId="3" xr:uid="{B7DB083B-4BF6-427B-BB3D-9E53AD916401}"/>
    <cellStyle name="Percent" xfId="2" builtinId="5"/>
  </cellStyles>
  <dxfs count="106">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_(&quot;$&quot;* #,##0_);_(&quot;$&quot;* \(#,##0\);_(&quot;$&quot;* &quot;-&quot;??_);_(@_)"/>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_(&quot;$&quot;* #,##0_);_(&quot;$&quot;* \(#,##0\);_(&quot;$&quot;* &quot;-&quot;??_);_(@_)"/>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_(&quot;$&quot;* #,##0_);_(&quot;$&quot;* \(#,##0\);_(&quot;$&quot;* &quot;-&quot;??_);_(@_)"/>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_(&quot;$&quot;* #,##0_);_(&quot;$&quot;* \(#,##0\);_(&quot;$&quot;* &quot;-&quot;??_);_(@_)"/>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0" formatCode="00000000000"/>
    </dxf>
    <dxf>
      <border outline="0">
        <top style="thin">
          <color indexed="64"/>
        </top>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7" formatCode="&quot;$&quot;#,##0.00"/>
      <fill>
        <patternFill patternType="none">
          <bgColor auto="1"/>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thin">
          <color rgb="FF000000"/>
        </left>
      </border>
    </dxf>
    <dxf>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6" formatCode="0.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6" formatCode="0.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style="thin">
          <color indexed="64"/>
        </left>
        <right style="thin">
          <color indexed="64"/>
        </right>
        <top style="thin">
          <color indexed="64"/>
        </top>
        <bottom style="thin">
          <color indexed="64"/>
        </bottom>
        <vertical/>
        <horizontal/>
      </border>
    </dxf>
    <dxf>
      <border outline="0">
        <left style="thin">
          <color rgb="FF000000"/>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right style="medium">
          <color indexed="64"/>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4" formatCode="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outline="0">
        <left style="medium">
          <color indexed="64"/>
        </left>
        <right/>
        <top/>
        <bottom/>
      </border>
    </dxf>
    <dxf>
      <numFmt numFmtId="30" formatCode="@"/>
      <alignment horizontal="center" vertical="center" textRotation="0" wrapText="0" indent="0" justifyLastLine="0" shrinkToFit="0" readingOrder="0"/>
    </dxf>
    <dxf>
      <font>
        <color auto="1"/>
      </font>
      <alignment horizontal="center" vertical="center" textRotation="0" wrapText="0" indent="0" justifyLastLine="0" shrinkToFit="0" readingOrder="0"/>
    </dxf>
    <dxf>
      <numFmt numFmtId="30" formatCode="@"/>
      <alignment horizontal="center"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12"/>
        <color auto="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numFmt numFmtId="32" formatCode="_(&quot;$&quot;* #,##0_);_(&quot;$&quot;* \(#,##0\);_(&quot;$&quot;* &quot;-&quot;_);_(@_)"/>
      <border diagonalUp="0" diagonalDown="0">
        <left/>
        <right style="medium">
          <color indexed="64"/>
        </right>
        <top/>
        <bottom/>
        <vertical/>
        <horizontal/>
      </border>
    </dxf>
    <dxf>
      <numFmt numFmtId="3" formatCode="#,##0"/>
    </dxf>
    <dxf>
      <numFmt numFmtId="3" formatCode="#,##0"/>
    </dxf>
    <dxf>
      <numFmt numFmtId="3" formatCode="#,##0"/>
    </dxf>
    <dxf>
      <numFmt numFmtId="32" formatCode="_(&quot;$&quot;* #,##0_);_(&quot;$&quot;* \(#,##0\);_(&quot;$&quot;* &quot;-&quot;_);_(@_)"/>
      <border diagonalUp="0" diagonalDown="0">
        <left/>
        <right style="medium">
          <color indexed="64"/>
        </right>
        <top/>
        <bottom/>
        <vertical/>
        <horizontal/>
      </border>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rgb="FF000000"/>
        <name val="Calibri"/>
        <family val="2"/>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32" formatCode="_(&quot;$&quot;* #,##0_);_(&quot;$&quot;* \(#,##0\);_(&quot;$&quot;* &quot;-&quot;_);_(@_)"/>
      <fill>
        <patternFill patternType="none">
          <fgColor indexed="64"/>
          <bgColor indexed="65"/>
        </patternFill>
      </fill>
      <alignment horizontal="center" vertical="bottom" textRotation="0" wrapText="0" indent="0" justifyLastLine="0" shrinkToFit="0" readingOrder="0"/>
    </dxf>
    <dxf>
      <border diagonalUp="0" diagonalDown="0">
        <left/>
        <right style="thin">
          <color indexed="64"/>
        </right>
        <top/>
        <bottom/>
        <vertical/>
        <horizontal/>
      </border>
    </dxf>
    <dxf>
      <numFmt numFmtId="170" formatCode="00000000000"/>
    </dxf>
    <dxf>
      <border outline="0">
        <left style="thin">
          <color rgb="FF000000"/>
        </left>
      </border>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numFmt numFmtId="32" formatCode="_(&quot;$&quot;* #,##0_);_(&quot;$&quot;* \(#,##0\);_(&quot;$&quot;* &quot;-&quot;_);_(@_)"/>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70" formatCode="00000000000"/>
    </dxf>
    <dxf>
      <border outline="0">
        <left style="thin">
          <color indexed="64"/>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Light16">
    <tableStyle name="Invisible" pivot="0" table="0" count="0" xr9:uid="{DB49E743-9573-454A-B74F-BBE724087F24}"/>
  </tableStyles>
  <colors>
    <mruColors>
      <color rgb="FFFFFDCD"/>
      <color rgb="FFF2DC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3" Type="http://schemas.openxmlformats.org/officeDocument/2006/relationships/externalLinkPath" Target="https://ctgovexec.sharepoint.com/sites/DEEPEnergyTechPolicy/BTD/Building%20%20Transportation%20Documents/C&amp;LM/Equitable%20Distribution/2019-2022%20EDR/2021%20-%20ES%20-%20Equitable%20Distribution%20Reporting%20-%2016-245ee-2021%20Revised%20Filing.xlsx" TargetMode="External"/><Relationship Id="rId2" Type="http://schemas.microsoft.com/office/2019/04/relationships/externalLinkLongPath" Target="https://ctgovexec.sharepoint.com/sites/DEEPEnergyTechPolicy/BTD/Building%20%20Transportation%20Documents/C&amp;LM/Equitable%20Distribution/2019-2022%20EDR/2021%20-%20ES%20-%20Equitable%20Distribution%20Reporting%20-%2016-245ee-2021%20Revised%20Filing.xlsx?3599F65E" TargetMode="External"/><Relationship Id="rId1" Type="http://schemas.openxmlformats.org/officeDocument/2006/relationships/externalLinkPath" Target="file:///3599F65E/2021%20-%20ES%20-%20Equitable%20Distribution%20Reporting%20-%2016-245ee-2021%20Revised%20Filing.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ctgovexec.sharepoint.com/sites/DEEPEnergyTechPolicy/BTD/Building%20%20Transportation%20Documents/C&amp;LM/Equitable%20Distribution/2019-2022%20EDR/2021%20-%20UI%20-%20UI%20Equitable%20Distribution_FINAL.xlsx" TargetMode="External"/><Relationship Id="rId1" Type="http://schemas.openxmlformats.org/officeDocument/2006/relationships/externalLinkPath" Target="https://ctgovexec.sharepoint.com/sites/DEEPEnergyTechPolicy/BTD/Building%20%20Transportation%20Documents/C&amp;LM/Equitable%20Distribution/2019-2022%20EDR/2021%20-%20UI%20-%20UI%20Equitable%20Distribution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Cover Page"/>
      <sheetName val="1.) CLM Reference"/>
      <sheetName val="2.) Small Load"/>
      <sheetName val="3.) Large Load"/>
      <sheetName val="HES Report"/>
      <sheetName val="2021 - ES - Equitable Distribut"/>
    </sheetNames>
    <sheetDataSet>
      <sheetData sheetId="0"/>
      <sheetData sheetId="1">
        <row r="4">
          <cell r="B4">
            <v>92890424.46971707</v>
          </cell>
        </row>
        <row r="5">
          <cell r="B5">
            <v>124546319.02429999</v>
          </cell>
        </row>
      </sheetData>
      <sheetData sheetId="2">
        <row r="868">
          <cell r="H868">
            <v>44253449.255484052</v>
          </cell>
          <cell r="J868">
            <v>67612952.937499985</v>
          </cell>
          <cell r="L868">
            <v>14217560.758317005</v>
          </cell>
          <cell r="N868">
            <v>13245675.947999999</v>
          </cell>
        </row>
      </sheetData>
      <sheetData sheetId="3">
        <row r="278">
          <cell r="H278">
            <v>55627.592999999993</v>
          </cell>
          <cell r="J278">
            <v>0</v>
          </cell>
          <cell r="L278">
            <v>34363786.862916015</v>
          </cell>
          <cell r="N278">
            <v>43687690.13880001</v>
          </cell>
        </row>
      </sheetData>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Page"/>
      <sheetName val="1.) CLM Reference"/>
      <sheetName val="2.) Small Load"/>
      <sheetName val="3.) Large Load"/>
      <sheetName val="HES Report"/>
      <sheetName val="2021 - UI - UI Equitable Distri"/>
    </sheetNames>
    <sheetDataSet>
      <sheetData sheetId="0"/>
      <sheetData sheetId="1">
        <row r="4">
          <cell r="B4">
            <v>22535123.010000013</v>
          </cell>
        </row>
      </sheetData>
      <sheetData sheetId="2">
        <row r="334">
          <cell r="H334">
            <v>9920837.9213258997</v>
          </cell>
          <cell r="J334">
            <v>11519360.850000001</v>
          </cell>
          <cell r="L334">
            <v>3958438.8975956053</v>
          </cell>
          <cell r="N334">
            <v>11102064.709999997</v>
          </cell>
        </row>
      </sheetData>
      <sheetData sheetId="3">
        <row r="180">
          <cell r="H180">
            <v>116758.88376317247</v>
          </cell>
          <cell r="J180">
            <v>575682.91</v>
          </cell>
          <cell r="L180">
            <v>8539087.3073153365</v>
          </cell>
          <cell r="N180">
            <v>9193468.4000000004</v>
          </cell>
        </row>
      </sheetData>
      <sheetData sheetId="4"/>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72.502744328704" createdVersion="7" refreshedVersion="8" minRefreshableVersion="3" recordCount="934" xr:uid="{3378345A-F552-4E57-8DEF-D491B1C457AB}">
  <cacheSource type="worksheet">
    <worksheetSource name="Table3"/>
  </cacheSource>
  <cacheFields count="19">
    <cacheField name="Town" numFmtId="0">
      <sharedItems containsBlank="1"/>
    </cacheField>
    <cacheField name="Census Tract" numFmtId="0">
      <sharedItems containsString="0" containsBlank="1" containsNumber="1" containsInteger="1" minValue="9000016000" maxValue="9015908100" count="643">
        <n v="9013528100"/>
        <n v="9013529100"/>
        <n v="9015830100"/>
        <n v="9015902200"/>
        <n v="9003460302"/>
        <n v="9003462101"/>
        <n v="9003462102"/>
        <n v="9003462201"/>
        <n v="9003462202"/>
        <n v="9003330100"/>
        <n v="9005290100"/>
        <n v="9005320100"/>
        <n v="9009130101"/>
        <n v="9009341100"/>
        <n v="9003400100"/>
        <n v="9003400200"/>
        <n v="9003400300"/>
        <n v="9003490302"/>
        <n v="9009171600"/>
        <n v="9009161100"/>
        <n v="9001200100"/>
        <n v="9001200200"/>
        <n v="9001200301"/>
        <n v="9001200302"/>
        <n v="9001205300"/>
        <n v="9001210500"/>
        <n v="9001230400"/>
        <n v="9005303100"/>
        <n v="9005342100"/>
        <n v="9005362102"/>
        <n v="9003471100"/>
        <n v="9003471200"/>
        <n v="9003471300"/>
        <n v="9003471400"/>
        <n v="9003471500"/>
        <n v="9003473100"/>
        <n v="9003473501"/>
        <n v="9003503900"/>
        <n v="9003514900"/>
        <n v="9013530600"/>
        <n v="9009184100"/>
        <n v="9009184200"/>
        <n v="9009184300"/>
        <n v="9009184400"/>
        <n v="9009184500"/>
        <n v="9009184600"/>
        <n v="9009184700"/>
        <n v="9005250100"/>
        <n v="9005268100"/>
        <n v="9003405100"/>
        <n v="9003405200"/>
        <n v="9003405300"/>
        <n v="9003405401"/>
        <n v="9003405402"/>
        <n v="9003405500"/>
        <n v="9003405600"/>
        <n v="9003405700"/>
        <n v="9003405800"/>
        <n v="9003405900"/>
        <n v="9003406001"/>
        <n v="9003406002"/>
        <n v="9003406100"/>
        <n v="9003410101"/>
        <n v="9003420500"/>
        <n v="9003430601"/>
        <n v="9005425400"/>
        <n v="9001205100"/>
        <n v="9001205200"/>
        <n v="9001211400"/>
        <n v="9005253400"/>
        <n v="9015905100"/>
        <n v="9003410102"/>
        <n v="9005260200"/>
        <n v="9005425600"/>
        <n v="9015825000"/>
        <n v="9015906100"/>
        <n v="9003464101"/>
        <n v="9003464102"/>
        <n v="9003466102"/>
        <n v="9003466202"/>
        <n v="9015815000"/>
        <n v="9009166002"/>
        <n v="9009343101"/>
        <n v="9009343102"/>
        <n v="9009343200"/>
        <n v="9009343300"/>
        <n v="9009343400"/>
        <n v="9009347100"/>
        <n v="9007600100"/>
        <n v="9007610100"/>
        <n v="9007610200"/>
        <n v="9007610300"/>
        <n v="9007610400"/>
        <n v="9007550201"/>
        <n v="9007595101"/>
        <n v="9011714101"/>
        <n v="9011714103"/>
        <n v="9011714104"/>
        <n v="9011715100"/>
        <n v="9011870100"/>
        <n v="9013526101"/>
        <n v="9005293100"/>
        <n v="9013850200"/>
        <n v="9013860100"/>
        <n v="9005262100"/>
        <n v="9005263200"/>
        <n v="9005265100"/>
        <n v="9013850100"/>
        <n v="9007570100"/>
        <n v="9007570200"/>
        <n v="9007570300"/>
        <n v="9001210100"/>
        <n v="9001210200"/>
        <n v="9001210300"/>
        <n v="9001210400"/>
        <n v="9001210600"/>
        <n v="9001210701"/>
        <n v="9001210702"/>
        <n v="9001210800"/>
        <n v="9001210900"/>
        <n v="9001211000"/>
        <n v="9001211100"/>
        <n v="9001211200"/>
        <n v="9001211300"/>
        <n v="9001220200"/>
        <n v="9001240100"/>
        <n v="9001245200"/>
        <n v="9001245600"/>
        <n v="9001030100"/>
        <n v="9001030200"/>
        <n v="9001030300"/>
        <n v="9001030400"/>
        <n v="9001030500"/>
        <n v="9007620100"/>
        <n v="9007585100"/>
        <n v="9009190303"/>
        <n v="9003470100"/>
        <n v="9003477101"/>
        <n v="9007595102"/>
        <n v="9007550100"/>
        <n v="9007550202"/>
        <n v="9007590100"/>
        <n v="9003510100"/>
        <n v="9003510200"/>
        <n v="9003510300"/>
        <n v="9003510400"/>
        <n v="9003510500"/>
        <n v="9003510600"/>
        <n v="9003510700"/>
        <n v="9003510800"/>
        <n v="9003510900"/>
        <n v="9003511000"/>
        <n v="9003511100"/>
        <n v="9003511200"/>
        <n v="9003511300"/>
        <n v="9003511400"/>
        <n v="9003514102"/>
        <n v="9011695202"/>
        <n v="9011716101"/>
        <n v="9011716102"/>
        <n v="9011870701"/>
        <n v="9011870703"/>
        <n v="9011870704"/>
        <n v="9003484100"/>
        <n v="9003484200"/>
        <n v="9003487100"/>
        <n v="9013535100"/>
        <n v="9013535200"/>
        <n v="9013538201"/>
        <n v="9013538202"/>
        <n v="9003480300"/>
        <n v="9003480400"/>
        <n v="9003480500"/>
        <n v="9003480600"/>
        <n v="9003480700"/>
        <n v="9003480800"/>
        <n v="9003480900"/>
        <n v="9003481000"/>
        <n v="9003481100"/>
        <n v="9003481200"/>
        <n v="9003481300"/>
        <n v="9003524300"/>
        <n v="9007630100"/>
        <n v="9007670100"/>
        <n v="9003420600"/>
        <n v="9003460100"/>
        <n v="9003460202"/>
        <n v="9003460203"/>
        <n v="9003460204"/>
        <n v="9003460301"/>
        <n v="9003496200"/>
        <n v="9011712100"/>
        <n v="9003520100"/>
        <n v="9003520201"/>
        <n v="9003520202"/>
        <n v="9003520301"/>
        <n v="9003520302"/>
        <n v="9003520400"/>
        <n v="9003520501"/>
        <n v="9007560100"/>
        <n v="9005296100"/>
        <n v="9003468101"/>
        <n v="9003468102"/>
        <n v="9001010101"/>
        <n v="9001010102"/>
        <n v="9001010201"/>
        <n v="9001010202"/>
        <n v="9001010300"/>
        <n v="9001010400"/>
        <n v="9001010500"/>
        <n v="9001010600"/>
        <n v="9001010700"/>
        <n v="9001010800"/>
        <n v="9001010900"/>
        <n v="9001011000"/>
        <n v="9001011100"/>
        <n v="9001011200"/>
        <n v="9001011300"/>
        <n v="9001020200"/>
        <n v="9001021400"/>
        <n v="9011709100"/>
        <n v="9011709200"/>
        <n v="9011702100"/>
        <n v="9011702400"/>
        <n v="9011702600"/>
        <n v="9011702700"/>
        <n v="9011702800"/>
        <n v="9011702900"/>
        <n v="9011703000"/>
        <n v="9011870200"/>
        <n v="9009190100"/>
        <n v="9009190200"/>
        <n v="9009190301"/>
        <n v="9009190302"/>
        <n v="9009194201"/>
        <n v="9015820000"/>
        <n v="9003500100"/>
        <n v="9003500200"/>
        <n v="9003500300"/>
        <n v="9003500400"/>
        <n v="9003500500"/>
        <n v="9003500900"/>
        <n v="9003501200"/>
        <n v="9003501300"/>
        <n v="9003501400"/>
        <n v="9003501500"/>
        <n v="9003501700"/>
        <n v="9003501800"/>
        <n v="9003502100"/>
        <n v="9003502300"/>
        <n v="9003502400"/>
        <n v="9003502500"/>
        <n v="9003502600"/>
        <n v="9003502700"/>
        <n v="9003502800"/>
        <n v="9003502900"/>
        <n v="9003503000"/>
        <n v="9003503100"/>
        <n v="9003503300"/>
        <n v="9003503500"/>
        <n v="9003503700"/>
        <n v="9003503800"/>
        <n v="9003504000"/>
        <n v="9003504100"/>
        <n v="9003504200"/>
        <n v="9003504300"/>
        <n v="9003504500"/>
        <n v="9003504800"/>
        <n v="9003504900"/>
        <n v="9003524400"/>
        <n v="9003524501"/>
        <n v="9003524502"/>
        <n v="9003524600"/>
        <n v="9003524700"/>
        <n v="9005298300"/>
        <n v="9005298400"/>
        <n v="9005310400"/>
        <n v="9005349200"/>
        <n v="9005425300"/>
        <n v="9013526102"/>
        <n v="9005253500"/>
        <n v="9005266100"/>
        <n v="9015904100"/>
        <n v="9015904400"/>
        <n v="9015904500"/>
        <n v="9015907100"/>
        <n v="9015907200"/>
        <n v="9015908100"/>
        <n v="9007640100"/>
        <n v="9011701100"/>
        <n v="9011701200"/>
        <n v="9011980000"/>
        <n v="9011710100"/>
        <n v="9005300100"/>
        <n v="9005300400"/>
        <n v="9005300500"/>
        <n v="9005349100"/>
        <n v="9011650100"/>
        <n v="9009194100"/>
        <n v="9009194202"/>
        <n v="9003487201"/>
        <n v="9003487500"/>
        <n v="9003514101"/>
        <n v="9003514200"/>
        <n v="9003514300"/>
        <n v="9003514400"/>
        <n v="9003514500"/>
        <n v="9003514600"/>
        <n v="9003514700"/>
        <n v="9003514800"/>
        <n v="9003515000"/>
        <n v="9003515101"/>
        <n v="9003515102"/>
        <n v="9003515200"/>
        <n v="9013840100"/>
        <n v="9013881100"/>
        <n v="9013881200"/>
        <n v="9013881300"/>
        <n v="9013881500"/>
        <n v="9003524100"/>
        <n v="9003430301"/>
        <n v="9009170100"/>
        <n v="9009170200"/>
        <n v="9009170300"/>
        <n v="9009170400"/>
        <n v="9009170500"/>
        <n v="9009170600"/>
        <n v="9009170700"/>
        <n v="9009170800"/>
        <n v="9009170900"/>
        <n v="9009171000"/>
        <n v="9009171100"/>
        <n v="9009171200"/>
        <n v="9009171300"/>
        <n v="9009171400"/>
        <n v="9009171500"/>
        <n v="9009171700"/>
        <n v="9009175400"/>
        <n v="9009175700"/>
        <n v="9009344100"/>
        <n v="9009344200"/>
        <n v="9009345400"/>
        <n v="9007580100"/>
        <n v="9007541100"/>
        <n v="9007541200"/>
        <n v="9007541300"/>
        <n v="9007541401"/>
        <n v="9007541402"/>
        <n v="9007541500"/>
        <n v="9007541600"/>
        <n v="9007541700"/>
        <n v="9007542000"/>
        <n v="9007542100"/>
        <n v="9007542200"/>
        <n v="9007680200"/>
        <n v="9001100100"/>
        <n v="9001100200"/>
        <n v="9001100300"/>
        <n v="9001105200"/>
        <n v="9001110500"/>
        <n v="9011693600"/>
        <n v="9011695201"/>
        <n v="9011870501"/>
        <n v="9011870502"/>
        <n v="9009345100"/>
        <n v="9009345201"/>
        <n v="9009345202"/>
        <n v="9009345300"/>
        <n v="9009346102"/>
        <n v="9009347200"/>
        <n v="9003415300"/>
        <n v="9003415400"/>
        <n v="9003415500"/>
        <n v="9003415600"/>
        <n v="9003415700"/>
        <n v="9003415800"/>
        <n v="9003415900"/>
        <n v="9003416000"/>
        <n v="9003416100"/>
        <n v="9003416200"/>
        <n v="9003416300"/>
        <n v="9003416400"/>
        <n v="9003416500"/>
        <n v="9003416600"/>
        <n v="9003416700"/>
        <n v="9003416800"/>
        <n v="9003417100"/>
        <n v="9003417200"/>
        <n v="9003417300"/>
        <n v="9003417400"/>
        <n v="9003417500"/>
        <n v="9003494300"/>
        <n v="9001035100"/>
        <n v="9001035200"/>
        <n v="9001035300"/>
        <n v="9001035400"/>
        <n v="9001220100"/>
        <n v="9001220300"/>
        <n v="9001257100"/>
        <n v="9005306100"/>
        <n v="9011690300"/>
        <n v="9011690400"/>
        <n v="9011690500"/>
        <n v="9011690700"/>
        <n v="9011690800"/>
        <n v="9011690900"/>
        <n v="9011693400"/>
        <n v="9011870300"/>
        <n v="9005253100"/>
        <n v="9005253200"/>
        <n v="9005253300"/>
        <n v="9005253600"/>
        <n v="9005267100"/>
        <n v="9003492600"/>
        <n v="9003494100"/>
        <n v="9003494201"/>
        <n v="9003494202"/>
        <n v="9003494400"/>
        <n v="9003494500"/>
        <n v="9003494600"/>
        <n v="9001230100"/>
        <n v="9001230200"/>
        <n v="9001230300"/>
        <n v="9001230501"/>
        <n v="9001230502"/>
        <n v="9011707100"/>
        <n v="9011708100"/>
        <n v="9001042500"/>
        <n v="9001042600"/>
        <n v="9001042700"/>
        <n v="9001042800"/>
        <n v="9001042900"/>
        <n v="9001043000"/>
        <n v="9001043100"/>
        <n v="9001043200"/>
        <n v="9001043300"/>
        <n v="9001043400"/>
        <n v="9001043500"/>
        <n v="9001043600"/>
        <n v="9001043700"/>
        <n v="9001043800"/>
        <n v="9001043900"/>
        <n v="9001044000"/>
        <n v="9001044200"/>
        <n v="9001044300"/>
        <n v="9001044400"/>
        <n v="9001044500"/>
        <n v="9001044600"/>
        <n v="9001045300"/>
        <n v="9001045400"/>
        <n v="9011660101"/>
        <n v="9011660102"/>
        <n v="9007670200"/>
        <n v="9009346101"/>
        <n v="9015907300"/>
        <n v="9003420400"/>
        <n v="9003420700"/>
        <n v="9005425500"/>
        <n v="9015901100"/>
        <n v="9015902500"/>
        <n v="9007560200"/>
        <n v="9011700100"/>
        <n v="9009352800"/>
        <n v="9015903100"/>
        <n v="9015903200"/>
        <n v="9001055100"/>
        <n v="9001240200"/>
        <n v="9001245100"/>
        <n v="9001245300"/>
        <n v="9001245400"/>
        <n v="9001245500"/>
        <n v="9003490100"/>
        <n v="9003524200"/>
        <n v="9005261100"/>
        <n v="9009120200"/>
        <n v="9009125300"/>
        <n v="9009125400"/>
        <n v="9009130102"/>
        <n v="9009130200"/>
        <n v="9003466101"/>
        <n v="9003466201"/>
        <n v="9003466300"/>
        <n v="9003466400"/>
        <n v="9013890202"/>
        <n v="9003487202"/>
        <n v="9003487300"/>
        <n v="9003487400"/>
        <n v="9009348111"/>
        <n v="9009348122"/>
        <n v="9009348123"/>
        <n v="9009348124"/>
        <n v="9009348125"/>
        <n v="9003430100"/>
        <n v="9003430201"/>
        <n v="9003430202"/>
        <n v="9003430203"/>
        <n v="9003430302"/>
        <n v="9003430400"/>
        <n v="9003430500"/>
        <n v="9003430602"/>
        <n v="9011711100"/>
        <n v="9013890100"/>
        <n v="9013890201"/>
        <n v="9001020100"/>
        <n v="9001020300"/>
        <n v="9001020400"/>
        <n v="9001020500"/>
        <n v="9001020600"/>
        <n v="9001020700"/>
        <n v="9001020800"/>
        <n v="9001020900"/>
        <n v="9001021000"/>
        <n v="9001021100"/>
        <n v="9001021200"/>
        <n v="9001021300"/>
        <n v="9001021500"/>
        <n v="9001021600"/>
        <n v="9001021700"/>
        <n v="9001021801"/>
        <n v="9001021802"/>
        <n v="9001021900"/>
        <n v="9001022000"/>
        <n v="9001022100"/>
        <n v="9001022200"/>
        <n v="9001022300"/>
        <n v="9001022400"/>
        <n v="9011705101"/>
        <n v="9011705102"/>
        <n v="9011705200"/>
        <n v="9011705300"/>
        <n v="9011705400"/>
        <n v="9003477102"/>
        <n v="9003477200"/>
        <n v="9015900100"/>
        <n v="9015900200"/>
        <n v="9013533101"/>
        <n v="9013533102"/>
        <n v="9005310100"/>
        <n v="9005310200"/>
        <n v="9005310300"/>
        <n v="9005310500"/>
        <n v="9005310601"/>
        <n v="9005310602"/>
        <n v="9005310700"/>
        <n v="9005310801"/>
        <n v="9005310803"/>
        <n v="9005310804"/>
        <n v="9005320200"/>
        <n v="9013530100"/>
        <n v="9013530200"/>
        <n v="9013530301"/>
        <n v="9013530302"/>
        <n v="9013530400"/>
        <n v="9013530500"/>
        <n v="9009350100"/>
        <n v="9009350200"/>
        <n v="9009350300"/>
        <n v="9009350400"/>
        <n v="9009350500"/>
        <n v="9009350800"/>
        <n v="9009350900"/>
        <n v="9009351000"/>
        <n v="9009351100"/>
        <n v="9009351200"/>
        <n v="9009351300"/>
        <n v="9009351400"/>
        <n v="9009351500"/>
        <n v="9009351601"/>
        <n v="9009351602"/>
        <n v="9009351700"/>
        <n v="9009351800"/>
        <n v="9009351900"/>
        <n v="9009352000"/>
        <n v="9009352100"/>
        <n v="9009352200"/>
        <n v="9009352300"/>
        <n v="9009352400"/>
        <n v="9009352500"/>
        <n v="9009352600"/>
        <n v="9009352701"/>
        <n v="9009352702"/>
        <n v="9009361100"/>
        <n v="9011693300"/>
        <n v="9011693500"/>
        <n v="9011693700"/>
        <n v="9005360100"/>
        <n v="9005360200"/>
        <n v="9005360300"/>
        <n v="9005360400"/>
        <n v="9003496100"/>
        <n v="9003496300"/>
        <n v="9003496400"/>
        <n v="9003496500"/>
        <n v="9003496600"/>
        <n v="9003496700"/>
        <n v="9003496800"/>
        <n v="9003496900"/>
        <n v="9003497000"/>
        <n v="9003497100"/>
        <n v="9003497200"/>
        <n v="9003497300"/>
        <n v="9003497400"/>
        <n v="9003497500"/>
        <n v="9003497600"/>
        <n v="9003497700"/>
        <n v="9007680100"/>
        <n v="9001050100"/>
        <n v="9001050300"/>
        <n v="9001055200"/>
        <n v="9001050200"/>
        <n v="9001050400"/>
        <n v="9001050500"/>
        <n v="9001050600"/>
        <n v="9001060400"/>
        <n v="9003492100"/>
        <n v="9003492200"/>
        <n v="9003492300"/>
        <n v="9003492400"/>
        <n v="9003492500"/>
        <n v="9001045101"/>
        <n v="9001045102"/>
        <n v="9001045200"/>
        <n v="9015800300"/>
        <n v="9015800400"/>
        <n v="9015800500"/>
        <n v="9015800600"/>
        <n v="9015800700"/>
        <n v="9003473400"/>
        <n v="9003473502"/>
        <n v="9003473601"/>
        <n v="9003473602"/>
        <n v="9003473700"/>
        <n v="9003473800"/>
        <n v="9003476100"/>
        <n v="9003476200"/>
        <n v="9003476300"/>
        <n v="9009361200"/>
        <n v="9009361300"/>
        <n v="9005362101"/>
        <m/>
        <n v="9000016000" u="1"/>
        <n v="9011697000" u="1"/>
        <n v="9001105100" u="1"/>
      </sharedItems>
    </cacheField>
    <cacheField name="Distressed Tract1" numFmtId="0">
      <sharedItems containsBlank="1"/>
    </cacheField>
    <cacheField name="CLM $ Collected " numFmtId="0">
      <sharedItems containsString="0" containsBlank="1" containsNumber="1" minValue="1.1157300000000001" maxValue="58471010.013801031"/>
    </cacheField>
    <cacheField name="% of Total CLM $ Collected " numFmtId="0">
      <sharedItems containsString="0" containsBlank="1" containsNumber="1" minValue="1.2011248805992224E-8" maxValue="0.62946218996838565"/>
    </cacheField>
    <cacheField name="Incentive Disbursements" numFmtId="0">
      <sharedItems containsString="0" containsBlank="1" containsNumber="1" minValue="0" maxValue="80858628.885499969"/>
    </cacheField>
    <cacheField name="% of Total Incentive Disbursements" numFmtId="0">
      <sharedItems containsString="0" containsBlank="1" containsNumber="1" minValue="0" maxValue="0.64922536064453096"/>
    </cacheField>
    <cacheField name="Residential CLM $ Collected" numFmtId="0">
      <sharedItems containsString="0" containsBlank="1" containsNumber="1" minValue="1.1157300000000001" maxValue="44253449.255484052"/>
    </cacheField>
    <cacheField name="% of Total Residential CLM $ Collected" numFmtId="0">
      <sharedItems containsString="0" containsBlank="1" containsNumber="1" minValue="1.2011248805992224E-8" maxValue="0.47640485559317242"/>
    </cacheField>
    <cacheField name="Residential Incentive Disbursements" numFmtId="0">
      <sharedItems containsString="0" containsBlank="1" containsNumber="1" minValue="0" maxValue="67612952.937499985"/>
    </cacheField>
    <cacheField name="% of Total Residential Incentive Disbursements " numFmtId="0">
      <sharedItems containsString="0" containsBlank="1" containsNumber="1" minValue="0" maxValue="0.54287395618900747"/>
    </cacheField>
    <cacheField name="C&amp;I CLM $ Collected" numFmtId="0">
      <sharedItems containsString="0" containsBlank="1" containsNumber="1" minValue="-26416.472669999999" maxValue="14217560.758317005"/>
    </cacheField>
    <cacheField name="% of Total C&amp;I CLM $ Collected" numFmtId="0">
      <sharedItems containsString="0" containsBlank="1" containsNumber="1" minValue="-2.8438316242824314E-4" maxValue="0.15305733437521354"/>
    </cacheField>
    <cacheField name="C&amp;I Incentive Disbursements" numFmtId="0">
      <sharedItems containsString="0" containsBlank="1" containsNumber="1" minValue="0" maxValue="13245675.947999999"/>
    </cacheField>
    <cacheField name="% of TotalC&amp;I Incentive Disbursements " numFmtId="0">
      <sharedItems containsString="0" containsBlank="1" containsNumber="1" minValue="0" maxValue="0.10635140445552357"/>
    </cacheField>
    <cacheField name="Affluence Rank " numFmtId="0">
      <sharedItems containsNonDate="0" containsString="0" containsBlank="1"/>
    </cacheField>
    <cacheField name="BIPOC Index" numFmtId="0">
      <sharedItems containsMixedTypes="1" containsNumber="1" containsInteger="1" minValue="1" maxValue="5"/>
    </cacheField>
    <cacheField name="Energy Burdened?" numFmtId="0">
      <sharedItems/>
    </cacheField>
    <cacheField name="Ratio of Billed Collects to Incentiv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4">
  <r>
    <s v="ANDOVER"/>
    <x v="0"/>
    <s v="No"/>
    <n v="64257.906068999997"/>
    <n v="6.9176028030691714E-4"/>
    <n v="88733.099999999991"/>
    <n v="7.1245060227502542E-4"/>
    <n v="55790.391530999994"/>
    <n v="6.006043340795375E-4"/>
    <n v="85449.9"/>
    <n v="6.8608932539650593E-4"/>
    <n v="8467.5145380000013"/>
    <n v="9.1155946227379657E-5"/>
    <n v="3283.2"/>
    <n v="2.6361276878519556E-5"/>
    <m/>
    <n v="1"/>
    <s v="No"/>
    <m/>
  </r>
  <r>
    <s v="ANDOVER"/>
    <x v="1"/>
    <s v="No"/>
    <n v="575.90988000000004"/>
    <n v="6.1998842538151033E-6"/>
    <n v="0"/>
    <n v="0"/>
    <n v="575.90988000000004"/>
    <n v="6.1998842538151033E-6"/>
    <n v="0"/>
    <n v="0"/>
    <n v="0"/>
    <n v="0"/>
    <n v="0"/>
    <n v="0"/>
    <m/>
    <n v="2"/>
    <s v="No"/>
    <m/>
  </r>
  <r>
    <s v="ASHFORD"/>
    <x v="2"/>
    <s v="No"/>
    <n v="95083.326870000004"/>
    <n v="1.0236074106970824E-3"/>
    <n v="102956.12000000001"/>
    <n v="8.2664924027110297E-4"/>
    <n v="73987.89615"/>
    <n v="7.9650724574006633E-4"/>
    <n v="77087.600000000006"/>
    <n v="6.1894723668998674E-4"/>
    <n v="21095.43072"/>
    <n v="2.2710016495701619E-4"/>
    <n v="25868.52"/>
    <n v="2.0770200358111621E-4"/>
    <m/>
    <n v="4"/>
    <s v="No"/>
    <m/>
  </r>
  <r>
    <s v="ASHFORD"/>
    <x v="3"/>
    <s v="No"/>
    <n v="945.84441000000004"/>
    <n v="1.0182367185848655E-5"/>
    <n v="0"/>
    <n v="0"/>
    <n v="945.84441000000004"/>
    <n v="1.0182367185848655E-5"/>
    <n v="0"/>
    <n v="0"/>
    <n v="0"/>
    <n v="0"/>
    <n v="0"/>
    <n v="0"/>
    <m/>
    <n v="2"/>
    <s v="No"/>
    <m/>
  </r>
  <r>
    <s v="AVON"/>
    <x v="4"/>
    <s v="No"/>
    <n v="776.70747000000006"/>
    <n v="8.3615450616571589E-6"/>
    <n v="0"/>
    <n v="0"/>
    <n v="776.70747000000006"/>
    <n v="8.3615450616571589E-6"/>
    <n v="0"/>
    <n v="0"/>
    <n v="0"/>
    <n v="0"/>
    <n v="0"/>
    <n v="0"/>
    <m/>
    <n v="3"/>
    <s v="No"/>
    <m/>
  </r>
  <r>
    <s v="AVON"/>
    <x v="5"/>
    <s v="No"/>
    <n v="306754.268415"/>
    <n v="3.302323895774683E-3"/>
    <n v="432157.93000000005"/>
    <n v="3.4698571052564193E-3"/>
    <n v="196817.73810300001"/>
    <n v="2.1188162205800229E-3"/>
    <n v="375422.65"/>
    <n v="3.0143215226357033E-3"/>
    <n v="109936.53031199999"/>
    <n v="1.1835076751946598E-3"/>
    <n v="56735.28"/>
    <n v="4.5553558262071547E-4"/>
    <m/>
    <n v="4"/>
    <s v="No"/>
    <m/>
  </r>
  <r>
    <s v="AVON"/>
    <x v="6"/>
    <s v="No"/>
    <n v="57179.861297999996"/>
    <n v="6.1556249338316923E-4"/>
    <n v="49088.42"/>
    <n v="3.9413786280124784E-4"/>
    <n v="57179.861297999996"/>
    <n v="6.1556249338316923E-4"/>
    <n v="49088.42"/>
    <n v="3.9413786280124784E-4"/>
    <n v="0"/>
    <n v="0"/>
    <n v="0"/>
    <n v="0"/>
    <m/>
    <n v="4"/>
    <s v="No"/>
    <m/>
  </r>
  <r>
    <s v="AVON"/>
    <x v="7"/>
    <s v="No"/>
    <n v="67397.061690000002"/>
    <n v="7.2555445918940677E-4"/>
    <n v="81553.58"/>
    <n v="6.5480522137381062E-4"/>
    <n v="67397.061690000002"/>
    <n v="7.2555445918940677E-4"/>
    <n v="81553.58"/>
    <n v="6.5480522137381062E-4"/>
    <n v="0"/>
    <n v="0"/>
    <n v="0"/>
    <n v="0"/>
    <m/>
    <n v="4"/>
    <s v="No"/>
    <m/>
  </r>
  <r>
    <s v="AVON"/>
    <x v="8"/>
    <s v="No"/>
    <n v="43185.953495999995"/>
    <n v="4.6491286634263272E-4"/>
    <n v="22208.27"/>
    <n v="1.7831333895678594E-4"/>
    <n v="43185.953495999995"/>
    <n v="4.6491286634263272E-4"/>
    <n v="22208.27"/>
    <n v="1.7831333895678594E-4"/>
    <n v="0"/>
    <n v="0"/>
    <n v="0"/>
    <n v="0"/>
    <m/>
    <n v="5"/>
    <s v="No"/>
    <m/>
  </r>
  <r>
    <s v="BARKHAMSTED"/>
    <x v="9"/>
    <s v="No"/>
    <n v="720.82581899999991"/>
    <n v="7.7599582854204117E-6"/>
    <n v="2097.5"/>
    <n v="1.6841123980474772E-5"/>
    <n v="720.82581899999991"/>
    <n v="7.7599582854204117E-6"/>
    <n v="2097.5"/>
    <n v="1.6841123980474772E-5"/>
    <n v="0"/>
    <n v="0"/>
    <n v="0"/>
    <n v="0"/>
    <m/>
    <n v="3"/>
    <s v="No"/>
    <m/>
  </r>
  <r>
    <s v="BARKHAMSTED"/>
    <x v="10"/>
    <s v="No"/>
    <n v="68706.256374000004"/>
    <n v="7.3964842734030917E-4"/>
    <n v="110838.13499999999"/>
    <n v="8.8993505282460071E-4"/>
    <n v="61177.339314000004"/>
    <n v="6.5859683237796214E-4"/>
    <n v="70016.994999999995"/>
    <n v="5.6217634971884726E-4"/>
    <n v="7528.9170599999998"/>
    <n v="8.1051594962347056E-5"/>
    <n v="40821.14"/>
    <n v="3.2775870310575351E-4"/>
    <m/>
    <n v="2"/>
    <s v="No"/>
    <m/>
  </r>
  <r>
    <s v="BARKHAMSTED"/>
    <x v="11"/>
    <s v="No"/>
    <n v="76.685910000000007"/>
    <n v="8.2555236923263442E-7"/>
    <n v="0"/>
    <n v="0"/>
    <n v="76.685910000000007"/>
    <n v="8.2555236923263442E-7"/>
    <n v="0"/>
    <n v="0"/>
    <n v="0"/>
    <n v="0"/>
    <n v="0"/>
    <n v="0"/>
    <m/>
    <n v="1"/>
    <s v="No"/>
    <m/>
  </r>
  <r>
    <s v="BEACON FALLS"/>
    <x v="12"/>
    <s v="No"/>
    <n v="193.32075"/>
    <n v="2.0811698418174836E-6"/>
    <n v="0"/>
    <n v="0"/>
    <n v="193.32075"/>
    <n v="2.0811698418174836E-6"/>
    <n v="0"/>
    <n v="0"/>
    <n v="0"/>
    <n v="0"/>
    <n v="0"/>
    <n v="0"/>
    <m/>
    <n v="2"/>
    <s v="No"/>
    <m/>
  </r>
  <r>
    <s v="BEACON FALLS"/>
    <x v="13"/>
    <s v="No"/>
    <n v="115551.63232199999"/>
    <n v="1.2439563386823648E-3"/>
    <n v="100105.77500000001"/>
    <n v="8.0376341737140033E-4"/>
    <n v="96034.123961999998"/>
    <n v="1.0338430953484102E-3"/>
    <n v="92090.695000000007"/>
    <n v="7.3940920712423758E-4"/>
    <n v="19517.50836"/>
    <n v="2.1011324333395466E-4"/>
    <n v="8015.08"/>
    <n v="6.4354210247162685E-5"/>
    <m/>
    <n v="1"/>
    <s v="No"/>
    <m/>
  </r>
  <r>
    <s v="BERLIN"/>
    <x v="14"/>
    <s v="No"/>
    <n v="80702.211974999998"/>
    <n v="8.6878935515371104E-4"/>
    <n v="9430995.9049999993"/>
    <n v="7.5722799187344397E-2"/>
    <n v="80702.211974999998"/>
    <n v="8.6878935515371104E-4"/>
    <n v="9430995.9049999993"/>
    <n v="7.5722799187344397E-2"/>
    <n v="0"/>
    <n v="0"/>
    <n v="0"/>
    <n v="0"/>
    <m/>
    <n v="2"/>
    <s v="No"/>
    <m/>
  </r>
  <r>
    <s v="BERLIN"/>
    <x v="15"/>
    <s v="No"/>
    <n v="303085.70663700002"/>
    <n v="3.2628304625285471E-3"/>
    <n v="297680.61499999999"/>
    <n v="2.3901197348266882E-3"/>
    <n v="160942.59528900002"/>
    <n v="1.7326069528454833E-3"/>
    <n v="200501.44500000001"/>
    <n v="1.6098544426742997E-3"/>
    <n v="142143.11134800001"/>
    <n v="1.5302235096830638E-3"/>
    <n v="97179.17"/>
    <n v="7.8026529215238837E-4"/>
    <m/>
    <n v="2"/>
    <s v="No"/>
    <m/>
  </r>
  <r>
    <s v="BERLIN"/>
    <x v="16"/>
    <s v="No"/>
    <n v="72218.16"/>
    <n v="7.774553772605876E-4"/>
    <n v="55554.89"/>
    <n v="4.4605806446323628E-4"/>
    <n v="72218.16"/>
    <n v="7.774553772605876E-4"/>
    <n v="55554.89"/>
    <n v="4.4605806446323628E-4"/>
    <n v="0"/>
    <n v="0"/>
    <n v="0"/>
    <n v="0"/>
    <m/>
    <n v="2"/>
    <s v="No"/>
    <m/>
  </r>
  <r>
    <s v="BERLIN"/>
    <x v="17"/>
    <s v="No"/>
    <n v="27.2895"/>
    <n v="2.9378162664006955E-7"/>
    <n v="0"/>
    <n v="0"/>
    <n v="27.2895"/>
    <n v="2.9378162664006955E-7"/>
    <n v="0"/>
    <n v="0"/>
    <n v="0"/>
    <n v="0"/>
    <n v="0"/>
    <n v="0"/>
    <m/>
    <n v="5"/>
    <s v="No"/>
    <m/>
  </r>
  <r>
    <s v="BERLIN"/>
    <x v="18"/>
    <s v="No"/>
    <n v="100.06311000000001"/>
    <n v="1.0772166299296143E-6"/>
    <n v="0"/>
    <n v="0"/>
    <n v="100.06311000000001"/>
    <n v="1.0772166299296143E-6"/>
    <n v="0"/>
    <n v="0"/>
    <n v="0"/>
    <n v="0"/>
    <n v="0"/>
    <n v="0"/>
    <m/>
    <n v="3"/>
    <s v="No"/>
    <m/>
  </r>
  <r>
    <s v="BETHANY"/>
    <x v="19"/>
    <s v="No"/>
    <n v="116033.70979200001"/>
    <n v="1.2491460821112709E-3"/>
    <n v="229057.21"/>
    <n v="1.839132716201023E-3"/>
    <n v="99671.70515400001"/>
    <n v="1.0730030110530249E-3"/>
    <n v="212578.21"/>
    <n v="1.7068204959034097E-3"/>
    <n v="16362.004638"/>
    <n v="1.7614307105824593E-4"/>
    <n v="16479"/>
    <n v="1.3231222029761323E-4"/>
    <m/>
    <n v="4"/>
    <s v="No"/>
    <m/>
  </r>
  <r>
    <s v="BETHEL"/>
    <x v="20"/>
    <s v="No"/>
    <n v="248449.77397800001"/>
    <n v="2.6746543079797895E-3"/>
    <n v="188091.53"/>
    <n v="1.5102134810046199E-3"/>
    <n v="152692.95190800002"/>
    <n v="1.6437964707307262E-3"/>
    <n v="126364.43"/>
    <n v="1.0145978700128848E-3"/>
    <n v="95756.822069999995"/>
    <n v="1.0308578372490631E-3"/>
    <n v="61727.1"/>
    <n v="4.956156109917351E-4"/>
    <m/>
    <n v="4"/>
    <s v="No"/>
    <m/>
  </r>
  <r>
    <s v="BETHEL"/>
    <x v="21"/>
    <s v="No"/>
    <n v="67328.306639999995"/>
    <n v="7.2481428548051786E-4"/>
    <n v="118956.015"/>
    <n v="9.5511465880248714E-4"/>
    <n v="67328.166570000001"/>
    <n v="7.2481277757482367E-4"/>
    <n v="118956.015"/>
    <n v="9.5511465880248714E-4"/>
    <n v="0.14007"/>
    <n v="1.507905694258764E-9"/>
    <n v="0"/>
    <n v="0"/>
    <m/>
    <n v="4"/>
    <s v="No"/>
    <m/>
  </r>
  <r>
    <s v="BETHEL"/>
    <x v="22"/>
    <s v="No"/>
    <n v="56111.637729000002"/>
    <n v="6.0406266899224674E-4"/>
    <n v="37650.06"/>
    <n v="3.0229765355533445E-4"/>
    <n v="56111.637729000002"/>
    <n v="6.0406266899224674E-4"/>
    <n v="37650.06"/>
    <n v="3.0229765355533445E-4"/>
    <n v="0"/>
    <n v="0"/>
    <n v="0"/>
    <n v="0"/>
    <m/>
    <n v="4"/>
    <s v="No"/>
    <m/>
  </r>
  <r>
    <s v="BETHEL"/>
    <x v="23"/>
    <s v="No"/>
    <n v="68489.328032999998"/>
    <n v="7.3731311299291133E-4"/>
    <n v="68432.675000000003"/>
    <n v="5.4945562049608411E-4"/>
    <n v="68489.328032999998"/>
    <n v="7.3731311299291133E-4"/>
    <n v="68432.675000000003"/>
    <n v="5.4945562049608411E-4"/>
    <n v="0"/>
    <n v="0"/>
    <n v="0"/>
    <n v="0"/>
    <m/>
    <n v="1"/>
    <s v="No"/>
    <m/>
  </r>
  <r>
    <s v="BETHEL"/>
    <x v="24"/>
    <s v="No"/>
    <n v="198.07347000000001"/>
    <n v="2.132334641926126E-6"/>
    <n v="0"/>
    <n v="0"/>
    <n v="198.07347000000001"/>
    <n v="2.132334641926126E-6"/>
    <n v="0"/>
    <n v="0"/>
    <n v="0"/>
    <n v="0"/>
    <n v="0"/>
    <n v="0"/>
    <m/>
    <n v="4"/>
    <s v="No"/>
    <m/>
  </r>
  <r>
    <s v="BETHEL"/>
    <x v="25"/>
    <s v="No"/>
    <n v="160.04204999999999"/>
    <n v="1.7229122475608325E-6"/>
    <n v="0"/>
    <n v="0"/>
    <n v="160.04204999999999"/>
    <n v="1.7229122475608325E-6"/>
    <n v="0"/>
    <n v="0"/>
    <n v="0"/>
    <n v="0"/>
    <n v="0"/>
    <n v="0"/>
    <m/>
    <n v="4"/>
    <s v="No"/>
    <m/>
  </r>
  <r>
    <s v="BETHEL"/>
    <x v="26"/>
    <s v="No"/>
    <n v="583.73931000000005"/>
    <n v="6.2841709824493602E-6"/>
    <n v="4290.7"/>
    <n v="3.4450636788092062E-5"/>
    <n v="583.73931000000005"/>
    <n v="6.2841709824493602E-6"/>
    <n v="4290.7"/>
    <n v="3.4450636788092062E-5"/>
    <n v="0"/>
    <n v="0"/>
    <n v="0"/>
    <n v="0"/>
    <m/>
    <n v="2"/>
    <s v="No"/>
    <m/>
  </r>
  <r>
    <s v="BETHLEHEM"/>
    <x v="27"/>
    <s v="No"/>
    <n v="40.784520000000001"/>
    <n v="4.3906054076968975E-7"/>
    <n v="105"/>
    <n v="8.4305984169242004E-7"/>
    <n v="40.784520000000001"/>
    <n v="4.3906054076968975E-7"/>
    <n v="105"/>
    <n v="8.4305984169242004E-7"/>
    <n v="0"/>
    <n v="0"/>
    <n v="0"/>
    <n v="0"/>
    <m/>
    <n v="1"/>
    <s v="No"/>
    <m/>
  </r>
  <r>
    <s v="BETHLEHEM"/>
    <x v="28"/>
    <s v="No"/>
    <n v="86168.359200000006"/>
    <n v="9.2763446492906811E-4"/>
    <n v="119405.75499999999"/>
    <n v="9.5872568483298937E-4"/>
    <n v="72527.743197000003"/>
    <n v="7.8078815562571309E-4"/>
    <n v="117297.355"/>
    <n v="9.4179704321180563E-4"/>
    <n v="13640.616003000001"/>
    <n v="1.4684630930335491E-4"/>
    <n v="2108.4"/>
    <n v="1.6928641621183797E-5"/>
    <m/>
    <n v="2"/>
    <s v="No"/>
    <m/>
  </r>
  <r>
    <s v="BETHLEHEM"/>
    <x v="29"/>
    <s v="No"/>
    <n v="160.38981000000001"/>
    <n v="1.7266560134224407E-6"/>
    <n v="0"/>
    <n v="0"/>
    <n v="160.38981000000001"/>
    <n v="1.7266560134224407E-6"/>
    <n v="0"/>
    <n v="0"/>
    <n v="0"/>
    <n v="0"/>
    <n v="0"/>
    <n v="0"/>
    <m/>
    <n v="1"/>
    <s v="No"/>
    <m/>
  </r>
  <r>
    <s v="BLOOMFIELD"/>
    <x v="30"/>
    <s v="Yes"/>
    <n v="27394.344810000002"/>
    <n v="2.9491032005059628E-4"/>
    <n v="90283.66"/>
    <n v="7.2490026768583129E-4"/>
    <n v="27394.344810000002"/>
    <n v="2.9491032005059628E-4"/>
    <n v="90283.66"/>
    <n v="7.2490026768583129E-4"/>
    <n v="0"/>
    <n v="0"/>
    <n v="0"/>
    <n v="0"/>
    <m/>
    <n v="3"/>
    <s v="No"/>
    <m/>
  </r>
  <r>
    <s v="BLOOMFIELD"/>
    <x v="31"/>
    <s v="Yes"/>
    <n v="23472.959097000003"/>
    <n v="2.5269514302469738E-4"/>
    <n v="38140.480000000003"/>
    <n v="3.0623530505593253E-4"/>
    <n v="23472.959097000003"/>
    <n v="2.5269514302469738E-4"/>
    <n v="38140.480000000003"/>
    <n v="3.0623530505593253E-4"/>
    <n v="0"/>
    <n v="0"/>
    <n v="0"/>
    <n v="0"/>
    <m/>
    <n v="1"/>
    <s v="No"/>
    <m/>
  </r>
  <r>
    <s v="BLOOMFIELD"/>
    <x v="32"/>
    <s v="No"/>
    <n v="330688.61519400001"/>
    <n v="3.5599860489582196E-3"/>
    <n v="765798.11499999999"/>
    <n v="6.1487013104786067E-3"/>
    <n v="158814.70256400001"/>
    <n v="1.709699395504159E-3"/>
    <n v="444467.91499999998"/>
    <n v="3.5686957148310479E-3"/>
    <n v="171873.91263000001"/>
    <n v="1.8502866534540609E-3"/>
    <n v="321330.2"/>
    <n v="2.5800055956475589E-3"/>
    <m/>
    <n v="1"/>
    <s v="No"/>
    <m/>
  </r>
  <r>
    <s v="BLOOMFIELD"/>
    <x v="33"/>
    <s v="No"/>
    <n v="75290.469870000001"/>
    <n v="8.105299367487035E-4"/>
    <n v="85384.09"/>
    <n v="6.8556092760429848E-4"/>
    <n v="75290.469870000001"/>
    <n v="8.105299367487035E-4"/>
    <n v="85384.09"/>
    <n v="6.8556092760429848E-4"/>
    <n v="0"/>
    <n v="0"/>
    <n v="0"/>
    <n v="0"/>
    <m/>
    <n v="2"/>
    <s v="No"/>
    <m/>
  </r>
  <r>
    <s v="BLOOMFIELD"/>
    <x v="34"/>
    <s v="No"/>
    <n v="31899.162162000004"/>
    <n v="3.4340635586609206E-4"/>
    <n v="80541.53"/>
    <n v="6.4667932887109815E-4"/>
    <n v="31899.162162000004"/>
    <n v="3.4340635586609206E-4"/>
    <n v="80541.53"/>
    <n v="6.4667932887109815E-4"/>
    <n v="0"/>
    <n v="0"/>
    <n v="0"/>
    <n v="0"/>
    <m/>
    <n v="3"/>
    <s v="No"/>
    <m/>
  </r>
  <r>
    <s v="BLOOMFIELD"/>
    <x v="35"/>
    <s v="No"/>
    <n v="880.42205999999999"/>
    <n v="9.478071233133656E-6"/>
    <n v="783.25"/>
    <n v="6.2888249619579816E-6"/>
    <n v="880.42205999999999"/>
    <n v="9.478071233133656E-6"/>
    <n v="783.25"/>
    <n v="6.2888249619579816E-6"/>
    <n v="0"/>
    <n v="0"/>
    <n v="0"/>
    <n v="0"/>
    <m/>
    <n v="1"/>
    <s v="No"/>
    <m/>
  </r>
  <r>
    <s v="BLOOMFIELD"/>
    <x v="36"/>
    <s v="No"/>
    <n v="80.110380000000006"/>
    <n v="8.6241806361985731E-7"/>
    <n v="0"/>
    <n v="0"/>
    <n v="80.110380000000006"/>
    <n v="8.6241806361985731E-7"/>
    <n v="0"/>
    <n v="0"/>
    <n v="0"/>
    <n v="0"/>
    <n v="0"/>
    <n v="0"/>
    <m/>
    <n v="3"/>
    <s v="No"/>
    <m/>
  </r>
  <r>
    <s v="BLOOMFIELD"/>
    <x v="37"/>
    <s v="No"/>
    <n v="116.82804"/>
    <n v="1.257697342507965E-6"/>
    <n v="0"/>
    <n v="0"/>
    <n v="116.82804"/>
    <n v="1.257697342507965E-6"/>
    <n v="0"/>
    <n v="0"/>
    <n v="0"/>
    <n v="0"/>
    <n v="0"/>
    <n v="0"/>
    <m/>
    <n v="2"/>
    <s v="No"/>
    <m/>
  </r>
  <r>
    <s v="BOLTON"/>
    <x v="38"/>
    <s v="No"/>
    <n v="11.81901"/>
    <n v="1.2723604254659296E-7"/>
    <n v="0"/>
    <n v="0"/>
    <n v="11.81901"/>
    <n v="1.2723604254659296E-7"/>
    <n v="0"/>
    <n v="0"/>
    <n v="0"/>
    <n v="0"/>
    <n v="0"/>
    <n v="0"/>
    <m/>
    <n v="3"/>
    <s v="No"/>
    <m/>
  </r>
  <r>
    <s v="BOLTON"/>
    <x v="0"/>
    <s v="No"/>
    <n v="110.27856"/>
    <n v="1.1871897521143483E-6"/>
    <n v="0"/>
    <n v="0"/>
    <n v="110.27856"/>
    <n v="1.1871897521143483E-6"/>
    <n v="0"/>
    <n v="0"/>
    <n v="0"/>
    <n v="0"/>
    <n v="0"/>
    <n v="0"/>
    <m/>
    <n v="1"/>
    <s v="No"/>
    <m/>
  </r>
  <r>
    <s v="BOLTON"/>
    <x v="1"/>
    <s v="No"/>
    <n v="104557.25498400001"/>
    <n v="1.1255977737305572E-3"/>
    <n v="196685.52000000002"/>
    <n v="1.5792158414703937E-3"/>
    <n v="87392.111184000009"/>
    <n v="9.4080861060647273E-4"/>
    <n v="192561.92000000001"/>
    <n v="1.5461068742017949E-3"/>
    <n v="17165.143800000002"/>
    <n v="1.8478916312408453E-4"/>
    <n v="4123.6000000000004"/>
    <n v="3.3108967268598702E-5"/>
    <m/>
    <n v="2"/>
    <s v="No"/>
    <m/>
  </r>
  <r>
    <s v="BOLTON"/>
    <x v="39"/>
    <s v="No"/>
    <n v="279.05324999999999"/>
    <n v="3.0041121202000032E-6"/>
    <n v="35"/>
    <n v="2.8101994723080671E-7"/>
    <n v="279.05324999999999"/>
    <n v="3.0041121202000032E-6"/>
    <n v="35"/>
    <n v="2.8101994723080671E-7"/>
    <n v="0"/>
    <n v="0"/>
    <n v="0"/>
    <n v="0"/>
    <m/>
    <n v="4"/>
    <s v="No"/>
    <m/>
  </r>
  <r>
    <s v="BRANFORD"/>
    <x v="40"/>
    <s v="Yes"/>
    <n v="60128.009255999998"/>
    <n v="6.473004036664958E-4"/>
    <n v="29403.87"/>
    <n v="2.3608782845089998E-4"/>
    <n v="60128.009255999998"/>
    <n v="6.473004036664958E-4"/>
    <n v="29403.87"/>
    <n v="2.3608782845089998E-4"/>
    <n v="0"/>
    <n v="0"/>
    <n v="0"/>
    <n v="0"/>
    <m/>
    <n v="3"/>
    <s v="No"/>
    <m/>
  </r>
  <r>
    <s v="BRANFORD"/>
    <x v="41"/>
    <s v="No"/>
    <n v="38564.253042000004"/>
    <n v="4.1515854042170104E-4"/>
    <n v="15235.69"/>
    <n v="1.2232950856642656E-4"/>
    <n v="38564.253042000004"/>
    <n v="4.1515854042170104E-4"/>
    <n v="15235.69"/>
    <n v="1.2232950856642656E-4"/>
    <n v="0"/>
    <n v="0"/>
    <n v="0"/>
    <n v="0"/>
    <m/>
    <n v="5"/>
    <s v="No"/>
    <m/>
  </r>
  <r>
    <s v="BRANFORD"/>
    <x v="42"/>
    <s v="No"/>
    <n v="409181.73200100003"/>
    <n v="4.4049936722422465E-3"/>
    <n v="444481.36900000001"/>
    <n v="3.5688037388987635E-3"/>
    <n v="189344.66840100003"/>
    <n v="2.0383658432170017E-3"/>
    <n v="272982.57500000001"/>
    <n v="2.1918156806122781E-3"/>
    <n v="219837.06359999999"/>
    <n v="2.3666278290252448E-3"/>
    <n v="171498.79399999999"/>
    <n v="1.3769880582864852E-3"/>
    <m/>
    <n v="2"/>
    <s v="No"/>
    <m/>
  </r>
  <r>
    <s v="BRANFORD"/>
    <x v="43"/>
    <s v="No"/>
    <n v="44264.012394000005"/>
    <n v="4.7651857171166639E-4"/>
    <n v="43856.26"/>
    <n v="3.5212811059830113E-4"/>
    <n v="44264.012394000005"/>
    <n v="4.7651857171166639E-4"/>
    <n v="43856.26"/>
    <n v="3.5212811059830113E-4"/>
    <n v="0"/>
    <n v="0"/>
    <n v="0"/>
    <n v="0"/>
    <m/>
    <n v="1"/>
    <s v="No"/>
    <m/>
  </r>
  <r>
    <s v="BRANFORD"/>
    <x v="44"/>
    <s v="No"/>
    <n v="31520.662110000001"/>
    <n v="3.3933166190101713E-4"/>
    <n v="49876.23"/>
    <n v="4.0046330064775939E-4"/>
    <n v="31520.662110000001"/>
    <n v="3.3933166190101713E-4"/>
    <n v="49876.23"/>
    <n v="4.0046330064775939E-4"/>
    <n v="0"/>
    <n v="0"/>
    <n v="0"/>
    <n v="0"/>
    <m/>
    <n v="1"/>
    <s v="No"/>
    <m/>
  </r>
  <r>
    <s v="BRANFORD"/>
    <x v="45"/>
    <s v="No"/>
    <n v="44300.319987000003"/>
    <n v="4.7690943646664269E-4"/>
    <n v="58365.85"/>
    <n v="4.6862765963089081E-4"/>
    <n v="44300.319987000003"/>
    <n v="4.7690943646664269E-4"/>
    <n v="58365.85"/>
    <n v="4.6862765963089081E-4"/>
    <n v="0"/>
    <n v="0"/>
    <n v="0"/>
    <n v="0"/>
    <m/>
    <n v="1"/>
    <s v="No"/>
    <m/>
  </r>
  <r>
    <s v="BRANFORD"/>
    <x v="46"/>
    <s v="No"/>
    <n v="68776.826054999998"/>
    <n v="7.4040813622745067E-4"/>
    <n v="92814.97"/>
    <n v="7.4522451347511167E-4"/>
    <n v="68776.826054999998"/>
    <n v="7.4040813622745067E-4"/>
    <n v="92814.97"/>
    <n v="7.4522451347511167E-4"/>
    <n v="0"/>
    <n v="0"/>
    <n v="0"/>
    <n v="0"/>
    <m/>
    <n v="4"/>
    <s v="No"/>
    <m/>
  </r>
  <r>
    <s v="BRIDGEWATER"/>
    <x v="47"/>
    <s v="No"/>
    <n v="58345.983171"/>
    <n v="6.2811622946153296E-4"/>
    <n v="106635.035"/>
    <n v="8.5618776881872072E-4"/>
    <n v="53683.671110999996"/>
    <n v="5.7792470448341264E-4"/>
    <n v="79010.035000000003"/>
    <n v="6.3438273904011975E-4"/>
    <n v="4662.3120600000002"/>
    <n v="5.0191524978120289E-5"/>
    <n v="27625"/>
    <n v="2.2180502977860099E-4"/>
    <m/>
    <n v="2"/>
    <s v="No"/>
    <m/>
  </r>
  <r>
    <s v="BRIDGEWATER"/>
    <x v="48"/>
    <s v="No"/>
    <n v="551.12715000000003"/>
    <n v="5.9330889394274575E-6"/>
    <n v="0"/>
    <n v="0"/>
    <n v="551.12715000000003"/>
    <n v="5.9330889394274575E-6"/>
    <n v="0"/>
    <n v="0"/>
    <n v="0"/>
    <n v="0"/>
    <n v="0"/>
    <n v="0"/>
    <m/>
    <n v="1"/>
    <s v="No"/>
    <m/>
  </r>
  <r>
    <s v="BRISTOL"/>
    <x v="49"/>
    <s v="No"/>
    <n v="44185.742244000001"/>
    <n v="4.7567596440906417E-4"/>
    <n v="15566.26"/>
    <n v="1.2498370182231476E-4"/>
    <n v="44185.742244000001"/>
    <n v="4.7567596440906417E-4"/>
    <n v="15566.26"/>
    <n v="1.2498370182231476E-4"/>
    <n v="0"/>
    <n v="0"/>
    <n v="0"/>
    <n v="0"/>
    <m/>
    <n v="4"/>
    <s v="No"/>
    <m/>
  </r>
  <r>
    <s v="BRISTOL"/>
    <x v="50"/>
    <s v="No"/>
    <n v="46721.628450000004"/>
    <n v="5.0297572345825144E-4"/>
    <n v="92427.28"/>
    <n v="7.4211169566534266E-4"/>
    <n v="46721.628450000004"/>
    <n v="5.0297572345825144E-4"/>
    <n v="92427.28"/>
    <n v="7.4211169566534266E-4"/>
    <n v="0"/>
    <n v="0"/>
    <n v="0"/>
    <n v="0"/>
    <m/>
    <n v="2"/>
    <s v="No"/>
    <m/>
  </r>
  <r>
    <s v="BRISTOL"/>
    <x v="51"/>
    <s v="Yes"/>
    <n v="60907.212870000003"/>
    <n v="6.5568882064755965E-4"/>
    <n v="52851.06"/>
    <n v="4.2434863120834851E-4"/>
    <n v="60907.212870000003"/>
    <n v="6.5568882064755965E-4"/>
    <n v="52851.06"/>
    <n v="4.2434863120834851E-4"/>
    <n v="0"/>
    <n v="0"/>
    <n v="0"/>
    <n v="0"/>
    <m/>
    <n v="3"/>
    <s v="No"/>
    <m/>
  </r>
  <r>
    <s v="BRISTOL"/>
    <x v="52"/>
    <s v="No"/>
    <n v="40952.529135000004"/>
    <n v="4.408692216532051E-4"/>
    <n v="56769.62"/>
    <n v="4.5581130333465571E-4"/>
    <n v="40952.529135000004"/>
    <n v="4.408692216532051E-4"/>
    <n v="56769.62"/>
    <n v="4.5581130333465571E-4"/>
    <n v="0"/>
    <n v="0"/>
    <n v="0"/>
    <n v="0"/>
    <m/>
    <n v="4"/>
    <s v="No"/>
    <m/>
  </r>
  <r>
    <s v="BRISTOL"/>
    <x v="53"/>
    <s v="No"/>
    <n v="46575.665849999998"/>
    <n v="5.0140438173133751E-4"/>
    <n v="31981.48"/>
    <n v="2.5678382348465998E-4"/>
    <n v="46575.665849999998"/>
    <n v="5.0140438173133751E-4"/>
    <n v="31981.48"/>
    <n v="2.5678382348465998E-4"/>
    <n v="0"/>
    <n v="0"/>
    <n v="0"/>
    <n v="0"/>
    <m/>
    <n v="5"/>
    <s v="No"/>
    <m/>
  </r>
  <r>
    <s v="BRISTOL"/>
    <x v="54"/>
    <s v="No"/>
    <n v="55656.162450000003"/>
    <n v="5.9915930805272942E-4"/>
    <n v="36117.394999999997"/>
    <n v="2.8999166962897718E-4"/>
    <n v="55656.162450000003"/>
    <n v="5.9915930805272942E-4"/>
    <n v="36117.394999999997"/>
    <n v="2.8999166962897718E-4"/>
    <n v="0"/>
    <n v="0"/>
    <n v="0"/>
    <n v="0"/>
    <m/>
    <n v="2"/>
    <s v="No"/>
    <m/>
  </r>
  <r>
    <s v="BRISTOL"/>
    <x v="55"/>
    <s v="No"/>
    <n v="71352.386847000002"/>
    <n v="7.6813500696469941E-4"/>
    <n v="58739.99"/>
    <n v="4.7163168257537461E-4"/>
    <n v="71352.386847000002"/>
    <n v="7.6813500696469941E-4"/>
    <n v="58739.99"/>
    <n v="4.7163168257537461E-4"/>
    <n v="0"/>
    <n v="0"/>
    <n v="0"/>
    <n v="0"/>
    <m/>
    <n v="3"/>
    <s v="No"/>
    <m/>
  </r>
  <r>
    <s v="BRISTOL"/>
    <x v="56"/>
    <s v="No"/>
    <n v="19042.999500000002"/>
    <n v="2.0500497880928677E-4"/>
    <n v="10392.27"/>
    <n v="8.3441004771665582E-5"/>
    <n v="19042.999500000002"/>
    <n v="2.0500497880928677E-4"/>
    <n v="10392.27"/>
    <n v="8.3441004771665582E-5"/>
    <n v="0"/>
    <n v="0"/>
    <n v="0"/>
    <n v="0"/>
    <m/>
    <n v="3"/>
    <s v="Yes"/>
    <m/>
  </r>
  <r>
    <s v="BRISTOL"/>
    <x v="57"/>
    <s v="No"/>
    <n v="94235.151339000004"/>
    <n v="1.0144764853531412E-3"/>
    <n v="112987.94"/>
    <n v="9.0719614104335872E-4"/>
    <n v="94235.151339000004"/>
    <n v="1.0144764853531412E-3"/>
    <n v="112987.94"/>
    <n v="9.0719614104335872E-4"/>
    <n v="0"/>
    <n v="0"/>
    <n v="0"/>
    <n v="0"/>
    <m/>
    <n v="2"/>
    <s v="No"/>
    <m/>
  </r>
  <r>
    <s v="BRISTOL"/>
    <x v="58"/>
    <s v="No"/>
    <n v="55139.653842"/>
    <n v="5.9359890060547537E-4"/>
    <n v="107530.97"/>
    <n v="8.6338135757364168E-4"/>
    <n v="55139.653842"/>
    <n v="5.9359890060547537E-4"/>
    <n v="107530.97"/>
    <n v="8.6338135757364168E-4"/>
    <n v="0"/>
    <n v="0"/>
    <n v="0"/>
    <n v="0"/>
    <m/>
    <n v="1"/>
    <s v="No"/>
    <m/>
  </r>
  <r>
    <s v="BRISTOL"/>
    <x v="59"/>
    <s v="No"/>
    <n v="613221.86667000002"/>
    <n v="6.6015616805574469E-3"/>
    <n v="1495026.72"/>
    <n v="1.2003780856087028E-2"/>
    <n v="365004.42197100003"/>
    <n v="3.9294084837559768E-3"/>
    <n v="1099852.73"/>
    <n v="8.8308730327502482E-3"/>
    <n v="248217.44469899999"/>
    <n v="2.6721531968014701E-3"/>
    <n v="395173.99"/>
    <n v="3.1729078233367807E-3"/>
    <m/>
    <n v="4"/>
    <s v="No"/>
    <m/>
  </r>
  <r>
    <s v="BRISTOL"/>
    <x v="60"/>
    <s v="No"/>
    <n v="56447.842920000003"/>
    <n v="6.0768204303342796E-4"/>
    <n v="47458.38"/>
    <n v="3.8105004123598773E-4"/>
    <n v="56447.842920000003"/>
    <n v="6.0768204303342796E-4"/>
    <n v="47458.38"/>
    <n v="3.8105004123598773E-4"/>
    <n v="0"/>
    <n v="0"/>
    <n v="0"/>
    <n v="0"/>
    <m/>
    <n v="2"/>
    <s v="No"/>
    <m/>
  </r>
  <r>
    <s v="BRISTOL"/>
    <x v="61"/>
    <s v="No"/>
    <n v="29087.602740000002"/>
    <n v="3.1313887202100973E-4"/>
    <n v="26130.1"/>
    <n v="2.0980226637530575E-4"/>
    <n v="29087.602740000002"/>
    <n v="3.1313887202100973E-4"/>
    <n v="26130.1"/>
    <n v="2.0980226637530575E-4"/>
    <n v="0"/>
    <n v="0"/>
    <n v="0"/>
    <n v="0"/>
    <m/>
    <n v="4"/>
    <s v="No"/>
    <m/>
  </r>
  <r>
    <s v="BRISTOL"/>
    <x v="62"/>
    <s v="No"/>
    <n v="213.85308000000001"/>
    <n v="2.3022080178965877E-6"/>
    <n v="0"/>
    <n v="0"/>
    <n v="213.85308000000001"/>
    <n v="2.3022080178965877E-6"/>
    <n v="0"/>
    <n v="0"/>
    <n v="0"/>
    <n v="0"/>
    <n v="0"/>
    <n v="0"/>
    <m/>
    <n v="1"/>
    <s v="No"/>
    <m/>
  </r>
  <r>
    <s v="BRISTOL"/>
    <x v="63"/>
    <s v="No"/>
    <n v="198.69171"/>
    <n v="2.1389902256800957E-6"/>
    <n v="0"/>
    <n v="0"/>
    <n v="198.69171"/>
    <n v="2.1389902256800957E-6"/>
    <n v="0"/>
    <n v="0"/>
    <n v="0"/>
    <n v="0"/>
    <n v="0"/>
    <n v="0"/>
    <m/>
    <n v="4"/>
    <s v="No"/>
    <m/>
  </r>
  <r>
    <s v="BRISTOL"/>
    <x v="64"/>
    <s v="No"/>
    <n v="596.66922"/>
    <n v="6.4233662770538676E-6"/>
    <n v="807.58"/>
    <n v="6.4841739709901391E-6"/>
    <n v="596.66922"/>
    <n v="6.4233662770538676E-6"/>
    <n v="807.58"/>
    <n v="6.4841739709901391E-6"/>
    <n v="0"/>
    <n v="0"/>
    <n v="0"/>
    <n v="0"/>
    <m/>
    <n v="2"/>
    <s v="No"/>
    <m/>
  </r>
  <r>
    <s v="BRISTOL"/>
    <x v="65"/>
    <s v="No"/>
    <n v="35.746830000000003"/>
    <n v="3.848279325244522E-7"/>
    <n v="0"/>
    <n v="0"/>
    <n v="35.746830000000003"/>
    <n v="3.848279325244522E-7"/>
    <n v="0"/>
    <n v="0"/>
    <n v="0"/>
    <n v="0"/>
    <n v="0"/>
    <n v="0"/>
    <m/>
    <n v="2"/>
    <s v="No"/>
    <m/>
  </r>
  <r>
    <s v="BROOKFIELD"/>
    <x v="66"/>
    <s v="No"/>
    <n v="53352.115277999997"/>
    <n v="5.7435538251193112E-4"/>
    <n v="69296.89"/>
    <n v="5.5639452488740046E-4"/>
    <n v="53352.115277999997"/>
    <n v="5.7435538251193112E-4"/>
    <n v="69296.89"/>
    <n v="5.5639452488740046E-4"/>
    <n v="0"/>
    <n v="0"/>
    <n v="0"/>
    <n v="0"/>
    <m/>
    <n v="3"/>
    <s v="No"/>
    <m/>
  </r>
  <r>
    <s v="BROOKFIELD"/>
    <x v="67"/>
    <s v="No"/>
    <n v="100095.50577600001"/>
    <n v="1.0775653825183223E-3"/>
    <n v="54837.415000000001"/>
    <n v="4.4029735627353848E-4"/>
    <n v="100095.50577600001"/>
    <n v="1.0775653825183223E-3"/>
    <n v="54837.415000000001"/>
    <n v="4.4029735627353848E-4"/>
    <n v="0"/>
    <n v="0"/>
    <n v="0"/>
    <n v="0"/>
    <m/>
    <n v="1"/>
    <s v="No"/>
    <m/>
  </r>
  <r>
    <s v="BROOKFIELD"/>
    <x v="24"/>
    <s v="No"/>
    <n v="311112.206916"/>
    <n v="3.3492387260801544E-3"/>
    <n v="453104.67"/>
    <n v="3.6380414415266306E-3"/>
    <n v="186256.992852"/>
    <n v="2.0051258664742252E-3"/>
    <n v="295576.09999999998"/>
    <n v="2.3732222864196466E-3"/>
    <n v="124855.214064"/>
    <n v="1.3441128596059294E-3"/>
    <n v="157528.57"/>
    <n v="1.264819155106984E-3"/>
    <m/>
    <n v="4"/>
    <s v="No"/>
    <m/>
  </r>
  <r>
    <s v="BROOKFIELD"/>
    <x v="68"/>
    <s v="No"/>
    <n v="518.33627999999999"/>
    <n v="5.5800830167266733E-6"/>
    <n v="0"/>
    <n v="0"/>
    <n v="518.33627999999999"/>
    <n v="5.5800830167266733E-6"/>
    <n v="0"/>
    <n v="0"/>
    <n v="0"/>
    <n v="0"/>
    <n v="0"/>
    <n v="0"/>
    <m/>
    <n v="4"/>
    <s v="No"/>
    <m/>
  </r>
  <r>
    <s v="BROOKFIELD"/>
    <x v="69"/>
    <s v="No"/>
    <n v="675.32094000000006"/>
    <n v="7.2700813227542031E-6"/>
    <n v="592.5"/>
    <n v="4.7572662495500844E-6"/>
    <n v="675.32094000000006"/>
    <n v="7.2700813227542031E-6"/>
    <n v="592.5"/>
    <n v="4.7572662495500844E-6"/>
    <n v="0"/>
    <n v="0"/>
    <n v="0"/>
    <n v="0"/>
    <m/>
    <n v="2"/>
    <s v="No"/>
    <m/>
  </r>
  <r>
    <s v="BROOKLYN"/>
    <x v="70"/>
    <s v="No"/>
    <n v="154975.46597399999"/>
    <n v="1.6683685843692433E-3"/>
    <n v="184544.5625"/>
    <n v="1.4817343775852087E-3"/>
    <n v="124340.094564"/>
    <n v="1.3385674064234224E-3"/>
    <n v="136144.45250000001"/>
    <n v="1.0931230530662021E-3"/>
    <n v="30635.37141"/>
    <n v="3.2980117794582096E-4"/>
    <n v="48400.11"/>
    <n v="3.8861132451900685E-4"/>
    <m/>
    <n v="4"/>
    <s v="No"/>
    <m/>
  </r>
  <r>
    <s v="BURLINGTON"/>
    <x v="62"/>
    <s v="No"/>
    <n v="141965.460567"/>
    <n v="1.5283110328910355E-3"/>
    <n v="185324.61250000002"/>
    <n v="1.4879975092948487E-3"/>
    <n v="124163.655147"/>
    <n v="1.3366679704158121E-3"/>
    <n v="178954.95250000001"/>
    <n v="1.4368546088069007E-3"/>
    <n v="17801.805420000001"/>
    <n v="1.9164306247522331E-4"/>
    <n v="6369.66"/>
    <n v="5.1142900487948001E-5"/>
    <m/>
    <n v="1"/>
    <s v="No"/>
    <m/>
  </r>
  <r>
    <s v="BURLINGTON"/>
    <x v="71"/>
    <s v="No"/>
    <n v="55157.587632000002"/>
    <n v="5.9379196453108855E-4"/>
    <n v="47973.574999999997"/>
    <n v="3.8518661471351846E-4"/>
    <n v="55157.587632000002"/>
    <n v="5.9379196453108855E-4"/>
    <n v="47973.574999999997"/>
    <n v="3.8518661471351846E-4"/>
    <n v="0"/>
    <n v="0"/>
    <n v="0"/>
    <n v="0"/>
    <m/>
    <n v="2"/>
    <s v="No"/>
    <m/>
  </r>
  <r>
    <s v="BURLINGTON"/>
    <x v="4"/>
    <s v="No"/>
    <n v="88.746420000000001"/>
    <n v="9.5538824918312178E-7"/>
    <n v="0"/>
    <n v="0"/>
    <n v="88.746420000000001"/>
    <n v="9.5538824918312178E-7"/>
    <n v="0"/>
    <n v="0"/>
    <n v="0"/>
    <n v="0"/>
    <n v="0"/>
    <n v="0"/>
    <m/>
    <n v="3"/>
    <s v="No"/>
    <m/>
  </r>
  <r>
    <s v="CANAAN"/>
    <x v="72"/>
    <s v="No"/>
    <n v="40.678260000000002"/>
    <n v="4.3791661231197625E-7"/>
    <n v="3472.25"/>
    <n v="2.7879186050633387E-5"/>
    <n v="40.678260000000002"/>
    <n v="4.3791661231197625E-7"/>
    <n v="3472.25"/>
    <n v="2.7879186050633387E-5"/>
    <n v="0"/>
    <n v="0"/>
    <n v="0"/>
    <n v="0"/>
    <m/>
    <n v="1"/>
    <s v="No"/>
    <m/>
  </r>
  <r>
    <s v="CANAAN"/>
    <x v="73"/>
    <s v="No"/>
    <n v="34207.232724000001"/>
    <n v="3.6825359469803905E-4"/>
    <n v="18187.48"/>
    <n v="1.4602984771032435E-4"/>
    <n v="25294.593113999999"/>
    <n v="2.7230571136259814E-4"/>
    <n v="11922.48"/>
    <n v="9.5727277156009948E-5"/>
    <n v="8912.6396100000002"/>
    <n v="9.5947883335440921E-5"/>
    <n v="6265"/>
    <n v="5.03025705543144E-5"/>
    <m/>
    <n v="1"/>
    <s v="No"/>
    <m/>
  </r>
  <r>
    <s v="CANTERBURY"/>
    <x v="74"/>
    <s v="No"/>
    <n v="762.06773999999996"/>
    <n v="8.2039429182330776E-6"/>
    <n v="1000"/>
    <n v="8.0291413494516192E-6"/>
    <n v="762.06773999999996"/>
    <n v="8.2039429182330776E-6"/>
    <n v="1000"/>
    <n v="8.0291413494516192E-6"/>
    <n v="0"/>
    <n v="0"/>
    <n v="0"/>
    <n v="0"/>
    <m/>
    <n v="2"/>
    <s v="No"/>
    <m/>
  </r>
  <r>
    <s v="CANTERBURY"/>
    <x v="75"/>
    <s v="No"/>
    <n v="99649.806416999985"/>
    <n v="1.0727672629969145E-3"/>
    <n v="129662.44500000001"/>
    <n v="1.0410780986204965E-3"/>
    <n v="86587.008626999988"/>
    <n v="9.3214138186254022E-4"/>
    <n v="126618.44500000001"/>
    <n v="1.0166373923527657E-3"/>
    <n v="13062.797790000001"/>
    <n v="1.4062588113437422E-4"/>
    <n v="3044"/>
    <n v="2.4440706267730731E-5"/>
    <m/>
    <n v="1"/>
    <s v="No"/>
    <m/>
  </r>
  <r>
    <s v="CANTON"/>
    <x v="76"/>
    <s v="No"/>
    <n v="189496.98341699998"/>
    <n v="2.0400055710669868E-3"/>
    <n v="296055.245"/>
    <n v="2.37706940935153E-3"/>
    <n v="119844.65465699999"/>
    <n v="1.2901723222943199E-3"/>
    <n v="274684.91499999998"/>
    <n v="2.2054840090971035E-3"/>
    <n v="69652.328760000004"/>
    <n v="7.4983324877266706E-4"/>
    <n v="21370.33"/>
    <n v="1.7158540025442645E-4"/>
    <m/>
    <n v="1"/>
    <s v="No"/>
    <m/>
  </r>
  <r>
    <s v="CANTON"/>
    <x v="77"/>
    <s v="No"/>
    <n v="55597.683707999997"/>
    <n v="5.985297626250511E-4"/>
    <n v="44726.03"/>
    <n v="3.591116168698136E-4"/>
    <n v="55597.683707999997"/>
    <n v="5.985297626250511E-4"/>
    <n v="44726.03"/>
    <n v="3.591116168698136E-4"/>
    <n v="0"/>
    <n v="0"/>
    <n v="0"/>
    <n v="0"/>
    <m/>
    <n v="3"/>
    <s v="No"/>
    <m/>
  </r>
  <r>
    <s v="CANTON"/>
    <x v="78"/>
    <s v="No"/>
    <n v="47.9619"/>
    <n v="5.1632770841343198E-7"/>
    <n v="0"/>
    <n v="0"/>
    <n v="47.9619"/>
    <n v="5.1632770841343198E-7"/>
    <n v="0"/>
    <n v="0"/>
    <n v="0"/>
    <n v="0"/>
    <n v="0"/>
    <n v="0"/>
    <m/>
    <n v="2"/>
    <s v="No"/>
    <m/>
  </r>
  <r>
    <s v="CANTON"/>
    <x v="79"/>
    <s v="No"/>
    <n v="164.83341000000001"/>
    <n v="1.774493021654098E-6"/>
    <n v="0"/>
    <n v="0"/>
    <n v="164.83341000000001"/>
    <n v="1.774493021654098E-6"/>
    <n v="0"/>
    <n v="0"/>
    <n v="0"/>
    <n v="0"/>
    <n v="0"/>
    <n v="0"/>
    <m/>
    <n v="2"/>
    <s v="No"/>
    <m/>
  </r>
  <r>
    <s v="CHAPLIN"/>
    <x v="80"/>
    <s v="No"/>
    <n v="47913.412112999998"/>
    <n v="5.1580571825915282E-4"/>
    <n v="75067.97"/>
    <n v="6.0273134194639374E-4"/>
    <n v="41601.085113000001"/>
    <n v="4.4785116819616048E-4"/>
    <n v="52329.97"/>
    <n v="4.2016472594256279E-4"/>
    <n v="6312.3270000000002"/>
    <n v="6.7954550062992368E-5"/>
    <n v="22738"/>
    <n v="1.8256661600383093E-4"/>
    <m/>
    <n v="5"/>
    <s v="No"/>
    <m/>
  </r>
  <r>
    <s v="CHESHIRE"/>
    <x v="81"/>
    <s v="No"/>
    <n v="442.79991000000001"/>
    <n v="4.7669058735365764E-6"/>
    <n v="4194.04"/>
    <n v="3.3674539985254071E-5"/>
    <n v="442.79991000000001"/>
    <n v="4.7669058735365764E-6"/>
    <n v="4194.04"/>
    <n v="3.3674539985254071E-5"/>
    <n v="0"/>
    <n v="0"/>
    <n v="0"/>
    <n v="0"/>
    <m/>
    <n v="3"/>
    <s v="No"/>
    <m/>
  </r>
  <r>
    <s v="CHESHIRE"/>
    <x v="82"/>
    <s v="No"/>
    <n v="48476.920485000002"/>
    <n v="5.2187209566260321E-4"/>
    <n v="26051.73"/>
    <n v="2.0917302256774924E-4"/>
    <n v="48476.920485000002"/>
    <n v="5.2187209566260321E-4"/>
    <n v="26051.73"/>
    <n v="2.0917302256774924E-4"/>
    <n v="0"/>
    <n v="0"/>
    <n v="0"/>
    <n v="0"/>
    <m/>
    <n v="4"/>
    <s v="No"/>
    <m/>
  </r>
  <r>
    <s v="CHESHIRE"/>
    <x v="83"/>
    <s v="No"/>
    <n v="47515.263620999998"/>
    <n v="5.115195015228971E-4"/>
    <n v="122001.39"/>
    <n v="9.7956640513957344E-4"/>
    <n v="47515.263620999998"/>
    <n v="5.115195015228971E-4"/>
    <n v="122001.39"/>
    <n v="9.7956640513957344E-4"/>
    <n v="0"/>
    <n v="0"/>
    <n v="0"/>
    <n v="0"/>
    <m/>
    <n v="3"/>
    <s v="No"/>
    <m/>
  </r>
  <r>
    <s v="CHESHIRE"/>
    <x v="84"/>
    <s v="No"/>
    <n v="74003.539070999992"/>
    <n v="7.9667564760806608E-4"/>
    <n v="123688.34"/>
    <n v="9.9311116513903079E-4"/>
    <n v="74003.539070999992"/>
    <n v="7.9667564760806608E-4"/>
    <n v="123688.34"/>
    <n v="9.9311116513903079E-4"/>
    <n v="0"/>
    <n v="0"/>
    <n v="0"/>
    <n v="0"/>
    <m/>
    <n v="3"/>
    <s v="No"/>
    <m/>
  </r>
  <r>
    <s v="CHESHIRE"/>
    <x v="85"/>
    <s v="No"/>
    <n v="356082.07357800001"/>
    <n v="3.8333560817572243E-3"/>
    <n v="654286.9850000001"/>
    <n v="5.2533626856715327E-3"/>
    <n v="224261.332008"/>
    <n v="2.4142567254723953E-3"/>
    <n v="575184.91500000004"/>
    <n v="4.6182409846073158E-3"/>
    <n v="131820.74157000001"/>
    <n v="1.419099356284829E-3"/>
    <n v="79102.070000000007"/>
    <n v="6.3512170106421655E-4"/>
    <m/>
    <n v="3"/>
    <s v="No"/>
    <m/>
  </r>
  <r>
    <s v="CHESHIRE"/>
    <x v="86"/>
    <s v="No"/>
    <n v="82388.866811999993"/>
    <n v="8.8694682236982719E-4"/>
    <n v="95688.06"/>
    <n v="7.6829295919480752E-4"/>
    <n v="82388.866811999993"/>
    <n v="8.8694682236982719E-4"/>
    <n v="95688.06"/>
    <n v="7.6829295919480752E-4"/>
    <n v="0"/>
    <n v="0"/>
    <n v="0"/>
    <n v="0"/>
    <m/>
    <n v="4"/>
    <s v="No"/>
    <m/>
  </r>
  <r>
    <s v="CHESHIRE"/>
    <x v="87"/>
    <s v="No"/>
    <n v="73.734780000000001"/>
    <n v="7.9378235615704454E-7"/>
    <n v="0"/>
    <n v="0"/>
    <n v="73.734780000000001"/>
    <n v="7.9378235615704454E-7"/>
    <n v="0"/>
    <n v="0"/>
    <n v="0"/>
    <n v="0"/>
    <n v="0"/>
    <n v="0"/>
    <m/>
    <n v="1"/>
    <s v="No"/>
    <m/>
  </r>
  <r>
    <s v="CHESTER"/>
    <x v="88"/>
    <s v="No"/>
    <n v="104591.609325"/>
    <n v="1.1259676110006106E-3"/>
    <n v="248913.94500000001"/>
    <n v="1.9985652482546264E-3"/>
    <n v="78714.444795000003"/>
    <n v="8.4739030146924849E-4"/>
    <n v="244352.26500000001"/>
    <n v="1.9619388747436598E-3"/>
    <n v="25877.164530000002"/>
    <n v="2.7857730953136231E-4"/>
    <n v="4561.68"/>
    <n v="3.6626373510966464E-5"/>
    <m/>
    <n v="1"/>
    <s v="No"/>
    <m/>
  </r>
  <r>
    <s v="CLINTON"/>
    <x v="89"/>
    <s v="No"/>
    <n v="27433.380870000001"/>
    <n v="2.9533055776856176E-4"/>
    <n v="12373.37"/>
    <n v="9.9347536699064202E-5"/>
    <n v="27433.380870000001"/>
    <n v="2.9533055776856176E-4"/>
    <n v="12373.37"/>
    <n v="9.9347536699064202E-5"/>
    <n v="0"/>
    <n v="0"/>
    <n v="0"/>
    <n v="0"/>
    <m/>
    <n v="1"/>
    <s v="No"/>
    <m/>
  </r>
  <r>
    <s v="CLINTON"/>
    <x v="90"/>
    <s v="No"/>
    <n v="213135.38208900002"/>
    <n v="2.2944817327052226E-3"/>
    <n v="245039.39500000002"/>
    <n v="1.9674559386391086E-3"/>
    <n v="126998.722179"/>
    <n v="1.3671885224337895E-3"/>
    <n v="181888.07500000001"/>
    <n v="1.4604050639546574E-3"/>
    <n v="86136.659910000002"/>
    <n v="9.2729321027143279E-4"/>
    <n v="63151.32"/>
    <n v="5.0705087468445105E-4"/>
    <m/>
    <n v="2"/>
    <s v="No"/>
    <m/>
  </r>
  <r>
    <s v="CLINTON"/>
    <x v="91"/>
    <s v="No"/>
    <n v="49179.506775000002"/>
    <n v="5.2943569862825711E-4"/>
    <n v="18393.43"/>
    <n v="1.476834493712439E-4"/>
    <n v="49179.506775000002"/>
    <n v="5.2943569862825711E-4"/>
    <n v="18393.43"/>
    <n v="1.476834493712439E-4"/>
    <n v="0"/>
    <n v="0"/>
    <n v="0"/>
    <n v="0"/>
    <m/>
    <n v="1"/>
    <s v="No"/>
    <m/>
  </r>
  <r>
    <s v="CLINTON"/>
    <x v="92"/>
    <s v="No"/>
    <n v="39809.13048"/>
    <n v="4.2856010947584866E-4"/>
    <n v="34100.764999999999"/>
    <n v="2.7379986230943254E-4"/>
    <n v="39809.13048"/>
    <n v="4.2856010947584866E-4"/>
    <n v="34100.764999999999"/>
    <n v="2.7379986230943254E-4"/>
    <n v="0"/>
    <n v="0"/>
    <n v="0"/>
    <n v="0"/>
    <m/>
    <n v="1"/>
    <s v="No"/>
    <m/>
  </r>
  <r>
    <s v="COLCHESTER"/>
    <x v="93"/>
    <s v="No"/>
    <n v="229.68099000000001"/>
    <n v="2.4726013613478277E-6"/>
    <n v="336.48"/>
    <n v="2.7016454812634813E-6"/>
    <n v="229.68099000000001"/>
    <n v="2.4726013613478277E-6"/>
    <n v="336.48"/>
    <n v="2.7016454812634813E-6"/>
    <n v="0"/>
    <n v="0"/>
    <n v="0"/>
    <n v="0"/>
    <m/>
    <n v="2"/>
    <s v="No"/>
    <m/>
  </r>
  <r>
    <s v="COLCHESTER"/>
    <x v="94"/>
    <s v="No"/>
    <n v="814.00955999999996"/>
    <n v="8.7631159470626901E-6"/>
    <n v="0"/>
    <n v="0"/>
    <n v="814.00955999999996"/>
    <n v="8.7631159470626901E-6"/>
    <n v="0"/>
    <n v="0"/>
    <n v="0"/>
    <n v="0"/>
    <n v="0"/>
    <n v="0"/>
    <m/>
    <n v="1"/>
    <s v="No"/>
    <m/>
  </r>
  <r>
    <s v="COLCHESTER"/>
    <x v="95"/>
    <s v="No"/>
    <n v="187257.26025300001"/>
    <n v="2.0158941174183913E-3"/>
    <n v="487518.09250000003"/>
    <n v="3.9143516750975299E-3"/>
    <n v="117593.37330300001"/>
    <n v="1.2659364404275736E-3"/>
    <n v="423731.32250000001"/>
    <n v="3.4021986825425697E-3"/>
    <n v="69663.88695"/>
    <n v="7.4995767699081745E-4"/>
    <n v="63786.77"/>
    <n v="5.1215299255496008E-4"/>
    <m/>
    <n v="1"/>
    <s v="No"/>
    <m/>
  </r>
  <r>
    <s v="COLCHESTER"/>
    <x v="96"/>
    <s v="No"/>
    <n v="79994.61166200001"/>
    <n v="8.6117177436387769E-4"/>
    <n v="58887.1"/>
    <n v="4.7281284955929246E-4"/>
    <n v="79994.61166200001"/>
    <n v="8.6117177436387769E-4"/>
    <n v="58887.1"/>
    <n v="4.7281284955929246E-4"/>
    <n v="0"/>
    <n v="0"/>
    <n v="0"/>
    <n v="0"/>
    <m/>
    <n v="3"/>
    <s v="No"/>
    <m/>
  </r>
  <r>
    <s v="COLCHESTER"/>
    <x v="97"/>
    <s v="No"/>
    <n v="58536.117570000002"/>
    <n v="6.3016309704864342E-4"/>
    <n v="48666.21"/>
    <n v="3.9074787903209591E-4"/>
    <n v="58536.117570000002"/>
    <n v="6.3016309704864342E-4"/>
    <n v="48666.21"/>
    <n v="3.9074787903209591E-4"/>
    <n v="0"/>
    <n v="0"/>
    <n v="0"/>
    <n v="0"/>
    <m/>
    <n v="1"/>
    <s v="No"/>
    <m/>
  </r>
  <r>
    <s v="COLCHESTER"/>
    <x v="98"/>
    <s v="No"/>
    <n v="125.82633"/>
    <n v="1.354567284177071E-6"/>
    <n v="0"/>
    <n v="0"/>
    <n v="125.82633"/>
    <n v="1.354567284177071E-6"/>
    <n v="0"/>
    <n v="0"/>
    <n v="0"/>
    <n v="0"/>
    <n v="0"/>
    <n v="0"/>
    <m/>
    <n v="3"/>
    <s v="No"/>
    <m/>
  </r>
  <r>
    <s v="COLCHESTER"/>
    <x v="99"/>
    <s v="No"/>
    <n v="625.55262000000005"/>
    <n v="6.7343068305596402E-6"/>
    <n v="0"/>
    <n v="0"/>
    <n v="625.55262000000005"/>
    <n v="6.7343068305596402E-6"/>
    <n v="0"/>
    <n v="0"/>
    <n v="0"/>
    <n v="0"/>
    <n v="0"/>
    <n v="0"/>
    <m/>
    <n v="1"/>
    <s v="No"/>
    <m/>
  </r>
  <r>
    <s v="COLCHESTER"/>
    <x v="100"/>
    <s v="No"/>
    <n v="599.91015000000004"/>
    <n v="6.4582560950141312E-6"/>
    <n v="0"/>
    <n v="0"/>
    <n v="599.91015000000004"/>
    <n v="6.4582560950141312E-6"/>
    <n v="0"/>
    <n v="0"/>
    <n v="0"/>
    <n v="0"/>
    <n v="0"/>
    <n v="0"/>
    <m/>
    <n v="2"/>
    <s v="No"/>
    <m/>
  </r>
  <r>
    <s v="COLEBROOK"/>
    <x v="101"/>
    <s v="No"/>
    <n v="34904.545619999997"/>
    <n v="3.7576042761414146E-4"/>
    <n v="77122.78"/>
    <n v="6.1922970188266039E-4"/>
    <n v="28509.248879999999"/>
    <n v="3.0691267741266714E-4"/>
    <n v="51367.13"/>
    <n v="4.1243394748565675E-4"/>
    <n v="6395.2967399999998"/>
    <n v="6.8847750201474334E-5"/>
    <n v="25755.65"/>
    <n v="2.0679575439700362E-4"/>
    <m/>
    <n v="1"/>
    <s v="No"/>
    <m/>
  </r>
  <r>
    <s v="COLEBROOK"/>
    <x v="11"/>
    <s v="No"/>
    <n v="144.85169999999999"/>
    <n v="1.5593824748558734E-6"/>
    <n v="0"/>
    <n v="0"/>
    <n v="144.85169999999999"/>
    <n v="1.5593824748558734E-6"/>
    <n v="0"/>
    <n v="0"/>
    <n v="0"/>
    <n v="0"/>
    <n v="0"/>
    <n v="0"/>
    <m/>
    <n v="1"/>
    <s v="No"/>
    <m/>
  </r>
  <r>
    <s v="COLUMBIA"/>
    <x v="102"/>
    <s v="No"/>
    <n v="195.33968999999999"/>
    <n v="2.1029044825140412E-6"/>
    <n v="0"/>
    <n v="0"/>
    <n v="195.33968999999999"/>
    <n v="2.1029044825140412E-6"/>
    <n v="0"/>
    <n v="0"/>
    <n v="0"/>
    <n v="0"/>
    <n v="0"/>
    <n v="0"/>
    <m/>
    <n v="1"/>
    <s v="No"/>
    <m/>
  </r>
  <r>
    <s v="COLUMBIA"/>
    <x v="103"/>
    <s v="No"/>
    <n v="109111.59577500001"/>
    <n v="1.1746269478031199E-3"/>
    <n v="150720.28"/>
    <n v="1.2101544323489259E-3"/>
    <n v="94643.113425000003"/>
    <n v="1.0188683490821417E-3"/>
    <n v="139434.28"/>
    <n v="1.119537543079015E-3"/>
    <n v="14468.48235"/>
    <n v="1.5575859872097824E-4"/>
    <n v="11286"/>
    <n v="9.0616889269910978E-5"/>
    <m/>
    <n v="1"/>
    <s v="No"/>
    <m/>
  </r>
  <r>
    <s v="CORNWALL"/>
    <x v="104"/>
    <s v="No"/>
    <n v="89.524050000000003"/>
    <n v="9.6375972562366179E-7"/>
    <n v="7136.625"/>
    <n v="5.7300970883030164E-5"/>
    <n v="89.524050000000003"/>
    <n v="9.6375972562366179E-7"/>
    <n v="7136.625"/>
    <n v="5.7300970883030164E-5"/>
    <n v="0"/>
    <n v="0"/>
    <n v="0"/>
    <n v="0"/>
    <m/>
    <n v="1"/>
    <s v="No"/>
    <m/>
  </r>
  <r>
    <s v="CORNWALL"/>
    <x v="105"/>
    <s v="No"/>
    <n v="50253.621495000007"/>
    <n v="5.4099894345281023E-4"/>
    <n v="50767.03"/>
    <n v="4.0761565976185084E-4"/>
    <n v="42407.151255000004"/>
    <n v="4.5652877029133429E-4"/>
    <n v="40542.03"/>
    <n v="3.2551768946370807E-4"/>
    <n v="7846.4702400000006"/>
    <n v="8.4470173161475917E-5"/>
    <n v="10225"/>
    <n v="8.2097970298142814E-5"/>
    <m/>
    <n v="3"/>
    <s v="No"/>
    <m/>
  </r>
  <r>
    <s v="CORNWALL"/>
    <x v="106"/>
    <s v="No"/>
    <n v="238.478835"/>
    <n v="2.5673134379717017E-6"/>
    <n v="0"/>
    <n v="0"/>
    <n v="238.478835"/>
    <n v="2.5673134379717017E-6"/>
    <n v="0"/>
    <n v="0"/>
    <n v="0"/>
    <n v="0"/>
    <n v="0"/>
    <n v="0"/>
    <m/>
    <n v="1"/>
    <s v="No"/>
    <m/>
  </r>
  <r>
    <s v="COVENTRY"/>
    <x v="107"/>
    <s v="No"/>
    <n v="69517.807463999998"/>
    <n v="7.4838507694260014E-4"/>
    <n v="47972.65"/>
    <n v="3.8517918775777025E-4"/>
    <n v="69517.807463999998"/>
    <n v="7.4838507694260014E-4"/>
    <n v="47972.65"/>
    <n v="3.8517918775777025E-4"/>
    <n v="0"/>
    <n v="0"/>
    <n v="0"/>
    <n v="0"/>
    <m/>
    <n v="3"/>
    <s v="No"/>
    <m/>
  </r>
  <r>
    <s v="COVENTRY"/>
    <x v="102"/>
    <s v="No"/>
    <n v="173992.95582899998"/>
    <n v="1.8730989423535566E-3"/>
    <n v="252068.94750000001"/>
    <n v="2.0238972092849997E-3"/>
    <n v="143871.544719"/>
    <n v="1.5488307383707039E-3"/>
    <n v="226875.35750000001"/>
    <n v="1.8216143140748688E-3"/>
    <n v="30121.411110000001"/>
    <n v="3.2426820398285286E-4"/>
    <n v="25193.59"/>
    <n v="2.0228289521013082E-4"/>
    <m/>
    <n v="1"/>
    <s v="No"/>
    <m/>
  </r>
  <r>
    <s v="CROMWELL"/>
    <x v="108"/>
    <s v="No"/>
    <n v="58215.299310000002"/>
    <n v="6.2670936904781393E-4"/>
    <n v="45411.05"/>
    <n v="3.6461173927701502E-4"/>
    <n v="58215.299310000002"/>
    <n v="6.2670936904781393E-4"/>
    <n v="45411.05"/>
    <n v="3.6461173927701502E-4"/>
    <n v="0"/>
    <n v="0"/>
    <n v="0"/>
    <n v="0"/>
    <m/>
    <n v="2"/>
    <s v="No"/>
    <m/>
  </r>
  <r>
    <s v="CROMWELL"/>
    <x v="109"/>
    <s v="No"/>
    <n v="219920.56125900001"/>
    <n v="2.3675267124082921E-3"/>
    <n v="213411.22500000001"/>
    <n v="1.7135088910846233E-3"/>
    <n v="114498.595239"/>
    <n v="1.2326200024667488E-3"/>
    <n v="170661.32500000001"/>
    <n v="1.3702639013097016E-3"/>
    <n v="105421.96602000001"/>
    <n v="1.134906709941543E-3"/>
    <n v="42749.9"/>
    <n v="3.4324498977492183E-4"/>
    <m/>
    <n v="2"/>
    <s v="No"/>
    <m/>
  </r>
  <r>
    <s v="CROMWELL"/>
    <x v="110"/>
    <s v="No"/>
    <n v="69745.22898"/>
    <n v="7.5083335422519715E-4"/>
    <n v="69480.884999999995"/>
    <n v="5.5787184674999275E-4"/>
    <n v="69745.22898"/>
    <n v="7.5083335422519715E-4"/>
    <n v="69480.884999999995"/>
    <n v="5.5787184674999275E-4"/>
    <n v="0"/>
    <n v="0"/>
    <n v="0"/>
    <n v="0"/>
    <m/>
    <n v="2"/>
    <s v="No"/>
    <m/>
  </r>
  <r>
    <s v="DANBURY"/>
    <x v="22"/>
    <s v="No"/>
    <n v="200.73480000000001"/>
    <n v="2.1609848501170426E-6"/>
    <n v="0"/>
    <n v="0"/>
    <n v="200.73480000000001"/>
    <n v="2.1609848501170426E-6"/>
    <n v="0"/>
    <n v="0"/>
    <n v="0"/>
    <n v="0"/>
    <n v="0"/>
    <n v="0"/>
    <m/>
    <n v="4"/>
    <s v="No"/>
    <m/>
  </r>
  <r>
    <s v="DANBURY"/>
    <x v="111"/>
    <s v="No"/>
    <n v="49665.408155999998"/>
    <n v="5.3466660788261625E-4"/>
    <n v="1712.48"/>
    <n v="1.374974397810891E-5"/>
    <n v="49665.408155999998"/>
    <n v="5.3466660788261625E-4"/>
    <n v="1712.48"/>
    <n v="1.374974397810891E-5"/>
    <n v="0"/>
    <n v="0"/>
    <n v="0"/>
    <n v="0"/>
    <m/>
    <n v="5"/>
    <s v="No"/>
    <m/>
  </r>
  <r>
    <s v="DANBURY"/>
    <x v="112"/>
    <s v="No"/>
    <n v="37690.02594"/>
    <n v="4.0574716021765206E-4"/>
    <n v="17698.78"/>
    <n v="1.4210600633284733E-4"/>
    <n v="37690.02594"/>
    <n v="4.0574716021765206E-4"/>
    <n v="17698.78"/>
    <n v="1.4210600633284733E-4"/>
    <n v="0"/>
    <n v="0"/>
    <n v="0"/>
    <n v="0"/>
    <m/>
    <n v="5"/>
    <s v="Yes"/>
    <m/>
  </r>
  <r>
    <s v="DANBURY"/>
    <x v="113"/>
    <s v="No"/>
    <n v="42556.109420999994"/>
    <n v="4.5813236040140591E-4"/>
    <n v="16005.42"/>
    <n v="1.2850977953733994E-4"/>
    <n v="42556.109420999994"/>
    <n v="4.5813236040140591E-4"/>
    <n v="16005.42"/>
    <n v="1.2850977953733994E-4"/>
    <n v="0"/>
    <n v="0"/>
    <n v="0"/>
    <n v="0"/>
    <m/>
    <n v="5"/>
    <s v="No"/>
    <m/>
  </r>
  <r>
    <s v="DANBURY"/>
    <x v="114"/>
    <s v="No"/>
    <n v="1023642.843363"/>
    <n v="1.1019896283246232E-2"/>
    <n v="970146.17249999999"/>
    <n v="7.789440748631974E-3"/>
    <n v="512513.35806299996"/>
    <n v="5.5173970943590955E-3"/>
    <n v="616926.07250000001"/>
    <n v="4.9533866382645382E-3"/>
    <n v="511129.4853"/>
    <n v="5.5024991888871369E-3"/>
    <n v="353220.1"/>
    <n v="2.8360541103674359E-3"/>
    <m/>
    <n v="5"/>
    <s v="No"/>
    <m/>
  </r>
  <r>
    <s v="DANBURY"/>
    <x v="25"/>
    <s v="No"/>
    <n v="102946.17515699999"/>
    <n v="1.1082538996316155E-3"/>
    <n v="79060.45"/>
    <n v="6.3478752820125231E-4"/>
    <n v="102946.17515699999"/>
    <n v="1.1082538996316155E-3"/>
    <n v="79060.45"/>
    <n v="6.3478752820125231E-4"/>
    <n v="0"/>
    <n v="0"/>
    <n v="0"/>
    <n v="0"/>
    <m/>
    <n v="4"/>
    <s v="No"/>
    <m/>
  </r>
  <r>
    <s v="DANBURY"/>
    <x v="115"/>
    <s v="Yes"/>
    <n v="47467.861035000002"/>
    <n v="5.1100919503791115E-4"/>
    <n v="14178.85"/>
    <n v="1.1384399082267211E-4"/>
    <n v="47467.861035000002"/>
    <n v="5.1100919503791115E-4"/>
    <n v="14178.85"/>
    <n v="1.1384399082267211E-4"/>
    <n v="0"/>
    <n v="0"/>
    <n v="0"/>
    <n v="0"/>
    <m/>
    <n v="5"/>
    <s v="No"/>
    <m/>
  </r>
  <r>
    <s v="DANBURY"/>
    <x v="116"/>
    <s v="No"/>
    <n v="61984.930287000003"/>
    <n v="6.6729084984650411E-4"/>
    <n v="84620.01"/>
    <n v="6.7942602128200948E-4"/>
    <n v="61984.930287000003"/>
    <n v="6.6729084984650411E-4"/>
    <n v="84620.01"/>
    <n v="6.7942602128200948E-4"/>
    <n v="0"/>
    <n v="0"/>
    <n v="0"/>
    <n v="0"/>
    <m/>
    <n v="5"/>
    <s v="No"/>
    <m/>
  </r>
  <r>
    <s v="DANBURY"/>
    <x v="117"/>
    <s v="No"/>
    <n v="40550.669754000002"/>
    <n v="4.3654305581540114E-4"/>
    <n v="6646.4849999999997"/>
    <n v="5.3365567542009945E-5"/>
    <n v="40550.669754000002"/>
    <n v="4.3654305581540114E-4"/>
    <n v="6646.4849999999997"/>
    <n v="5.3365567542009945E-5"/>
    <n v="0"/>
    <n v="0"/>
    <n v="0"/>
    <n v="0"/>
    <m/>
    <n v="5"/>
    <s v="No"/>
    <m/>
  </r>
  <r>
    <s v="DANBURY"/>
    <x v="118"/>
    <s v="No"/>
    <n v="64267.028490000004"/>
    <n v="6.9185848656501197E-4"/>
    <n v="63624.959999999999"/>
    <n v="5.1085379719320535E-4"/>
    <n v="64267.028490000004"/>
    <n v="6.9185848656501197E-4"/>
    <n v="63624.959999999999"/>
    <n v="5.1085379719320535E-4"/>
    <n v="0"/>
    <n v="0"/>
    <n v="0"/>
    <n v="0"/>
    <m/>
    <n v="4"/>
    <s v="No"/>
    <m/>
  </r>
  <r>
    <s v="DANBURY"/>
    <x v="119"/>
    <s v="No"/>
    <n v="74198.912570999993"/>
    <n v="7.9877891606781664E-4"/>
    <n v="66178.91"/>
    <n v="5.3135982274263728E-4"/>
    <n v="74198.912570999993"/>
    <n v="7.9877891606781664E-4"/>
    <n v="66178.91"/>
    <n v="5.3135982274263728E-4"/>
    <n v="0"/>
    <n v="0"/>
    <n v="0"/>
    <n v="0"/>
    <m/>
    <n v="4"/>
    <s v="No"/>
    <m/>
  </r>
  <r>
    <s v="DANBURY"/>
    <x v="120"/>
    <s v="No"/>
    <n v="53136.210414000001"/>
    <n v="5.7203108627545116E-4"/>
    <n v="21357.1"/>
    <n v="1.7147917471437317E-4"/>
    <n v="53136.210414000001"/>
    <n v="5.7203108627545116E-4"/>
    <n v="21357.1"/>
    <n v="1.7147917471437317E-4"/>
    <n v="0"/>
    <n v="0"/>
    <n v="0"/>
    <n v="0"/>
    <m/>
    <n v="5"/>
    <s v="No"/>
    <m/>
  </r>
  <r>
    <s v="DANBURY"/>
    <x v="121"/>
    <s v="No"/>
    <n v="510.3861"/>
    <n v="5.494496369390469E-6"/>
    <n v="211.05"/>
    <n v="1.6945502818017645E-6"/>
    <n v="510.3861"/>
    <n v="5.494496369390469E-6"/>
    <n v="211.05"/>
    <n v="1.6945502818017645E-6"/>
    <n v="0"/>
    <n v="0"/>
    <n v="0"/>
    <n v="0"/>
    <m/>
    <e v="#N/A"/>
    <e v="#N/A"/>
    <m/>
  </r>
  <r>
    <s v="DANBURY"/>
    <x v="122"/>
    <s v="No"/>
    <n v="73265.709237000003"/>
    <n v="7.887326347710376E-4"/>
    <n v="33889.339999999997"/>
    <n v="2.721023010996247E-4"/>
    <n v="73265.709237000003"/>
    <n v="7.887326347710376E-4"/>
    <n v="33889.339999999997"/>
    <n v="2.721023010996247E-4"/>
    <n v="0"/>
    <n v="0"/>
    <n v="0"/>
    <n v="0"/>
    <m/>
    <n v="5"/>
    <s v="No"/>
    <m/>
  </r>
  <r>
    <s v="DANBURY"/>
    <x v="123"/>
    <s v="No"/>
    <n v="47380.371380999997"/>
    <n v="5.1006733634257782E-4"/>
    <n v="21328.87"/>
    <n v="1.7125251205407817E-4"/>
    <n v="47380.371380999997"/>
    <n v="5.1006733634257782E-4"/>
    <n v="21328.87"/>
    <n v="1.7125251205407817E-4"/>
    <n v="0"/>
    <n v="0"/>
    <n v="0"/>
    <n v="0"/>
    <m/>
    <n v="3"/>
    <s v="No"/>
    <m/>
  </r>
  <r>
    <s v="DANBURY"/>
    <x v="68"/>
    <s v="No"/>
    <n v="52618.105490999995"/>
    <n v="5.6645349390295734E-4"/>
    <n v="28844.46"/>
    <n v="2.3159624648860327E-4"/>
    <n v="52618.105490999995"/>
    <n v="5.6645349390295734E-4"/>
    <n v="28844.46"/>
    <n v="2.3159624648860327E-4"/>
    <n v="0"/>
    <n v="0"/>
    <n v="0"/>
    <n v="0"/>
    <m/>
    <n v="4"/>
    <s v="No"/>
    <m/>
  </r>
  <r>
    <s v="DANBURY"/>
    <x v="124"/>
    <s v="No"/>
    <n v="14.359590000000001"/>
    <n v="1.5458633203556227E-7"/>
    <n v="0"/>
    <n v="0"/>
    <n v="14.359590000000001"/>
    <n v="1.5458633203556227E-7"/>
    <n v="0"/>
    <n v="0"/>
    <n v="0"/>
    <n v="0"/>
    <n v="0"/>
    <n v="0"/>
    <m/>
    <n v="3"/>
    <s v="No"/>
    <m/>
  </r>
  <r>
    <s v="DANBURY"/>
    <x v="125"/>
    <s v="No"/>
    <n v="12.5097"/>
    <n v="1.3467157752173101E-7"/>
    <n v="0"/>
    <n v="0"/>
    <n v="12.5097"/>
    <n v="1.3467157752173101E-7"/>
    <n v="0"/>
    <n v="0"/>
    <n v="0"/>
    <n v="0"/>
    <n v="0"/>
    <n v="0"/>
    <m/>
    <n v="1"/>
    <s v="No"/>
    <m/>
  </r>
  <r>
    <s v="DANBURY"/>
    <x v="126"/>
    <s v="No"/>
    <n v="119.98686000000001"/>
    <n v="1.291703215750904E-6"/>
    <n v="0"/>
    <n v="0"/>
    <n v="119.98686000000001"/>
    <n v="1.291703215750904E-6"/>
    <n v="0"/>
    <n v="0"/>
    <n v="0"/>
    <n v="0"/>
    <n v="0"/>
    <n v="0"/>
    <m/>
    <n v="3"/>
    <s v="No"/>
    <m/>
  </r>
  <r>
    <s v="DANBURY"/>
    <x v="127"/>
    <s v="No"/>
    <n v="1568.13195"/>
    <n v="1.6881524214707643E-5"/>
    <n v="0"/>
    <n v="0"/>
    <n v="1568.13195"/>
    <n v="1.6881524214707643E-5"/>
    <n v="0"/>
    <n v="0"/>
    <n v="0"/>
    <n v="0"/>
    <n v="0"/>
    <n v="0"/>
    <m/>
    <n v="3"/>
    <s v="No"/>
    <m/>
  </r>
  <r>
    <s v="DARIEN"/>
    <x v="128"/>
    <s v="No"/>
    <n v="80986.744860000006"/>
    <n v="8.7185245758460551E-4"/>
    <n v="33785.24"/>
    <n v="2.7126646748514683E-4"/>
    <n v="80986.744860000006"/>
    <n v="8.7185245758460551E-4"/>
    <n v="33785.24"/>
    <n v="2.7126646748514683E-4"/>
    <n v="0"/>
    <n v="0"/>
    <n v="0"/>
    <n v="0"/>
    <m/>
    <n v="1"/>
    <s v="No"/>
    <m/>
  </r>
  <r>
    <s v="DARIEN"/>
    <x v="129"/>
    <s v="No"/>
    <n v="54310.350570000002"/>
    <n v="5.8467114215529886E-4"/>
    <n v="27065.39"/>
    <n v="2.1731184198803437E-4"/>
    <n v="54310.350570000002"/>
    <n v="5.8467114215529886E-4"/>
    <n v="27065.39"/>
    <n v="2.1731184198803437E-4"/>
    <n v="0"/>
    <n v="0"/>
    <n v="0"/>
    <n v="0"/>
    <m/>
    <n v="3"/>
    <s v="No"/>
    <m/>
  </r>
  <r>
    <s v="DARIEN"/>
    <x v="130"/>
    <s v="No"/>
    <n v="93291.261630000008"/>
    <n v="1.0043151612512398E-3"/>
    <n v="36540.699999999997"/>
    <n v="2.933904453079068E-4"/>
    <n v="93291.261630000008"/>
    <n v="1.0043151612512398E-3"/>
    <n v="36540.699999999997"/>
    <n v="2.933904453079068E-4"/>
    <n v="0"/>
    <n v="0"/>
    <n v="0"/>
    <n v="0"/>
    <m/>
    <n v="1"/>
    <s v="No"/>
    <m/>
  </r>
  <r>
    <s v="DARIEN"/>
    <x v="131"/>
    <s v="No"/>
    <n v="49707.346080000003"/>
    <n v="5.3511808524682697E-4"/>
    <n v="29355.96"/>
    <n v="2.3570315228884777E-4"/>
    <n v="49707.346080000003"/>
    <n v="5.3511808524682697E-4"/>
    <n v="29355.96"/>
    <n v="2.3570315228884777E-4"/>
    <n v="0"/>
    <n v="0"/>
    <n v="0"/>
    <n v="0"/>
    <m/>
    <n v="3"/>
    <s v="No"/>
    <m/>
  </r>
  <r>
    <s v="DARIEN"/>
    <x v="132"/>
    <s v="No"/>
    <n v="372518.73359399999"/>
    <n v="4.0103028457518109E-3"/>
    <n v="384149.23499999999"/>
    <n v="3.0843885070987072E-3"/>
    <n v="251919.38129399999"/>
    <n v="2.7120059223771495E-3"/>
    <n v="339693.55499999999"/>
    <n v="2.7274475685927181E-3"/>
    <n v="120599.3523"/>
    <n v="1.298296923374661E-3"/>
    <n v="44455.68"/>
    <n v="3.5694093850598938E-4"/>
    <m/>
    <n v="3"/>
    <s v="No"/>
    <m/>
  </r>
  <r>
    <s v="DEEP RIVER"/>
    <x v="133"/>
    <s v="No"/>
    <n v="114732.387042"/>
    <n v="1.2351368582603857E-3"/>
    <n v="90516.819999999992"/>
    <n v="7.2677234228286935E-4"/>
    <n v="87178.565291999999"/>
    <n v="9.3850970958175373E-4"/>
    <n v="75616.62"/>
    <n v="6.0713653034777035E-4"/>
    <n v="27553.821749999999"/>
    <n v="2.9662714867863195E-4"/>
    <n v="14900.2"/>
    <n v="1.1963581193509903E-4"/>
    <m/>
    <n v="1"/>
    <s v="No"/>
    <m/>
  </r>
  <r>
    <s v="DURHAM"/>
    <x v="134"/>
    <s v="No"/>
    <n v="156499.02282000001"/>
    <n v="1.6847702409952901E-3"/>
    <n v="195258.505"/>
    <n v="1.5677581363276059E-3"/>
    <n v="126645.1599"/>
    <n v="1.3633822928787154E-3"/>
    <n v="164083.505"/>
    <n v="1.3174496547584517E-3"/>
    <n v="29853.86292"/>
    <n v="3.2138794811657436E-4"/>
    <n v="31175"/>
    <n v="2.5030848156915427E-4"/>
    <m/>
    <n v="1"/>
    <s v="No"/>
    <m/>
  </r>
  <r>
    <s v="DURHAM"/>
    <x v="135"/>
    <s v="No"/>
    <n v="65.311260000000004"/>
    <n v="7.0310002750920718E-7"/>
    <n v="0"/>
    <n v="0"/>
    <n v="65.311260000000004"/>
    <n v="7.0310002750920718E-7"/>
    <n v="0"/>
    <n v="0"/>
    <n v="0"/>
    <n v="0"/>
    <n v="0"/>
    <n v="0"/>
    <m/>
    <n v="2"/>
    <s v="No"/>
    <m/>
  </r>
  <r>
    <s v="EAST GRANBY"/>
    <x v="136"/>
    <s v="No"/>
    <n v="143469.279618"/>
    <n v="1.5445002048060615E-3"/>
    <n v="286985.07500000001"/>
    <n v="2.3042437323579743E-3"/>
    <n v="91943.269488000005"/>
    <n v="9.8980352402172687E-4"/>
    <n v="244559.94500000001"/>
    <n v="1.9636063668191138E-3"/>
    <n v="51526.010130000002"/>
    <n v="5.5469668078433464E-4"/>
    <n v="42425.13"/>
    <n v="3.4063736553886038E-4"/>
    <m/>
    <n v="3"/>
    <s v="No"/>
    <m/>
  </r>
  <r>
    <s v="EAST GRANBY"/>
    <x v="137"/>
    <s v="No"/>
    <n v="100.43019"/>
    <n v="1.0811683827835338E-6"/>
    <n v="0"/>
    <n v="0"/>
    <n v="100.43019"/>
    <n v="1.0811683827835338E-6"/>
    <n v="0"/>
    <n v="0"/>
    <n v="0"/>
    <n v="0"/>
    <n v="0"/>
    <n v="0"/>
    <m/>
    <n v="1"/>
    <s v="No"/>
    <m/>
  </r>
  <r>
    <s v="EAST HADDAM"/>
    <x v="94"/>
    <s v="No"/>
    <n v="109250.07912000001"/>
    <n v="1.1761177725656351E-3"/>
    <n v="154432.51"/>
    <n v="1.2399604517406009E-3"/>
    <n v="90655.912200000006"/>
    <n v="9.7594464356823415E-4"/>
    <n v="153560.51"/>
    <n v="1.2329590404838791E-3"/>
    <n v="18594.16692"/>
    <n v="2.0017312899740089E-4"/>
    <n v="872"/>
    <n v="7.0014112567218124E-6"/>
    <m/>
    <n v="1"/>
    <s v="No"/>
    <m/>
  </r>
  <r>
    <s v="EAST HADDAM"/>
    <x v="138"/>
    <s v="No"/>
    <n v="79929.454962000003"/>
    <n v="8.6047033823230686E-4"/>
    <n v="78324.72"/>
    <n v="6.2888024803622032E-4"/>
    <n v="79929.454962000003"/>
    <n v="8.6047033823230686E-4"/>
    <n v="78324.72"/>
    <n v="6.2888024803622032E-4"/>
    <n v="0"/>
    <n v="0"/>
    <n v="0"/>
    <n v="0"/>
    <m/>
    <n v="1"/>
    <s v="No"/>
    <m/>
  </r>
  <r>
    <s v="EAST HAMPTON"/>
    <x v="139"/>
    <s v="No"/>
    <n v="177936.05867100001"/>
    <n v="1.9155479123578385E-3"/>
    <n v="237534.215"/>
    <n v="1.9071957875660313E-3"/>
    <n v="150359.903001"/>
    <n v="1.6186803307160942E-3"/>
    <n v="225048.13500000001"/>
    <n v="1.8069432863454704E-3"/>
    <n v="27576.15567"/>
    <n v="2.9686758164174413E-4"/>
    <n v="12486.08"/>
    <n v="1.0025250122056088E-4"/>
    <m/>
    <n v="3"/>
    <s v="No"/>
    <m/>
  </r>
  <r>
    <s v="EAST HAMPTON"/>
    <x v="93"/>
    <s v="No"/>
    <n v="44913.512637"/>
    <n v="4.8351068361887097E-4"/>
    <n v="34559.279999999999"/>
    <n v="2.7748134405527634E-4"/>
    <n v="44913.348417000001"/>
    <n v="4.8350891572943635E-4"/>
    <n v="34559.279999999999"/>
    <n v="2.7748134405527634E-4"/>
    <n v="0.16422"/>
    <n v="1.7678894346482061E-9"/>
    <n v="0"/>
    <n v="0"/>
    <m/>
    <n v="2"/>
    <s v="No"/>
    <m/>
  </r>
  <r>
    <s v="EAST HAMPTON"/>
    <x v="140"/>
    <s v="No"/>
    <n v="43204.613235000004"/>
    <n v="4.6511374537948217E-4"/>
    <n v="34676.71"/>
    <n v="2.7842420612394245E-4"/>
    <n v="43204.613235000004"/>
    <n v="4.6511374537948217E-4"/>
    <n v="34676.71"/>
    <n v="2.7842420612394245E-4"/>
    <n v="0"/>
    <n v="0"/>
    <n v="0"/>
    <n v="0"/>
    <m/>
    <n v="1"/>
    <s v="No"/>
    <m/>
  </r>
  <r>
    <s v="EAST HAMPTON"/>
    <x v="141"/>
    <s v="No"/>
    <n v="417.77568000000002"/>
    <n v="4.4975107217450366E-6"/>
    <n v="0"/>
    <n v="0"/>
    <n v="417.77568000000002"/>
    <n v="4.4975107217450366E-6"/>
    <n v="0"/>
    <n v="0"/>
    <n v="0"/>
    <n v="0"/>
    <n v="0"/>
    <n v="0"/>
    <m/>
    <n v="1"/>
    <s v="No"/>
    <m/>
  </r>
  <r>
    <s v="EAST HARTFORD"/>
    <x v="142"/>
    <s v="No"/>
    <n v="17095.802388"/>
    <n v="1.8404267700997912E-4"/>
    <n v="7398.88"/>
    <n v="5.9406653347630602E-5"/>
    <n v="17095.802388"/>
    <n v="1.8404267700997912E-4"/>
    <n v="7398.88"/>
    <n v="5.9406653347630602E-5"/>
    <n v="0"/>
    <n v="0"/>
    <n v="0"/>
    <n v="0"/>
    <m/>
    <n v="4"/>
    <s v="No"/>
    <m/>
  </r>
  <r>
    <s v="EAST HARTFORD"/>
    <x v="143"/>
    <s v="No"/>
    <n v="14390.598600000001"/>
    <n v="1.5492015115822232E-4"/>
    <n v="14628.72"/>
    <n v="1.174560606415499E-4"/>
    <n v="14390.598600000001"/>
    <n v="1.5492015115822232E-4"/>
    <n v="14628.72"/>
    <n v="1.174560606415499E-4"/>
    <n v="0"/>
    <n v="0"/>
    <n v="0"/>
    <n v="0"/>
    <m/>
    <n v="5"/>
    <s v="No"/>
    <m/>
  </r>
  <r>
    <s v="EAST HARTFORD"/>
    <x v="144"/>
    <s v="Yes"/>
    <n v="27406.101030000002"/>
    <n v="2.9503688013541787E-4"/>
    <n v="19640.63"/>
    <n v="1.5769739446227997E-4"/>
    <n v="27280.58382"/>
    <n v="2.9368564064311778E-4"/>
    <n v="19424.63"/>
    <n v="1.5596309993079843E-4"/>
    <n v="125.51721000000001"/>
    <n v="1.3512394923000862E-6"/>
    <n v="216"/>
    <n v="1.7342945314815499E-6"/>
    <m/>
    <n v="4"/>
    <s v="No"/>
    <m/>
  </r>
  <r>
    <s v="EAST HARTFORD"/>
    <x v="145"/>
    <s v="No"/>
    <n v="34942.397363999997"/>
    <n v="3.7616791572947825E-4"/>
    <n v="8252.76"/>
    <n v="6.6262576563100347E-5"/>
    <n v="34942.397363999997"/>
    <n v="3.7616791572947825E-4"/>
    <n v="8252.76"/>
    <n v="6.6262576563100347E-5"/>
    <n v="0"/>
    <n v="0"/>
    <n v="0"/>
    <n v="0"/>
    <m/>
    <n v="4"/>
    <s v="No"/>
    <m/>
  </r>
  <r>
    <s v="EAST HARTFORD"/>
    <x v="146"/>
    <s v="No"/>
    <n v="28201.181820000002"/>
    <n v="3.0359622082676329E-4"/>
    <n v="11501.27"/>
    <n v="9.234532252820744E-5"/>
    <n v="28201.181820000002"/>
    <n v="3.0359622082676329E-4"/>
    <n v="11501.27"/>
    <n v="9.234532252820744E-5"/>
    <n v="0"/>
    <n v="0"/>
    <n v="0"/>
    <n v="0"/>
    <m/>
    <n v="5"/>
    <s v="No"/>
    <m/>
  </r>
  <r>
    <s v="EAST HARTFORD"/>
    <x v="147"/>
    <s v="No"/>
    <n v="35289.634758"/>
    <n v="3.7990605554294422E-4"/>
    <n v="47826.95"/>
    <n v="3.8400934186315512E-4"/>
    <n v="35289.634758"/>
    <n v="3.7990605554294422E-4"/>
    <n v="47826.95"/>
    <n v="3.8400934186315512E-4"/>
    <n v="0"/>
    <n v="0"/>
    <n v="0"/>
    <n v="0"/>
    <m/>
    <n v="5"/>
    <s v="No"/>
    <m/>
  </r>
  <r>
    <s v="EAST HARTFORD"/>
    <x v="148"/>
    <s v="No"/>
    <n v="38132.383421999999"/>
    <n v="4.1050930318906471E-4"/>
    <n v="20718.86"/>
    <n v="1.6635465553949919E-4"/>
    <n v="38132.383421999999"/>
    <n v="4.1050930318906471E-4"/>
    <n v="20718.86"/>
    <n v="1.6635465553949919E-4"/>
    <n v="0"/>
    <n v="0"/>
    <n v="0"/>
    <n v="0"/>
    <m/>
    <n v="5"/>
    <s v="No"/>
    <m/>
  </r>
  <r>
    <s v="EAST HARTFORD"/>
    <x v="149"/>
    <s v="No"/>
    <n v="22984.757669999999"/>
    <n v="2.4743947291890338E-4"/>
    <n v="35333.4"/>
    <n v="2.8369686295671385E-4"/>
    <n v="22984.757669999999"/>
    <n v="2.4743947291890338E-4"/>
    <n v="35333.4"/>
    <n v="2.8369686295671385E-4"/>
    <n v="0"/>
    <n v="0"/>
    <n v="0"/>
    <n v="0"/>
    <m/>
    <n v="3"/>
    <s v="No"/>
    <m/>
  </r>
  <r>
    <s v="EAST HARTFORD"/>
    <x v="150"/>
    <s v="No"/>
    <n v="33499.131540000002"/>
    <n v="3.6063062184542988E-4"/>
    <n v="46176.364999999998"/>
    <n v="3.7075656158887054E-4"/>
    <n v="33499.131540000002"/>
    <n v="3.6063062184542988E-4"/>
    <n v="46176.364999999998"/>
    <n v="3.7075656158887054E-4"/>
    <n v="0"/>
    <n v="0"/>
    <n v="0"/>
    <n v="0"/>
    <m/>
    <n v="4"/>
    <s v="No"/>
    <m/>
  </r>
  <r>
    <s v="EAST HARTFORD"/>
    <x v="151"/>
    <s v="No"/>
    <n v="31599.164100000002"/>
    <n v="3.4017676504752704E-4"/>
    <n v="44515.13"/>
    <n v="3.5741827095921424E-4"/>
    <n v="31599.164100000002"/>
    <n v="3.4017676504752704E-4"/>
    <n v="44515.13"/>
    <n v="3.5741827095921424E-4"/>
    <n v="0"/>
    <n v="0"/>
    <n v="0"/>
    <n v="0"/>
    <m/>
    <n v="4"/>
    <s v="No"/>
    <m/>
  </r>
  <r>
    <s v="EAST HARTFORD"/>
    <x v="152"/>
    <s v="No"/>
    <n v="464189.15348400001"/>
    <n v="4.9971690422765686E-3"/>
    <n v="847519.3"/>
    <n v="6.8048522560882922E-3"/>
    <n v="227724.83710199999"/>
    <n v="2.4515426471782339E-3"/>
    <n v="290015.76"/>
    <n v="2.328577530608637E-3"/>
    <n v="236464.31638199999"/>
    <n v="2.5456263950983347E-3"/>
    <n v="557503.54"/>
    <n v="4.4762747254796552E-3"/>
    <m/>
    <n v="4"/>
    <s v="No"/>
    <m/>
  </r>
  <r>
    <s v="EAST HARTFORD"/>
    <x v="153"/>
    <s v="Yes"/>
    <n v="21825.690494999999"/>
    <n v="2.3496168329078233E-4"/>
    <n v="6911.54"/>
    <n v="5.5493731602388851E-5"/>
    <n v="21825.690494999999"/>
    <n v="2.3496168329078233E-4"/>
    <n v="6911.54"/>
    <n v="5.5493731602388851E-5"/>
    <n v="0"/>
    <n v="0"/>
    <n v="0"/>
    <n v="0"/>
    <m/>
    <n v="5"/>
    <s v="No"/>
    <m/>
  </r>
  <r>
    <s v="EAST HARTFORD"/>
    <x v="154"/>
    <s v="Yes"/>
    <n v="22506.48141"/>
    <n v="2.4229065093073476E-4"/>
    <n v="32046.06"/>
    <n v="2.5730234543300761E-4"/>
    <n v="22506.48141"/>
    <n v="2.4229065093073476E-4"/>
    <n v="32046.06"/>
    <n v="2.5730234543300761E-4"/>
    <n v="0"/>
    <n v="0"/>
    <n v="0"/>
    <n v="0"/>
    <m/>
    <n v="4"/>
    <s v="No"/>
    <m/>
  </r>
  <r>
    <s v="EAST HARTFORD"/>
    <x v="155"/>
    <s v="No"/>
    <n v="20366.008949999999"/>
    <n v="2.1924766805904157E-4"/>
    <n v="28760.78"/>
    <n v="2.3092436794048114E-4"/>
    <n v="20366.008949999999"/>
    <n v="2.1924766805904157E-4"/>
    <n v="28760.78"/>
    <n v="2.3092436794048114E-4"/>
    <n v="0"/>
    <n v="0"/>
    <n v="0"/>
    <n v="0"/>
    <m/>
    <n v="4"/>
    <s v="No"/>
    <m/>
  </r>
  <r>
    <s v="EAST HARTFORD"/>
    <x v="156"/>
    <s v="No"/>
    <n v="840.70497"/>
    <n v="9.0505019736891793E-6"/>
    <n v="0"/>
    <n v="0"/>
    <n v="840.70497"/>
    <n v="9.0505019736891793E-6"/>
    <n v="0"/>
    <n v="0"/>
    <n v="0"/>
    <n v="0"/>
    <n v="0"/>
    <n v="0"/>
    <m/>
    <n v="5"/>
    <s v="No"/>
    <m/>
  </r>
  <r>
    <s v="EAST LYME"/>
    <x v="157"/>
    <s v="No"/>
    <n v="77.183400000000006"/>
    <n v="8.3090803428465695E-7"/>
    <n v="82740.854999999996"/>
    <n v="6.6433802016948077E-4"/>
    <n v="77.183400000000006"/>
    <n v="8.3090803428465695E-7"/>
    <n v="82740.854999999996"/>
    <n v="6.6433802016948077E-4"/>
    <n v="0"/>
    <n v="0"/>
    <n v="0"/>
    <n v="0"/>
    <m/>
    <n v="3"/>
    <s v="No"/>
    <m/>
  </r>
  <r>
    <s v="EAST LYME"/>
    <x v="158"/>
    <s v="No"/>
    <n v="54338.724405000001"/>
    <n v="5.849765970518824E-4"/>
    <n v="52694.9"/>
    <n v="4.2309480049521818E-4"/>
    <n v="54338.724405000001"/>
    <n v="5.849765970518824E-4"/>
    <n v="52694.9"/>
    <n v="4.2309480049521818E-4"/>
    <n v="0"/>
    <n v="0"/>
    <n v="0"/>
    <n v="0"/>
    <m/>
    <n v="5"/>
    <s v="No"/>
    <m/>
  </r>
  <r>
    <s v="EAST LYME"/>
    <x v="159"/>
    <s v="No"/>
    <n v="285213.64548599999"/>
    <n v="3.0704310709548069E-3"/>
    <n v="347205.99"/>
    <n v="2.7877659710862854E-3"/>
    <n v="189903.894978"/>
    <n v="2.0443861255032805E-3"/>
    <n v="326675.49"/>
    <n v="2.622923684611369E-3"/>
    <n v="95309.750508000012"/>
    <n v="1.0260449454515268E-3"/>
    <n v="20530.5"/>
    <n v="1.6484228647491649E-4"/>
    <m/>
    <n v="4"/>
    <s v="No"/>
    <m/>
  </r>
  <r>
    <s v="EAST LYME"/>
    <x v="160"/>
    <s v="No"/>
    <n v="28822.556489999999"/>
    <n v="3.1028555047023557E-4"/>
    <n v="27715.48"/>
    <n v="2.2253150648789938E-4"/>
    <n v="28822.556489999999"/>
    <n v="3.1028555047023557E-4"/>
    <n v="27715.48"/>
    <n v="2.2253150648789938E-4"/>
    <n v="0"/>
    <n v="0"/>
    <n v="0"/>
    <n v="0"/>
    <m/>
    <n v="3"/>
    <s v="No"/>
    <m/>
  </r>
  <r>
    <s v="EAST LYME"/>
    <x v="161"/>
    <s v="No"/>
    <n v="24819.650519999999"/>
    <n v="2.6719277752995283E-4"/>
    <n v="27992.54"/>
    <n v="2.2475606039017845E-4"/>
    <n v="24819.650519999999"/>
    <n v="2.6719277752995283E-4"/>
    <n v="27992.54"/>
    <n v="2.2475606039017845E-4"/>
    <n v="0"/>
    <n v="0"/>
    <n v="0"/>
    <n v="0"/>
    <m/>
    <n v="4"/>
    <s v="No"/>
    <m/>
  </r>
  <r>
    <s v="EAST LYME"/>
    <x v="162"/>
    <s v="No"/>
    <n v="64201.490702999996"/>
    <n v="6.9115294789001778E-4"/>
    <n v="98140.645000000004"/>
    <n v="7.8798511083135239E-4"/>
    <n v="64201.490702999996"/>
    <n v="6.9115294789001778E-4"/>
    <n v="98140.645000000004"/>
    <n v="7.8798511083135239E-4"/>
    <n v="0"/>
    <n v="0"/>
    <n v="0"/>
    <n v="0"/>
    <m/>
    <n v="4"/>
    <s v="No"/>
    <m/>
  </r>
  <r>
    <s v="EAST WINDSOR"/>
    <x v="163"/>
    <s v="Yes"/>
    <n v="167458.565715"/>
    <n v="1.8027538002002852E-3"/>
    <n v="332774.05499999999"/>
    <n v="2.6718899250251873E-3"/>
    <n v="117868.013865"/>
    <n v="1.2688930483187295E-3"/>
    <n v="226940.83499999999"/>
    <n v="1.8221400421775773E-3"/>
    <n v="49590.551850000003"/>
    <n v="5.3386075188155554E-4"/>
    <n v="105833.22"/>
    <n v="8.4974988284761013E-4"/>
    <m/>
    <n v="4"/>
    <s v="No"/>
    <m/>
  </r>
  <r>
    <s v="EAST WINDSOR"/>
    <x v="164"/>
    <s v="No"/>
    <n v="55283.490759000008"/>
    <n v="5.9514735856356011E-4"/>
    <n v="38043.410000000003"/>
    <n v="3.054559163051413E-4"/>
    <n v="55283.490759000008"/>
    <n v="5.9514735856356011E-4"/>
    <n v="38043.410000000003"/>
    <n v="3.054559163051413E-4"/>
    <n v="0"/>
    <n v="0"/>
    <n v="0"/>
    <n v="0"/>
    <m/>
    <n v="3"/>
    <s v="No"/>
    <m/>
  </r>
  <r>
    <s v="EAST WINDSOR"/>
    <x v="165"/>
    <s v="No"/>
    <n v="125.92293000000001"/>
    <n v="1.355607219138629E-6"/>
    <n v="500"/>
    <n v="4.0145706747258096E-6"/>
    <n v="125.92293000000001"/>
    <n v="1.355607219138629E-6"/>
    <n v="500"/>
    <n v="4.0145706747258096E-6"/>
    <n v="0"/>
    <n v="0"/>
    <n v="0"/>
    <n v="0"/>
    <m/>
    <n v="3"/>
    <s v="No"/>
    <m/>
  </r>
  <r>
    <s v="EASTFORD"/>
    <x v="3"/>
    <s v="No"/>
    <n v="35654.183355000001"/>
    <n v="3.8383055690119615E-4"/>
    <n v="29236.965"/>
    <n v="2.3474772461396979E-4"/>
    <n v="30168.211395000002"/>
    <n v="3.2477202647335354E-4"/>
    <n v="27973.965"/>
    <n v="2.2460691908961238E-4"/>
    <n v="5485.9719599999999"/>
    <n v="5.9058530427842595E-5"/>
    <n v="1263"/>
    <n v="1.0140805524357396E-5"/>
    <m/>
    <n v="2"/>
    <s v="No"/>
    <m/>
  </r>
  <r>
    <s v="ELLINGTON"/>
    <x v="166"/>
    <s v="No"/>
    <n v="243537.12398400001"/>
    <n v="2.6217678019481417E-3"/>
    <n v="283785.53999999998"/>
    <n v="2.2785542135904564E-3"/>
    <n v="200520.93146399999"/>
    <n v="2.1586824757095519E-3"/>
    <n v="265684.53999999998"/>
    <n v="2.1332187260240327E-3"/>
    <n v="43016.192520000004"/>
    <n v="4.6308532623858971E-4"/>
    <n v="18101"/>
    <n v="1.4533548756642378E-4"/>
    <m/>
    <n v="4"/>
    <s v="No"/>
    <m/>
  </r>
  <r>
    <s v="ELLINGTON"/>
    <x v="167"/>
    <s v="No"/>
    <n v="74165.317505999992"/>
    <n v="7.9841725268656085E-4"/>
    <n v="57220.684999999998"/>
    <n v="4.5943296797744604E-4"/>
    <n v="74165.317505999992"/>
    <n v="7.9841725268656085E-4"/>
    <n v="57220.684999999998"/>
    <n v="4.5943296797744604E-4"/>
    <n v="0"/>
    <n v="0"/>
    <n v="0"/>
    <n v="0"/>
    <m/>
    <n v="5"/>
    <s v="No"/>
    <m/>
  </r>
  <r>
    <s v="ELLINGTON"/>
    <x v="168"/>
    <s v="No"/>
    <n v="148.85577000000001"/>
    <n v="1.6024877790124431E-6"/>
    <n v="0"/>
    <n v="0"/>
    <n v="148.85577000000001"/>
    <n v="1.6024877790124431E-6"/>
    <n v="0"/>
    <n v="0"/>
    <n v="0"/>
    <n v="0"/>
    <n v="0"/>
    <n v="0"/>
    <m/>
    <n v="3"/>
    <s v="No"/>
    <m/>
  </r>
  <r>
    <s v="ELLINGTON"/>
    <x v="169"/>
    <s v="No"/>
    <n v="89.079689999999999"/>
    <n v="9.5897602480049601E-7"/>
    <n v="0"/>
    <n v="0"/>
    <n v="89.079689999999999"/>
    <n v="9.5897602480049601E-7"/>
    <n v="0"/>
    <n v="0"/>
    <n v="0"/>
    <n v="0"/>
    <n v="0"/>
    <n v="0"/>
    <m/>
    <n v="1"/>
    <s v="No"/>
    <m/>
  </r>
  <r>
    <s v="ENFIELD"/>
    <x v="170"/>
    <s v="No"/>
    <n v="21248.164980000001"/>
    <n v="2.287444061247352E-4"/>
    <n v="25401.64"/>
    <n v="2.0395335806788423E-4"/>
    <n v="21248.164980000001"/>
    <n v="2.287444061247352E-4"/>
    <n v="25401.64"/>
    <n v="2.0395335806788423E-4"/>
    <n v="0"/>
    <n v="0"/>
    <n v="0"/>
    <n v="0"/>
    <m/>
    <n v="2"/>
    <s v="No"/>
    <m/>
  </r>
  <r>
    <s v="ENFIELD"/>
    <x v="171"/>
    <s v="No"/>
    <n v="33116.427456000005"/>
    <n v="3.5651066991082802E-4"/>
    <n v="30927.685000000001"/>
    <n v="2.4832275447631463E-4"/>
    <n v="33116.427456000005"/>
    <n v="3.5651066991082802E-4"/>
    <n v="30927.685000000001"/>
    <n v="2.4832275447631463E-4"/>
    <n v="0"/>
    <n v="0"/>
    <n v="0"/>
    <n v="0"/>
    <m/>
    <n v="3"/>
    <s v="No"/>
    <m/>
  </r>
  <r>
    <s v="ENFIELD"/>
    <x v="172"/>
    <s v="No"/>
    <n v="31011.767513999999"/>
    <n v="3.338532221274331E-4"/>
    <n v="25227.03"/>
    <n v="2.025513896968565E-4"/>
    <n v="31011.767513999999"/>
    <n v="3.338532221274331E-4"/>
    <n v="25227.03"/>
    <n v="2.025513896968565E-4"/>
    <n v="0"/>
    <n v="0"/>
    <n v="0"/>
    <n v="0"/>
    <m/>
    <n v="2"/>
    <s v="No"/>
    <m/>
  </r>
  <r>
    <s v="ENFIELD"/>
    <x v="173"/>
    <s v="Yes"/>
    <n v="29461.850460000001"/>
    <n v="3.1716778804907682E-4"/>
    <n v="7427.78"/>
    <n v="5.9638695532629749E-5"/>
    <n v="29461.850460000001"/>
    <n v="3.1716778804907682E-4"/>
    <n v="7427.78"/>
    <n v="5.9638695532629749E-5"/>
    <n v="0"/>
    <n v="0"/>
    <n v="0"/>
    <n v="0"/>
    <m/>
    <n v="5"/>
    <s v="No"/>
    <m/>
  </r>
  <r>
    <s v="ENFIELD"/>
    <x v="174"/>
    <s v="No"/>
    <n v="17377.392354"/>
    <n v="1.8707409782226962E-4"/>
    <n v="13716.63"/>
    <n v="1.1013276110812857E-4"/>
    <n v="17377.392354"/>
    <n v="1.8707409782226962E-4"/>
    <n v="13716.63"/>
    <n v="1.1013276110812857E-4"/>
    <n v="0"/>
    <n v="0"/>
    <n v="0"/>
    <n v="0"/>
    <m/>
    <n v="3"/>
    <s v="No"/>
    <m/>
  </r>
  <r>
    <s v="ENFIELD"/>
    <x v="175"/>
    <s v="No"/>
    <n v="47043.970575000007"/>
    <n v="5.0644585643309958E-4"/>
    <n v="47701.66"/>
    <n v="3.8300337074348239E-4"/>
    <n v="46966.932075000004"/>
    <n v="5.0561650830125717E-4"/>
    <n v="47701.66"/>
    <n v="3.8300337074348239E-4"/>
    <n v="77.038499999999999"/>
    <n v="8.2934813184232021E-7"/>
    <n v="0"/>
    <n v="0"/>
    <m/>
    <n v="3"/>
    <s v="No"/>
    <m/>
  </r>
  <r>
    <s v="ENFIELD"/>
    <x v="176"/>
    <s v="No"/>
    <n v="20318.598152999999"/>
    <n v="2.1873727317958382E-4"/>
    <n v="56771.1"/>
    <n v="4.5582318646385282E-4"/>
    <n v="20318.598152999999"/>
    <n v="2.1873727317958382E-4"/>
    <n v="56771.1"/>
    <n v="4.5582318646385282E-4"/>
    <n v="0"/>
    <n v="0"/>
    <n v="0"/>
    <n v="0"/>
    <m/>
    <n v="2"/>
    <s v="No"/>
    <m/>
  </r>
  <r>
    <s v="ENFIELD"/>
    <x v="177"/>
    <s v="No"/>
    <n v="38592.376199999999"/>
    <n v="4.154612966870593E-4"/>
    <n v="23707.200000000001"/>
    <n v="1.9034845979971945E-4"/>
    <n v="38592.376199999999"/>
    <n v="4.154612966870593E-4"/>
    <n v="23707.200000000001"/>
    <n v="1.9034845979971945E-4"/>
    <n v="0"/>
    <n v="0"/>
    <n v="0"/>
    <n v="0"/>
    <m/>
    <n v="1"/>
    <s v="No"/>
    <m/>
  </r>
  <r>
    <s v="ENFIELD"/>
    <x v="178"/>
    <s v="No"/>
    <n v="38324.079360000003"/>
    <n v="4.1257298132482884E-4"/>
    <n v="36395.019999999997"/>
    <n v="2.9222075999611865E-4"/>
    <n v="38324.079360000003"/>
    <n v="4.1257298132482884E-4"/>
    <n v="36395.019999999997"/>
    <n v="2.9222075999611865E-4"/>
    <n v="0"/>
    <n v="0"/>
    <n v="0"/>
    <n v="0"/>
    <m/>
    <n v="2"/>
    <s v="No"/>
    <m/>
  </r>
  <r>
    <s v="ENFIELD"/>
    <x v="179"/>
    <s v="No"/>
    <n v="36800.439921000005"/>
    <n v="3.9617043555439029E-4"/>
    <n v="31198.084999999999"/>
    <n v="2.5049383429720631E-4"/>
    <n v="36800.439921000005"/>
    <n v="3.9617043555439029E-4"/>
    <n v="31198.084999999999"/>
    <n v="2.5049383429720631E-4"/>
    <n v="0"/>
    <n v="0"/>
    <n v="0"/>
    <n v="0"/>
    <m/>
    <n v="3"/>
    <s v="No"/>
    <m/>
  </r>
  <r>
    <s v="ENFIELD"/>
    <x v="180"/>
    <s v="No"/>
    <n v="29139.315618000001"/>
    <n v="3.1369558040398042E-4"/>
    <n v="35687.379999999997"/>
    <n v="2.8653901841159271E-4"/>
    <n v="29139.315618000001"/>
    <n v="3.1369558040398042E-4"/>
    <n v="35687.379999999997"/>
    <n v="2.8653901841159271E-4"/>
    <n v="0"/>
    <n v="0"/>
    <n v="0"/>
    <n v="0"/>
    <m/>
    <n v="1"/>
    <s v="No"/>
    <m/>
  </r>
  <r>
    <s v="ENFIELD"/>
    <x v="164"/>
    <s v="No"/>
    <n v="468.67905000000002"/>
    <n v="5.0455044497379027E-6"/>
    <n v="0"/>
    <n v="0"/>
    <n v="468.67905000000002"/>
    <n v="5.0455044497379027E-6"/>
    <n v="0"/>
    <n v="0"/>
    <n v="0"/>
    <n v="0"/>
    <n v="0"/>
    <n v="0"/>
    <m/>
    <n v="3"/>
    <s v="No"/>
    <m/>
  </r>
  <r>
    <s v="ENFIELD"/>
    <x v="181"/>
    <s v="No"/>
    <n v="457203.40228500002"/>
    <n v="4.921964830013793E-3"/>
    <n v="666890.85"/>
    <n v="5.3545608993059374E-3"/>
    <n v="229546.22382300001"/>
    <n v="2.4711505532826333E-3"/>
    <n v="444913"/>
    <n v="3.5722693652085686E-3"/>
    <n v="227657.17846200001"/>
    <n v="2.4508142767311592E-3"/>
    <n v="221977.85"/>
    <n v="1.7822915340973693E-3"/>
    <m/>
    <n v="4"/>
    <s v="No"/>
    <m/>
  </r>
  <r>
    <s v="ESSEX"/>
    <x v="182"/>
    <s v="No"/>
    <n v="202175.40014700001"/>
    <n v="2.1764934469958269E-3"/>
    <n v="210298.77"/>
    <n v="1.6885185499458156E-3"/>
    <n v="145559.57948700001"/>
    <n v="1.5670030610577461E-3"/>
    <n v="195969.81"/>
    <n v="1.5734693047151774E-3"/>
    <n v="56615.820659999998"/>
    <n v="6.0949038593808072E-4"/>
    <n v="14328.96"/>
    <n v="1.1504924523063828E-4"/>
    <m/>
    <n v="2"/>
    <s v="No"/>
    <m/>
  </r>
  <r>
    <s v="ESSEX"/>
    <x v="183"/>
    <s v="No"/>
    <n v="165.36954"/>
    <n v="1.7802646606907436E-6"/>
    <n v="0"/>
    <n v="0"/>
    <n v="165.36954"/>
    <n v="1.7802646606907436E-6"/>
    <n v="0"/>
    <n v="0"/>
    <n v="0"/>
    <n v="0"/>
    <n v="0"/>
    <n v="0"/>
    <m/>
    <n v="2"/>
    <s v="No"/>
    <m/>
  </r>
  <r>
    <s v="FARMINGTON"/>
    <x v="60"/>
    <s v="No"/>
    <n v="393.05090999999999"/>
    <n v="4.2313393683343257E-6"/>
    <n v="21630.89"/>
    <n v="1.7367747332443955E-4"/>
    <n v="393.05090999999999"/>
    <n v="4.2313393683343257E-6"/>
    <n v="21630.89"/>
    <n v="1.7367747332443955E-4"/>
    <n v="0"/>
    <n v="0"/>
    <n v="0"/>
    <n v="0"/>
    <m/>
    <n v="2"/>
    <s v="No"/>
    <m/>
  </r>
  <r>
    <s v="FARMINGTON"/>
    <x v="71"/>
    <s v="No"/>
    <n v="35.911050000000003"/>
    <n v="3.865958219591004E-7"/>
    <n v="0"/>
    <n v="0"/>
    <n v="35.911050000000003"/>
    <n v="3.865958219591004E-7"/>
    <n v="0"/>
    <n v="0"/>
    <n v="0"/>
    <n v="0"/>
    <n v="0"/>
    <n v="0"/>
    <m/>
    <n v="2"/>
    <s v="No"/>
    <m/>
  </r>
  <r>
    <s v="FARMINGTON"/>
    <x v="184"/>
    <s v="No"/>
    <n v="319691.62337699998"/>
    <n v="3.441599338166677E-3"/>
    <n v="254854.47500000001"/>
    <n v="2.0462626033152841E-3"/>
    <n v="138176.202402"/>
    <n v="1.4875182581068559E-3"/>
    <n v="207955.245"/>
    <n v="1.6697020564648423E-3"/>
    <n v="181515.42097500002"/>
    <n v="1.9540810800598215E-3"/>
    <n v="46899.23"/>
    <n v="3.765605468504419E-4"/>
    <m/>
    <n v="3"/>
    <s v="No"/>
    <m/>
  </r>
  <r>
    <s v="FARMINGTON"/>
    <x v="185"/>
    <s v="No"/>
    <n v="35116.892705999999"/>
    <n v="3.7804642304598739E-4"/>
    <n v="77123.25"/>
    <n v="6.1923347557909462E-4"/>
    <n v="35116.892705999999"/>
    <n v="3.7804642304598739E-4"/>
    <n v="77123.25"/>
    <n v="6.1923347557909462E-4"/>
    <n v="0"/>
    <n v="0"/>
    <n v="0"/>
    <n v="0"/>
    <m/>
    <n v="3"/>
    <s v="No"/>
    <m/>
  </r>
  <r>
    <s v="FARMINGTON"/>
    <x v="186"/>
    <s v="No"/>
    <n v="54975.105402000001"/>
    <n v="5.9182747539195785E-4"/>
    <n v="34054.135000000002"/>
    <n v="2.7342546344830766E-4"/>
    <n v="54784.272102000003"/>
    <n v="5.8977308387540047E-4"/>
    <n v="34054.135000000002"/>
    <n v="2.7342546344830766E-4"/>
    <n v="190.83330000000001"/>
    <n v="2.0543915165573713E-6"/>
    <n v="0"/>
    <n v="0"/>
    <m/>
    <n v="4"/>
    <s v="No"/>
    <m/>
  </r>
  <r>
    <s v="FARMINGTON"/>
    <x v="187"/>
    <s v="No"/>
    <n v="58971.537239999998"/>
    <n v="6.3485055189111696E-4"/>
    <n v="25225.73"/>
    <n v="2.0254095181310221E-4"/>
    <n v="58971.537239999998"/>
    <n v="6.3485055189111696E-4"/>
    <n v="25225.73"/>
    <n v="2.0254095181310221E-4"/>
    <n v="0"/>
    <n v="0"/>
    <n v="0"/>
    <n v="0"/>
    <m/>
    <n v="5"/>
    <s v="No"/>
    <m/>
  </r>
  <r>
    <s v="FARMINGTON"/>
    <x v="188"/>
    <s v="No"/>
    <n v="63185.050047000004"/>
    <n v="6.8021058583491324E-4"/>
    <n v="66048.755000000005"/>
    <n v="5.3031478985029947E-4"/>
    <n v="63185.050047000004"/>
    <n v="6.8021058583491324E-4"/>
    <n v="66048.755000000005"/>
    <n v="5.3031478985029947E-4"/>
    <n v="0"/>
    <n v="0"/>
    <n v="0"/>
    <n v="0"/>
    <m/>
    <n v="4"/>
    <s v="No"/>
    <m/>
  </r>
  <r>
    <s v="FARMINGTON"/>
    <x v="189"/>
    <s v="No"/>
    <n v="51069.916127999997"/>
    <n v="5.497866590613885E-4"/>
    <n v="114046.76"/>
    <n v="9.15697556486985E-4"/>
    <n v="51069.916127999997"/>
    <n v="5.497866590613885E-4"/>
    <n v="114046.76"/>
    <n v="9.15697556486985E-4"/>
    <n v="0"/>
    <n v="0"/>
    <n v="0"/>
    <n v="0"/>
    <m/>
    <n v="3"/>
    <s v="No"/>
    <m/>
  </r>
  <r>
    <s v="FARMINGTON"/>
    <x v="4"/>
    <s v="No"/>
    <n v="37557.588789000001"/>
    <n v="4.0432142498438082E-4"/>
    <n v="27330.294999999998"/>
    <n v="2.1943880167721083E-4"/>
    <n v="37557.588789000001"/>
    <n v="4.0432142498438082E-4"/>
    <n v="27330.294999999998"/>
    <n v="2.1943880167721083E-4"/>
    <n v="0"/>
    <n v="0"/>
    <n v="0"/>
    <n v="0"/>
    <m/>
    <n v="3"/>
    <s v="No"/>
    <m/>
  </r>
  <r>
    <s v="FARMINGTON"/>
    <x v="190"/>
    <s v="No"/>
    <n v="82.89246"/>
    <n v="8.9236819051272094E-7"/>
    <n v="0"/>
    <n v="0"/>
    <n v="82.89246"/>
    <n v="8.9236819051272094E-7"/>
    <n v="0"/>
    <n v="0"/>
    <n v="0"/>
    <n v="0"/>
    <n v="0"/>
    <n v="0"/>
    <m/>
    <n v="5"/>
    <s v="No"/>
    <m/>
  </r>
  <r>
    <s v="FRANKLIN"/>
    <x v="191"/>
    <s v="No"/>
    <n v="58023.950648999999"/>
    <n v="6.2464942947823663E-4"/>
    <n v="72191.39499999999"/>
    <n v="5.7963491466909479E-4"/>
    <n v="33482.483978999997"/>
    <n v="3.6045140465382978E-4"/>
    <n v="57481.254999999997"/>
    <n v="4.6152512133887266E-4"/>
    <n v="24541.466670000002"/>
    <n v="2.6419802482440685E-4"/>
    <n v="14710.14"/>
    <n v="1.1810979333022225E-4"/>
    <m/>
    <n v="1"/>
    <s v="No"/>
    <m/>
  </r>
  <r>
    <s v="FRANKLIN"/>
    <x v="99"/>
    <s v="No"/>
    <n v="72.295439999999999"/>
    <n v="7.7828732522983381E-7"/>
    <n v="0"/>
    <n v="0"/>
    <n v="72.295439999999999"/>
    <n v="7.7828732522983381E-7"/>
    <n v="0"/>
    <n v="0"/>
    <n v="0"/>
    <n v="0"/>
    <n v="0"/>
    <n v="0"/>
    <m/>
    <n v="1"/>
    <s v="No"/>
    <m/>
  </r>
  <r>
    <s v="GLASTONBURY"/>
    <x v="148"/>
    <s v="No"/>
    <n v="74.39649"/>
    <n v="8.0090591064371526E-7"/>
    <n v="22211.535"/>
    <n v="1.7833955410329188E-4"/>
    <n v="74.39649"/>
    <n v="8.0090591064371526E-7"/>
    <n v="22211.535"/>
    <n v="1.7833955410329188E-4"/>
    <n v="0"/>
    <n v="0"/>
    <n v="0"/>
    <n v="0"/>
    <m/>
    <n v="5"/>
    <s v="No"/>
    <m/>
  </r>
  <r>
    <s v="GLASTONBURY"/>
    <x v="192"/>
    <s v="No"/>
    <n v="58461.325020000004"/>
    <n v="6.2935792740465739E-4"/>
    <n v="55031.58"/>
    <n v="4.4185633450365478E-4"/>
    <n v="58461.325020000004"/>
    <n v="6.2935792740465739E-4"/>
    <n v="55031.58"/>
    <n v="4.4185633450365478E-4"/>
    <n v="0"/>
    <n v="0"/>
    <n v="0"/>
    <n v="0"/>
    <m/>
    <n v="4"/>
    <s v="No"/>
    <m/>
  </r>
  <r>
    <s v="GLASTONBURY"/>
    <x v="193"/>
    <s v="No"/>
    <n v="50053.257156"/>
    <n v="5.388419467532707E-4"/>
    <n v="32587.47"/>
    <n v="2.6164940285101419E-4"/>
    <n v="50053.257156"/>
    <n v="5.388419467532707E-4"/>
    <n v="32587.47"/>
    <n v="2.6164940285101419E-4"/>
    <n v="0"/>
    <n v="0"/>
    <n v="0"/>
    <n v="0"/>
    <m/>
    <n v="4"/>
    <s v="No"/>
    <m/>
  </r>
  <r>
    <s v="GLASTONBURY"/>
    <x v="194"/>
    <s v="No"/>
    <n v="54415.591440000004"/>
    <n v="5.8580409929916805E-4"/>
    <n v="34077.245000000003"/>
    <n v="2.7361101690489349E-4"/>
    <n v="54415.591440000004"/>
    <n v="5.8580409929916805E-4"/>
    <n v="34077.245000000003"/>
    <n v="2.7361101690489349E-4"/>
    <n v="0"/>
    <n v="0"/>
    <n v="0"/>
    <n v="0"/>
    <m/>
    <n v="2"/>
    <s v="No"/>
    <m/>
  </r>
  <r>
    <s v="GLASTONBURY"/>
    <x v="195"/>
    <s v="No"/>
    <n v="54077.215164000001"/>
    <n v="5.821613527197257E-4"/>
    <n v="53736.13"/>
    <n v="4.3145498334250763E-4"/>
    <n v="54077.215164000001"/>
    <n v="5.821613527197257E-4"/>
    <n v="53736.13"/>
    <n v="4.3145498334250763E-4"/>
    <n v="0"/>
    <n v="0"/>
    <n v="0"/>
    <n v="0"/>
    <m/>
    <n v="4"/>
    <s v="No"/>
    <m/>
  </r>
  <r>
    <s v="GLASTONBURY"/>
    <x v="196"/>
    <s v="No"/>
    <n v="35292.892110000001"/>
    <n v="3.7994112214984798E-4"/>
    <n v="16508.41"/>
    <n v="1.3254835734470062E-4"/>
    <n v="35264.351640000001"/>
    <n v="3.7963387336545574E-4"/>
    <n v="16508.41"/>
    <n v="1.3254835734470062E-4"/>
    <n v="28.540469999999999"/>
    <n v="3.0724878439224263E-7"/>
    <n v="0"/>
    <n v="0"/>
    <m/>
    <n v="5"/>
    <s v="No"/>
    <m/>
  </r>
  <r>
    <s v="GLASTONBURY"/>
    <x v="197"/>
    <s v="No"/>
    <n v="459297.76032"/>
    <n v="4.944511373933212E-3"/>
    <n v="465446.95"/>
    <n v="3.7371393522211407E-3"/>
    <n v="264751.90448700002"/>
    <n v="2.8501528117498374E-3"/>
    <n v="358511.56"/>
    <n v="2.8785399906524054E-3"/>
    <n v="194545.85583300001"/>
    <n v="2.0943585621833747E-3"/>
    <n v="106935.39"/>
    <n v="8.5859936156873528E-4"/>
    <m/>
    <n v="3"/>
    <s v="No"/>
    <m/>
  </r>
  <r>
    <s v="GLASTONBURY"/>
    <x v="198"/>
    <s v="No"/>
    <n v="59047.810185000002"/>
    <n v="6.3567165853838895E-4"/>
    <n v="23370.735000000001"/>
    <n v="1.8764693475557622E-4"/>
    <n v="59047.810185000002"/>
    <n v="6.3567165853838895E-4"/>
    <n v="23370.735000000001"/>
    <n v="1.8764693475557622E-4"/>
    <n v="0"/>
    <n v="0"/>
    <n v="0"/>
    <n v="0"/>
    <m/>
    <n v="3"/>
    <s v="No"/>
    <m/>
  </r>
  <r>
    <s v="GLASTONBURY"/>
    <x v="199"/>
    <s v="No"/>
    <n v="236.43816000000001"/>
    <n v="2.545344811908794E-6"/>
    <n v="0"/>
    <n v="0"/>
    <n v="236.43816000000001"/>
    <n v="2.545344811908794E-6"/>
    <n v="0"/>
    <n v="0"/>
    <n v="0"/>
    <n v="0"/>
    <n v="0"/>
    <n v="0"/>
    <m/>
    <n v="1"/>
    <s v="No"/>
    <m/>
  </r>
  <r>
    <s v="GOSHEN"/>
    <x v="200"/>
    <s v="No"/>
    <n v="87434.521965000007"/>
    <n v="9.4126517845232014E-4"/>
    <n v="196275.01500000001"/>
    <n v="1.575919838800737E-3"/>
    <n v="76677.479235000006"/>
    <n v="8.2546160890886451E-4"/>
    <n v="173384.595"/>
    <n v="1.3921294210724226E-3"/>
    <n v="10757.042730000001"/>
    <n v="1.1580356954345571E-4"/>
    <n v="22890.42"/>
    <n v="1.8379041772831434E-4"/>
    <m/>
    <n v="3"/>
    <s v="No"/>
    <m/>
  </r>
  <r>
    <s v="GRANBY"/>
    <x v="9"/>
    <s v="No"/>
    <n v="45.397170000000003"/>
    <n v="4.8871743518407319E-7"/>
    <n v="13499.575000000001"/>
    <n v="1.0838999583252336E-4"/>
    <n v="45.397170000000003"/>
    <n v="4.8871743518407319E-7"/>
    <n v="13499.575000000001"/>
    <n v="1.0838999583252336E-4"/>
    <n v="0"/>
    <n v="0"/>
    <n v="0"/>
    <n v="0"/>
    <m/>
    <n v="3"/>
    <s v="No"/>
    <m/>
  </r>
  <r>
    <s v="GRANBY"/>
    <x v="201"/>
    <s v="No"/>
    <n v="189905.61397500001"/>
    <n v="2.0444046311459216E-3"/>
    <n v="237700.845"/>
    <n v="1.9085336833890903E-3"/>
    <n v="150424.82206500001"/>
    <n v="1.6193792086076596E-3"/>
    <n v="196532.41500000001"/>
    <n v="1.5779865397840859E-3"/>
    <n v="39480.79191"/>
    <n v="4.2502542253826191E-4"/>
    <n v="41168.43"/>
    <n v="3.3054714360500456E-4"/>
    <m/>
    <n v="1"/>
    <s v="No"/>
    <m/>
  </r>
  <r>
    <s v="GRANBY"/>
    <x v="202"/>
    <s v="No"/>
    <n v="47838.119175"/>
    <n v="5.1499516175206581E-4"/>
    <n v="48002.415000000001"/>
    <n v="3.8541817515003667E-4"/>
    <n v="47838.119175"/>
    <n v="5.1499516175206581E-4"/>
    <n v="48002.415000000001"/>
    <n v="3.8541817515003667E-4"/>
    <n v="0"/>
    <n v="0"/>
    <n v="0"/>
    <n v="0"/>
    <m/>
    <n v="2"/>
    <s v="No"/>
    <m/>
  </r>
  <r>
    <s v="GRANBY"/>
    <x v="136"/>
    <s v="No"/>
    <n v="433.53113999999999"/>
    <n v="4.667124113975108E-6"/>
    <n v="0"/>
    <n v="0"/>
    <n v="433.53113999999999"/>
    <n v="4.667124113975108E-6"/>
    <n v="0"/>
    <n v="0"/>
    <n v="0"/>
    <n v="0"/>
    <n v="0"/>
    <n v="0"/>
    <m/>
    <n v="3"/>
    <s v="No"/>
    <m/>
  </r>
  <r>
    <s v="GREENWICH"/>
    <x v="203"/>
    <s v="No"/>
    <n v="141392.73027599999"/>
    <n v="1.5221453780964798E-3"/>
    <n v="84065.02"/>
    <n v="6.7496992812447743E-4"/>
    <n v="141392.73027599999"/>
    <n v="1.5221453780964798E-3"/>
    <n v="84065.02"/>
    <n v="6.7496992812447743E-4"/>
    <n v="0"/>
    <n v="0"/>
    <n v="0"/>
    <n v="0"/>
    <m/>
    <n v="2"/>
    <s v="No"/>
    <m/>
  </r>
  <r>
    <s v="GREENWICH"/>
    <x v="204"/>
    <s v="No"/>
    <n v="176810.88457200001"/>
    <n v="1.9034349943103295E-3"/>
    <n v="23505.93"/>
    <n v="1.8873243452031531E-4"/>
    <n v="176810.88457200001"/>
    <n v="1.9034349943103295E-3"/>
    <n v="23505.93"/>
    <n v="1.8873243452031531E-4"/>
    <n v="0"/>
    <n v="0"/>
    <n v="0"/>
    <n v="0"/>
    <m/>
    <n v="3"/>
    <s v="No"/>
    <m/>
  </r>
  <r>
    <s v="GREENWICH"/>
    <x v="205"/>
    <s v="No"/>
    <n v="111301.79067"/>
    <n v="1.1982052111979009E-3"/>
    <n v="7785.25"/>
    <n v="6.2508872690818229E-5"/>
    <n v="111301.79067"/>
    <n v="1.1982052111979009E-3"/>
    <n v="7785.25"/>
    <n v="6.2508872690818229E-5"/>
    <n v="0"/>
    <n v="0"/>
    <n v="0"/>
    <n v="0"/>
    <m/>
    <n v="3"/>
    <s v="No"/>
    <m/>
  </r>
  <r>
    <s v="GREENWICH"/>
    <x v="206"/>
    <s v="No"/>
    <n v="1039128.936678"/>
    <n v="1.1186609842834375E-2"/>
    <n v="383486.15750000003"/>
    <n v="3.0790645641255669E-3"/>
    <n v="660697.62427200004"/>
    <n v="7.1126558850787905E-3"/>
    <n v="317582.77750000003"/>
    <n v="2.5499170106989435E-3"/>
    <n v="378431.31240600004"/>
    <n v="4.073953957755584E-3"/>
    <n v="65903.38"/>
    <n v="5.2914755342662288E-4"/>
    <m/>
    <n v="4"/>
    <s v="No"/>
    <m/>
  </r>
  <r>
    <s v="GREENWICH"/>
    <x v="207"/>
    <s v="No"/>
    <n v="130533.600666"/>
    <n v="1.4052428052856499E-3"/>
    <n v="15902.12"/>
    <n v="1.276803692359416E-4"/>
    <n v="130533.600666"/>
    <n v="1.4052428052856499E-3"/>
    <n v="15902.12"/>
    <n v="1.276803692359416E-4"/>
    <n v="0"/>
    <n v="0"/>
    <n v="0"/>
    <n v="0"/>
    <m/>
    <n v="2"/>
    <s v="No"/>
    <m/>
  </r>
  <r>
    <s v="GREENWICH"/>
    <x v="208"/>
    <s v="No"/>
    <n v="60916.7811"/>
    <n v="6.5579182620550188E-4"/>
    <n v="8613.17"/>
    <n v="6.9156359396856215E-5"/>
    <n v="60916.462319999999"/>
    <n v="6.5578839442012875E-4"/>
    <n v="8613.17"/>
    <n v="6.9156359396856215E-5"/>
    <n v="0.31878000000000001"/>
    <n v="3.4317853731406353E-9"/>
    <n v="0"/>
    <n v="0"/>
    <m/>
    <n v="3"/>
    <s v="No"/>
    <m/>
  </r>
  <r>
    <s v="GREENWICH"/>
    <x v="209"/>
    <s v="No"/>
    <n v="44756.562269999995"/>
    <n v="4.8182105448975473E-4"/>
    <n v="2483.35"/>
    <n v="1.9939168170160679E-5"/>
    <n v="44654.533349999998"/>
    <n v="4.8072267518335746E-4"/>
    <n v="2378.35"/>
    <n v="1.9096108328468261E-5"/>
    <n v="102.02892"/>
    <n v="1.0983793063973148E-6"/>
    <n v="105"/>
    <n v="8.4305984169242004E-7"/>
    <m/>
    <n v="3"/>
    <s v="No"/>
    <m/>
  </r>
  <r>
    <s v="GREENWICH"/>
    <x v="210"/>
    <s v="No"/>
    <n v="23517.346313999999"/>
    <n v="2.5317298793985831E-4"/>
    <n v="2758.89"/>
    <n v="2.2151517777588578E-5"/>
    <n v="23517.346313999999"/>
    <n v="2.5317298793985831E-4"/>
    <n v="2758.89"/>
    <n v="2.2151517777588578E-5"/>
    <n v="0"/>
    <n v="0"/>
    <n v="0"/>
    <n v="0"/>
    <m/>
    <n v="3"/>
    <s v="No"/>
    <m/>
  </r>
  <r>
    <s v="GREENWICH"/>
    <x v="211"/>
    <s v="No"/>
    <n v="39745.541597999996"/>
    <n v="4.2787555148870402E-4"/>
    <n v="3129.68"/>
    <n v="2.5128643098551744E-5"/>
    <n v="39745.541597999996"/>
    <n v="4.2787555148870402E-4"/>
    <n v="3129.68"/>
    <n v="2.5128643098551744E-5"/>
    <n v="0"/>
    <n v="0"/>
    <n v="0"/>
    <n v="0"/>
    <m/>
    <n v="3"/>
    <s v="No"/>
    <m/>
  </r>
  <r>
    <s v="GREENWICH"/>
    <x v="212"/>
    <s v="No"/>
    <n v="40025.012159999998"/>
    <n v="4.3088415612793797E-4"/>
    <n v="15845.91"/>
    <n v="1.2722905120068892E-4"/>
    <n v="40025.012159999998"/>
    <n v="4.3088415612793797E-4"/>
    <n v="15845.91"/>
    <n v="1.2722905120068892E-4"/>
    <n v="0"/>
    <n v="0"/>
    <n v="0"/>
    <n v="0"/>
    <m/>
    <n v="3"/>
    <s v="No"/>
    <m/>
  </r>
  <r>
    <s v="GREENWICH"/>
    <x v="213"/>
    <s v="No"/>
    <n v="59732.721089999999"/>
    <n v="6.430449794044518E-4"/>
    <n v="7675.62"/>
    <n v="6.1628637924677845E-5"/>
    <n v="59732.721089999999"/>
    <n v="6.430449794044518E-4"/>
    <n v="7675.62"/>
    <n v="6.1628637924677845E-5"/>
    <n v="0"/>
    <n v="0"/>
    <n v="0"/>
    <n v="0"/>
    <m/>
    <n v="5"/>
    <s v="No"/>
    <m/>
  </r>
  <r>
    <s v="GREENWICH"/>
    <x v="214"/>
    <s v="No"/>
    <n v="87643.639230000001"/>
    <n v="9.4351640365872627E-4"/>
    <n v="8048.34"/>
    <n v="6.4621259488445451E-5"/>
    <n v="87643.639230000001"/>
    <n v="9.4351640365872627E-4"/>
    <n v="8048.34"/>
    <n v="6.4621259488445451E-5"/>
    <n v="0"/>
    <n v="0"/>
    <n v="0"/>
    <n v="0"/>
    <m/>
    <n v="2"/>
    <s v="No"/>
    <m/>
  </r>
  <r>
    <s v="GREENWICH"/>
    <x v="215"/>
    <s v="No"/>
    <n v="92110.181729999997"/>
    <n v="9.9160039644375351E-4"/>
    <n v="7329.38"/>
    <n v="5.8848628023843714E-5"/>
    <n v="92110.181729999997"/>
    <n v="9.9160039644375351E-4"/>
    <n v="7329.38"/>
    <n v="5.8848628023843714E-5"/>
    <n v="0"/>
    <n v="0"/>
    <n v="0"/>
    <n v="0"/>
    <m/>
    <n v="3"/>
    <s v="No"/>
    <m/>
  </r>
  <r>
    <s v="GREENWICH"/>
    <x v="216"/>
    <s v="No"/>
    <n v="64131.090072000006"/>
    <n v="6.90395058889059E-4"/>
    <n v="1433.6"/>
    <n v="1.1510577038573841E-5"/>
    <n v="64131.090072000006"/>
    <n v="6.90395058889059E-4"/>
    <n v="1433.6"/>
    <n v="1.1510577038573841E-5"/>
    <n v="0"/>
    <n v="0"/>
    <n v="0"/>
    <n v="0"/>
    <m/>
    <n v="4"/>
    <s v="No"/>
    <m/>
  </r>
  <r>
    <s v="GREENWICH"/>
    <x v="217"/>
    <s v="No"/>
    <n v="35309.309280000001"/>
    <n v="3.8011785909656474E-4"/>
    <n v="1255.0899999999999"/>
    <n v="1.0077295016283233E-5"/>
    <n v="35309.309280000001"/>
    <n v="3.8011785909656474E-4"/>
    <n v="1255.0899999999999"/>
    <n v="1.0077295016283233E-5"/>
    <n v="0"/>
    <n v="0"/>
    <n v="0"/>
    <n v="0"/>
    <m/>
    <n v="5"/>
    <s v="No"/>
    <m/>
  </r>
  <r>
    <s v="GREENWICH"/>
    <x v="218"/>
    <s v="No"/>
    <n v="8792.2711799999997"/>
    <n v="9.4652072376591863E-5"/>
    <n v="77"/>
    <n v="6.1824388390777475E-7"/>
    <n v="8792.2711799999997"/>
    <n v="9.4652072376591863E-5"/>
    <n v="77"/>
    <n v="6.1824388390777475E-7"/>
    <n v="0"/>
    <n v="0"/>
    <n v="0"/>
    <n v="0"/>
    <m/>
    <n v="4"/>
    <s v="No"/>
    <m/>
  </r>
  <r>
    <s v="GREENWICH"/>
    <x v="219"/>
    <s v="No"/>
    <n v="633.09708000000001"/>
    <n v="6.8155257510573019E-6"/>
    <n v="105"/>
    <n v="8.4305984169242004E-7"/>
    <n v="633.09708000000001"/>
    <n v="6.8155257510573019E-6"/>
    <n v="105"/>
    <n v="8.4305984169242004E-7"/>
    <n v="0"/>
    <n v="0"/>
    <n v="0"/>
    <n v="0"/>
    <m/>
    <n v="4"/>
    <s v="No"/>
    <m/>
  </r>
  <r>
    <s v="GRISWOLD"/>
    <x v="220"/>
    <s v="No"/>
    <n v="123302.365683"/>
    <n v="1.3273958687011645E-3"/>
    <n v="485526.73500000004"/>
    <n v="3.8983627842527394E-3"/>
    <n v="116285.206443"/>
    <n v="1.251853537184662E-3"/>
    <n v="470072.58500000002"/>
    <n v="3.7742792294671113E-3"/>
    <n v="7017.15924"/>
    <n v="7.5542331516502471E-5"/>
    <n v="15454.15"/>
    <n v="1.2408355478562774E-4"/>
    <m/>
    <n v="3"/>
    <s v="No"/>
    <m/>
  </r>
  <r>
    <s v="GRISWOLD"/>
    <x v="221"/>
    <s v="Yes"/>
    <n v="14157.543372"/>
    <n v="1.5241122486866725E-4"/>
    <n v="7324.16"/>
    <n v="5.8806715905999574E-5"/>
    <n v="14157.543372"/>
    <n v="1.5241122486866725E-4"/>
    <n v="7324.16"/>
    <n v="5.8806715905999574E-5"/>
    <n v="0"/>
    <n v="0"/>
    <n v="0"/>
    <n v="0"/>
    <m/>
    <n v="5"/>
    <s v="No"/>
    <m/>
  </r>
  <r>
    <s v="GROTON"/>
    <x v="222"/>
    <s v="No"/>
    <n v="807.47456999999997"/>
    <n v="8.6927643469133066E-6"/>
    <n v="0"/>
    <n v="0"/>
    <n v="807.47456999999997"/>
    <n v="8.6927643469133066E-6"/>
    <n v="0"/>
    <n v="0"/>
    <n v="0"/>
    <n v="0"/>
    <n v="0"/>
    <n v="0"/>
    <m/>
    <n v="4"/>
    <s v="No"/>
    <m/>
  </r>
  <r>
    <s v="GROTON"/>
    <x v="223"/>
    <s v="No"/>
    <n v="98.039339999999996"/>
    <n v="1.0554299924849789E-6"/>
    <n v="0"/>
    <n v="0"/>
    <n v="98.039339999999996"/>
    <n v="1.0554299924849789E-6"/>
    <n v="0"/>
    <n v="0"/>
    <n v="0"/>
    <n v="0"/>
    <n v="0"/>
    <n v="0"/>
    <m/>
    <n v="5"/>
    <s v="No"/>
    <m/>
  </r>
  <r>
    <s v="GROTON"/>
    <x v="224"/>
    <s v="No"/>
    <n v="24.04374"/>
    <n v="2.5883981193172852E-7"/>
    <n v="0"/>
    <n v="0"/>
    <n v="24.04374"/>
    <n v="2.5883981193172852E-7"/>
    <n v="0"/>
    <n v="0"/>
    <n v="0"/>
    <n v="0"/>
    <n v="0"/>
    <n v="0"/>
    <m/>
    <n v="3"/>
    <s v="No"/>
    <m/>
  </r>
  <r>
    <s v="GROTON"/>
    <x v="225"/>
    <s v="No"/>
    <n v="1837.5686700000001"/>
    <n v="1.9782110809484572E-5"/>
    <n v="660.59"/>
    <n v="5.303970484034246E-6"/>
    <n v="1837.5686700000001"/>
    <n v="1.9782110809484572E-5"/>
    <n v="660.59"/>
    <n v="5.303970484034246E-6"/>
    <n v="0"/>
    <n v="0"/>
    <n v="0"/>
    <n v="0"/>
    <m/>
    <n v="5"/>
    <s v="No"/>
    <m/>
  </r>
  <r>
    <s v="GROTON"/>
    <x v="226"/>
    <s v="No"/>
    <n v="2615.9473200000002"/>
    <n v="2.8161646745976679E-5"/>
    <n v="2581.37"/>
    <n v="2.0726184605233926E-5"/>
    <n v="2615.9473200000002"/>
    <n v="2.8161646745976679E-5"/>
    <n v="2581.37"/>
    <n v="2.0726184605233926E-5"/>
    <n v="0"/>
    <n v="0"/>
    <n v="0"/>
    <n v="0"/>
    <m/>
    <n v="5"/>
    <s v="No"/>
    <m/>
  </r>
  <r>
    <s v="GROTON"/>
    <x v="227"/>
    <s v="No"/>
    <n v="20660.035200000002"/>
    <n v="2.2241297009828305E-4"/>
    <n v="13564.31"/>
    <n v="1.089097622977801E-4"/>
    <n v="20660.035200000002"/>
    <n v="2.2241297009828305E-4"/>
    <n v="13564.31"/>
    <n v="1.089097622977801E-4"/>
    <n v="0"/>
    <n v="0"/>
    <n v="0"/>
    <n v="0"/>
    <m/>
    <n v="2"/>
    <s v="No"/>
    <m/>
  </r>
  <r>
    <s v="GROTON"/>
    <x v="228"/>
    <s v="No"/>
    <n v="36.080100000000002"/>
    <n v="3.8841570814182648E-7"/>
    <n v="0"/>
    <n v="0"/>
    <n v="36.080100000000002"/>
    <n v="3.8841570814182648E-7"/>
    <n v="0"/>
    <n v="0"/>
    <n v="0"/>
    <n v="0"/>
    <n v="0"/>
    <n v="0"/>
    <m/>
    <n v="2"/>
    <s v="No"/>
    <m/>
  </r>
  <r>
    <s v="GROTON"/>
    <x v="229"/>
    <s v="Yes"/>
    <n v="369948.19165499997"/>
    <n v="3.9826300048354897E-3"/>
    <n v="446534.24"/>
    <n v="3.5852865303299536E-3"/>
    <n v="241109.830185"/>
    <n v="2.595637080586315E-3"/>
    <n v="432965.52"/>
    <n v="3.4763413595188222E-3"/>
    <n v="128838.36147"/>
    <n v="1.3869929242491751E-3"/>
    <n v="13568.72"/>
    <n v="1.0894517081113117E-4"/>
    <m/>
    <n v="4"/>
    <e v="#N/A"/>
    <m/>
  </r>
  <r>
    <s v="GUILFORD"/>
    <x v="230"/>
    <s v="No"/>
    <n v="43672.442204999999"/>
    <n v="4.7015009840155829E-4"/>
    <n v="43882.18"/>
    <n v="3.5233622594207887E-4"/>
    <n v="43672.442204999999"/>
    <n v="4.7015009840155829E-4"/>
    <n v="43882.18"/>
    <n v="3.5233622594207887E-4"/>
    <n v="0"/>
    <n v="0"/>
    <n v="0"/>
    <n v="0"/>
    <m/>
    <n v="2"/>
    <s v="No"/>
    <m/>
  </r>
  <r>
    <s v="GUILFORD"/>
    <x v="231"/>
    <s v="No"/>
    <n v="59868.95607"/>
    <n v="6.4451159968073677E-4"/>
    <n v="57093.065000000002"/>
    <n v="4.5840828895842906E-4"/>
    <n v="59868.95607"/>
    <n v="6.4451159968073677E-4"/>
    <n v="57093.065000000002"/>
    <n v="4.5840828895842906E-4"/>
    <n v="0"/>
    <n v="0"/>
    <n v="0"/>
    <n v="0"/>
    <m/>
    <n v="3"/>
    <s v="No"/>
    <m/>
  </r>
  <r>
    <s v="GUILFORD"/>
    <x v="232"/>
    <s v="No"/>
    <n v="343182.465066"/>
    <n v="3.6944869939514583E-3"/>
    <n v="615962.19849999994"/>
    <n v="4.9456475576754762E-3"/>
    <n v="228549.54897600002"/>
    <n v="2.4604209775196881E-3"/>
    <n v="567840.30249999999"/>
    <n v="4.559270052687866E-3"/>
    <n v="114632.91609"/>
    <n v="1.2340660164317705E-3"/>
    <n v="48121.896000000001"/>
    <n v="3.8637750498761052E-4"/>
    <m/>
    <n v="3"/>
    <s v="No"/>
    <m/>
  </r>
  <r>
    <s v="GUILFORD"/>
    <x v="233"/>
    <s v="No"/>
    <n v="67232.588115000006"/>
    <n v="7.237838399254845E-4"/>
    <n v="57196.65"/>
    <n v="4.59239987565112E-4"/>
    <n v="67232.588115000006"/>
    <n v="7.237838399254845E-4"/>
    <n v="57196.65"/>
    <n v="4.59239987565112E-4"/>
    <n v="0"/>
    <n v="0"/>
    <n v="0"/>
    <n v="0"/>
    <m/>
    <n v="2"/>
    <s v="No"/>
    <m/>
  </r>
  <r>
    <s v="GUILFORD"/>
    <x v="135"/>
    <s v="No"/>
    <n v="46999.486275000003"/>
    <n v="5.059669663833021E-4"/>
    <n v="51159.535000000003"/>
    <n v="4.1076713788721741E-4"/>
    <n v="46999.486275000003"/>
    <n v="5.059669663833021E-4"/>
    <n v="51159.535000000003"/>
    <n v="4.1076713788721741E-4"/>
    <n v="0"/>
    <n v="0"/>
    <n v="0"/>
    <n v="0"/>
    <m/>
    <n v="2"/>
    <s v="No"/>
    <m/>
  </r>
  <r>
    <s v="GUILFORD"/>
    <x v="234"/>
    <s v="No"/>
    <n v="369.45152999999999"/>
    <n v="3.9772832572257628E-6"/>
    <n v="0"/>
    <n v="0"/>
    <n v="369.45152999999999"/>
    <n v="3.9772832572257628E-6"/>
    <n v="0"/>
    <n v="0"/>
    <n v="0"/>
    <n v="0"/>
    <n v="0"/>
    <n v="0"/>
    <m/>
    <n v="3"/>
    <s v="No"/>
    <m/>
  </r>
  <r>
    <s v="HADDAM"/>
    <x v="141"/>
    <s v="No"/>
    <n v="172625.88180599999"/>
    <n v="1.8583818815714125E-3"/>
    <n v="223609.76499999998"/>
    <n v="1.7953944103026595E-3"/>
    <n v="147879.598986"/>
    <n v="1.5919789346447628E-3"/>
    <n v="200859.745"/>
    <n v="1.6127312840198082E-3"/>
    <n v="24746.28282"/>
    <n v="2.6640294692664972E-4"/>
    <n v="22750.02"/>
    <n v="1.8266312628285135E-4"/>
    <m/>
    <n v="1"/>
    <s v="No"/>
    <m/>
  </r>
  <r>
    <s v="HAMPTON"/>
    <x v="235"/>
    <s v="No"/>
    <n v="7196.0315280000032"/>
    <n v="7.7467958286119791E-5"/>
    <n v="33583.324999999997"/>
    <n v="2.6964526340957231E-4"/>
    <n v="33612.504198000002"/>
    <n v="3.6185112071436293E-4"/>
    <n v="28052.445"/>
    <n v="2.2523704610271733E-4"/>
    <n v="-26416.472669999999"/>
    <n v="-2.8438316242824314E-4"/>
    <n v="5530.88"/>
    <n v="4.4408217306854977E-5"/>
    <m/>
    <n v="4"/>
    <s v="No"/>
    <m/>
  </r>
  <r>
    <s v="HARTFORD"/>
    <x v="30"/>
    <s v="No"/>
    <n v="15.71199"/>
    <n v="1.6914542149737101E-7"/>
    <n v="0"/>
    <n v="0"/>
    <n v="15.71199"/>
    <n v="1.6914542149737101E-7"/>
    <n v="0"/>
    <n v="0"/>
    <n v="0"/>
    <n v="0"/>
    <n v="0"/>
    <n v="0"/>
    <m/>
    <n v="3"/>
    <s v="No"/>
    <m/>
  </r>
  <r>
    <s v="HARTFORD"/>
    <x v="236"/>
    <s v="Yes"/>
    <n v="16225.699140000001"/>
    <n v="1.7467569162943908E-4"/>
    <n v="3414.78"/>
    <n v="2.7417751297280405E-5"/>
    <n v="16225.699140000001"/>
    <n v="1.7467569162943908E-4"/>
    <n v="3414.78"/>
    <n v="2.7417751297280405E-5"/>
    <n v="0"/>
    <n v="0"/>
    <n v="0"/>
    <n v="0"/>
    <m/>
    <n v="5"/>
    <s v="Yes"/>
    <m/>
  </r>
  <r>
    <s v="HARTFORD"/>
    <x v="237"/>
    <s v="No"/>
    <n v="9887.69103"/>
    <n v="1.0644467485691656E-4"/>
    <n v="1933.42"/>
    <n v="1.5523702467856752E-5"/>
    <n v="9887.69103"/>
    <n v="1.0644467485691656E-4"/>
    <n v="1933.42"/>
    <n v="1.5523702467856752E-5"/>
    <n v="0"/>
    <n v="0"/>
    <n v="0"/>
    <n v="0"/>
    <m/>
    <n v="5"/>
    <s v="Yes"/>
    <m/>
  </r>
  <r>
    <s v="HARTFORD"/>
    <x v="238"/>
    <s v="No"/>
    <n v="11628.97848"/>
    <n v="1.2519028249021651E-4"/>
    <n v="250.27"/>
    <n v="2.0094532055272568E-6"/>
    <n v="11628.97848"/>
    <n v="1.2519028249021651E-4"/>
    <n v="250.27"/>
    <n v="2.0094532055272568E-6"/>
    <n v="0"/>
    <n v="0"/>
    <n v="0"/>
    <n v="0"/>
    <m/>
    <n v="5"/>
    <e v="#N/A"/>
    <m/>
  </r>
  <r>
    <s v="HARTFORD"/>
    <x v="239"/>
    <s v="No"/>
    <n v="11627.871443999999"/>
    <n v="1.2517836483555704E-4"/>
    <n v="530.79999999999995"/>
    <n v="4.2618682282889197E-6"/>
    <n v="11627.871443999999"/>
    <n v="1.2517836483555704E-4"/>
    <n v="530.79999999999995"/>
    <n v="4.2618682282889197E-6"/>
    <n v="0"/>
    <n v="0"/>
    <n v="0"/>
    <n v="0"/>
    <m/>
    <n v="5"/>
    <s v="Yes"/>
    <m/>
  </r>
  <r>
    <s v="HARTFORD"/>
    <x v="240"/>
    <s v="No"/>
    <n v="6738.7821899999999"/>
    <n v="7.2545498941033363E-5"/>
    <n v="231"/>
    <n v="1.8547316517233241E-6"/>
    <n v="6738.7821899999999"/>
    <n v="7.2545498941033363E-5"/>
    <n v="231"/>
    <n v="1.8547316517233241E-6"/>
    <n v="0"/>
    <n v="0"/>
    <n v="0"/>
    <n v="0"/>
    <m/>
    <n v="5"/>
    <s v="No"/>
    <m/>
  </r>
  <r>
    <s v="HARTFORD"/>
    <x v="241"/>
    <s v="No"/>
    <n v="1124688.102951"/>
    <n v="1.2107686119118296E-2"/>
    <n v="2335528.6349999998"/>
    <n v="1.8752289536106796E-2"/>
    <n v="437004.05393399997"/>
    <n v="4.704511325346202E-3"/>
    <n v="1116356.625"/>
    <n v="8.9633851385217556E-3"/>
    <n v="687684.04901700001"/>
    <n v="7.4031747937720943E-3"/>
    <n v="1219172.01"/>
    <n v="9.7889043975850441E-3"/>
    <m/>
    <n v="5"/>
    <s v="Yes"/>
    <m/>
  </r>
  <r>
    <s v="HARTFORD"/>
    <x v="242"/>
    <s v="No"/>
    <n v="14103.97674"/>
    <n v="1.5183456013378424E-4"/>
    <n v="1903.16"/>
    <n v="1.5280740650622345E-5"/>
    <n v="14103.97674"/>
    <n v="1.5183456013378424E-4"/>
    <n v="1903.16"/>
    <n v="1.5280740650622345E-5"/>
    <n v="0"/>
    <n v="0"/>
    <n v="0"/>
    <n v="0"/>
    <m/>
    <n v="4"/>
    <s v="Yes"/>
    <m/>
  </r>
  <r>
    <s v="HARTFORD"/>
    <x v="243"/>
    <s v="Yes"/>
    <n v="8398.3899930000007"/>
    <n v="9.041179476726296E-5"/>
    <n v="15374.87"/>
    <n v="1.2344700445944323E-4"/>
    <n v="8398.3899930000007"/>
    <n v="9.041179476726296E-5"/>
    <n v="15374.87"/>
    <n v="1.2344700445944323E-4"/>
    <n v="0"/>
    <n v="0"/>
    <n v="0"/>
    <n v="0"/>
    <m/>
    <n v="4"/>
    <s v="Yes"/>
    <m/>
  </r>
  <r>
    <s v="HARTFORD"/>
    <x v="244"/>
    <s v="Yes"/>
    <n v="17261.758290000002"/>
    <n v="1.8582925407588654E-4"/>
    <n v="6238.03"/>
    <n v="5.0086024612119683E-5"/>
    <n v="17261.758290000002"/>
    <n v="1.8582925407588654E-4"/>
    <n v="6238.03"/>
    <n v="5.0086024612119683E-5"/>
    <n v="0"/>
    <n v="0"/>
    <n v="0"/>
    <n v="0"/>
    <m/>
    <n v="4"/>
    <s v="Yes"/>
    <m/>
  </r>
  <r>
    <s v="HARTFORD"/>
    <x v="245"/>
    <s v="No"/>
    <n v="21551.207391"/>
    <n v="2.3200677049361364E-4"/>
    <n v="2502.5"/>
    <n v="2.0092926227002678E-5"/>
    <n v="21551.207391"/>
    <n v="2.3200677049361364E-4"/>
    <n v="2502.5"/>
    <n v="2.0092926227002678E-5"/>
    <n v="0"/>
    <n v="0"/>
    <n v="0"/>
    <n v="0"/>
    <m/>
    <n v="3"/>
    <s v="Yes"/>
    <m/>
  </r>
  <r>
    <s v="HARTFORD"/>
    <x v="246"/>
    <s v="No"/>
    <n v="7227.5298900000007"/>
    <n v="7.7807049879034912E-5"/>
    <n v="125.51"/>
    <n v="1.0077375307696729E-6"/>
    <n v="7155.1620000000003"/>
    <n v="7.70279826025839E-5"/>
    <n v="125.51"/>
    <n v="1.0077375307696729E-6"/>
    <n v="72.367890000000003"/>
    <n v="7.7906727645100213E-7"/>
    <n v="0"/>
    <n v="0"/>
    <m/>
    <n v="5"/>
    <s v="Yes"/>
    <m/>
  </r>
  <r>
    <s v="HARTFORD"/>
    <x v="247"/>
    <s v="No"/>
    <n v="12538.790123999999"/>
    <n v="1.349847435360545E-4"/>
    <n v="24086.51"/>
    <n v="1.9339399340497992E-4"/>
    <n v="12538.790123999999"/>
    <n v="1.349847435360545E-4"/>
    <n v="24086.51"/>
    <n v="1.9339399340497992E-4"/>
    <n v="0"/>
    <n v="0"/>
    <n v="0"/>
    <n v="0"/>
    <m/>
    <n v="5"/>
    <e v="#N/A"/>
    <m/>
  </r>
  <r>
    <s v="HARTFORD"/>
    <x v="248"/>
    <s v="No"/>
    <n v="10140.710580000001"/>
    <n v="1.0916852450497676E-4"/>
    <n v="196.43"/>
    <n v="1.5771642352727818E-6"/>
    <n v="10140.710580000001"/>
    <n v="1.0916852450497676E-4"/>
    <n v="196.43"/>
    <n v="1.5771642352727818E-6"/>
    <n v="0"/>
    <n v="0"/>
    <n v="0"/>
    <n v="0"/>
    <m/>
    <n v="5"/>
    <s v="No"/>
    <m/>
  </r>
  <r>
    <s v="HARTFORD"/>
    <x v="249"/>
    <s v="Yes"/>
    <n v="34379.988299999997"/>
    <n v="3.7011337278589047E-4"/>
    <n v="13878.08"/>
    <n v="1.1142906597899754E-4"/>
    <n v="34379.988299999997"/>
    <n v="3.7011337278589047E-4"/>
    <n v="13878.08"/>
    <n v="1.1142906597899754E-4"/>
    <n v="0"/>
    <n v="0"/>
    <n v="0"/>
    <n v="0"/>
    <m/>
    <n v="5"/>
    <s v="No"/>
    <m/>
  </r>
  <r>
    <s v="HARTFORD"/>
    <x v="250"/>
    <s v="Yes"/>
    <n v="38627.038211999999"/>
    <n v="4.1583444614996551E-4"/>
    <n v="4868.3599999999997"/>
    <n v="3.9088750580016288E-5"/>
    <n v="38627.038211999999"/>
    <n v="4.1583444614996551E-4"/>
    <n v="4868.3599999999997"/>
    <n v="3.9088750580016288E-5"/>
    <n v="0"/>
    <n v="0"/>
    <n v="0"/>
    <n v="0"/>
    <m/>
    <n v="5"/>
    <s v="Yes"/>
    <m/>
  </r>
  <r>
    <s v="HARTFORD"/>
    <x v="251"/>
    <s v="No"/>
    <n v="10825.247160000001"/>
    <n v="1.1653781562306357E-4"/>
    <n v="1648.5"/>
    <n v="1.3236039514570996E-5"/>
    <n v="10825.247160000001"/>
    <n v="1.1653781562306357E-4"/>
    <n v="1648.5"/>
    <n v="1.3236039514570996E-5"/>
    <n v="0"/>
    <n v="0"/>
    <n v="0"/>
    <n v="0"/>
    <m/>
    <n v="5"/>
    <s v="Yes"/>
    <m/>
  </r>
  <r>
    <s v="HARTFORD"/>
    <x v="252"/>
    <s v="No"/>
    <n v="20582.632034999999"/>
    <n v="2.2157969621196079E-4"/>
    <n v="27258.65"/>
    <n v="2.1886355384522941E-4"/>
    <n v="20582.632034999999"/>
    <n v="2.2157969621196079E-4"/>
    <n v="27258.65"/>
    <n v="2.1886355384522941E-4"/>
    <n v="0"/>
    <n v="0"/>
    <n v="0"/>
    <n v="0"/>
    <m/>
    <n v="5"/>
    <s v="Yes"/>
    <m/>
  </r>
  <r>
    <s v="HARTFORD"/>
    <x v="253"/>
    <s v="Yes"/>
    <n v="19065.961320000002"/>
    <n v="2.0525217134964905E-4"/>
    <n v="2277.9899999999998"/>
    <n v="1.8290303702637294E-5"/>
    <n v="19065.961320000002"/>
    <n v="2.0525217134964905E-4"/>
    <n v="2277.9899999999998"/>
    <n v="1.8290303702637294E-5"/>
    <n v="0"/>
    <n v="0"/>
    <n v="0"/>
    <n v="0"/>
    <m/>
    <n v="5"/>
    <s v="Yes"/>
    <m/>
  </r>
  <r>
    <s v="HARTFORD"/>
    <x v="254"/>
    <s v="Yes"/>
    <n v="21049.97076"/>
    <n v="2.2661077156410712E-4"/>
    <n v="1798.66"/>
    <n v="1.4441695379604652E-5"/>
    <n v="21049.97076"/>
    <n v="2.2661077156410712E-4"/>
    <n v="1798.66"/>
    <n v="1.4441695379604652E-5"/>
    <n v="0"/>
    <n v="0"/>
    <n v="0"/>
    <n v="0"/>
    <m/>
    <n v="5"/>
    <e v="#N/A"/>
    <m/>
  </r>
  <r>
    <s v="HARTFORD"/>
    <x v="255"/>
    <s v="No"/>
    <n v="12910.225335000001"/>
    <n v="1.3898338185771585E-4"/>
    <n v="296.17"/>
    <n v="2.3779907934670865E-6"/>
    <n v="12910.225335000001"/>
    <n v="1.3898338185771585E-4"/>
    <n v="296.17"/>
    <n v="2.3779907934670865E-6"/>
    <n v="0"/>
    <n v="0"/>
    <n v="0"/>
    <n v="0"/>
    <m/>
    <n v="5"/>
    <s v="No"/>
    <m/>
  </r>
  <r>
    <s v="HARTFORD"/>
    <x v="256"/>
    <s v="Yes"/>
    <n v="17912.302778999998"/>
    <n v="1.9283260768002556E-4"/>
    <n v="159.18"/>
    <n v="1.278078720005709E-6"/>
    <n v="17912.302778999998"/>
    <n v="1.9283260768002556E-4"/>
    <n v="159.18"/>
    <n v="1.278078720005709E-6"/>
    <n v="0"/>
    <n v="0"/>
    <n v="0"/>
    <n v="0"/>
    <m/>
    <n v="5"/>
    <e v="#N/A"/>
    <m/>
  </r>
  <r>
    <s v="HARTFORD"/>
    <x v="257"/>
    <s v="Yes"/>
    <n v="21726.811217999999"/>
    <n v="2.338972110638066E-4"/>
    <n v="1722.11"/>
    <n v="1.3827064609304128E-5"/>
    <n v="21726.811217999999"/>
    <n v="2.338972110638066E-4"/>
    <n v="1722.11"/>
    <n v="1.3827064609304128E-5"/>
    <n v="0"/>
    <n v="0"/>
    <n v="0"/>
    <n v="0"/>
    <m/>
    <n v="5"/>
    <s v="No"/>
    <m/>
  </r>
  <r>
    <s v="HARTFORD"/>
    <x v="258"/>
    <s v="No"/>
    <n v="15415.710555"/>
    <n v="1.6595586297515121E-4"/>
    <n v="358.51"/>
    <n v="2.8785274651919E-6"/>
    <n v="15415.710555"/>
    <n v="1.6595586297515121E-4"/>
    <n v="358.51"/>
    <n v="2.8785274651919E-6"/>
    <n v="0"/>
    <n v="0"/>
    <n v="0"/>
    <n v="0"/>
    <m/>
    <n v="5"/>
    <s v="Yes"/>
    <m/>
  </r>
  <r>
    <s v="HARTFORD"/>
    <x v="259"/>
    <s v="No"/>
    <n v="9440.2446600000003"/>
    <n v="1.0162774811172907E-4"/>
    <n v="6189.88"/>
    <n v="4.9699421456143591E-5"/>
    <n v="9440.2446600000003"/>
    <n v="1.0162774811172907E-4"/>
    <n v="6189.88"/>
    <n v="4.9699421456143591E-5"/>
    <n v="0"/>
    <n v="0"/>
    <n v="0"/>
    <n v="0"/>
    <m/>
    <n v="4"/>
    <s v="Yes"/>
    <m/>
  </r>
  <r>
    <s v="HARTFORD"/>
    <x v="260"/>
    <s v="No"/>
    <n v="21963.401040000001"/>
    <n v="2.3644418857360507E-4"/>
    <n v="3479.46"/>
    <n v="2.7937076159762935E-5"/>
    <n v="21963.401040000001"/>
    <n v="2.3644418857360507E-4"/>
    <n v="3479.46"/>
    <n v="2.7937076159762935E-5"/>
    <n v="0"/>
    <n v="0"/>
    <n v="0"/>
    <n v="0"/>
    <m/>
    <n v="2"/>
    <s v="Yes"/>
    <m/>
  </r>
  <r>
    <s v="HARTFORD"/>
    <x v="261"/>
    <s v="No"/>
    <n v="3741.4397159999999"/>
    <n v="4.0277991379183926E-5"/>
    <n v="1283.46"/>
    <n v="1.0305081756367176E-5"/>
    <n v="3741.4397159999999"/>
    <n v="4.0277991379183926E-5"/>
    <n v="1283.46"/>
    <n v="1.0305081756367176E-5"/>
    <n v="0"/>
    <n v="0"/>
    <n v="0"/>
    <n v="0"/>
    <m/>
    <n v="4"/>
    <s v="Yes"/>
    <m/>
  </r>
  <r>
    <s v="HARTFORD"/>
    <x v="37"/>
    <s v="No"/>
    <n v="35238.607739999999"/>
    <n v="3.7935673069820059E-4"/>
    <n v="43001.09"/>
    <n v="3.4526182979049052E-4"/>
    <n v="35238.607739999999"/>
    <n v="3.7935673069820059E-4"/>
    <n v="43001.09"/>
    <n v="3.4526182979049052E-4"/>
    <n v="0"/>
    <n v="0"/>
    <n v="0"/>
    <n v="0"/>
    <m/>
    <n v="2"/>
    <s v="No"/>
    <m/>
  </r>
  <r>
    <s v="HARTFORD"/>
    <x v="262"/>
    <s v="No"/>
    <n v="21857.042024999999"/>
    <n v="2.352991941825559E-4"/>
    <n v="15681.03"/>
    <n v="1.2590520637499134E-4"/>
    <n v="21857.042024999999"/>
    <n v="2.352991941825559E-4"/>
    <n v="15681.03"/>
    <n v="1.2590520637499134E-4"/>
    <n v="0"/>
    <n v="0"/>
    <n v="0"/>
    <n v="0"/>
    <m/>
    <n v="1"/>
    <s v="Yes"/>
    <m/>
  </r>
  <r>
    <s v="HARTFORD"/>
    <x v="263"/>
    <s v="No"/>
    <n v="8361.1019099999994"/>
    <n v="9.0010374672426833E-5"/>
    <n v="946.23"/>
    <n v="7.597414419091606E-6"/>
    <n v="8361.1019099999994"/>
    <n v="9.0010374672426833E-5"/>
    <n v="946.23"/>
    <n v="7.597414419091606E-6"/>
    <n v="0"/>
    <n v="0"/>
    <n v="0"/>
    <n v="0"/>
    <m/>
    <n v="5"/>
    <s v="Yes"/>
    <m/>
  </r>
  <r>
    <s v="HARTFORD"/>
    <x v="264"/>
    <s v="Yes"/>
    <n v="27450.560697000001"/>
    <n v="2.9551550500180003E-4"/>
    <n v="4524.21"/>
    <n v="3.632552158460251E-5"/>
    <n v="27450.560697000001"/>
    <n v="2.9551550500180003E-4"/>
    <n v="4524.21"/>
    <n v="3.632552158460251E-5"/>
    <n v="0"/>
    <n v="0"/>
    <n v="0"/>
    <n v="0"/>
    <m/>
    <n v="5"/>
    <s v="No"/>
    <m/>
  </r>
  <r>
    <s v="HARTFORD"/>
    <x v="265"/>
    <s v="No"/>
    <n v="13611.832101000002"/>
    <n v="1.4653643988285956E-4"/>
    <n v="3193.16"/>
    <n v="2.5638332991414933E-5"/>
    <n v="13611.832101000002"/>
    <n v="1.4653643988285956E-4"/>
    <n v="3193.16"/>
    <n v="2.5638332991414933E-5"/>
    <n v="0"/>
    <n v="0"/>
    <n v="0"/>
    <n v="0"/>
    <m/>
    <n v="5"/>
    <s v="Yes"/>
    <m/>
  </r>
  <r>
    <s v="HARTFORD"/>
    <x v="266"/>
    <s v="No"/>
    <n v="21935.32908"/>
    <n v="2.3614198347377636E-4"/>
    <n v="9635.0300000000007"/>
    <n v="7.7361017776206851E-5"/>
    <n v="21935.32908"/>
    <n v="2.3614198347377636E-4"/>
    <n v="9635.0300000000007"/>
    <n v="7.7361017776206851E-5"/>
    <n v="0"/>
    <n v="0"/>
    <n v="0"/>
    <n v="0"/>
    <m/>
    <n v="5"/>
    <s v="Yes"/>
    <m/>
  </r>
  <r>
    <s v="HARTFORD"/>
    <x v="267"/>
    <s v="Yes"/>
    <n v="34630.234464000001"/>
    <n v="3.7280736590120437E-4"/>
    <n v="73478.880000000005"/>
    <n v="5.8997231371939369E-4"/>
    <n v="34630.234464000001"/>
    <n v="3.7280736590120437E-4"/>
    <n v="73478.880000000005"/>
    <n v="5.8997231371939369E-4"/>
    <n v="0"/>
    <n v="0"/>
    <n v="0"/>
    <n v="0"/>
    <m/>
    <n v="5"/>
    <s v="Yes"/>
    <m/>
  </r>
  <r>
    <s v="HARTFORD"/>
    <x v="268"/>
    <s v="No"/>
    <n v="25292.758679999999"/>
    <n v="2.7228596299767817E-4"/>
    <n v="13193.14"/>
    <n v="1.0592958590310415E-4"/>
    <n v="25292.758679999999"/>
    <n v="2.7228596299767817E-4"/>
    <n v="13193.14"/>
    <n v="1.0592958590310415E-4"/>
    <n v="0"/>
    <n v="0"/>
    <n v="0"/>
    <n v="0"/>
    <m/>
    <n v="5"/>
    <s v="Yes"/>
    <m/>
  </r>
  <r>
    <s v="HARTFORD"/>
    <x v="269"/>
    <s v="No"/>
    <n v="22269.482970000001"/>
    <n v="2.3973927449604893E-4"/>
    <n v="2969.41"/>
    <n v="2.3841812614475134E-5"/>
    <n v="22269.482970000001"/>
    <n v="2.3973927449604893E-4"/>
    <n v="2969.41"/>
    <n v="2.3841812614475134E-5"/>
    <n v="0"/>
    <n v="0"/>
    <n v="0"/>
    <n v="0"/>
    <m/>
    <n v="5"/>
    <s v="Yes"/>
    <m/>
  </r>
  <r>
    <s v="HARTFORD"/>
    <x v="270"/>
    <s v="No"/>
    <n v="14079.380448"/>
    <n v="1.5156977189387241E-4"/>
    <n v="3308.66"/>
    <n v="2.6565698817276595E-5"/>
    <n v="14079.380448"/>
    <n v="1.5156977189387241E-4"/>
    <n v="3308.66"/>
    <n v="2.6565698817276595E-5"/>
    <n v="0"/>
    <n v="0"/>
    <n v="0"/>
    <n v="0"/>
    <m/>
    <n v="5"/>
    <s v="No"/>
    <m/>
  </r>
  <r>
    <s v="HARTFORD"/>
    <x v="271"/>
    <s v="No"/>
    <n v="22402.98417"/>
    <n v="2.4117646461292174E-4"/>
    <n v="7336.67"/>
    <n v="5.8907160464281216E-5"/>
    <n v="22402.98417"/>
    <n v="2.4117646461292174E-4"/>
    <n v="7336.67"/>
    <n v="5.8907160464281216E-5"/>
    <n v="0"/>
    <n v="0"/>
    <n v="0"/>
    <n v="0"/>
    <m/>
    <n v="5"/>
    <s v="No"/>
    <m/>
  </r>
  <r>
    <s v="HARTFORD"/>
    <x v="272"/>
    <s v="No"/>
    <n v="16407.574722000001"/>
    <n v="1.7663364997701119E-4"/>
    <n v="3823.23"/>
    <n v="3.0697254081463918E-5"/>
    <n v="16407.574722000001"/>
    <n v="1.7663364997701119E-4"/>
    <n v="3823.23"/>
    <n v="3.0697254081463918E-5"/>
    <n v="0"/>
    <n v="0"/>
    <n v="0"/>
    <n v="0"/>
    <m/>
    <n v="5"/>
    <s v="No"/>
    <m/>
  </r>
  <r>
    <s v="HARTFORD"/>
    <x v="273"/>
    <s v="No"/>
    <n v="21960.522359999999"/>
    <n v="2.3641319851175062E-4"/>
    <n v="29626.66"/>
    <n v="2.3787664085214431E-4"/>
    <n v="21960.522359999999"/>
    <n v="2.3641319851175062E-4"/>
    <n v="29626.66"/>
    <n v="2.3787664085214431E-4"/>
    <n v="0"/>
    <n v="0"/>
    <n v="0"/>
    <n v="0"/>
    <m/>
    <n v="5"/>
    <s v="No"/>
    <m/>
  </r>
  <r>
    <s v="HARTLAND"/>
    <x v="9"/>
    <s v="No"/>
    <n v="36044.890748999998"/>
    <n v="3.8803666744736303E-4"/>
    <n v="52911.740000000005"/>
    <n v="4.248358395054333E-4"/>
    <n v="32880.825368999998"/>
    <n v="3.5397432573601147E-4"/>
    <n v="49310.12"/>
    <n v="3.9591792343842135E-4"/>
    <n v="3164.06538"/>
    <n v="3.4062341711351611E-5"/>
    <n v="3601.62"/>
    <n v="2.8917916067011941E-5"/>
    <m/>
    <n v="3"/>
    <s v="No"/>
    <m/>
  </r>
  <r>
    <s v="HARWINTON"/>
    <x v="71"/>
    <s v="No"/>
    <n v="424.61496"/>
    <n v="4.5711381170233259E-6"/>
    <n v="750"/>
    <n v="6.0218560120887148E-6"/>
    <n v="424.61496"/>
    <n v="4.5711381170233259E-6"/>
    <n v="750"/>
    <n v="6.0218560120887148E-6"/>
    <n v="0"/>
    <n v="0"/>
    <n v="0"/>
    <n v="0"/>
    <m/>
    <n v="2"/>
    <s v="No"/>
    <m/>
  </r>
  <r>
    <s v="HARWINTON"/>
    <x v="274"/>
    <s v="No"/>
    <n v="78619.591805999997"/>
    <n v="8.4636917373147043E-4"/>
    <n v="130502.37"/>
    <n v="1.0478219751684345E-3"/>
    <n v="65216.394935999997"/>
    <n v="7.0207876977955897E-4"/>
    <n v="95981.52"/>
    <n v="7.7064919101521763E-4"/>
    <n v="13403.19687"/>
    <n v="1.4429040395191149E-4"/>
    <n v="34520.85"/>
    <n v="2.7717278415321692E-4"/>
    <m/>
    <n v="1"/>
    <s v="No"/>
    <m/>
  </r>
  <r>
    <s v="HARWINTON"/>
    <x v="275"/>
    <s v="No"/>
    <n v="38389.077636000002"/>
    <n v="4.1327271196306257E-4"/>
    <n v="18386.88"/>
    <n v="1.4763085849540499E-4"/>
    <n v="38389.077636000002"/>
    <n v="4.1327271196306257E-4"/>
    <n v="18386.88"/>
    <n v="1.4763085849540499E-4"/>
    <n v="0"/>
    <n v="0"/>
    <n v="0"/>
    <n v="0"/>
    <m/>
    <n v="1"/>
    <s v="No"/>
    <m/>
  </r>
  <r>
    <s v="HARWINTON"/>
    <x v="276"/>
    <s v="No"/>
    <n v="263.18670000000003"/>
    <n v="2.83330280276414E-6"/>
    <n v="0"/>
    <n v="0"/>
    <n v="263.18670000000003"/>
    <n v="2.83330280276414E-6"/>
    <n v="0"/>
    <n v="0"/>
    <n v="0"/>
    <n v="0"/>
    <n v="0"/>
    <n v="0"/>
    <m/>
    <n v="3"/>
    <s v="No"/>
    <m/>
  </r>
  <r>
    <s v="HARWINTON"/>
    <x v="277"/>
    <s v="No"/>
    <n v="29.762460000000001"/>
    <n v="3.2040396165594841E-7"/>
    <n v="0"/>
    <n v="0"/>
    <n v="29.762460000000001"/>
    <n v="3.2040396165594841E-7"/>
    <n v="0"/>
    <n v="0"/>
    <n v="0"/>
    <n v="0"/>
    <n v="0"/>
    <n v="0"/>
    <m/>
    <n v="1"/>
    <s v="No"/>
    <m/>
  </r>
  <r>
    <s v="HARWINTON"/>
    <x v="278"/>
    <s v="No"/>
    <n v="45.991260000000004"/>
    <n v="4.9511303519765354E-7"/>
    <n v="0"/>
    <n v="0"/>
    <n v="45.991260000000004"/>
    <n v="4.9511303519765354E-7"/>
    <n v="0"/>
    <n v="0"/>
    <n v="0"/>
    <n v="0"/>
    <n v="0"/>
    <n v="0"/>
    <m/>
    <n v="1"/>
    <s v="No"/>
    <m/>
  </r>
  <r>
    <s v="HEBRON"/>
    <x v="97"/>
    <s v="No"/>
    <n v="370.47066000000001"/>
    <n v="3.9882545710701971E-6"/>
    <n v="9206.4500000000007"/>
    <n v="7.3919888376658866E-5"/>
    <n v="370.47066000000001"/>
    <n v="3.9882545710701971E-6"/>
    <n v="9206.4500000000007"/>
    <n v="7.3919888376658866E-5"/>
    <n v="0"/>
    <n v="0"/>
    <n v="0"/>
    <n v="0"/>
    <m/>
    <n v="1"/>
    <s v="No"/>
    <m/>
  </r>
  <r>
    <s v="HEBRON"/>
    <x v="100"/>
    <s v="No"/>
    <n v="27626.121053999999"/>
    <n v="2.9740547760126029E-4"/>
    <n v="33265.18"/>
    <n v="2.6709083223495103E-4"/>
    <n v="27626.121053999999"/>
    <n v="2.9740547760126029E-4"/>
    <n v="33265.18"/>
    <n v="2.6709083223495103E-4"/>
    <n v="0"/>
    <n v="0"/>
    <n v="0"/>
    <n v="0"/>
    <m/>
    <n v="2"/>
    <s v="No"/>
    <m/>
  </r>
  <r>
    <s v="HEBRON"/>
    <x v="279"/>
    <s v="No"/>
    <n v="153614.660325"/>
    <n v="1.6537190049667548E-3"/>
    <n v="209915.63999999998"/>
    <n v="1.6854423450206003E-3"/>
    <n v="129425.947875"/>
    <n v="1.3933185106414683E-3"/>
    <n v="180299.86"/>
    <n v="1.4476530612263379E-3"/>
    <n v="24188.712449999999"/>
    <n v="2.6040049432528631E-4"/>
    <n v="29615.78"/>
    <n v="2.3778928379426228E-4"/>
    <m/>
    <n v="1"/>
    <s v="No"/>
    <m/>
  </r>
  <r>
    <s v="HEBRON"/>
    <x v="103"/>
    <s v="No"/>
    <n v="58.795590000000004"/>
    <n v="6.3295641435213572E-7"/>
    <n v="0"/>
    <n v="0"/>
    <n v="58.795590000000004"/>
    <n v="6.3295641435213572E-7"/>
    <n v="0"/>
    <n v="0"/>
    <n v="0"/>
    <n v="0"/>
    <n v="0"/>
    <n v="0"/>
    <m/>
    <n v="1"/>
    <s v="No"/>
    <m/>
  </r>
  <r>
    <s v="KENT"/>
    <x v="280"/>
    <s v="No"/>
    <n v="23.927820000000001"/>
    <n v="2.5759188997785919E-7"/>
    <n v="835"/>
    <n v="6.7043330267921025E-6"/>
    <n v="23.927820000000001"/>
    <n v="2.5759188997785919E-7"/>
    <n v="835"/>
    <n v="6.7043330267921025E-6"/>
    <n v="0"/>
    <n v="0"/>
    <n v="0"/>
    <n v="0"/>
    <m/>
    <n v="4"/>
    <s v="No"/>
    <m/>
  </r>
  <r>
    <s v="KENT"/>
    <x v="281"/>
    <s v="No"/>
    <n v="129200.50955699998"/>
    <n v="1.3908915832236319E-3"/>
    <n v="160736.25"/>
    <n v="1.290574071230793E-3"/>
    <n v="93031.011086999992"/>
    <n v="1.0015134672716321E-3"/>
    <n v="127363.23"/>
    <n v="1.0226173763927171E-3"/>
    <n v="36169.498469999999"/>
    <n v="3.8937811595200007E-4"/>
    <n v="33373.019999999997"/>
    <n v="2.6795669483807588E-4"/>
    <m/>
    <n v="2"/>
    <s v="No"/>
    <m/>
  </r>
  <r>
    <s v="KILLINGLY"/>
    <x v="282"/>
    <s v="No"/>
    <n v="87179.223620999997"/>
    <n v="9.3851679673851677E-4"/>
    <n v="126251.705"/>
    <n v="1.0136927850542678E-3"/>
    <n v="87179.223620999997"/>
    <n v="9.3851679673851677E-4"/>
    <n v="126251.705"/>
    <n v="1.0136927850542678E-3"/>
    <n v="0"/>
    <n v="0"/>
    <n v="0"/>
    <n v="0"/>
    <m/>
    <n v="2"/>
    <s v="No"/>
    <m/>
  </r>
  <r>
    <s v="KILLINGLY"/>
    <x v="283"/>
    <s v="No"/>
    <n v="209768.796741"/>
    <n v="2.258239188145664E-3"/>
    <n v="451334.16799999995"/>
    <n v="3.6238258307091436E-3"/>
    <n v="123855.857601"/>
    <n v="1.3333544152484508E-3"/>
    <n v="161450.32999999999"/>
    <n v="1.2963075204856093E-3"/>
    <n v="85912.939140000002"/>
    <n v="9.2488477289721309E-4"/>
    <n v="289883.83799999999"/>
    <n v="2.3275183102235346E-3"/>
    <m/>
    <n v="3"/>
    <s v="No"/>
    <m/>
  </r>
  <r>
    <s v="KILLINGLY"/>
    <x v="284"/>
    <s v="No"/>
    <n v="61979.582511000001"/>
    <n v="6.6723327904703227E-4"/>
    <n v="145968.62"/>
    <n v="1.1720026825643908E-3"/>
    <n v="61979.582511000001"/>
    <n v="6.6723327904703227E-4"/>
    <n v="145968.62"/>
    <n v="1.1720026825643908E-3"/>
    <n v="0"/>
    <n v="0"/>
    <n v="0"/>
    <n v="0"/>
    <m/>
    <n v="5"/>
    <s v="No"/>
    <m/>
  </r>
  <r>
    <s v="KILLINGLY"/>
    <x v="285"/>
    <s v="No"/>
    <n v="1025.75676"/>
    <n v="1.1042653382797318E-5"/>
    <n v="0"/>
    <n v="0"/>
    <n v="1025.75676"/>
    <n v="1.1042653382797318E-5"/>
    <n v="0"/>
    <n v="0"/>
    <n v="0"/>
    <n v="0"/>
    <n v="0"/>
    <n v="0"/>
    <m/>
    <n v="4"/>
    <s v="No"/>
    <m/>
  </r>
  <r>
    <s v="KILLINGLY"/>
    <x v="286"/>
    <s v="No"/>
    <n v="44.160690000000002"/>
    <n v="4.7540626767613378E-7"/>
    <n v="0"/>
    <n v="0"/>
    <n v="44.160690000000002"/>
    <n v="4.7540626767613378E-7"/>
    <n v="0"/>
    <n v="0"/>
    <n v="0"/>
    <n v="0"/>
    <n v="0"/>
    <n v="0"/>
    <m/>
    <n v="3"/>
    <s v="No"/>
    <m/>
  </r>
  <r>
    <s v="KILLINGLY"/>
    <x v="287"/>
    <s v="No"/>
    <n v="2.83521"/>
    <n v="3.05220911217205E-8"/>
    <n v="0"/>
    <n v="0"/>
    <n v="2.83521"/>
    <n v="3.05220911217205E-8"/>
    <n v="0"/>
    <n v="0"/>
    <n v="0"/>
    <n v="0"/>
    <n v="0"/>
    <n v="0"/>
    <m/>
    <e v="#N/A"/>
    <e v="#N/A"/>
    <m/>
  </r>
  <r>
    <s v="KILLINGWORTH"/>
    <x v="141"/>
    <s v="No"/>
    <n v="344.35002000000003"/>
    <n v="3.7070561574649768E-6"/>
    <n v="0"/>
    <n v="0"/>
    <n v="344.35002000000003"/>
    <n v="3.7070561574649768E-6"/>
    <n v="0"/>
    <n v="0"/>
    <n v="0"/>
    <n v="0"/>
    <n v="0"/>
    <n v="0"/>
    <m/>
    <n v="1"/>
    <s v="No"/>
    <m/>
  </r>
  <r>
    <s v="KILLINGWORTH"/>
    <x v="288"/>
    <s v="No"/>
    <n v="142457.52454499999"/>
    <n v="1.533608284796267E-3"/>
    <n v="142546.16500000001"/>
    <n v="1.1445233076072534E-3"/>
    <n v="124905.985575"/>
    <n v="1.3446594338226996E-3"/>
    <n v="136718.97500000001"/>
    <n v="1.0977359754271423E-3"/>
    <n v="17551.538970000001"/>
    <n v="1.8894885097356753E-4"/>
    <n v="5827.19"/>
    <n v="4.6787332180110978E-5"/>
    <m/>
    <n v="1"/>
    <s v="No"/>
    <m/>
  </r>
  <r>
    <s v="LEBANON"/>
    <x v="97"/>
    <s v="No"/>
    <n v="82.390140000000002"/>
    <n v="8.8696052871262058E-7"/>
    <n v="0"/>
    <n v="0"/>
    <n v="82.390140000000002"/>
    <n v="8.8696052871262058E-7"/>
    <n v="0"/>
    <n v="0"/>
    <n v="0"/>
    <n v="0"/>
    <n v="0"/>
    <n v="0"/>
    <m/>
    <n v="1"/>
    <s v="No"/>
    <m/>
  </r>
  <r>
    <s v="LEBANON"/>
    <x v="99"/>
    <s v="No"/>
    <n v="58991.637768000001"/>
    <n v="6.3506694155791789E-4"/>
    <n v="109243.23"/>
    <n v="8.7712933514065366E-4"/>
    <n v="78141.071148000003"/>
    <n v="8.4121772070784909E-4"/>
    <n v="106701.43"/>
    <n v="8.5672086365861744E-4"/>
    <n v="-19149.433379999999"/>
    <n v="-2.0615077914993109E-4"/>
    <n v="2541.8000000000002"/>
    <n v="2.040847148203613E-5"/>
    <m/>
    <n v="1"/>
    <s v="No"/>
    <m/>
  </r>
  <r>
    <s v="LEDYARD"/>
    <x v="289"/>
    <s v="No"/>
    <n v="97629.566181000002"/>
    <n v="1.0510186247757747E-3"/>
    <n v="89949.494999999995"/>
    <n v="7.2221720966679167E-4"/>
    <n v="97629.566181000002"/>
    <n v="1.0510186247757747E-3"/>
    <n v="89949.494999999995"/>
    <n v="7.2221720966679167E-4"/>
    <n v="0"/>
    <n v="0"/>
    <n v="0"/>
    <n v="0"/>
    <m/>
    <n v="4"/>
    <s v="No"/>
    <m/>
  </r>
  <r>
    <s v="LEDYARD"/>
    <x v="290"/>
    <s v="No"/>
    <n v="211283.46493800002"/>
    <n v="2.2745451551562227E-3"/>
    <n v="230318.37599999999"/>
    <n v="1.8492587962801454E-3"/>
    <n v="162993.55963800001"/>
    <n v="1.7546863475808214E-3"/>
    <n v="218552.22"/>
    <n v="1.7547866666164473E-3"/>
    <n v="48289.905299999999"/>
    <n v="5.198588075754013E-4"/>
    <n v="11766.156000000001"/>
    <n v="9.4472129663698276E-5"/>
    <m/>
    <n v="3"/>
    <s v="No"/>
    <m/>
  </r>
  <r>
    <s v="LEDYARD"/>
    <x v="291"/>
    <s v="No"/>
    <n v="102.87417000000001"/>
    <n v="1.1074787373109454E-6"/>
    <n v="0"/>
    <n v="0"/>
    <n v="102.87417000000001"/>
    <n v="1.1074787373109454E-6"/>
    <n v="0"/>
    <n v="0"/>
    <n v="0"/>
    <n v="0"/>
    <n v="0"/>
    <n v="0"/>
    <m/>
    <e v="#N/A"/>
    <e v="#N/A"/>
    <m/>
  </r>
  <r>
    <s v="LISBON"/>
    <x v="220"/>
    <s v="No"/>
    <n v="581.51268000000005"/>
    <n v="6.2602004815854541E-6"/>
    <n v="0"/>
    <n v="0"/>
    <n v="581.51268000000005"/>
    <n v="6.2602004815854541E-6"/>
    <n v="0"/>
    <n v="0"/>
    <n v="0"/>
    <n v="0"/>
    <n v="0"/>
    <n v="0"/>
    <m/>
    <n v="3"/>
    <s v="No"/>
    <m/>
  </r>
  <r>
    <s v="LISBON"/>
    <x v="292"/>
    <s v="No"/>
    <n v="87253.835529000004"/>
    <n v="9.3932002170412482E-4"/>
    <n v="96316.425000000003"/>
    <n v="7.7333819059885575E-4"/>
    <n v="67930.338608999999"/>
    <n v="7.3129538374696267E-4"/>
    <n v="95584.625"/>
    <n v="7.6746246495932701E-4"/>
    <n v="19323.496920000001"/>
    <n v="2.0802463795716207E-4"/>
    <n v="731.8"/>
    <n v="5.875725639528695E-6"/>
    <m/>
    <n v="3"/>
    <s v="No"/>
    <m/>
  </r>
  <r>
    <s v="LITCHFIELD"/>
    <x v="200"/>
    <s v="No"/>
    <n v="275.73021"/>
    <n v="2.9683383575224158E-6"/>
    <n v="18566.77"/>
    <n v="1.4907522073275784E-4"/>
    <n v="275.73021"/>
    <n v="2.9683383575224158E-6"/>
    <n v="18566.77"/>
    <n v="1.4907522073275784E-4"/>
    <n v="0"/>
    <n v="0"/>
    <n v="0"/>
    <n v="0"/>
    <m/>
    <n v="3"/>
    <s v="No"/>
    <m/>
  </r>
  <r>
    <s v="LITCHFIELD"/>
    <x v="293"/>
    <s v="No"/>
    <n v="40192.961403000001"/>
    <n v="4.3269219225177714E-4"/>
    <n v="38307.86"/>
    <n v="3.0757922273500372E-4"/>
    <n v="40192.961403000001"/>
    <n v="4.3269219225177714E-4"/>
    <n v="38307.86"/>
    <n v="3.0757922273500372E-4"/>
    <n v="0"/>
    <n v="0"/>
    <n v="0"/>
    <n v="0"/>
    <m/>
    <n v="1"/>
    <s v="No"/>
    <m/>
  </r>
  <r>
    <s v="LITCHFIELD"/>
    <x v="294"/>
    <s v="No"/>
    <n v="27728.253336000002"/>
    <n v="2.9850496963806645E-4"/>
    <n v="33987.58"/>
    <n v="2.7289108394579491E-4"/>
    <n v="27728.253336000002"/>
    <n v="2.9850496963806645E-4"/>
    <n v="33987.58"/>
    <n v="2.7289108394579491E-4"/>
    <n v="0"/>
    <n v="0"/>
    <n v="0"/>
    <n v="0"/>
    <m/>
    <n v="2"/>
    <s v="No"/>
    <m/>
  </r>
  <r>
    <s v="LITCHFIELD"/>
    <x v="295"/>
    <s v="No"/>
    <n v="174368.88873599999"/>
    <n v="1.8771460000470282E-3"/>
    <n v="355793.44500000001"/>
    <n v="2.8567158611133409E-3"/>
    <n v="110899.90665599999"/>
    <n v="1.1938787801766815E-3"/>
    <n v="342828.19500000001"/>
    <n v="2.7526160362323633E-3"/>
    <n v="63468.982080000002"/>
    <n v="6.8326721987034664E-4"/>
    <n v="12965.25"/>
    <n v="1.0409982488097762E-4"/>
    <m/>
    <n v="1"/>
    <s v="No"/>
    <m/>
  </r>
  <r>
    <s v="LITCHFIELD"/>
    <x v="27"/>
    <s v="No"/>
    <n v="326.87025"/>
    <n v="3.5188799261710982E-6"/>
    <n v="0"/>
    <n v="0"/>
    <n v="326.87025"/>
    <n v="3.5188799261710982E-6"/>
    <n v="0"/>
    <n v="0"/>
    <n v="0"/>
    <n v="0"/>
    <n v="0"/>
    <n v="0"/>
    <m/>
    <n v="1"/>
    <s v="No"/>
    <m/>
  </r>
  <r>
    <s v="LITCHFIELD"/>
    <x v="296"/>
    <s v="No"/>
    <n v="122.55159"/>
    <n v="1.3193134889802628E-6"/>
    <n v="0"/>
    <n v="0"/>
    <n v="122.55159"/>
    <n v="1.3193134889802628E-6"/>
    <n v="0"/>
    <n v="0"/>
    <n v="0"/>
    <n v="0"/>
    <n v="0"/>
    <n v="0"/>
    <m/>
    <n v="1"/>
    <s v="No"/>
    <m/>
  </r>
  <r>
    <s v="LYME"/>
    <x v="297"/>
    <s v="No"/>
    <n v="73942.697975999996"/>
    <n v="7.9602067057090299E-4"/>
    <n v="67879.710000000006"/>
    <n v="5.450157863497847E-4"/>
    <n v="68761.358945999993"/>
    <n v="7.4024162704108083E-4"/>
    <n v="67879.710000000006"/>
    <n v="5.450157863497847E-4"/>
    <n v="5181.3390300000001"/>
    <n v="5.5779043529822097E-5"/>
    <n v="0"/>
    <n v="0"/>
    <m/>
    <n v="1"/>
    <s v="No"/>
    <m/>
  </r>
  <r>
    <s v="MADISON"/>
    <x v="232"/>
    <s v="No"/>
    <n v="618.38972999999999"/>
    <n v="6.6571956531601313E-6"/>
    <n v="0"/>
    <n v="0"/>
    <n v="618.38972999999999"/>
    <n v="6.6571956531601313E-6"/>
    <n v="0"/>
    <n v="0"/>
    <n v="0"/>
    <n v="0"/>
    <n v="0"/>
    <n v="0"/>
    <m/>
    <n v="3"/>
    <s v="No"/>
    <m/>
  </r>
  <r>
    <s v="MADISON"/>
    <x v="298"/>
    <s v="No"/>
    <n v="87333.434411999988"/>
    <n v="9.4017693331212304E-4"/>
    <n v="91269.014999999999"/>
    <n v="7.3281182226022008E-4"/>
    <n v="87332.270381999988"/>
    <n v="9.4016440209583629E-4"/>
    <n v="91269.014999999999"/>
    <n v="7.3281182226022008E-4"/>
    <n v="1.1640300000000001"/>
    <n v="1.253121628677111E-8"/>
    <n v="0"/>
    <n v="0"/>
    <m/>
    <n v="1"/>
    <s v="No"/>
    <m/>
  </r>
  <r>
    <s v="MADISON"/>
    <x v="234"/>
    <s v="No"/>
    <n v="108122.61705"/>
    <n v="1.1639802236585615E-3"/>
    <n v="307628.49"/>
    <n v="2.469992629328364E-3"/>
    <n v="108122.61705"/>
    <n v="1.1639802236585615E-3"/>
    <n v="307628.49"/>
    <n v="2.469992629328364E-3"/>
    <n v="0"/>
    <n v="0"/>
    <n v="0"/>
    <n v="0"/>
    <m/>
    <n v="3"/>
    <s v="No"/>
    <m/>
  </r>
  <r>
    <s v="MADISON"/>
    <x v="299"/>
    <s v="No"/>
    <n v="282884.73347400001"/>
    <n v="3.0453594661549038E-3"/>
    <n v="362528.66500000004"/>
    <n v="2.9107938945129946E-3"/>
    <n v="199762.296405"/>
    <n v="2.1505154868801781E-3"/>
    <n v="339533.14500000002"/>
    <n v="2.7261596140288526E-3"/>
    <n v="83122.437069000007"/>
    <n v="8.9484397927472607E-4"/>
    <n v="22995.52"/>
    <n v="1.8463428048414173E-4"/>
    <m/>
    <n v="3"/>
    <s v="No"/>
    <m/>
  </r>
  <r>
    <s v="MANCHESTER"/>
    <x v="300"/>
    <s v="No"/>
    <n v="405.59442000000001"/>
    <n v="4.3663749230926019E-6"/>
    <n v="0"/>
    <n v="0"/>
    <n v="405.59442000000001"/>
    <n v="4.3663749230926019E-6"/>
    <n v="0"/>
    <n v="0"/>
    <n v="0"/>
    <n v="0"/>
    <n v="0"/>
    <n v="0"/>
    <m/>
    <n v="4"/>
    <s v="No"/>
    <m/>
  </r>
  <r>
    <s v="MANCHESTER"/>
    <x v="301"/>
    <s v="No"/>
    <n v="260.52537000000001"/>
    <n v="2.8046525945732234E-6"/>
    <n v="0"/>
    <n v="0"/>
    <n v="260.52537000000001"/>
    <n v="2.8046525945732234E-6"/>
    <n v="0"/>
    <n v="0"/>
    <n v="0"/>
    <n v="0"/>
    <n v="0"/>
    <n v="0"/>
    <m/>
    <n v="5"/>
    <s v="No"/>
    <m/>
  </r>
  <r>
    <s v="MANCHESTER"/>
    <x v="302"/>
    <s v="No"/>
    <n v="32255.256809999999"/>
    <n v="3.4723984731618315E-4"/>
    <n v="25696.22"/>
    <n v="2.0631858252660571E-4"/>
    <n v="32255.256809999999"/>
    <n v="3.4723984731618315E-4"/>
    <n v="25696.22"/>
    <n v="2.0631858252660571E-4"/>
    <n v="0"/>
    <n v="0"/>
    <n v="0"/>
    <n v="0"/>
    <m/>
    <n v="3"/>
    <s v="No"/>
    <m/>
  </r>
  <r>
    <s v="MANCHESTER"/>
    <x v="156"/>
    <s v="No"/>
    <n v="45790.595717999997"/>
    <n v="4.929528095000583E-4"/>
    <n v="13789.99"/>
    <n v="1.1072177891752434E-4"/>
    <n v="45290.560308"/>
    <n v="4.8756974216179885E-4"/>
    <n v="13789.99"/>
    <n v="1.1072177891752434E-4"/>
    <n v="500.03541000000001"/>
    <n v="5.3830673382595538E-6"/>
    <n v="0"/>
    <n v="0"/>
    <m/>
    <n v="5"/>
    <s v="No"/>
    <m/>
  </r>
  <r>
    <s v="MANCHESTER"/>
    <x v="303"/>
    <s v="No"/>
    <n v="28184.568069000001"/>
    <n v="3.0341736761239978E-4"/>
    <n v="35847.35"/>
    <n v="2.8782344015326452E-4"/>
    <n v="28184.568069000001"/>
    <n v="3.0341736761239978E-4"/>
    <n v="35847.35"/>
    <n v="2.8782344015326452E-4"/>
    <n v="0"/>
    <n v="0"/>
    <n v="0"/>
    <n v="0"/>
    <m/>
    <n v="5"/>
    <s v="No"/>
    <m/>
  </r>
  <r>
    <s v="MANCHESTER"/>
    <x v="304"/>
    <s v="No"/>
    <n v="36217.866090000003"/>
    <n v="3.898988113872521E-4"/>
    <n v="45252.57"/>
    <n v="3.6333928095595388E-4"/>
    <n v="36217.866090000003"/>
    <n v="3.898988113872521E-4"/>
    <n v="45252.57"/>
    <n v="3.6333928095595388E-4"/>
    <n v="0"/>
    <n v="0"/>
    <n v="0"/>
    <n v="0"/>
    <m/>
    <n v="3"/>
    <s v="No"/>
    <m/>
  </r>
  <r>
    <s v="MANCHESTER"/>
    <x v="305"/>
    <s v="No"/>
    <n v="35376.295101000003"/>
    <n v="3.8083898639663255E-4"/>
    <n v="20562.77"/>
    <n v="1.651013868662633E-4"/>
    <n v="35376.295101000003"/>
    <n v="3.8083898639663255E-4"/>
    <n v="20562.77"/>
    <n v="1.651013868662633E-4"/>
    <n v="0"/>
    <n v="0"/>
    <n v="0"/>
    <n v="0"/>
    <m/>
    <n v="4"/>
    <s v="No"/>
    <m/>
  </r>
  <r>
    <s v="MANCHESTER"/>
    <x v="306"/>
    <s v="No"/>
    <n v="37316.888637000004"/>
    <n v="4.0173019824196808E-4"/>
    <n v="23776.12"/>
    <n v="1.9090182822152364E-4"/>
    <n v="37316.888637000004"/>
    <n v="4.0173019824196808E-4"/>
    <n v="23776.12"/>
    <n v="1.9090182822152364E-4"/>
    <n v="0"/>
    <n v="0"/>
    <n v="0"/>
    <n v="0"/>
    <m/>
    <n v="5"/>
    <s v="No"/>
    <m/>
  </r>
  <r>
    <s v="MANCHESTER"/>
    <x v="307"/>
    <s v="No"/>
    <n v="686762.95304400008"/>
    <n v="7.393258852723723E-3"/>
    <n v="842774.30750000011"/>
    <n v="6.7667540406037051E-3"/>
    <n v="291728.98897800001"/>
    <n v="3.1405711691317086E-3"/>
    <n v="489205.52750000003"/>
    <n v="3.9279003292305419E-3"/>
    <n v="395033.96406600002"/>
    <n v="4.2526876835920135E-3"/>
    <n v="353568.78"/>
    <n v="2.8388537113731632E-3"/>
    <m/>
    <n v="5"/>
    <s v="No"/>
    <m/>
  </r>
  <r>
    <s v="MANCHESTER"/>
    <x v="308"/>
    <s v="No"/>
    <n v="34941.534725999998"/>
    <n v="3.7615862911027155E-4"/>
    <n v="16209.24"/>
    <n v="1.3014627912718516E-4"/>
    <n v="34941.534725999998"/>
    <n v="3.7615862911027155E-4"/>
    <n v="16209.24"/>
    <n v="1.3014627912718516E-4"/>
    <n v="0"/>
    <n v="0"/>
    <n v="0"/>
    <n v="0"/>
    <m/>
    <n v="5"/>
    <s v="No"/>
    <m/>
  </r>
  <r>
    <s v="MANCHESTER"/>
    <x v="309"/>
    <s v="No"/>
    <n v="23920.869630000001"/>
    <n v="2.5751706665737512E-4"/>
    <n v="20062.86"/>
    <n v="1.6108753881425894E-4"/>
    <n v="23920.869630000001"/>
    <n v="2.5751706665737512E-4"/>
    <n v="20062.86"/>
    <n v="1.6108753881425894E-4"/>
    <n v="0"/>
    <n v="0"/>
    <n v="0"/>
    <n v="0"/>
    <m/>
    <n v="5"/>
    <s v="Yes"/>
    <m/>
  </r>
  <r>
    <s v="MANCHESTER"/>
    <x v="38"/>
    <s v="No"/>
    <n v="28292.971140000001"/>
    <n v="3.0458436702723548E-4"/>
    <n v="69864.054999999993"/>
    <n v="5.6094837284086216E-4"/>
    <n v="28292.971140000001"/>
    <n v="3.0458436702723548E-4"/>
    <n v="69864.054999999993"/>
    <n v="5.6094837284086216E-4"/>
    <n v="0"/>
    <n v="0"/>
    <n v="0"/>
    <n v="0"/>
    <m/>
    <n v="3"/>
    <s v="No"/>
    <m/>
  </r>
  <r>
    <s v="MANCHESTER"/>
    <x v="310"/>
    <s v="No"/>
    <n v="32106.172097999999"/>
    <n v="3.4563489489131181E-4"/>
    <n v="38085.629999999997"/>
    <n v="3.0579490665291509E-4"/>
    <n v="32106.172097999999"/>
    <n v="3.4563489489131181E-4"/>
    <n v="38085.629999999997"/>
    <n v="3.0579490665291509E-4"/>
    <n v="0"/>
    <n v="0"/>
    <n v="0"/>
    <n v="0"/>
    <m/>
    <n v="4"/>
    <s v="No"/>
    <m/>
  </r>
  <r>
    <s v="MANCHESTER"/>
    <x v="311"/>
    <s v="No"/>
    <n v="22073.529870000002"/>
    <n v="2.3762976642652901E-4"/>
    <n v="16215.91"/>
    <n v="1.3019983349998602E-4"/>
    <n v="22073.529870000002"/>
    <n v="2.3762976642652901E-4"/>
    <n v="16215.91"/>
    <n v="1.3019983349998602E-4"/>
    <n v="0"/>
    <n v="0"/>
    <n v="0"/>
    <n v="0"/>
    <m/>
    <n v="3"/>
    <s v="No"/>
    <m/>
  </r>
  <r>
    <s v="MANCHESTER"/>
    <x v="312"/>
    <s v="No"/>
    <n v="46546.763129999999"/>
    <n v="5.0109323319083945E-4"/>
    <n v="49224.54"/>
    <n v="3.9523078952173526E-4"/>
    <n v="46546.763129999999"/>
    <n v="5.0109323319083945E-4"/>
    <n v="49224.54"/>
    <n v="3.9523078952173526E-4"/>
    <n v="0"/>
    <n v="0"/>
    <n v="0"/>
    <n v="0"/>
    <m/>
    <n v="5"/>
    <s v="No"/>
    <m/>
  </r>
  <r>
    <s v="MANCHESTER"/>
    <x v="313"/>
    <s v="No"/>
    <n v="38220.302463"/>
    <n v="4.114557843953021E-4"/>
    <n v="27624.65"/>
    <n v="2.218022195791287E-4"/>
    <n v="38220.302463"/>
    <n v="4.114557843953021E-4"/>
    <n v="27624.65"/>
    <n v="2.218022195791287E-4"/>
    <n v="0"/>
    <n v="0"/>
    <n v="0"/>
    <n v="0"/>
    <m/>
    <n v="4"/>
    <s v="No"/>
    <m/>
  </r>
  <r>
    <s v="MANCHESTER"/>
    <x v="192"/>
    <s v="No"/>
    <n v="67.484759999999994"/>
    <n v="7.2649856414425684E-7"/>
    <n v="200.64"/>
    <n v="1.6109669203539729E-6"/>
    <n v="67.484759999999994"/>
    <n v="7.2649856414425684E-7"/>
    <n v="200.64"/>
    <n v="1.6109669203539729E-6"/>
    <n v="0"/>
    <n v="0"/>
    <n v="0"/>
    <n v="0"/>
    <m/>
    <n v="4"/>
    <s v="No"/>
    <m/>
  </r>
  <r>
    <s v="MANSFIELD"/>
    <x v="314"/>
    <s v="No"/>
    <n v="36.196019999999997"/>
    <n v="3.8966363009569577E-7"/>
    <n v="34766.775000000001"/>
    <n v="2.7914735073958087E-4"/>
    <n v="36.196019999999997"/>
    <n v="3.8966363009569577E-7"/>
    <n v="34766.775000000001"/>
    <n v="2.7914735073958087E-4"/>
    <n v="0"/>
    <n v="0"/>
    <n v="0"/>
    <n v="0"/>
    <m/>
    <n v="4"/>
    <s v="No"/>
    <m/>
  </r>
  <r>
    <s v="MANSFIELD"/>
    <x v="315"/>
    <s v="No"/>
    <n v="209626.19340599998"/>
    <n v="2.256704010157038E-3"/>
    <n v="169468.68000000002"/>
    <n v="1.3606879860249849E-3"/>
    <n v="127680.746676"/>
    <n v="1.374530770043201E-3"/>
    <n v="138807.17000000001"/>
    <n v="1.1145023882473605E-3"/>
    <n v="81945.446729999996"/>
    <n v="8.8217324011383744E-4"/>
    <n v="30661.51"/>
    <n v="2.4618559777762433E-4"/>
    <m/>
    <n v="4"/>
    <s v="No"/>
    <m/>
  </r>
  <r>
    <s v="MANSFIELD"/>
    <x v="316"/>
    <s v="No"/>
    <n v="3676.7988599999999"/>
    <n v="3.9582108500307929E-5"/>
    <n v="253.52"/>
    <n v="2.0355479149129747E-6"/>
    <n v="3676.7988599999999"/>
    <n v="3.9582108500307929E-5"/>
    <n v="253.52"/>
    <n v="2.0355479149129747E-6"/>
    <n v="0"/>
    <n v="0"/>
    <n v="0"/>
    <n v="0"/>
    <m/>
    <n v="5"/>
    <s v="No"/>
    <m/>
  </r>
  <r>
    <s v="MANSFIELD"/>
    <x v="317"/>
    <s v="No"/>
    <n v="32856.351276000001"/>
    <n v="3.53710853013826E-4"/>
    <n v="14461.415000000001"/>
    <n v="1.1611274514807991E-4"/>
    <n v="32856.351276000001"/>
    <n v="3.53710853013826E-4"/>
    <n v="14461.415000000001"/>
    <n v="1.1611274514807991E-4"/>
    <n v="0"/>
    <n v="0"/>
    <n v="0"/>
    <n v="0"/>
    <m/>
    <n v="4"/>
    <s v="No"/>
    <m/>
  </r>
  <r>
    <s v="MANSFIELD"/>
    <x v="318"/>
    <s v="No"/>
    <n v="53515.333535999998"/>
    <n v="5.7611248782102797E-4"/>
    <n v="82299.009999999995"/>
    <n v="6.6079038420993228E-4"/>
    <n v="53515.333535999998"/>
    <n v="5.7611248782102797E-4"/>
    <n v="82299.009999999995"/>
    <n v="6.6079038420993228E-4"/>
    <n v="0"/>
    <n v="0"/>
    <n v="0"/>
    <n v="0"/>
    <m/>
    <n v="4"/>
    <s v="No"/>
    <m/>
  </r>
  <r>
    <s v="MANSFIELD"/>
    <x v="80"/>
    <s v="No"/>
    <n v="126.77784"/>
    <n v="1.3648106435484151E-6"/>
    <n v="0"/>
    <n v="0"/>
    <n v="126.77784"/>
    <n v="1.3648106435484151E-6"/>
    <n v="0"/>
    <n v="0"/>
    <n v="0"/>
    <n v="0"/>
    <n v="0"/>
    <n v="0"/>
    <m/>
    <n v="5"/>
    <s v="No"/>
    <m/>
  </r>
  <r>
    <s v="MARLBOROUGH"/>
    <x v="319"/>
    <s v="No"/>
    <n v="130081.90003200001"/>
    <n v="1.4003800798047556E-3"/>
    <n v="162480.505"/>
    <n v="1.3045789411752808E-3"/>
    <n v="112984.90463400001"/>
    <n v="1.2163245595980011E-3"/>
    <n v="158108.345"/>
    <n v="1.2694742505328623E-3"/>
    <n v="17096.995397999999"/>
    <n v="1.8405552020675435E-4"/>
    <n v="4372.16"/>
    <n v="3.5104690642418392E-5"/>
    <m/>
    <n v="1"/>
    <s v="No"/>
    <m/>
  </r>
  <r>
    <s v="MARLBOROUGH"/>
    <x v="100"/>
    <s v="No"/>
    <n v="241.56762000000001"/>
    <n v="2.6005653583675111E-6"/>
    <n v="0"/>
    <n v="0"/>
    <n v="241.56762000000001"/>
    <n v="2.6005653583675111E-6"/>
    <n v="0"/>
    <n v="0"/>
    <n v="0"/>
    <n v="0"/>
    <n v="0"/>
    <n v="0"/>
    <m/>
    <n v="2"/>
    <s v="No"/>
    <m/>
  </r>
  <r>
    <s v="MARLBOROUGH"/>
    <x v="279"/>
    <s v="No"/>
    <n v="299.40204"/>
    <n v="3.2231744198521469E-6"/>
    <n v="0"/>
    <n v="0"/>
    <n v="299.40204"/>
    <n v="3.2231744198521469E-6"/>
    <n v="0"/>
    <n v="0"/>
    <n v="0"/>
    <n v="0"/>
    <n v="0"/>
    <n v="0"/>
    <m/>
    <n v="1"/>
    <s v="No"/>
    <m/>
  </r>
  <r>
    <s v="MERIDEN"/>
    <x v="320"/>
    <s v="No"/>
    <n v="1323.3668700000001"/>
    <n v="1.424653700911257E-5"/>
    <n v="2858.77"/>
    <n v="2.2953468415571808E-5"/>
    <n v="1323.3668700000001"/>
    <n v="1.424653700911257E-5"/>
    <n v="2858.77"/>
    <n v="2.2953468415571808E-5"/>
    <n v="0"/>
    <n v="0"/>
    <n v="0"/>
    <n v="0"/>
    <m/>
    <n v="1"/>
    <s v="No"/>
    <m/>
  </r>
  <r>
    <s v="MERIDEN"/>
    <x v="321"/>
    <s v="Yes"/>
    <n v="9277.4982930000006"/>
    <n v="9.987572288491942E-5"/>
    <n v="31913.22"/>
    <n v="2.5623575429614643E-4"/>
    <n v="9277.4982930000006"/>
    <n v="9.987572288491942E-5"/>
    <n v="31913.22"/>
    <n v="2.5623575429614643E-4"/>
    <n v="0"/>
    <n v="0"/>
    <n v="0"/>
    <n v="0"/>
    <m/>
    <n v="5"/>
    <e v="#N/A"/>
    <m/>
  </r>
  <r>
    <s v="MERIDEN"/>
    <x v="322"/>
    <s v="No"/>
    <n v="15074.91783"/>
    <n v="1.6228710242264561E-4"/>
    <n v="1626.05"/>
    <n v="1.3055785291275806E-5"/>
    <n v="15074.91783"/>
    <n v="1.6228710242264561E-4"/>
    <n v="1626.05"/>
    <n v="1.3055785291275806E-5"/>
    <n v="0"/>
    <n v="0"/>
    <n v="0"/>
    <n v="0"/>
    <m/>
    <n v="5"/>
    <s v="No"/>
    <m/>
  </r>
  <r>
    <s v="MERIDEN"/>
    <x v="323"/>
    <s v="No"/>
    <n v="554662.59504600009"/>
    <n v="5.9711493214978685E-3"/>
    <n v="1964962.9850000001"/>
    <n v="1.5776965553005385E-2"/>
    <n v="279530.37961800001"/>
    <n v="3.009248598160178E-3"/>
    <n v="1109318.4850000001"/>
    <n v="8.9068749176245271E-3"/>
    <n v="275132.21542800002"/>
    <n v="2.9619007233376896E-3"/>
    <n v="855644.5"/>
    <n v="6.8700906353808561E-3"/>
    <m/>
    <n v="4"/>
    <s v="No"/>
    <m/>
  </r>
  <r>
    <s v="MERIDEN"/>
    <x v="324"/>
    <s v="No"/>
    <n v="14155.31481"/>
    <n v="1.5238723356910411E-4"/>
    <n v="12605.815000000001"/>
    <n v="1.0121387046003747E-4"/>
    <n v="14155.31481"/>
    <n v="1.5238723356910411E-4"/>
    <n v="12605.815000000001"/>
    <n v="1.0121387046003747E-4"/>
    <n v="0"/>
    <n v="0"/>
    <n v="0"/>
    <n v="0"/>
    <m/>
    <n v="5"/>
    <s v="No"/>
    <m/>
  </r>
  <r>
    <s v="MERIDEN"/>
    <x v="325"/>
    <s v="No"/>
    <n v="58910.374949999998"/>
    <n v="6.3419211707020661E-4"/>
    <n v="46542.74"/>
    <n v="3.7369823825077588E-4"/>
    <n v="58910.374949999998"/>
    <n v="6.3419211707020661E-4"/>
    <n v="46542.74"/>
    <n v="3.7369823825077588E-4"/>
    <n v="0"/>
    <n v="0"/>
    <n v="0"/>
    <n v="0"/>
    <m/>
    <n v="4"/>
    <s v="No"/>
    <m/>
  </r>
  <r>
    <s v="MERIDEN"/>
    <x v="326"/>
    <s v="No"/>
    <n v="23264.283777000001"/>
    <n v="2.5044867552074027E-4"/>
    <n v="21061.64"/>
    <n v="1.6910688461126421E-4"/>
    <n v="23264.283777000001"/>
    <n v="2.5044867552074027E-4"/>
    <n v="21061.64"/>
    <n v="1.6910688461126421E-4"/>
    <n v="0"/>
    <n v="0"/>
    <n v="0"/>
    <n v="0"/>
    <m/>
    <n v="3"/>
    <s v="No"/>
    <m/>
  </r>
  <r>
    <s v="MERIDEN"/>
    <x v="327"/>
    <s v="No"/>
    <n v="26249.035889999999"/>
    <n v="2.8258064315937504E-4"/>
    <n v="50720.35"/>
    <n v="4.0724085944365845E-4"/>
    <n v="26249.035889999999"/>
    <n v="2.8258064315937504E-4"/>
    <n v="50720.35"/>
    <n v="4.0724085944365845E-4"/>
    <n v="0"/>
    <n v="0"/>
    <n v="0"/>
    <n v="0"/>
    <m/>
    <n v="4"/>
    <s v="No"/>
    <m/>
  </r>
  <r>
    <s v="MERIDEN"/>
    <x v="328"/>
    <s v="No"/>
    <n v="47934.481539000008"/>
    <n v="5.1603253847361827E-4"/>
    <n v="48846.66"/>
    <n v="3.9219673758860449E-4"/>
    <n v="47934.481539000008"/>
    <n v="5.1603253847361827E-4"/>
    <n v="48846.66"/>
    <n v="3.9219673758860449E-4"/>
    <n v="0"/>
    <n v="0"/>
    <n v="0"/>
    <n v="0"/>
    <m/>
    <n v="3"/>
    <s v="No"/>
    <m/>
  </r>
  <r>
    <s v="MERIDEN"/>
    <x v="329"/>
    <s v="No"/>
    <n v="15120.592242000001"/>
    <n v="1.6277880447116935E-4"/>
    <n v="2055.25"/>
    <n v="1.650189275846044E-5"/>
    <n v="15120.592242000001"/>
    <n v="1.6277880447116935E-4"/>
    <n v="2055.25"/>
    <n v="1.650189275846044E-5"/>
    <n v="0"/>
    <n v="0"/>
    <n v="0"/>
    <n v="0"/>
    <m/>
    <n v="4"/>
    <s v="No"/>
    <m/>
  </r>
  <r>
    <s v="MERIDEN"/>
    <x v="330"/>
    <s v="No"/>
    <n v="13033.566629999999"/>
    <n v="1.4031119681500684E-4"/>
    <n v="7563.94"/>
    <n v="6.0731943418771081E-5"/>
    <n v="13033.566629999999"/>
    <n v="1.4031119681500684E-4"/>
    <n v="7563.94"/>
    <n v="6.0731943418771081E-5"/>
    <n v="0"/>
    <n v="0"/>
    <n v="0"/>
    <n v="0"/>
    <m/>
    <n v="5"/>
    <s v="No"/>
    <m/>
  </r>
  <r>
    <s v="MERIDEN"/>
    <x v="331"/>
    <s v="No"/>
    <n v="51168.232227"/>
    <n v="5.5084506846753839E-4"/>
    <n v="34564.959999999999"/>
    <n v="2.7752694957814127E-4"/>
    <n v="51168.232227"/>
    <n v="5.5084506846753839E-4"/>
    <n v="34564.959999999999"/>
    <n v="2.7752694957814127E-4"/>
    <n v="0"/>
    <n v="0"/>
    <n v="0"/>
    <n v="0"/>
    <m/>
    <n v="3"/>
    <s v="No"/>
    <m/>
  </r>
  <r>
    <s v="MERIDEN"/>
    <x v="332"/>
    <s v="No"/>
    <n v="84688.161746999991"/>
    <n v="9.1169958831019144E-4"/>
    <n v="63184.09"/>
    <n v="5.0731398964647253E-4"/>
    <n v="84688.161746999991"/>
    <n v="9.1169958831019144E-4"/>
    <n v="63184.09"/>
    <n v="5.0731398964647253E-4"/>
    <n v="0"/>
    <n v="0"/>
    <n v="0"/>
    <n v="0"/>
    <m/>
    <n v="3"/>
    <s v="No"/>
    <m/>
  </r>
  <r>
    <s v="MERIDEN"/>
    <x v="333"/>
    <s v="No"/>
    <n v="39506.035422000008"/>
    <n v="4.2529717834241624E-4"/>
    <n v="11381.8"/>
    <n v="9.1386081011188435E-5"/>
    <n v="39499.577712000006"/>
    <n v="4.2522765869023612E-4"/>
    <n v="11381.8"/>
    <n v="9.1386081011188435E-5"/>
    <n v="6.4577100000000005"/>
    <n v="6.9519652180136814E-8"/>
    <n v="0"/>
    <n v="0"/>
    <m/>
    <n v="2"/>
    <s v="No"/>
    <m/>
  </r>
  <r>
    <s v="MERIDEN"/>
    <x v="334"/>
    <s v="No"/>
    <n v="14420.26929"/>
    <n v="1.5523956718166478E-4"/>
    <n v="3120.11"/>
    <n v="2.5051804215837494E-5"/>
    <n v="14420.26929"/>
    <n v="1.5523956718166478E-4"/>
    <n v="3120.11"/>
    <n v="2.5051804215837494E-5"/>
    <n v="0"/>
    <n v="0"/>
    <n v="0"/>
    <n v="0"/>
    <m/>
    <n v="5"/>
    <s v="No"/>
    <m/>
  </r>
  <r>
    <s v="MERIDEN"/>
    <x v="335"/>
    <s v="No"/>
    <n v="23159.824883999998"/>
    <n v="2.493241366503849E-4"/>
    <n v="13515.42"/>
    <n v="1.0851721757720542E-4"/>
    <n v="23159.824883999998"/>
    <n v="2.493241366503849E-4"/>
    <n v="13515.42"/>
    <n v="1.0851721757720542E-4"/>
    <n v="0"/>
    <n v="0"/>
    <n v="0"/>
    <n v="0"/>
    <m/>
    <n v="5"/>
    <s v="No"/>
    <m/>
  </r>
  <r>
    <s v="MERIDEN"/>
    <x v="18"/>
    <s v="No"/>
    <n v="44001.303864000001"/>
    <n v="4.7369041658696195E-4"/>
    <n v="77607.740000000005"/>
    <n v="6.2312351427149047E-4"/>
    <n v="44001.303864000001"/>
    <n v="4.7369041658696195E-4"/>
    <n v="77607.740000000005"/>
    <n v="6.2312351427149047E-4"/>
    <n v="0"/>
    <n v="0"/>
    <n v="0"/>
    <n v="0"/>
    <m/>
    <n v="3"/>
    <s v="No"/>
    <m/>
  </r>
  <r>
    <s v="MERIDEN"/>
    <x v="336"/>
    <s v="No"/>
    <n v="42546.562925999999"/>
    <n v="4.5802958882882998E-4"/>
    <n v="99008.975000000006"/>
    <n v="7.9495705513932171E-4"/>
    <n v="42546.562925999999"/>
    <n v="4.5802958882882998E-4"/>
    <n v="99008.975000000006"/>
    <n v="7.9495705513932171E-4"/>
    <n v="0"/>
    <n v="0"/>
    <n v="0"/>
    <n v="0"/>
    <m/>
    <n v="2"/>
    <s v="No"/>
    <m/>
  </r>
  <r>
    <s v="MERIDEN"/>
    <x v="337"/>
    <s v="No"/>
    <n v="1.1157300000000001"/>
    <n v="1.2011248805992224E-8"/>
    <n v="0"/>
    <n v="0"/>
    <n v="1.1157300000000001"/>
    <n v="1.2011248805992224E-8"/>
    <n v="0"/>
    <n v="0"/>
    <n v="0"/>
    <n v="0"/>
    <n v="0"/>
    <n v="0"/>
    <m/>
    <n v="4"/>
    <s v="No"/>
    <m/>
  </r>
  <r>
    <s v="MERIDEN"/>
    <x v="338"/>
    <s v="No"/>
    <n v="163.49549999999999"/>
    <n v="1.7600899224365228E-6"/>
    <n v="0"/>
    <n v="0"/>
    <n v="163.49549999999999"/>
    <n v="1.7600899224365228E-6"/>
    <n v="0"/>
    <n v="0"/>
    <n v="0"/>
    <n v="0"/>
    <n v="0"/>
    <n v="0"/>
    <m/>
    <n v="2"/>
    <s v="No"/>
    <m/>
  </r>
  <r>
    <s v="MERIDEN"/>
    <x v="82"/>
    <s v="No"/>
    <n v="428.69148000000001"/>
    <n v="4.6150233724010645E-6"/>
    <n v="0"/>
    <n v="0"/>
    <n v="428.69148000000001"/>
    <n v="4.6150233724010645E-6"/>
    <n v="0"/>
    <n v="0"/>
    <n v="0"/>
    <n v="0"/>
    <n v="0"/>
    <n v="0"/>
    <m/>
    <n v="4"/>
    <s v="No"/>
    <m/>
  </r>
  <r>
    <s v="MIDDLEBURY"/>
    <x v="339"/>
    <s v="No"/>
    <n v="150829.15344000002"/>
    <n v="1.62373198638113E-3"/>
    <n v="220800.05000000002"/>
    <n v="1.7728348114159852E-3"/>
    <n v="106744.32969900001"/>
    <n v="1.1491424472260799E-3"/>
    <n v="200162.1"/>
    <n v="1.6071297937030702E-3"/>
    <n v="44084.823741"/>
    <n v="4.7458953915504996E-4"/>
    <n v="20637.95"/>
    <n v="1.6570501771291505E-4"/>
    <m/>
    <n v="2"/>
    <s v="No"/>
    <m/>
  </r>
  <r>
    <s v="MIDDLEBURY"/>
    <x v="340"/>
    <s v="No"/>
    <n v="40087.766901000003"/>
    <n v="4.3155973427668956E-4"/>
    <n v="29287.23"/>
    <n v="2.3515130940389995E-4"/>
    <n v="40087.766901000003"/>
    <n v="4.3155973427668956E-4"/>
    <n v="29287.23"/>
    <n v="2.3515130940389995E-4"/>
    <n v="0"/>
    <n v="0"/>
    <n v="0"/>
    <n v="0"/>
    <m/>
    <n v="3"/>
    <s v="No"/>
    <m/>
  </r>
  <r>
    <s v="MIDDLEBURY"/>
    <x v="341"/>
    <s v="No"/>
    <n v="275.48388"/>
    <n v="2.9656865233704437E-6"/>
    <n v="0"/>
    <n v="0"/>
    <n v="275.48388"/>
    <n v="2.9656865233704437E-6"/>
    <n v="0"/>
    <n v="0"/>
    <n v="0"/>
    <n v="0"/>
    <n v="0"/>
    <n v="0"/>
    <m/>
    <n v="4"/>
    <s v="No"/>
    <m/>
  </r>
  <r>
    <s v="MIDDLEFIELD"/>
    <x v="342"/>
    <s v="No"/>
    <n v="87076.72860599999"/>
    <n v="9.3741339974592983E-4"/>
    <n v="161949.14799999999"/>
    <n v="1.30031260071526E-3"/>
    <n v="79616.122235999996"/>
    <n v="8.5709719479164844E-4"/>
    <n v="100255.75"/>
    <n v="8.0496758784528424E-4"/>
    <n v="7460.6063700000004"/>
    <n v="8.0316204954281487E-5"/>
    <n v="61693.398000000001"/>
    <n v="4.9534501286997582E-4"/>
    <m/>
    <n v="1"/>
    <s v="No"/>
    <m/>
  </r>
  <r>
    <s v="MIDDLEFIELD"/>
    <x v="134"/>
    <s v="No"/>
    <n v="88.104030000000009"/>
    <n v="9.4847268168876262E-7"/>
    <n v="0"/>
    <n v="0"/>
    <n v="88.104030000000009"/>
    <n v="9.4847268168876262E-7"/>
    <n v="0"/>
    <n v="0"/>
    <n v="0"/>
    <n v="0"/>
    <n v="0"/>
    <n v="0"/>
    <m/>
    <n v="1"/>
    <s v="No"/>
    <m/>
  </r>
  <r>
    <s v="MIDDLETOWN"/>
    <x v="343"/>
    <s v="No"/>
    <n v="17456.552190000002"/>
    <n v="1.8792628292586778E-4"/>
    <n v="7949.75"/>
    <n v="6.3829666442803018E-5"/>
    <n v="17456.392800000001"/>
    <n v="1.8792456703318122E-4"/>
    <n v="7949.75"/>
    <n v="6.3829666442803018E-5"/>
    <n v="0.15939"/>
    <n v="1.7158926865703176E-9"/>
    <n v="0"/>
    <n v="0"/>
    <m/>
    <n v="4"/>
    <s v="Yes"/>
    <m/>
  </r>
  <r>
    <s v="MIDDLETOWN"/>
    <x v="344"/>
    <s v="No"/>
    <n v="541181.67816300003"/>
    <n v="5.82602223267296E-3"/>
    <n v="919453.81"/>
    <n v="7.3824246047818334E-3"/>
    <n v="290535.70415100001"/>
    <n v="3.1277250137415045E-3"/>
    <n v="538363.65"/>
    <n v="4.3225978432566998E-3"/>
    <n v="250645.97401199999"/>
    <n v="2.6982972189314555E-3"/>
    <n v="381090.16"/>
    <n v="3.0598267615251336E-3"/>
    <m/>
    <n v="4"/>
    <s v="No"/>
    <m/>
  </r>
  <r>
    <s v="MIDDLETOWN"/>
    <x v="345"/>
    <s v="No"/>
    <n v="58781.915787000005"/>
    <n v="6.3280920635865241E-4"/>
    <n v="27035.33"/>
    <n v="2.1707048599906988E-4"/>
    <n v="58781.915787000005"/>
    <n v="6.3280920635865241E-4"/>
    <n v="27035.33"/>
    <n v="2.1707048599906988E-4"/>
    <n v="0"/>
    <n v="0"/>
    <n v="0"/>
    <n v="0"/>
    <m/>
    <n v="4"/>
    <s v="No"/>
    <m/>
  </r>
  <r>
    <s v="MIDDLETOWN"/>
    <x v="346"/>
    <s v="No"/>
    <n v="41031.149460000001"/>
    <n v="4.4171559872004291E-4"/>
    <n v="31435.66"/>
    <n v="2.5240135755330231E-4"/>
    <n v="41031.149460000001"/>
    <n v="4.4171559872004291E-4"/>
    <n v="31435.66"/>
    <n v="2.5240135755330231E-4"/>
    <n v="0"/>
    <n v="0"/>
    <n v="0"/>
    <n v="0"/>
    <m/>
    <n v="2"/>
    <s v="No"/>
    <m/>
  </r>
  <r>
    <s v="MIDDLETOWN"/>
    <x v="347"/>
    <s v="No"/>
    <n v="68751.666584999999"/>
    <n v="7.4013728516671303E-4"/>
    <n v="61000.464999999997"/>
    <n v="4.897813558672763E-4"/>
    <n v="66695.936474999995"/>
    <n v="7.1800658524004629E-4"/>
    <n v="61000.464999999997"/>
    <n v="4.897813558672763E-4"/>
    <n v="2055.73011"/>
    <n v="2.2130699926666633E-5"/>
    <n v="0"/>
    <n v="0"/>
    <m/>
    <n v="2"/>
    <s v="No"/>
    <m/>
  </r>
  <r>
    <s v="MIDDLETOWN"/>
    <x v="348"/>
    <s v="No"/>
    <n v="11640.71538"/>
    <n v="1.2531663458804578E-4"/>
    <n v="12899.83"/>
    <n v="1.0357455845389648E-4"/>
    <n v="11640.71538"/>
    <n v="1.2531663458804578E-4"/>
    <n v="12899.83"/>
    <n v="1.0357455845389648E-4"/>
    <n v="0"/>
    <n v="0"/>
    <n v="0"/>
    <n v="0"/>
    <m/>
    <n v="5"/>
    <s v="No"/>
    <m/>
  </r>
  <r>
    <s v="MIDDLETOWN"/>
    <x v="349"/>
    <s v="No"/>
    <n v="9056.5750590000007"/>
    <n v="9.7497402027186422E-5"/>
    <n v="18187.349999999999"/>
    <n v="1.460288039219489E-4"/>
    <n v="9056.5750590000007"/>
    <n v="9.7497402027186422E-5"/>
    <n v="18187.349999999999"/>
    <n v="1.460288039219489E-4"/>
    <n v="0"/>
    <n v="0"/>
    <n v="0"/>
    <n v="0"/>
    <m/>
    <n v="5"/>
    <s v="Yes"/>
    <m/>
  </r>
  <r>
    <s v="MIDDLETOWN"/>
    <x v="350"/>
    <s v="No"/>
    <n v="18898.997879999999"/>
    <n v="2.0345474776209258E-4"/>
    <n v="22573.97"/>
    <n v="1.8124959594828039E-4"/>
    <n v="18898.997879999999"/>
    <n v="2.0345474776209258E-4"/>
    <n v="22573.97"/>
    <n v="1.8124959594828039E-4"/>
    <n v="0"/>
    <n v="0"/>
    <n v="0"/>
    <n v="0"/>
    <m/>
    <n v="4"/>
    <s v="Yes"/>
    <m/>
  </r>
  <r>
    <s v="MIDDLETOWN"/>
    <x v="351"/>
    <s v="No"/>
    <n v="40445.808039000003"/>
    <n v="4.3541418041625617E-4"/>
    <n v="81596.81"/>
    <n v="6.5515232115434736E-4"/>
    <n v="40445.808039000003"/>
    <n v="4.3541418041625617E-4"/>
    <n v="81596.81"/>
    <n v="6.5515232115434736E-4"/>
    <n v="0"/>
    <n v="0"/>
    <n v="0"/>
    <n v="0"/>
    <m/>
    <n v="2"/>
    <s v="No"/>
    <m/>
  </r>
  <r>
    <s v="MIDDLETOWN"/>
    <x v="352"/>
    <s v="No"/>
    <n v="31992.364740000001"/>
    <n v="3.4440971631505176E-4"/>
    <n v="30547.095000000001"/>
    <n v="2.4526694357012682E-4"/>
    <n v="31992.364740000001"/>
    <n v="3.4440971631505176E-4"/>
    <n v="30547.095000000001"/>
    <n v="2.4526694357012682E-4"/>
    <n v="0"/>
    <n v="0"/>
    <n v="0"/>
    <n v="0"/>
    <m/>
    <n v="4"/>
    <s v="No"/>
    <m/>
  </r>
  <r>
    <s v="MIDDLETOWN"/>
    <x v="353"/>
    <s v="No"/>
    <n v="25187.537130000001"/>
    <n v="2.7115321384080135E-4"/>
    <n v="47414.02"/>
    <n v="3.8069386852572604E-4"/>
    <n v="25187.537130000001"/>
    <n v="2.7115321384080135E-4"/>
    <n v="47414.02"/>
    <n v="3.8069386852572604E-4"/>
    <n v="0"/>
    <n v="0"/>
    <n v="0"/>
    <n v="0"/>
    <m/>
    <n v="3"/>
    <s v="No"/>
    <m/>
  </r>
  <r>
    <s v="MIDDLETOWN"/>
    <x v="342"/>
    <s v="No"/>
    <n v="128.24133"/>
    <n v="1.3805656582160153E-6"/>
    <n v="0"/>
    <n v="0"/>
    <n v="128.24133"/>
    <n v="1.3805656582160153E-6"/>
    <n v="0"/>
    <n v="0"/>
    <n v="0"/>
    <n v="0"/>
    <n v="0"/>
    <n v="0"/>
    <m/>
    <n v="1"/>
    <s v="No"/>
    <m/>
  </r>
  <r>
    <s v="MIDDLETOWN"/>
    <x v="354"/>
    <s v="No"/>
    <n v="64438.705044000002"/>
    <n v="6.9370664857934278E-4"/>
    <n v="86356.485000000001"/>
    <n v="6.9336842450679862E-4"/>
    <n v="64438.705044000002"/>
    <n v="6.9370664857934278E-4"/>
    <n v="86356.485000000001"/>
    <n v="6.9336842450679862E-4"/>
    <n v="0"/>
    <n v="0"/>
    <n v="0"/>
    <n v="0"/>
    <m/>
    <n v="2"/>
    <s v="No"/>
    <m/>
  </r>
  <r>
    <s v="MONROE"/>
    <x v="355"/>
    <s v="No"/>
    <n v="58769.052530999994"/>
    <n v="6.3267072861917129E-4"/>
    <n v="64313.03"/>
    <n v="5.1637840848152254E-4"/>
    <n v="58769.052530999994"/>
    <n v="6.3267072861917129E-4"/>
    <n v="64313.03"/>
    <n v="5.1637840848152254E-4"/>
    <n v="0"/>
    <n v="0"/>
    <n v="0"/>
    <n v="0"/>
    <m/>
    <n v="3"/>
    <s v="No"/>
    <m/>
  </r>
  <r>
    <s v="MONROE"/>
    <x v="356"/>
    <s v="No"/>
    <n v="273711.45064200001"/>
    <n v="2.9466056615042369E-3"/>
    <n v="361603.03"/>
    <n v="2.903361840259995E-3"/>
    <n v="177129.02846100001"/>
    <n v="1.9068599317117482E-3"/>
    <n v="313027.44"/>
    <n v="2.513341562016986E-3"/>
    <n v="96582.422181000002"/>
    <n v="1.0397457297924885E-3"/>
    <n v="48575.59"/>
    <n v="3.9002027824300859E-4"/>
    <m/>
    <n v="4"/>
    <s v="No"/>
    <m/>
  </r>
  <r>
    <s v="MONROE"/>
    <x v="357"/>
    <s v="No"/>
    <n v="79205.276639999996"/>
    <n v="8.5267428900404551E-4"/>
    <n v="91122.36"/>
    <n v="7.3163430853561632E-4"/>
    <n v="79205.276639999996"/>
    <n v="8.5267428900404551E-4"/>
    <n v="91122.36"/>
    <n v="7.3163430853561632E-4"/>
    <n v="0"/>
    <n v="0"/>
    <n v="0"/>
    <n v="0"/>
    <m/>
    <n v="2"/>
    <s v="No"/>
    <m/>
  </r>
  <r>
    <s v="MONROE"/>
    <x v="358"/>
    <s v="No"/>
    <n v="235.55427"/>
    <n v="2.53582940701054E-6"/>
    <n v="0"/>
    <n v="0"/>
    <n v="235.55427"/>
    <n v="2.53582940701054E-6"/>
    <n v="0"/>
    <n v="0"/>
    <n v="0"/>
    <n v="0"/>
    <n v="0"/>
    <n v="0"/>
    <m/>
    <n v="3"/>
    <s v="No"/>
    <m/>
  </r>
  <r>
    <s v="MONROE"/>
    <x v="359"/>
    <s v="No"/>
    <n v="473.77953000000002"/>
    <n v="5.1004130157081524E-6"/>
    <n v="0"/>
    <n v="0"/>
    <n v="473.77953000000002"/>
    <n v="5.1004130157081524E-6"/>
    <n v="0"/>
    <n v="0"/>
    <n v="0"/>
    <n v="0"/>
    <n v="0"/>
    <n v="0"/>
    <m/>
    <n v="1"/>
    <s v="No"/>
    <m/>
  </r>
  <r>
    <s v="MONROE"/>
    <x v="26"/>
    <s v="No"/>
    <n v="211.67958000000002"/>
    <n v="2.2788094812615376E-6"/>
    <n v="0"/>
    <n v="0"/>
    <n v="211.67958000000002"/>
    <n v="2.2788094812615376E-6"/>
    <n v="0"/>
    <n v="0"/>
    <n v="0"/>
    <n v="0"/>
    <n v="0"/>
    <n v="0"/>
    <m/>
    <n v="2"/>
    <s v="No"/>
    <m/>
  </r>
  <r>
    <s v="MONTVILLE"/>
    <x v="360"/>
    <s v="No"/>
    <n v="151.50744"/>
    <n v="1.6310339937072038E-6"/>
    <n v="65342.394999999997"/>
    <n v="5.2464332556670075E-4"/>
    <n v="151.50744"/>
    <n v="1.6310339937072038E-6"/>
    <n v="65342.394999999997"/>
    <n v="5.2464332556670075E-4"/>
    <n v="0"/>
    <n v="0"/>
    <n v="0"/>
    <n v="0"/>
    <m/>
    <n v="2"/>
    <s v="No"/>
    <m/>
  </r>
  <r>
    <s v="MONTVILLE"/>
    <x v="361"/>
    <s v="No"/>
    <n v="59043.172419000002"/>
    <n v="6.3562173126088459E-4"/>
    <n v="70029.63"/>
    <n v="5.6227779791979764E-4"/>
    <n v="59043.172419000002"/>
    <n v="6.3562173126088459E-4"/>
    <n v="70029.63"/>
    <n v="5.6227779791979764E-4"/>
    <n v="0"/>
    <n v="0"/>
    <n v="0"/>
    <n v="0"/>
    <m/>
    <n v="3"/>
    <s v="No"/>
    <m/>
  </r>
  <r>
    <s v="MONTVILLE"/>
    <x v="157"/>
    <s v="No"/>
    <n v="214061.06656199996"/>
    <n v="2.3044470706642681E-3"/>
    <n v="165359.215"/>
    <n v="1.3276925106693604E-3"/>
    <n v="143502.55252199998"/>
    <n v="1.5448584000042204E-3"/>
    <n v="124161.66499999999"/>
    <n v="9.9691155846825998E-4"/>
    <n v="70558.514039999995"/>
    <n v="7.5958867066004806E-4"/>
    <n v="41197.550000000003"/>
    <n v="3.307809522011006E-4"/>
    <m/>
    <n v="3"/>
    <s v="No"/>
    <m/>
  </r>
  <r>
    <s v="MONTVILLE"/>
    <x v="98"/>
    <s v="No"/>
    <n v="355.79228999999998"/>
    <n v="3.8302364536614939E-6"/>
    <n v="0"/>
    <n v="0"/>
    <n v="355.79228999999998"/>
    <n v="3.8302364536614939E-6"/>
    <n v="0"/>
    <n v="0"/>
    <n v="0"/>
    <n v="0"/>
    <n v="0"/>
    <n v="0"/>
    <m/>
    <n v="3"/>
    <s v="No"/>
    <m/>
  </r>
  <r>
    <s v="MONTVILLE"/>
    <x v="159"/>
    <s v="No"/>
    <n v="313.97897999999998"/>
    <n v="3.3801006055512139E-6"/>
    <n v="326.91000000000003"/>
    <n v="2.6248065985492291E-6"/>
    <n v="313.97897999999998"/>
    <n v="3.3801006055512139E-6"/>
    <n v="326.91000000000003"/>
    <n v="2.6248065985492291E-6"/>
    <n v="0"/>
    <n v="0"/>
    <n v="0"/>
    <n v="0"/>
    <m/>
    <n v="4"/>
    <s v="No"/>
    <m/>
  </r>
  <r>
    <s v="MONTVILLE"/>
    <x v="362"/>
    <s v="Yes"/>
    <n v="44781.189474000006"/>
    <n v="4.8208617550885442E-4"/>
    <n v="40865.480000000003"/>
    <n v="3.2811471523318822E-4"/>
    <n v="44781.189474000006"/>
    <n v="4.8208617550885442E-4"/>
    <n v="40865.480000000003"/>
    <n v="3.2811471523318822E-4"/>
    <n v="0"/>
    <n v="0"/>
    <n v="0"/>
    <n v="0"/>
    <m/>
    <n v="5"/>
    <s v="No"/>
    <m/>
  </r>
  <r>
    <s v="MONTVILLE"/>
    <x v="363"/>
    <s v="No"/>
    <n v="22959.456681"/>
    <n v="2.4716709835344698E-4"/>
    <n v="12080.57"/>
    <n v="9.6996604111944759E-5"/>
    <n v="22959.456681"/>
    <n v="2.4716709835344698E-4"/>
    <n v="12080.57"/>
    <n v="9.6996604111944759E-5"/>
    <n v="0"/>
    <n v="0"/>
    <n v="0"/>
    <n v="0"/>
    <m/>
    <n v="5"/>
    <s v="No"/>
    <m/>
  </r>
  <r>
    <s v="MORRIS"/>
    <x v="293"/>
    <s v="No"/>
    <n v="460.69988999999998"/>
    <n v="4.95960582191323E-6"/>
    <n v="0"/>
    <n v="0"/>
    <n v="460.69988999999998"/>
    <n v="4.95960582191323E-6"/>
    <n v="0"/>
    <n v="0"/>
    <n v="0"/>
    <n v="0"/>
    <n v="0"/>
    <n v="0"/>
    <m/>
    <n v="1"/>
    <s v="No"/>
    <m/>
  </r>
  <r>
    <s v="MORRIS"/>
    <x v="27"/>
    <s v="No"/>
    <n v="59210.859392999999"/>
    <n v="6.3742694396130308E-4"/>
    <n v="137999.67999999999"/>
    <n v="1.1080189368990916E-3"/>
    <n v="49661.582312999999"/>
    <n v="5.3462542125846371E-4"/>
    <n v="135709.68"/>
    <n v="1.0896322032088474E-3"/>
    <n v="9549.2770799999998"/>
    <n v="1.0280152270283931E-4"/>
    <n v="2290"/>
    <n v="1.8386733690244209E-5"/>
    <m/>
    <n v="1"/>
    <s v="No"/>
    <m/>
  </r>
  <r>
    <s v="NAUGATUCK"/>
    <x v="339"/>
    <s v="No"/>
    <n v="118.97256"/>
    <n v="1.2807838986545474E-6"/>
    <n v="0"/>
    <n v="0"/>
    <n v="118.97256"/>
    <n v="1.2807838986545474E-6"/>
    <n v="0"/>
    <n v="0"/>
    <n v="0"/>
    <n v="0"/>
    <n v="0"/>
    <n v="0"/>
    <m/>
    <n v="2"/>
    <s v="No"/>
    <m/>
  </r>
  <r>
    <s v="NAUGATUCK"/>
    <x v="364"/>
    <s v="No"/>
    <n v="64143.466464000005"/>
    <n v="6.9052829535633383E-4"/>
    <n v="158562.28"/>
    <n v="1.2731189588113256E-3"/>
    <n v="64143.466464000005"/>
    <n v="6.9052829535633383E-4"/>
    <n v="158562.28"/>
    <n v="1.2731189588113256E-3"/>
    <n v="0"/>
    <n v="0"/>
    <n v="0"/>
    <n v="0"/>
    <m/>
    <n v="2"/>
    <s v="No"/>
    <m/>
  </r>
  <r>
    <s v="NAUGATUCK"/>
    <x v="365"/>
    <s v="No"/>
    <n v="69056.199533999999"/>
    <n v="7.4341569573204834E-4"/>
    <n v="71999.360000000001"/>
    <n v="5.7809303851005301E-4"/>
    <n v="69056.199533999999"/>
    <n v="7.4341569573204834E-4"/>
    <n v="71999.360000000001"/>
    <n v="5.7809303851005301E-4"/>
    <n v="0"/>
    <n v="0"/>
    <n v="0"/>
    <n v="0"/>
    <m/>
    <n v="4"/>
    <s v="No"/>
    <m/>
  </r>
  <r>
    <s v="NAUGATUCK"/>
    <x v="366"/>
    <s v="No"/>
    <n v="43859.273849999998"/>
    <n v="4.7216141061233311E-4"/>
    <n v="63201.919999999998"/>
    <n v="5.0745714923673333E-4"/>
    <n v="43859.273849999998"/>
    <n v="4.7216141061233311E-4"/>
    <n v="63201.919999999998"/>
    <n v="5.0745714923673333E-4"/>
    <n v="0"/>
    <n v="0"/>
    <n v="0"/>
    <n v="0"/>
    <m/>
    <n v="3"/>
    <s v="No"/>
    <m/>
  </r>
  <r>
    <s v="NAUGATUCK"/>
    <x v="367"/>
    <s v="No"/>
    <n v="55053.966744000005"/>
    <n v="5.9267644709652483E-4"/>
    <n v="48254.63"/>
    <n v="3.874432450354886E-4"/>
    <n v="55053.966744000005"/>
    <n v="5.9267644709652483E-4"/>
    <n v="48254.63"/>
    <n v="3.874432450354886E-4"/>
    <n v="0"/>
    <n v="0"/>
    <n v="0"/>
    <n v="0"/>
    <m/>
    <n v="4"/>
    <s v="No"/>
    <m/>
  </r>
  <r>
    <s v="NAUGATUCK"/>
    <x v="341"/>
    <s v="No"/>
    <n v="345025.135182"/>
    <n v="3.7143240237262625E-3"/>
    <n v="708676.80499999993"/>
    <n v="5.6900662384227621E-3"/>
    <n v="227928.80800200001"/>
    <n v="2.4537384698495633E-3"/>
    <n v="618825.245"/>
    <n v="4.9686353627140288E-3"/>
    <n v="117096.32718000001"/>
    <n v="1.2605855538766993E-3"/>
    <n v="89851.56"/>
    <n v="7.2143087570873319E-4"/>
    <m/>
    <n v="4"/>
    <s v="No"/>
    <m/>
  </r>
  <r>
    <s v="NAUGATUCK"/>
    <x v="368"/>
    <s v="No"/>
    <n v="293.81855999999999"/>
    <n v="3.1630661790741078E-6"/>
    <n v="0"/>
    <n v="0"/>
    <n v="293.81855999999999"/>
    <n v="3.1630661790741078E-6"/>
    <n v="0"/>
    <n v="0"/>
    <n v="0"/>
    <n v="0"/>
    <n v="0"/>
    <n v="0"/>
    <m/>
    <n v="2"/>
    <s v="No"/>
    <m/>
  </r>
  <r>
    <s v="NAUGATUCK"/>
    <x v="369"/>
    <s v="No"/>
    <n v="447.21935999999999"/>
    <n v="4.8144828980278443E-6"/>
    <n v="47.44"/>
    <n v="3.8090246561798483E-7"/>
    <n v="447.21935999999999"/>
    <n v="4.8144828980278443E-6"/>
    <n v="47.44"/>
    <n v="3.8090246561798483E-7"/>
    <n v="0"/>
    <n v="0"/>
    <n v="0"/>
    <n v="0"/>
    <m/>
    <n v="2"/>
    <s v="No"/>
    <m/>
  </r>
  <r>
    <s v="NEW BRITAIN"/>
    <x v="16"/>
    <s v="No"/>
    <n v="357.89816999999999"/>
    <n v="3.8529070358234534E-6"/>
    <n v="1847.94"/>
    <n v="1.4837371465305627E-5"/>
    <n v="357.89816999999999"/>
    <n v="3.8529070358234534E-6"/>
    <n v="1847.94"/>
    <n v="1.4837371465305627E-5"/>
    <n v="0"/>
    <n v="0"/>
    <n v="0"/>
    <n v="0"/>
    <m/>
    <n v="2"/>
    <s v="No"/>
    <m/>
  </r>
  <r>
    <s v="NEW BRITAIN"/>
    <x v="370"/>
    <s v="No"/>
    <n v="34706.565852"/>
    <n v="3.736291017091281E-4"/>
    <n v="2206.41"/>
    <n v="1.7715577764843549E-5"/>
    <n v="34706.565852"/>
    <n v="3.736291017091281E-4"/>
    <n v="2206.41"/>
    <n v="1.7715577764843549E-5"/>
    <n v="0"/>
    <n v="0"/>
    <n v="0"/>
    <n v="0"/>
    <m/>
    <n v="5"/>
    <s v="Yes"/>
    <m/>
  </r>
  <r>
    <s v="NEW BRITAIN"/>
    <x v="371"/>
    <s v="No"/>
    <n v="36396.730649999998"/>
    <n v="3.9182435496207241E-4"/>
    <n v="19289.93"/>
    <n v="1.5488157459102729E-4"/>
    <n v="36396.730649999998"/>
    <n v="3.9182435496207241E-4"/>
    <n v="19289.93"/>
    <n v="1.5488157459102729E-4"/>
    <n v="0"/>
    <n v="0"/>
    <n v="0"/>
    <n v="0"/>
    <m/>
    <n v="3"/>
    <s v="Yes"/>
    <m/>
  </r>
  <r>
    <s v="NEW BRITAIN"/>
    <x v="372"/>
    <s v="No"/>
    <n v="17052.525588"/>
    <n v="1.8357678614720126E-4"/>
    <n v="10952.64"/>
    <n v="8.7940294709657789E-5"/>
    <n v="17052.525588"/>
    <n v="1.8357678614720126E-4"/>
    <n v="10952.64"/>
    <n v="8.7940294709657789E-5"/>
    <n v="0"/>
    <n v="0"/>
    <n v="0"/>
    <n v="0"/>
    <m/>
    <n v="4"/>
    <s v="Yes"/>
    <m/>
  </r>
  <r>
    <s v="NEW BRITAIN"/>
    <x v="373"/>
    <s v="No"/>
    <n v="22214.865330000001"/>
    <n v="2.3915129526878417E-4"/>
    <n v="3054.59"/>
    <n v="2.4525734874621425E-5"/>
    <n v="22214.865330000001"/>
    <n v="2.3915129526878417E-4"/>
    <n v="3054.59"/>
    <n v="2.4525734874621425E-5"/>
    <n v="0"/>
    <n v="0"/>
    <n v="0"/>
    <n v="0"/>
    <m/>
    <n v="5"/>
    <s v="No"/>
    <m/>
  </r>
  <r>
    <s v="NEW BRITAIN"/>
    <x v="374"/>
    <s v="No"/>
    <n v="20887.716570000001"/>
    <n v="2.248640448059266E-4"/>
    <n v="10488.74"/>
    <n v="8.4215576037647181E-5"/>
    <n v="20887.716570000001"/>
    <n v="2.248640448059266E-4"/>
    <n v="10488.74"/>
    <n v="8.4215576037647181E-5"/>
    <n v="0"/>
    <n v="0"/>
    <n v="0"/>
    <n v="0"/>
    <m/>
    <n v="4"/>
    <s v="No"/>
    <m/>
  </r>
  <r>
    <s v="NEW BRITAIN"/>
    <x v="375"/>
    <s v="No"/>
    <n v="20079.381293999999"/>
    <n v="2.1616201463850579E-4"/>
    <n v="1997.13"/>
    <n v="1.6035239063230313E-5"/>
    <n v="20079.381293999999"/>
    <n v="2.1616201463850579E-4"/>
    <n v="1997.13"/>
    <n v="1.6035239063230313E-5"/>
    <n v="0"/>
    <n v="0"/>
    <n v="0"/>
    <n v="0"/>
    <m/>
    <n v="3"/>
    <s v="No"/>
    <m/>
  </r>
  <r>
    <s v="NEW BRITAIN"/>
    <x v="376"/>
    <s v="Yes"/>
    <n v="8739.4213199999995"/>
    <n v="9.4083123959123606E-5"/>
    <n v="583.76"/>
    <n v="4.6870915541558778E-6"/>
    <n v="8739.4213199999995"/>
    <n v="9.4083123959123606E-5"/>
    <n v="583.76"/>
    <n v="4.6870915541558778E-6"/>
    <n v="0"/>
    <n v="0"/>
    <n v="0"/>
    <n v="0"/>
    <m/>
    <n v="3"/>
    <e v="#N/A"/>
    <m/>
  </r>
  <r>
    <s v="NEW BRITAIN"/>
    <x v="377"/>
    <s v="No"/>
    <n v="592170.316017"/>
    <n v="6.3749339008570436E-3"/>
    <n v="809198.66"/>
    <n v="6.4971704209268429E-3"/>
    <n v="312093.02197499998"/>
    <n v="3.359797565321111E-3"/>
    <n v="509170.76"/>
    <n v="4.0882040030477068E-3"/>
    <n v="280077.29404200002"/>
    <n v="3.0151363355359322E-3"/>
    <n v="300027.90000000002"/>
    <n v="2.4089664178791356E-3"/>
    <m/>
    <n v="3"/>
    <s v="Yes"/>
    <m/>
  </r>
  <r>
    <s v="NEW BRITAIN"/>
    <x v="378"/>
    <s v="No"/>
    <n v="25248.313020000001"/>
    <n v="2.7180748892186544E-4"/>
    <n v="3994.08"/>
    <n v="3.2069032881017727E-5"/>
    <n v="25248.313020000001"/>
    <n v="2.7180748892186544E-4"/>
    <n v="3994.08"/>
    <n v="3.2069032881017727E-5"/>
    <n v="0"/>
    <n v="0"/>
    <n v="0"/>
    <n v="0"/>
    <m/>
    <n v="5"/>
    <s v="Yes"/>
    <m/>
  </r>
  <r>
    <s v="NEW BRITAIN"/>
    <x v="379"/>
    <s v="Yes"/>
    <n v="14203.77903"/>
    <n v="1.5290896893931766E-4"/>
    <n v="58443.83"/>
    <n v="4.6925377207332106E-4"/>
    <n v="14203.77903"/>
    <n v="1.5290896893931766E-4"/>
    <n v="58443.83"/>
    <n v="4.6925377207332106E-4"/>
    <n v="0"/>
    <n v="0"/>
    <n v="0"/>
    <n v="0"/>
    <m/>
    <n v="4"/>
    <s v="Yes"/>
    <m/>
  </r>
  <r>
    <s v="NEW BRITAIN"/>
    <x v="380"/>
    <s v="No"/>
    <n v="27912.763200000001"/>
    <n v="3.0049128701204028E-4"/>
    <n v="46194.68"/>
    <n v="3.7090361531268574E-4"/>
    <n v="27912.763200000001"/>
    <n v="3.0049128701204028E-4"/>
    <n v="46194.68"/>
    <n v="3.7090361531268574E-4"/>
    <n v="0"/>
    <n v="0"/>
    <n v="0"/>
    <n v="0"/>
    <m/>
    <n v="4"/>
    <s v="Yes"/>
    <m/>
  </r>
  <r>
    <s v="NEW BRITAIN"/>
    <x v="381"/>
    <s v="No"/>
    <n v="32528.084190000001"/>
    <n v="3.501769356281108E-4"/>
    <n v="23132.205000000002"/>
    <n v="1.8573174366949151E-4"/>
    <n v="32528.084190000001"/>
    <n v="3.501769356281108E-4"/>
    <n v="23132.205000000002"/>
    <n v="1.8573174366949151E-4"/>
    <n v="0"/>
    <n v="0"/>
    <n v="0"/>
    <n v="0"/>
    <m/>
    <n v="3"/>
    <s v="No"/>
    <m/>
  </r>
  <r>
    <s v="NEW BRITAIN"/>
    <x v="382"/>
    <s v="No"/>
    <n v="35883.861929999999"/>
    <n v="3.8630313226416989E-4"/>
    <n v="26308.99"/>
    <n v="2.1123859947130919E-4"/>
    <n v="35883.861929999999"/>
    <n v="3.8630313226416989E-4"/>
    <n v="26308.99"/>
    <n v="2.1123859947130919E-4"/>
    <n v="0"/>
    <n v="0"/>
    <n v="0"/>
    <n v="0"/>
    <m/>
    <n v="3"/>
    <s v="No"/>
    <m/>
  </r>
  <r>
    <s v="NEW BRITAIN"/>
    <x v="383"/>
    <s v="No"/>
    <n v="12673.578036000001"/>
    <n v="1.3643578558661528E-4"/>
    <n v="2013.92"/>
    <n v="1.6170048346487606E-5"/>
    <n v="12673.578036000001"/>
    <n v="1.3643578558661528E-4"/>
    <n v="2013.92"/>
    <n v="1.6170048346487606E-5"/>
    <n v="0"/>
    <n v="0"/>
    <n v="0"/>
    <n v="0"/>
    <m/>
    <n v="4"/>
    <s v="Yes"/>
    <m/>
  </r>
  <r>
    <s v="NEW BRITAIN"/>
    <x v="384"/>
    <s v="No"/>
    <n v="47838.015330000002"/>
    <n v="5.1499404382198224E-4"/>
    <n v="66527.149999999994"/>
    <n v="5.3415589092617032E-4"/>
    <n v="47838.015330000002"/>
    <n v="5.1499404382198224E-4"/>
    <n v="66527.149999999994"/>
    <n v="5.3415589092617032E-4"/>
    <n v="0"/>
    <n v="0"/>
    <n v="0"/>
    <n v="0"/>
    <m/>
    <n v="5"/>
    <s v="No"/>
    <m/>
  </r>
  <r>
    <s v="NEW BRITAIN"/>
    <x v="385"/>
    <s v="No"/>
    <n v="21761.188259999999"/>
    <n v="2.3426729271857616E-4"/>
    <n v="5165.95"/>
    <n v="4.1478142754199593E-5"/>
    <n v="21761.188259999999"/>
    <n v="2.3426729271857616E-4"/>
    <n v="5165.95"/>
    <n v="4.1478142754199593E-5"/>
    <n v="0"/>
    <n v="0"/>
    <n v="0"/>
    <n v="0"/>
    <m/>
    <n v="5"/>
    <s v="No"/>
    <m/>
  </r>
  <r>
    <s v="NEW BRITAIN"/>
    <x v="386"/>
    <s v="Yes"/>
    <n v="10309.16649"/>
    <n v="1.1098201508768927E-4"/>
    <n v="168.27"/>
    <n v="1.3510636148722241E-6"/>
    <n v="10309.16649"/>
    <n v="1.1098201508768927E-4"/>
    <n v="168.27"/>
    <n v="1.3510636148722241E-6"/>
    <n v="0"/>
    <n v="0"/>
    <n v="0"/>
    <n v="0"/>
    <m/>
    <n v="4"/>
    <e v="#N/A"/>
    <m/>
  </r>
  <r>
    <s v="NEW BRITAIN"/>
    <x v="387"/>
    <s v="No"/>
    <n v="13168.471428000001"/>
    <n v="1.4176349718687112E-4"/>
    <n v="7213.15"/>
    <n v="5.7915400924796946E-5"/>
    <n v="13168.471428000001"/>
    <n v="1.4176349718687112E-4"/>
    <n v="7213.15"/>
    <n v="5.7915400924796946E-5"/>
    <n v="0"/>
    <n v="0"/>
    <n v="0"/>
    <n v="0"/>
    <m/>
    <n v="5"/>
    <e v="#N/A"/>
    <m/>
  </r>
  <r>
    <s v="NEW BRITAIN"/>
    <x v="388"/>
    <s v="Yes"/>
    <n v="179.28960000000001"/>
    <n v="1.930119288651218E-6"/>
    <n v="0"/>
    <n v="0"/>
    <n v="179.28960000000001"/>
    <n v="1.930119288651218E-6"/>
    <n v="0"/>
    <n v="0"/>
    <n v="0"/>
    <n v="0"/>
    <n v="0"/>
    <n v="0"/>
    <m/>
    <e v="#N/A"/>
    <e v="#N/A"/>
    <m/>
  </r>
  <r>
    <s v="NEW BRITAIN"/>
    <x v="389"/>
    <s v="No"/>
    <n v="24457.49712"/>
    <n v="2.6329406135907273E-4"/>
    <n v="29821.86"/>
    <n v="2.3944392924355728E-4"/>
    <n v="24457.49712"/>
    <n v="2.6329406135907273E-4"/>
    <n v="29821.86"/>
    <n v="2.3944392924355728E-4"/>
    <n v="0"/>
    <n v="0"/>
    <n v="0"/>
    <n v="0"/>
    <m/>
    <n v="4"/>
    <s v="No"/>
    <m/>
  </r>
  <r>
    <s v="NEW BRITAIN"/>
    <x v="390"/>
    <s v="No"/>
    <n v="35198.103360000001"/>
    <n v="3.7892068596881944E-4"/>
    <n v="24683.34"/>
    <n v="1.9818602583657316E-4"/>
    <n v="35198.103360000001"/>
    <n v="3.7892068596881944E-4"/>
    <n v="24683.34"/>
    <n v="1.9818602583657316E-4"/>
    <n v="0"/>
    <n v="0"/>
    <n v="0"/>
    <n v="0"/>
    <m/>
    <n v="4"/>
    <s v="No"/>
    <m/>
  </r>
  <r>
    <s v="NEW BRITAIN"/>
    <x v="185"/>
    <s v="No"/>
    <n v="21.677040000000002"/>
    <n v="2.3336140537356322E-7"/>
    <n v="0"/>
    <n v="0"/>
    <n v="21.677040000000002"/>
    <n v="2.3336140537356322E-7"/>
    <n v="0"/>
    <n v="0"/>
    <n v="0"/>
    <n v="0"/>
    <n v="0"/>
    <n v="0"/>
    <m/>
    <n v="3"/>
    <s v="No"/>
    <m/>
  </r>
  <r>
    <s v="NEW BRITAIN"/>
    <x v="186"/>
    <s v="No"/>
    <n v="291.60158999999999"/>
    <n v="3.139199671706357E-6"/>
    <n v="2078.8000000000002"/>
    <n v="1.669097903724003E-5"/>
    <n v="291.60158999999999"/>
    <n v="3.139199671706357E-6"/>
    <n v="2078.8000000000002"/>
    <n v="1.669097903724003E-5"/>
    <n v="0"/>
    <n v="0"/>
    <n v="0"/>
    <n v="0"/>
    <m/>
    <n v="4"/>
    <s v="No"/>
    <m/>
  </r>
  <r>
    <s v="NEW BRITAIN"/>
    <x v="391"/>
    <s v="No"/>
    <n v="78.241169999999997"/>
    <n v="8.4229532211371443E-7"/>
    <n v="0"/>
    <n v="0"/>
    <n v="78.241169999999997"/>
    <n v="8.4229532211371443E-7"/>
    <n v="0"/>
    <n v="0"/>
    <n v="0"/>
    <n v="0"/>
    <n v="0"/>
    <n v="0"/>
    <m/>
    <n v="3"/>
    <s v="No"/>
    <m/>
  </r>
  <r>
    <s v="NEW CANAAN"/>
    <x v="392"/>
    <s v="No"/>
    <n v="440822.73742499994"/>
    <n v="4.7456208747190219E-3"/>
    <n v="364511.158"/>
    <n v="2.9267116110342924E-3"/>
    <n v="339217.59486299998"/>
    <n v="3.6518036902026137E-3"/>
    <n v="336740.42"/>
    <n v="2.703736430253705E-3"/>
    <n v="101605.14256199999"/>
    <n v="1.0938171845164082E-3"/>
    <n v="27770.738000000001"/>
    <n v="2.229751807805874E-4"/>
    <m/>
    <n v="2"/>
    <s v="No"/>
    <m/>
  </r>
  <r>
    <s v="NEW CANAAN"/>
    <x v="393"/>
    <s v="No"/>
    <n v="95394.583179000008"/>
    <n v="1.0269582007357422E-3"/>
    <n v="28433.9"/>
    <n v="2.2829980221617243E-4"/>
    <n v="95394.583179000008"/>
    <n v="1.0269582007357422E-3"/>
    <n v="28433.9"/>
    <n v="2.2829980221617243E-4"/>
    <n v="0"/>
    <n v="0"/>
    <n v="0"/>
    <n v="0"/>
    <m/>
    <n v="2"/>
    <s v="No"/>
    <m/>
  </r>
  <r>
    <s v="NEW CANAAN"/>
    <x v="394"/>
    <s v="No"/>
    <n v="81540.621245999995"/>
    <n v="8.7781514307303877E-4"/>
    <n v="27771.915000000001"/>
    <n v="2.229846310799557E-4"/>
    <n v="81540.621245999995"/>
    <n v="8.7781514307303877E-4"/>
    <n v="27771.915000000001"/>
    <n v="2.229846310799557E-4"/>
    <n v="0"/>
    <n v="0"/>
    <n v="0"/>
    <n v="0"/>
    <m/>
    <n v="3"/>
    <s v="No"/>
    <m/>
  </r>
  <r>
    <s v="NEW CANAAN"/>
    <x v="395"/>
    <s v="No"/>
    <n v="115731.17598"/>
    <n v="1.245889192999965E-3"/>
    <n v="69867.61"/>
    <n v="5.6097691643835948E-4"/>
    <n v="115731.17598"/>
    <n v="1.245889192999965E-3"/>
    <n v="69867.61"/>
    <n v="5.6097691643835948E-4"/>
    <n v="0"/>
    <n v="0"/>
    <n v="0"/>
    <n v="0"/>
    <m/>
    <n v="2"/>
    <s v="No"/>
    <m/>
  </r>
  <r>
    <s v="NEW FAIRFIELD"/>
    <x v="119"/>
    <s v="No"/>
    <n v="681.79313999999999"/>
    <n v="7.3397569651785724E-6"/>
    <n v="0"/>
    <n v="0"/>
    <n v="681.79313999999999"/>
    <n v="7.3397569651785724E-6"/>
    <n v="0"/>
    <n v="0"/>
    <n v="0"/>
    <n v="0"/>
    <n v="0"/>
    <n v="0"/>
    <m/>
    <n v="4"/>
    <s v="No"/>
    <m/>
  </r>
  <r>
    <s v="NEW FAIRFIELD"/>
    <x v="120"/>
    <s v="No"/>
    <n v="948.34635000000003"/>
    <n v="1.0209301501353001E-5"/>
    <n v="5681.93"/>
    <n v="4.5621019107689642E-5"/>
    <n v="948.34635000000003"/>
    <n v="1.0209301501353001E-5"/>
    <n v="5681.93"/>
    <n v="4.5621019107689642E-5"/>
    <n v="0"/>
    <n v="0"/>
    <n v="0"/>
    <n v="0"/>
    <m/>
    <n v="5"/>
    <s v="No"/>
    <m/>
  </r>
  <r>
    <s v="NEW FAIRFIELD"/>
    <x v="396"/>
    <s v="No"/>
    <n v="62603.571177000005"/>
    <n v="6.7395074933056427E-4"/>
    <n v="53250.54"/>
    <n v="4.2755611259462747E-4"/>
    <n v="62603.571177000005"/>
    <n v="6.7395074933056427E-4"/>
    <n v="53250.54"/>
    <n v="4.2755611259462747E-4"/>
    <n v="0"/>
    <n v="0"/>
    <n v="0"/>
    <n v="0"/>
    <m/>
    <n v="2"/>
    <s v="No"/>
    <m/>
  </r>
  <r>
    <s v="NEW FAIRFIELD"/>
    <x v="124"/>
    <s v="No"/>
    <n v="74876.762499000004"/>
    <n v="8.0607622288786449E-4"/>
    <n v="58595.5"/>
    <n v="4.7047155194179238E-4"/>
    <n v="74876.762499000004"/>
    <n v="8.0607622288786449E-4"/>
    <n v="58595.5"/>
    <n v="4.7047155194179238E-4"/>
    <n v="0"/>
    <n v="0"/>
    <n v="0"/>
    <n v="0"/>
    <m/>
    <n v="3"/>
    <s v="No"/>
    <m/>
  </r>
  <r>
    <s v="NEW FAIRFIELD"/>
    <x v="397"/>
    <s v="No"/>
    <n v="178219.757415"/>
    <n v="1.9186020349503397E-3"/>
    <n v="296501.3775"/>
    <n v="2.380651470254614E-3"/>
    <n v="149513.30446499999"/>
    <n v="1.6095663823104003E-3"/>
    <n v="296193.3775"/>
    <n v="2.3781784947189831E-3"/>
    <n v="28706.452949999999"/>
    <n v="3.0903565263993925E-4"/>
    <n v="308"/>
    <n v="2.472975535631099E-6"/>
    <m/>
    <n v="2"/>
    <s v="No"/>
    <m/>
  </r>
  <r>
    <s v="NEW FAIRFIELD"/>
    <x v="398"/>
    <s v="No"/>
    <n v="1131.3164100000001"/>
    <n v="1.2179042312039572E-5"/>
    <n v="0"/>
    <n v="0"/>
    <n v="1131.3164100000001"/>
    <n v="1.2179042312039572E-5"/>
    <n v="0"/>
    <n v="0"/>
    <n v="0"/>
    <n v="0"/>
    <n v="0"/>
    <n v="0"/>
    <m/>
    <n v="1"/>
    <s v="No"/>
    <m/>
  </r>
  <r>
    <s v="NEW HARTFORD"/>
    <x v="399"/>
    <s v="No"/>
    <n v="141521.92166699999"/>
    <n v="1.5235361715150427E-3"/>
    <n v="211576.22500000001"/>
    <n v="1.6987754167083796E-3"/>
    <n v="120936.041457"/>
    <n v="1.3019215074899996E-3"/>
    <n v="196373.76500000001"/>
    <n v="1.5767127165089954E-3"/>
    <n v="20585.880209999999"/>
    <n v="2.216146640250432E-4"/>
    <n v="15202.46"/>
    <n v="1.2206270019938427E-4"/>
    <m/>
    <n v="1"/>
    <s v="No"/>
    <m/>
  </r>
  <r>
    <s v="NEW LONDON"/>
    <x v="400"/>
    <s v="No"/>
    <n v="47979.760374000005"/>
    <n v="5.1651998198847437E-4"/>
    <n v="25104.06"/>
    <n v="2.0156404618511443E-4"/>
    <n v="47976.437334000002"/>
    <n v="5.1648420822579684E-4"/>
    <n v="25104.06"/>
    <n v="2.0156404618511443E-4"/>
    <n v="3.3230400000000002"/>
    <n v="3.5773762677587232E-8"/>
    <n v="0"/>
    <n v="0"/>
    <m/>
    <n v="5"/>
    <s v="No"/>
    <m/>
  </r>
  <r>
    <s v="NEW LONDON"/>
    <x v="401"/>
    <s v="No"/>
    <n v="22508.728326"/>
    <n v="2.423148398179406E-4"/>
    <n v="34880.410000000003"/>
    <n v="2.800597422168258E-4"/>
    <n v="22508.728326"/>
    <n v="2.423148398179406E-4"/>
    <n v="34880.410000000003"/>
    <n v="2.800597422168258E-4"/>
    <n v="0"/>
    <n v="0"/>
    <n v="0"/>
    <n v="0"/>
    <m/>
    <n v="5"/>
    <s v="No"/>
    <m/>
  </r>
  <r>
    <s v="NEW LONDON"/>
    <x v="402"/>
    <s v="No"/>
    <n v="317172.80301000003"/>
    <n v="3.4144832992274742E-3"/>
    <n v="939003.77500000002"/>
    <n v="7.5393940371436654E-3"/>
    <n v="134498.03472"/>
    <n v="1.4479214137281427E-3"/>
    <n v="191121.27499999999"/>
    <n v="1.5345397318624141E-3"/>
    <n v="182674.76829000001"/>
    <n v="1.9665618854993313E-3"/>
    <n v="747882.5"/>
    <n v="6.0048543052812512E-3"/>
    <m/>
    <n v="5"/>
    <s v="No"/>
    <m/>
  </r>
  <r>
    <s v="NEW LONDON"/>
    <x v="403"/>
    <s v="No"/>
    <n v="9356.9851199999994"/>
    <n v="1.0073142816836241E-4"/>
    <n v="3385.37"/>
    <n v="2.718161425019303E-5"/>
    <n v="9356.9851199999994"/>
    <n v="1.0073142816836241E-4"/>
    <n v="3385.37"/>
    <n v="2.718161425019303E-5"/>
    <n v="0"/>
    <n v="0"/>
    <n v="0"/>
    <n v="0"/>
    <m/>
    <n v="5"/>
    <s v="No"/>
    <m/>
  </r>
  <r>
    <s v="NEW LONDON"/>
    <x v="404"/>
    <s v="No"/>
    <n v="25667.32518"/>
    <n v="2.7631831081111839E-4"/>
    <n v="15165.95"/>
    <n v="1.217695562487158E-4"/>
    <n v="25667.32518"/>
    <n v="2.7631831081111839E-4"/>
    <n v="15165.95"/>
    <n v="1.217695562487158E-4"/>
    <n v="0"/>
    <n v="0"/>
    <n v="0"/>
    <n v="0"/>
    <m/>
    <n v="5"/>
    <s v="Yes"/>
    <m/>
  </r>
  <r>
    <s v="NEW LONDON"/>
    <x v="405"/>
    <s v="No"/>
    <n v="46706.904677999999"/>
    <n v="5.0281721657141078E-4"/>
    <n v="43727.93"/>
    <n v="3.5109773088892596E-4"/>
    <n v="46706.904677999999"/>
    <n v="5.0281721657141078E-4"/>
    <n v="43727.93"/>
    <n v="3.5109773088892596E-4"/>
    <n v="0"/>
    <n v="0"/>
    <n v="0"/>
    <n v="0"/>
    <m/>
    <n v="5"/>
    <s v="No"/>
    <m/>
  </r>
  <r>
    <s v="NEW LONDON"/>
    <x v="406"/>
    <s v="No"/>
    <n v="145.82253"/>
    <n v="1.5698338212195291E-6"/>
    <n v="0"/>
    <n v="0"/>
    <n v="145.82253"/>
    <n v="1.5698338212195291E-6"/>
    <n v="0"/>
    <n v="0"/>
    <n v="0"/>
    <n v="0"/>
    <n v="0"/>
    <n v="0"/>
    <m/>
    <n v="3"/>
    <s v="No"/>
    <m/>
  </r>
  <r>
    <s v="NEW LONDON"/>
    <x v="407"/>
    <s v="No"/>
    <n v="22642.012176"/>
    <n v="2.4374969008114991E-4"/>
    <n v="984.16"/>
    <n v="7.9019597504763051E-6"/>
    <n v="22642.012176"/>
    <n v="2.4374969008114991E-4"/>
    <n v="984.16"/>
    <n v="7.9019597504763051E-6"/>
    <n v="0"/>
    <n v="0"/>
    <n v="0"/>
    <n v="0"/>
    <m/>
    <n v="5"/>
    <s v="No"/>
    <m/>
  </r>
  <r>
    <s v="NEW MILFORD"/>
    <x v="408"/>
    <s v="No"/>
    <n v="57364.048035"/>
    <n v="6.1754533217469665E-4"/>
    <n v="42343.54"/>
    <n v="3.3998226789615866E-4"/>
    <n v="57364.048035"/>
    <n v="6.1754533217469665E-4"/>
    <n v="42343.54"/>
    <n v="3.3998226789615866E-4"/>
    <n v="0"/>
    <n v="0"/>
    <n v="0"/>
    <n v="0"/>
    <m/>
    <n v="4"/>
    <s v="No"/>
    <m/>
  </r>
  <r>
    <s v="NEW MILFORD"/>
    <x v="409"/>
    <s v="No"/>
    <n v="90661.357059000002"/>
    <n v="9.7600325950234238E-4"/>
    <n v="38403.11"/>
    <n v="3.08343998448539E-4"/>
    <n v="90661.357059000002"/>
    <n v="9.7600325950234238E-4"/>
    <n v="38403.11"/>
    <n v="3.08343998448539E-4"/>
    <n v="0"/>
    <n v="0"/>
    <n v="0"/>
    <n v="0"/>
    <m/>
    <n v="4"/>
    <s v="No"/>
    <m/>
  </r>
  <r>
    <s v="NEW MILFORD"/>
    <x v="410"/>
    <s v="No"/>
    <n v="28366.010399999999"/>
    <n v="3.0537066185166929E-4"/>
    <n v="15122.88"/>
    <n v="1.2142374113079491E-4"/>
    <n v="28366.010399999999"/>
    <n v="3.0537066185166929E-4"/>
    <n v="15122.88"/>
    <n v="1.2142374113079491E-4"/>
    <n v="0"/>
    <n v="0"/>
    <n v="0"/>
    <n v="0"/>
    <m/>
    <n v="3"/>
    <s v="No"/>
    <m/>
  </r>
  <r>
    <s v="NEW MILFORD"/>
    <x v="69"/>
    <s v="No"/>
    <n v="420565.933326"/>
    <n v="4.5275488375349972E-3"/>
    <n v="503614.60499999998"/>
    <n v="4.0435928491932447E-3"/>
    <n v="268110.63915300003"/>
    <n v="2.8863108407950699E-3"/>
    <n v="388002.38500000001"/>
    <n v="3.1153259930893468E-3"/>
    <n v="152455.294173"/>
    <n v="1.6412379967399276E-3"/>
    <n v="115612.22"/>
    <n v="9.2826685610389759E-4"/>
    <m/>
    <n v="2"/>
    <s v="No"/>
    <m/>
  </r>
  <r>
    <s v="NEW MILFORD"/>
    <x v="280"/>
    <s v="No"/>
    <n v="84491.438745000007"/>
    <n v="9.0958179195902811E-4"/>
    <n v="126018.9"/>
    <n v="1.0118235608024087E-3"/>
    <n v="84491.438745000007"/>
    <n v="9.0958179195902811E-4"/>
    <n v="126018.9"/>
    <n v="1.0118235608024087E-3"/>
    <n v="0"/>
    <n v="0"/>
    <n v="0"/>
    <n v="0"/>
    <m/>
    <n v="4"/>
    <s v="No"/>
    <m/>
  </r>
  <r>
    <s v="NEW MILFORD"/>
    <x v="411"/>
    <s v="No"/>
    <n v="30267.038507999998"/>
    <n v="3.2583593713544998E-4"/>
    <n v="37997.32"/>
    <n v="3.0508585318034503E-4"/>
    <n v="30267.038507999998"/>
    <n v="3.2583593713544998E-4"/>
    <n v="37997.32"/>
    <n v="3.0508585318034503E-4"/>
    <n v="0"/>
    <n v="0"/>
    <n v="0"/>
    <n v="0"/>
    <m/>
    <n v="4"/>
    <s v="No"/>
    <m/>
  </r>
  <r>
    <s v="NEW MILFORD"/>
    <x v="412"/>
    <s v="No"/>
    <n v="498.77960999999999"/>
    <n v="5.3695481837593032E-6"/>
    <n v="0"/>
    <n v="0"/>
    <n v="498.77960999999999"/>
    <n v="5.3695481837593032E-6"/>
    <n v="0"/>
    <n v="0"/>
    <n v="0"/>
    <n v="0"/>
    <n v="0"/>
    <n v="0"/>
    <m/>
    <n v="3"/>
    <s v="No"/>
    <m/>
  </r>
  <r>
    <s v="NEWINGTON"/>
    <x v="14"/>
    <s v="No"/>
    <n v="254.25120000000001"/>
    <n v="2.7371088188200461E-6"/>
    <n v="430.16"/>
    <n v="3.4538154428801089E-6"/>
    <n v="254.25120000000001"/>
    <n v="2.7371088188200461E-6"/>
    <n v="430.16"/>
    <n v="3.4538154428801089E-6"/>
    <n v="0"/>
    <n v="0"/>
    <n v="0"/>
    <n v="0"/>
    <m/>
    <n v="2"/>
    <s v="No"/>
    <m/>
  </r>
  <r>
    <s v="NEWINGTON"/>
    <x v="380"/>
    <s v="No"/>
    <n v="66.924480000000003"/>
    <n v="7.2046694136722188E-7"/>
    <n v="0"/>
    <n v="0"/>
    <n v="66.924480000000003"/>
    <n v="7.2046694136722188E-7"/>
    <n v="0"/>
    <n v="0"/>
    <n v="0"/>
    <n v="0"/>
    <n v="0"/>
    <n v="0"/>
    <m/>
    <n v="4"/>
    <s v="Yes"/>
    <m/>
  </r>
  <r>
    <s v="NEWINGTON"/>
    <x v="413"/>
    <s v="No"/>
    <n v="165.65451000000002"/>
    <n v="1.7833324688273392E-6"/>
    <n v="0"/>
    <n v="0"/>
    <n v="165.65451000000002"/>
    <n v="1.7833324688273392E-6"/>
    <n v="0"/>
    <n v="0"/>
    <n v="0"/>
    <n v="0"/>
    <n v="0"/>
    <n v="0"/>
    <m/>
    <n v="1"/>
    <s v="No"/>
    <m/>
  </r>
  <r>
    <s v="NEWINGTON"/>
    <x v="414"/>
    <s v="No"/>
    <n v="53780.659926"/>
    <n v="5.7896882518319068E-4"/>
    <n v="25834.22"/>
    <n v="2.0742660403283002E-4"/>
    <n v="53780.659926"/>
    <n v="5.7896882518319068E-4"/>
    <n v="25834.22"/>
    <n v="2.0742660403283002E-4"/>
    <n v="0"/>
    <n v="0"/>
    <n v="0"/>
    <n v="0"/>
    <m/>
    <n v="4"/>
    <s v="No"/>
    <m/>
  </r>
  <r>
    <s v="NEWINGTON"/>
    <x v="415"/>
    <s v="No"/>
    <n v="368955.24122100003"/>
    <n v="3.9719405237649873E-3"/>
    <n v="355482.61249999999"/>
    <n v="2.8542201430348372E-3"/>
    <n v="172376.82044100002"/>
    <n v="1.8557006432584025E-3"/>
    <n v="248428.9425"/>
    <n v="1.994671094627289E-3"/>
    <n v="196578.42078000001"/>
    <n v="2.116239880506585E-3"/>
    <n v="107053.67"/>
    <n v="8.595490484075484E-4"/>
    <m/>
    <n v="4"/>
    <s v="No"/>
    <m/>
  </r>
  <r>
    <s v="NEWINGTON"/>
    <x v="416"/>
    <s v="No"/>
    <n v="27760.286862000001"/>
    <n v="2.9884982247066862E-4"/>
    <n v="9235.1200000000008"/>
    <n v="7.4150083859147653E-5"/>
    <n v="27760.286862000001"/>
    <n v="2.9884982247066862E-4"/>
    <n v="9235.1200000000008"/>
    <n v="7.4150083859147653E-5"/>
    <n v="0"/>
    <n v="0"/>
    <n v="0"/>
    <n v="0"/>
    <m/>
    <n v="4"/>
    <s v="No"/>
    <m/>
  </r>
  <r>
    <s v="NEWINGTON"/>
    <x v="391"/>
    <s v="No"/>
    <n v="38605.392567000003"/>
    <n v="4.1560142272345447E-4"/>
    <n v="29848"/>
    <n v="2.3965381099843195E-4"/>
    <n v="38605.392567000003"/>
    <n v="4.1560142272345447E-4"/>
    <n v="29848"/>
    <n v="2.3965381099843195E-4"/>
    <n v="0"/>
    <n v="0"/>
    <n v="0"/>
    <n v="0"/>
    <m/>
    <n v="3"/>
    <s v="No"/>
    <m/>
  </r>
  <r>
    <s v="NEWINGTON"/>
    <x v="417"/>
    <s v="No"/>
    <n v="48752.206817999999"/>
    <n v="5.2483565551897718E-4"/>
    <n v="81805.820000000007"/>
    <n v="6.5683049198779638E-4"/>
    <n v="48752.206817999999"/>
    <n v="5.2483565551897718E-4"/>
    <n v="81805.820000000007"/>
    <n v="6.5683049198779638E-4"/>
    <n v="0"/>
    <n v="0"/>
    <n v="0"/>
    <n v="0"/>
    <m/>
    <n v="4"/>
    <s v="No"/>
    <m/>
  </r>
  <r>
    <s v="NEWINGTON"/>
    <x v="418"/>
    <s v="No"/>
    <n v="39434.960039999998"/>
    <n v="4.245320253957508E-4"/>
    <n v="23408.66"/>
    <n v="1.8795143994125417E-4"/>
    <n v="39434.960039999998"/>
    <n v="4.245320253957508E-4"/>
    <n v="23408.66"/>
    <n v="1.8795143994125417E-4"/>
    <n v="0"/>
    <n v="0"/>
    <n v="0"/>
    <n v="0"/>
    <m/>
    <n v="4"/>
    <s v="No"/>
    <m/>
  </r>
  <r>
    <s v="NEWINGTON"/>
    <x v="419"/>
    <s v="No"/>
    <n v="32479.668270000002"/>
    <n v="3.4965572022537802E-4"/>
    <n v="30047.54"/>
    <n v="2.4125594586330153E-4"/>
    <n v="32479.668270000002"/>
    <n v="3.4965572022537802E-4"/>
    <n v="30047.54"/>
    <n v="2.4125594586330153E-4"/>
    <n v="0"/>
    <n v="0"/>
    <n v="0"/>
    <n v="0"/>
    <m/>
    <n v="3"/>
    <s v="No"/>
    <m/>
  </r>
  <r>
    <s v="NEWTOWN"/>
    <x v="355"/>
    <s v="No"/>
    <n v="201.38685000000001"/>
    <n v="2.1680044111075574E-6"/>
    <n v="27802.34"/>
    <n v="2.2322891770551275E-4"/>
    <n v="201.38685000000001"/>
    <n v="2.1680044111075574E-6"/>
    <n v="27802.34"/>
    <n v="2.2322891770551275E-4"/>
    <n v="0"/>
    <n v="0"/>
    <n v="0"/>
    <n v="0"/>
    <m/>
    <n v="3"/>
    <s v="No"/>
    <m/>
  </r>
  <r>
    <s v="NEWTOWN"/>
    <x v="357"/>
    <s v="No"/>
    <n v="1099.50603"/>
    <n v="1.1836591729198597E-5"/>
    <n v="2843.71"/>
    <n v="2.2832549546849064E-5"/>
    <n v="1099.50603"/>
    <n v="1.1836591729198597E-5"/>
    <n v="2843.71"/>
    <n v="2.2832549546849064E-5"/>
    <n v="0"/>
    <n v="0"/>
    <n v="0"/>
    <n v="0"/>
    <m/>
    <n v="2"/>
    <s v="No"/>
    <m/>
  </r>
  <r>
    <s v="NEWTOWN"/>
    <x v="23"/>
    <s v="No"/>
    <n v="232.89777000000001"/>
    <n v="2.5072311955677015E-6"/>
    <n v="0"/>
    <n v="0"/>
    <n v="232.89777000000001"/>
    <n v="2.5072311955677015E-6"/>
    <n v="0"/>
    <n v="0"/>
    <n v="0"/>
    <n v="0"/>
    <n v="0"/>
    <n v="0"/>
    <m/>
    <n v="1"/>
    <s v="No"/>
    <m/>
  </r>
  <r>
    <s v="NEWTOWN"/>
    <x v="67"/>
    <s v="No"/>
    <n v="637.87878000000001"/>
    <n v="6.8670025316544113E-6"/>
    <n v="0"/>
    <n v="0"/>
    <n v="637.87878000000001"/>
    <n v="6.8670025316544113E-6"/>
    <n v="0"/>
    <n v="0"/>
    <n v="0"/>
    <n v="0"/>
    <n v="0"/>
    <n v="0"/>
    <m/>
    <n v="1"/>
    <s v="No"/>
    <m/>
  </r>
  <r>
    <s v="NEWTOWN"/>
    <x v="24"/>
    <s v="No"/>
    <n v="344.32587000000001"/>
    <n v="3.7067961737245874E-6"/>
    <n v="0"/>
    <n v="0"/>
    <n v="344.32587000000001"/>
    <n v="3.7067961737245874E-6"/>
    <n v="0"/>
    <n v="0"/>
    <n v="0"/>
    <n v="0"/>
    <n v="0"/>
    <n v="0"/>
    <m/>
    <n v="4"/>
    <s v="No"/>
    <m/>
  </r>
  <r>
    <s v="NEWTOWN"/>
    <x v="420"/>
    <s v="No"/>
    <n v="358599.985422"/>
    <n v="3.8604623401081142E-3"/>
    <n v="445326.52500000002"/>
    <n v="3.5755896158851008E-3"/>
    <n v="255649.899897"/>
    <n v="2.7521663439092547E-3"/>
    <n v="414915.40500000003"/>
    <n v="3.3314144348099654E-3"/>
    <n v="102950.085525"/>
    <n v="1.1082959961988595E-3"/>
    <n v="30411.119999999999"/>
    <n v="2.4417518107513515E-4"/>
    <m/>
    <n v="2"/>
    <s v="No"/>
    <m/>
  </r>
  <r>
    <s v="NEWTOWN"/>
    <x v="421"/>
    <s v="No"/>
    <n v="28327.678553999998"/>
    <n v="3.0495800525957357E-4"/>
    <n v="11139.305"/>
    <n v="8.9439054379653174E-5"/>
    <n v="28327.678553999998"/>
    <n v="3.0495800525957357E-4"/>
    <n v="11139.305"/>
    <n v="8.9439054379653174E-5"/>
    <n v="0"/>
    <n v="0"/>
    <n v="0"/>
    <n v="0"/>
    <m/>
    <n v="2"/>
    <s v="No"/>
    <m/>
  </r>
  <r>
    <s v="NEWTOWN"/>
    <x v="422"/>
    <s v="No"/>
    <n v="47140.281258000003"/>
    <n v="5.0748267678944736E-4"/>
    <n v="30743.57"/>
    <n v="2.4684446911676033E-4"/>
    <n v="47140.281258000003"/>
    <n v="5.0748267678944736E-4"/>
    <n v="30743.57"/>
    <n v="2.4684446911676033E-4"/>
    <n v="0"/>
    <n v="0"/>
    <n v="0"/>
    <n v="0"/>
    <m/>
    <n v="1"/>
    <s v="No"/>
    <m/>
  </r>
  <r>
    <s v="NEWTOWN"/>
    <x v="26"/>
    <s v="No"/>
    <n v="74697.494150999992"/>
    <n v="8.041463323849047E-4"/>
    <n v="63721.11"/>
    <n v="5.1162579913395512E-4"/>
    <n v="74697.494150999992"/>
    <n v="8.041463323849047E-4"/>
    <n v="63721.11"/>
    <n v="5.1162579913395512E-4"/>
    <n v="0"/>
    <n v="0"/>
    <n v="0"/>
    <n v="0"/>
    <m/>
    <n v="2"/>
    <s v="No"/>
    <m/>
  </r>
  <r>
    <s v="NEWTOWN"/>
    <x v="423"/>
    <s v="No"/>
    <n v="50253.454859999998"/>
    <n v="5.4099714956500143E-4"/>
    <n v="63588.3"/>
    <n v="5.1055944887133447E-4"/>
    <n v="50253.454859999998"/>
    <n v="5.4099714956500143E-4"/>
    <n v="63588.3"/>
    <n v="5.1055944887133447E-4"/>
    <n v="0"/>
    <n v="0"/>
    <n v="0"/>
    <n v="0"/>
    <m/>
    <n v="2"/>
    <s v="No"/>
    <m/>
  </r>
  <r>
    <s v="NEWTOWN"/>
    <x v="424"/>
    <s v="No"/>
    <n v="50058.176510999998"/>
    <n v="5.38894905441188E-4"/>
    <n v="38579.24"/>
    <n v="3.0975817111441787E-4"/>
    <n v="50058.176510999998"/>
    <n v="5.38894905441188E-4"/>
    <n v="38579.24"/>
    <n v="3.0975817111441787E-4"/>
    <n v="0"/>
    <n v="0"/>
    <n v="0"/>
    <n v="0"/>
    <m/>
    <n v="2"/>
    <s v="No"/>
    <m/>
  </r>
  <r>
    <s v="NORFOLK"/>
    <x v="200"/>
    <s v="No"/>
    <n v="93.982140000000001"/>
    <n v="1.0117527240995529E-6"/>
    <n v="0"/>
    <n v="0"/>
    <n v="93.982140000000001"/>
    <n v="1.0117527240995529E-6"/>
    <n v="0"/>
    <n v="0"/>
    <n v="0"/>
    <n v="0"/>
    <n v="0"/>
    <n v="0"/>
    <m/>
    <n v="3"/>
    <s v="No"/>
    <m/>
  </r>
  <r>
    <s v="NORFOLK"/>
    <x v="73"/>
    <s v="No"/>
    <n v="44512.114038"/>
    <n v="4.7918947827083362E-4"/>
    <n v="32776.32"/>
    <n v="2.6316570619485812E-4"/>
    <n v="34062.225498"/>
    <n v="3.6669253792789505E-4"/>
    <n v="32266.32"/>
    <n v="2.590708441066378E-4"/>
    <n v="10449.88854"/>
    <n v="1.1249694034293854E-4"/>
    <n v="510"/>
    <n v="4.0948620882203261E-6"/>
    <m/>
    <n v="1"/>
    <s v="No"/>
    <m/>
  </r>
  <r>
    <s v="NORTH CANAAN"/>
    <x v="72"/>
    <s v="No"/>
    <n v="90858.437481000001"/>
    <n v="9.7812490361286371E-4"/>
    <n v="145585.47500000001"/>
    <n v="1.1689263572020551E-3"/>
    <n v="62576.405807999996"/>
    <n v="6.7365830402034974E-4"/>
    <n v="142499.51500000001"/>
    <n v="1.1441487481633015E-3"/>
    <n v="28282.031672999998"/>
    <n v="3.0446659959251386E-4"/>
    <n v="3085.96"/>
    <n v="2.4777609038753722E-5"/>
    <m/>
    <n v="1"/>
    <s v="No"/>
    <m/>
  </r>
  <r>
    <s v="NORTH STONINGTON"/>
    <x v="425"/>
    <s v="No"/>
    <n v="126532.449435"/>
    <n v="1.362168922763944E-3"/>
    <n v="192382.39249999999"/>
    <n v="1.544665422528181E-3"/>
    <n v="94269.947625000001"/>
    <n v="1.0148510803256439E-3"/>
    <n v="189927.5925"/>
    <n v="1.5249554863435474E-3"/>
    <n v="32262.501810000002"/>
    <n v="3.4731784243830004E-4"/>
    <n v="2454.8000000000002"/>
    <n v="1.9709936184633837E-5"/>
    <m/>
    <n v="3"/>
    <s v="No"/>
    <m/>
  </r>
  <r>
    <s v="NORTH STONINGTON"/>
    <x v="426"/>
    <s v="No"/>
    <n v="185.66037"/>
    <n v="1.998702999365953E-6"/>
    <n v="0"/>
    <n v="0"/>
    <n v="185.66037"/>
    <n v="1.998702999365953E-6"/>
    <n v="0"/>
    <n v="0"/>
    <n v="0"/>
    <n v="0"/>
    <n v="0"/>
    <n v="0"/>
    <m/>
    <n v="2"/>
    <s v="No"/>
    <m/>
  </r>
  <r>
    <s v="NORWALK"/>
    <x v="394"/>
    <s v="No"/>
    <n v="648.99743999999998"/>
    <n v="6.9866990457297106E-6"/>
    <n v="454"/>
    <n v="3.6452301726510355E-6"/>
    <n v="648.99743999999998"/>
    <n v="6.9866990457297106E-6"/>
    <n v="454"/>
    <n v="3.6452301726510355E-6"/>
    <n v="0"/>
    <n v="0"/>
    <n v="0"/>
    <n v="0"/>
    <m/>
    <n v="3"/>
    <s v="No"/>
    <m/>
  </r>
  <r>
    <s v="NORWALK"/>
    <x v="395"/>
    <s v="No"/>
    <n v="1367.5710300000001"/>
    <n v="1.4722411247521404E-5"/>
    <n v="0"/>
    <n v="0"/>
    <n v="1367.5710300000001"/>
    <n v="1.4722411247521404E-5"/>
    <n v="0"/>
    <n v="0"/>
    <n v="0"/>
    <n v="0"/>
    <n v="0"/>
    <n v="0"/>
    <m/>
    <n v="2"/>
    <s v="No"/>
    <m/>
  </r>
  <r>
    <s v="NORWALK"/>
    <x v="427"/>
    <s v="No"/>
    <n v="49986.95478"/>
    <n v="5.3812817699305587E-4"/>
    <n v="47346.81"/>
    <n v="3.8015422993562941E-4"/>
    <n v="49986.95478"/>
    <n v="5.3812817699305587E-4"/>
    <n v="47346.81"/>
    <n v="3.8015422993562941E-4"/>
    <n v="0"/>
    <n v="0"/>
    <n v="0"/>
    <n v="0"/>
    <m/>
    <n v="1"/>
    <s v="No"/>
    <m/>
  </r>
  <r>
    <s v="NORWALK"/>
    <x v="428"/>
    <s v="No"/>
    <n v="48363.922151999999"/>
    <n v="5.2065562654164611E-4"/>
    <n v="19823.990000000002"/>
    <n v="1.5916961782011543E-4"/>
    <n v="48363.922151999999"/>
    <n v="5.2065562654164611E-4"/>
    <n v="19823.990000000002"/>
    <n v="1.5916961782011543E-4"/>
    <n v="0"/>
    <n v="0"/>
    <n v="0"/>
    <n v="0"/>
    <m/>
    <n v="3"/>
    <s v="No"/>
    <m/>
  </r>
  <r>
    <s v="NORWALK"/>
    <x v="429"/>
    <s v="No"/>
    <n v="48698.349419999999"/>
    <n v="5.2425586057985992E-4"/>
    <n v="22563.360000000001"/>
    <n v="1.8116440675856269E-4"/>
    <n v="48698.349419999999"/>
    <n v="5.2425586057985992E-4"/>
    <n v="22563.360000000001"/>
    <n v="1.8116440675856269E-4"/>
    <n v="0"/>
    <n v="0"/>
    <n v="0"/>
    <n v="0"/>
    <m/>
    <n v="4"/>
    <s v="No"/>
    <m/>
  </r>
  <r>
    <s v="NORWALK"/>
    <x v="430"/>
    <s v="No"/>
    <n v="67569.142032000003"/>
    <n v="7.2740696813187685E-4"/>
    <n v="55463.35"/>
    <n v="4.4532307686410749E-4"/>
    <n v="67569.142032000003"/>
    <n v="7.2740696813187685E-4"/>
    <n v="55463.35"/>
    <n v="4.4532307686410749E-4"/>
    <n v="0"/>
    <n v="0"/>
    <n v="0"/>
    <n v="0"/>
    <m/>
    <n v="3"/>
    <s v="No"/>
    <m/>
  </r>
  <r>
    <s v="NORWALK"/>
    <x v="431"/>
    <s v="No"/>
    <n v="22361.423469000001"/>
    <n v="2.4072904819473595E-4"/>
    <n v="13098.59"/>
    <n v="1.0517043058851349E-4"/>
    <n v="22361.423469000001"/>
    <n v="2.4072904819473595E-4"/>
    <n v="13098.59"/>
    <n v="1.0517043058851349E-4"/>
    <n v="0"/>
    <n v="0"/>
    <n v="0"/>
    <n v="0"/>
    <m/>
    <n v="1"/>
    <s v="No"/>
    <m/>
  </r>
  <r>
    <s v="NORWALK"/>
    <x v="432"/>
    <s v="No"/>
    <n v="37380.07518"/>
    <n v="4.024104248999978E-4"/>
    <n v="21765.39"/>
    <n v="1.7475739283594077E-4"/>
    <n v="37380.07518"/>
    <n v="4.024104248999978E-4"/>
    <n v="21765.39"/>
    <n v="1.7475739283594077E-4"/>
    <n v="0"/>
    <n v="0"/>
    <n v="0"/>
    <n v="0"/>
    <m/>
    <n v="3"/>
    <s v="No"/>
    <m/>
  </r>
  <r>
    <s v="NORWALK"/>
    <x v="433"/>
    <s v="No"/>
    <n v="61237.018794000003"/>
    <n v="6.592393041972125E-4"/>
    <n v="24795.599999999999"/>
    <n v="1.9908737724446258E-4"/>
    <n v="61237.018794000003"/>
    <n v="6.592393041972125E-4"/>
    <n v="24795.599999999999"/>
    <n v="1.9908737724446258E-4"/>
    <n v="0"/>
    <n v="0"/>
    <n v="0"/>
    <n v="0"/>
    <m/>
    <n v="5"/>
    <s v="No"/>
    <m/>
  </r>
  <r>
    <s v="NORWALK"/>
    <x v="434"/>
    <s v="No"/>
    <n v="790725.73356000008"/>
    <n v="8.5124568874995529E-3"/>
    <n v="1082194.51"/>
    <n v="8.6890926883905345E-3"/>
    <n v="407754.74231100001"/>
    <n v="4.3896315969998703E-3"/>
    <n v="839355.39"/>
    <n v="6.7393030687340908E-3"/>
    <n v="382970.99124900001"/>
    <n v="4.1228252904996817E-3"/>
    <n v="242839.12"/>
    <n v="1.9497896196564437E-3"/>
    <m/>
    <n v="3"/>
    <s v="No"/>
    <m/>
  </r>
  <r>
    <s v="NORWALK"/>
    <x v="435"/>
    <s v="No"/>
    <n v="35963.052678"/>
    <n v="3.8715565014695578E-4"/>
    <n v="35917.040000000001"/>
    <n v="2.8838299101390782E-4"/>
    <n v="35963.052678"/>
    <n v="3.8715565014695578E-4"/>
    <n v="35917.040000000001"/>
    <n v="2.8838299101390782E-4"/>
    <n v="0"/>
    <n v="0"/>
    <n v="0"/>
    <n v="0"/>
    <m/>
    <n v="4"/>
    <s v="No"/>
    <m/>
  </r>
  <r>
    <s v="NORWALK"/>
    <x v="436"/>
    <s v="No"/>
    <n v="37069.379633999997"/>
    <n v="3.990656716837899E-4"/>
    <n v="19184.939999999999"/>
    <n v="1.5403859504074834E-4"/>
    <n v="37069.379633999997"/>
    <n v="3.990656716837899E-4"/>
    <n v="19184.939999999999"/>
    <n v="1.5403859504074834E-4"/>
    <n v="0"/>
    <n v="0"/>
    <n v="0"/>
    <n v="0"/>
    <m/>
    <n v="5"/>
    <s v="No"/>
    <m/>
  </r>
  <r>
    <s v="NORWALK"/>
    <x v="437"/>
    <s v="No"/>
    <n v="26598.92109"/>
    <n v="2.8634728759013731E-4"/>
    <n v="34097.82"/>
    <n v="2.7377621648815844E-4"/>
    <n v="26598.92109"/>
    <n v="2.8634728759013731E-4"/>
    <n v="34097.82"/>
    <n v="2.7377621648815844E-4"/>
    <n v="0"/>
    <n v="0"/>
    <n v="0"/>
    <n v="0"/>
    <m/>
    <n v="1"/>
    <s v="No"/>
    <m/>
  </r>
  <r>
    <s v="NORWALK"/>
    <x v="438"/>
    <s v="No"/>
    <n v="30816.62199"/>
    <n v="3.3175240791419178E-4"/>
    <n v="27502.42"/>
    <n v="2.2082081763198519E-4"/>
    <n v="30816.62199"/>
    <n v="3.3175240791419178E-4"/>
    <n v="27502.42"/>
    <n v="2.2082081763198519E-4"/>
    <n v="0"/>
    <n v="0"/>
    <n v="0"/>
    <n v="0"/>
    <m/>
    <n v="4"/>
    <s v="No"/>
    <m/>
  </r>
  <r>
    <s v="NORWALK"/>
    <x v="439"/>
    <s v="No"/>
    <n v="23978.845086000001"/>
    <n v="2.5814119402390364E-4"/>
    <n v="12341.02"/>
    <n v="9.9087793976409435E-5"/>
    <n v="23978.845086000001"/>
    <n v="2.5814119402390364E-4"/>
    <n v="12341.02"/>
    <n v="9.9087793976409435E-5"/>
    <n v="0"/>
    <n v="0"/>
    <n v="0"/>
    <n v="0"/>
    <m/>
    <n v="4"/>
    <s v="No"/>
    <m/>
  </r>
  <r>
    <s v="NORWALK"/>
    <x v="440"/>
    <s v="No"/>
    <n v="64265.555339999999"/>
    <n v="6.9184262755684809E-4"/>
    <n v="23954.17"/>
    <n v="1.923314168387935E-4"/>
    <n v="64265.555339999999"/>
    <n v="6.9184262755684809E-4"/>
    <n v="23954.17"/>
    <n v="1.923314168387935E-4"/>
    <n v="0"/>
    <n v="0"/>
    <n v="0"/>
    <n v="0"/>
    <m/>
    <n v="4"/>
    <s v="No"/>
    <m/>
  </r>
  <r>
    <s v="NORWALK"/>
    <x v="441"/>
    <s v="No"/>
    <n v="52499.392302"/>
    <n v="5.6517550222967463E-4"/>
    <n v="40667.61"/>
    <n v="3.2652598903437218E-4"/>
    <n v="52499.392302"/>
    <n v="5.6517550222967463E-4"/>
    <n v="40667.61"/>
    <n v="3.2652598903437218E-4"/>
    <n v="0"/>
    <n v="0"/>
    <n v="0"/>
    <n v="0"/>
    <m/>
    <n v="5"/>
    <s v="No"/>
    <m/>
  </r>
  <r>
    <s v="NORWALK"/>
    <x v="442"/>
    <s v="No"/>
    <n v="5511.7110300000004"/>
    <n v="5.9335621098349665E-5"/>
    <n v="164994.15"/>
    <n v="1.3247613521826229E-3"/>
    <n v="5511.7110300000004"/>
    <n v="5.9335621098349665E-5"/>
    <n v="164994.15"/>
    <n v="1.3247613521826229E-3"/>
    <n v="0"/>
    <n v="0"/>
    <n v="0"/>
    <n v="0"/>
    <m/>
    <n v="4"/>
    <s v="No"/>
    <m/>
  </r>
  <r>
    <s v="NORWALK"/>
    <x v="443"/>
    <s v="No"/>
    <n v="931.11291000000006"/>
    <n v="1.0023777104211095E-5"/>
    <n v="102.16"/>
    <n v="8.2025708025997745E-7"/>
    <n v="931.11291000000006"/>
    <n v="1.0023777104211095E-5"/>
    <n v="102.16"/>
    <n v="8.2025708025997745E-7"/>
    <n v="0"/>
    <n v="0"/>
    <n v="0"/>
    <n v="0"/>
    <m/>
    <n v="4"/>
    <s v="No"/>
    <m/>
  </r>
  <r>
    <s v="NORWALK"/>
    <x v="444"/>
    <s v="No"/>
    <n v="2718.0535199999999"/>
    <n v="2.9260858000343236E-5"/>
    <n v="0"/>
    <n v="0"/>
    <n v="2718.0535199999999"/>
    <n v="2.9260858000343236E-5"/>
    <n v="0"/>
    <n v="0"/>
    <n v="0"/>
    <n v="0"/>
    <n v="0"/>
    <n v="0"/>
    <m/>
    <n v="3"/>
    <s v="No"/>
    <m/>
  </r>
  <r>
    <s v="NORWALK"/>
    <x v="445"/>
    <s v="No"/>
    <n v="7686.9691499999999"/>
    <n v="8.27530845496998E-5"/>
    <n v="1735.61"/>
    <n v="1.3935458017521724E-5"/>
    <n v="7686.9691499999999"/>
    <n v="8.27530845496998E-5"/>
    <n v="1735.61"/>
    <n v="1.3935458017521724E-5"/>
    <n v="0"/>
    <n v="0"/>
    <n v="0"/>
    <n v="0"/>
    <m/>
    <n v="2"/>
    <s v="No"/>
    <m/>
  </r>
  <r>
    <s v="NORWALK"/>
    <x v="446"/>
    <s v="No"/>
    <n v="12912.217710000001"/>
    <n v="1.3900483051629799E-4"/>
    <n v="384.42"/>
    <n v="3.086562517556192E-6"/>
    <n v="12912.217710000001"/>
    <n v="1.3900483051629799E-4"/>
    <n v="384.42"/>
    <n v="3.086562517556192E-6"/>
    <n v="0"/>
    <n v="0"/>
    <n v="0"/>
    <n v="0"/>
    <m/>
    <n v="3"/>
    <s v="No"/>
    <m/>
  </r>
  <r>
    <s v="NORWALK"/>
    <x v="447"/>
    <s v="No"/>
    <n v="66609.119640000004"/>
    <n v="7.1707196969172037E-4"/>
    <n v="26423.49"/>
    <n v="2.1215793615582138E-4"/>
    <n v="66609.119640000004"/>
    <n v="7.1707196969172037E-4"/>
    <n v="26423.49"/>
    <n v="2.1215793615582138E-4"/>
    <n v="0"/>
    <n v="0"/>
    <n v="0"/>
    <n v="0"/>
    <m/>
    <n v="1"/>
    <s v="No"/>
    <m/>
  </r>
  <r>
    <s v="NORWALK"/>
    <x v="448"/>
    <s v="No"/>
    <n v="140.07"/>
    <n v="1.507905694258764E-6"/>
    <n v="1569.51"/>
    <n v="1.2601817639377811E-5"/>
    <n v="140.07"/>
    <n v="1.507905694258764E-6"/>
    <n v="1569.51"/>
    <n v="1.2601817639377811E-5"/>
    <n v="0"/>
    <n v="0"/>
    <n v="0"/>
    <n v="0"/>
    <m/>
    <n v="4"/>
    <s v="No"/>
    <m/>
  </r>
  <r>
    <s v="NORWALK"/>
    <x v="449"/>
    <s v="No"/>
    <n v="1766.5000500000001"/>
    <n v="1.9017030658266522E-5"/>
    <n v="1185.68"/>
    <n v="9.5199923152177972E-6"/>
    <n v="1766.5000500000001"/>
    <n v="1.9017030658266522E-5"/>
    <n v="1185.68"/>
    <n v="9.5199923152177972E-6"/>
    <n v="0"/>
    <n v="0"/>
    <n v="0"/>
    <n v="0"/>
    <m/>
    <n v="4"/>
    <s v="No"/>
    <m/>
  </r>
  <r>
    <s v="OLD LYME"/>
    <x v="297"/>
    <s v="No"/>
    <n v="2200.2243899999999"/>
    <n v="2.3686234642164741E-5"/>
    <n v="2095.67"/>
    <n v="1.6826430651805277E-5"/>
    <n v="2193.3319799999999"/>
    <n v="2.3612035282657594E-5"/>
    <n v="2095.67"/>
    <n v="1.6826430651805277E-5"/>
    <n v="6.8924099999999999"/>
    <n v="7.419935950714677E-8"/>
    <n v="0"/>
    <n v="0"/>
    <m/>
    <n v="1"/>
    <s v="No"/>
    <m/>
  </r>
  <r>
    <s v="OLD LYME"/>
    <x v="450"/>
    <s v="No"/>
    <n v="169714.71715800001"/>
    <n v="1.8270421103881186E-3"/>
    <n v="327026.23499999999"/>
    <n v="2.6257398657939823E-3"/>
    <n v="128876.033538"/>
    <n v="1.3873984780854833E-3"/>
    <n v="324657.59499999997"/>
    <n v="2.6067217204280174E-3"/>
    <n v="40838.683620000003"/>
    <n v="4.3964363230263525E-4"/>
    <n v="2368.64"/>
    <n v="1.9018145365965084E-5"/>
    <m/>
    <n v="2"/>
    <s v="No"/>
    <m/>
  </r>
  <r>
    <s v="OLD LYME"/>
    <x v="451"/>
    <s v="No"/>
    <n v="68340.617645999999"/>
    <n v="7.35712190316016E-4"/>
    <n v="140152.995"/>
    <n v="1.1253082074039861E-3"/>
    <n v="68340.617645999999"/>
    <n v="7.35712190316016E-4"/>
    <n v="140152.995"/>
    <n v="1.1253082074039861E-3"/>
    <n v="0"/>
    <n v="0"/>
    <n v="0"/>
    <n v="0"/>
    <m/>
    <n v="1"/>
    <s v="No"/>
    <m/>
  </r>
  <r>
    <s v="OLD SAYBROOK"/>
    <x v="183"/>
    <s v="No"/>
    <n v="72743.177135999998"/>
    <n v="7.8310738217925559E-4"/>
    <n v="85663.29"/>
    <n v="6.8780266386906535E-4"/>
    <n v="72743.177135999998"/>
    <n v="7.8310738217925559E-4"/>
    <n v="85663.29"/>
    <n v="6.8780266386906535E-4"/>
    <n v="0"/>
    <n v="0"/>
    <n v="0"/>
    <n v="0"/>
    <m/>
    <n v="2"/>
    <s v="No"/>
    <m/>
  </r>
  <r>
    <s v="OLD SAYBROOK"/>
    <x v="452"/>
    <s v="No"/>
    <n v="288477.86139899999"/>
    <n v="3.1055715704372284E-3"/>
    <n v="353029.97249999997"/>
    <n v="2.834527549795518E-3"/>
    <n v="165478.35651899999"/>
    <n v="1.7814361110272147E-3"/>
    <n v="309457.03249999997"/>
    <n v="2.4846742555243435E-3"/>
    <n v="122999.50488000001"/>
    <n v="1.3241354594100139E-3"/>
    <n v="43572.94"/>
    <n v="3.498532942711745E-4"/>
    <m/>
    <n v="1"/>
    <s v="No"/>
    <m/>
  </r>
  <r>
    <s v="OXFORD"/>
    <x v="340"/>
    <s v="No"/>
    <n v="379.04390999999998"/>
    <n v="4.0805487989084491E-6"/>
    <n v="0"/>
    <n v="0"/>
    <n v="379.04390999999998"/>
    <n v="4.0805487989084491E-6"/>
    <n v="0"/>
    <n v="0"/>
    <n v="0"/>
    <n v="0"/>
    <n v="0"/>
    <n v="0"/>
    <m/>
    <n v="3"/>
    <s v="No"/>
    <m/>
  </r>
  <r>
    <s v="OXFORD"/>
    <x v="453"/>
    <s v="No"/>
    <n v="214189.401594"/>
    <n v="2.3058286450593972E-3"/>
    <n v="263859.86"/>
    <n v="2.1185681123865154E-3"/>
    <n v="150811.170384"/>
    <n v="1.6235383920886861E-3"/>
    <n v="218372.89"/>
    <n v="1.7533468006982501E-3"/>
    <n v="63378.231209999998"/>
    <n v="6.8229025297071111E-4"/>
    <n v="45486.97"/>
    <n v="3.6522131168826536E-4"/>
    <m/>
    <n v="1"/>
    <s v="No"/>
    <m/>
  </r>
  <r>
    <s v="OXFORD"/>
    <x v="368"/>
    <s v="No"/>
    <n v="78888.896184000012"/>
    <n v="8.4926833561535021E-4"/>
    <n v="127516.02"/>
    <n v="1.0238441488994998E-3"/>
    <n v="78888.896184000012"/>
    <n v="8.4926833561535021E-4"/>
    <n v="127516.02"/>
    <n v="1.0238441488994998E-3"/>
    <n v="0"/>
    <n v="0"/>
    <n v="0"/>
    <n v="0"/>
    <m/>
    <n v="2"/>
    <s v="No"/>
    <m/>
  </r>
  <r>
    <s v="PLAINFIELD"/>
    <x v="220"/>
    <s v="No"/>
    <n v="223.51308"/>
    <n v="2.4062015140523641E-6"/>
    <n v="45508.805"/>
    <n v="3.653966279896306E-4"/>
    <n v="223.51308"/>
    <n v="2.4062015140523641E-6"/>
    <n v="45508.805"/>
    <n v="3.653966279896306E-4"/>
    <n v="0"/>
    <n v="0"/>
    <n v="0"/>
    <n v="0"/>
    <m/>
    <n v="3"/>
    <s v="No"/>
    <m/>
  </r>
  <r>
    <s v="PLAINFIELD"/>
    <x v="75"/>
    <s v="No"/>
    <n v="148.76400000000001"/>
    <n v="1.6014998407989633E-6"/>
    <n v="0"/>
    <n v="0"/>
    <n v="148.76400000000001"/>
    <n v="1.6014998407989633E-6"/>
    <n v="0"/>
    <n v="0"/>
    <n v="0"/>
    <n v="0"/>
    <n v="0"/>
    <n v="0"/>
    <m/>
    <n v="1"/>
    <s v="No"/>
    <m/>
  </r>
  <r>
    <s v="PLAINFIELD"/>
    <x v="285"/>
    <s v="No"/>
    <n v="182464.03152600001"/>
    <n v="1.9642932257832942E-3"/>
    <n v="328050.31"/>
    <n v="2.6339623087214222E-3"/>
    <n v="118125.439341"/>
    <n v="1.2716643294003863E-3"/>
    <n v="178747.58"/>
    <n v="1.4351895856924114E-3"/>
    <n v="64338.592185000001"/>
    <n v="6.9262889638290793E-4"/>
    <n v="149302.73000000001"/>
    <n v="1.1987727230290109E-3"/>
    <m/>
    <n v="4"/>
    <s v="No"/>
    <m/>
  </r>
  <r>
    <s v="PLAINFIELD"/>
    <x v="286"/>
    <s v="No"/>
    <n v="54276.186047999996"/>
    <n v="5.8430334835744466E-4"/>
    <n v="85040.21"/>
    <n v="6.8279986647704917E-4"/>
    <n v="54276.186047999996"/>
    <n v="5.8430334835744466E-4"/>
    <n v="85040.21"/>
    <n v="6.8279986647704917E-4"/>
    <n v="0"/>
    <n v="0"/>
    <n v="0"/>
    <n v="0"/>
    <m/>
    <n v="3"/>
    <s v="No"/>
    <m/>
  </r>
  <r>
    <s v="PLAINFIELD"/>
    <x v="454"/>
    <s v="No"/>
    <n v="60815.317773000002"/>
    <n v="6.5469953571830458E-4"/>
    <n v="69144.09"/>
    <n v="5.5516767208920424E-4"/>
    <n v="60815.317773000002"/>
    <n v="6.5469953571830458E-4"/>
    <n v="69144.09"/>
    <n v="5.5516767208920424E-4"/>
    <n v="0"/>
    <n v="0"/>
    <n v="0"/>
    <n v="0"/>
    <m/>
    <n v="5"/>
    <s v="No"/>
    <m/>
  </r>
  <r>
    <s v="PLAINVILLE"/>
    <x v="52"/>
    <s v="No"/>
    <n v="662.36688000000004"/>
    <n v="7.1306260444093058E-6"/>
    <n v="0"/>
    <n v="0"/>
    <n v="662.36688000000004"/>
    <n v="7.1306260444093058E-6"/>
    <n v="0"/>
    <n v="0"/>
    <n v="0"/>
    <n v="0"/>
    <n v="0"/>
    <n v="0"/>
    <m/>
    <n v="4"/>
    <s v="No"/>
    <m/>
  </r>
  <r>
    <s v="PLAINVILLE"/>
    <x v="455"/>
    <s v="No"/>
    <n v="35687.456258999999"/>
    <n v="3.8418875209935506E-4"/>
    <n v="40212.58"/>
    <n v="3.2287248884613125E-4"/>
    <n v="35687.456258999999"/>
    <n v="3.8418875209935506E-4"/>
    <n v="40212.58"/>
    <n v="3.2287248884613125E-4"/>
    <n v="0"/>
    <n v="0"/>
    <n v="0"/>
    <n v="0"/>
    <m/>
    <n v="4"/>
    <s v="No"/>
    <m/>
  </r>
  <r>
    <s v="PLAINVILLE"/>
    <x v="63"/>
    <s v="No"/>
    <n v="56414.140145999998"/>
    <n v="6.0731922012469011E-4"/>
    <n v="124645.66"/>
    <n v="1.0007976227356878E-3"/>
    <n v="56413.975925999999"/>
    <n v="6.0731745223525544E-4"/>
    <n v="124645.66"/>
    <n v="1.0007976227356878E-3"/>
    <n v="0.16422"/>
    <n v="1.7678894346482061E-9"/>
    <n v="0"/>
    <n v="0"/>
    <m/>
    <n v="4"/>
    <s v="No"/>
    <m/>
  </r>
  <r>
    <s v="PLAINVILLE"/>
    <x v="184"/>
    <s v="No"/>
    <n v="276486.33828899998"/>
    <n v="2.9764783600395375E-3"/>
    <n v="325326.125"/>
    <n v="2.6120894422943662E-3"/>
    <n v="149006.447163"/>
    <n v="1.6041098747651558E-3"/>
    <n v="275245.35499999998"/>
    <n v="2.20998386107499E-3"/>
    <n v="127479.891126"/>
    <n v="1.372368485274382E-3"/>
    <n v="50080.77"/>
    <n v="4.0210558121937616E-4"/>
    <m/>
    <n v="3"/>
    <s v="No"/>
    <m/>
  </r>
  <r>
    <s v="PLAINVILLE"/>
    <x v="456"/>
    <s v="No"/>
    <n v="40227.401234999998"/>
    <n v="4.3306294986427166E-4"/>
    <n v="42437.39"/>
    <n v="3.4073580281180466E-4"/>
    <n v="40227.401234999998"/>
    <n v="4.3306294986427166E-4"/>
    <n v="42437.39"/>
    <n v="3.4073580281180466E-4"/>
    <n v="0"/>
    <n v="0"/>
    <n v="0"/>
    <n v="0"/>
    <m/>
    <n v="1"/>
    <s v="No"/>
    <m/>
  </r>
  <r>
    <s v="PLYMOUTH"/>
    <x v="277"/>
    <s v="No"/>
    <n v="63.59178"/>
    <n v="6.8458918519347887E-7"/>
    <n v="17038.25"/>
    <n v="1.3680251759729407E-4"/>
    <n v="63.59178"/>
    <n v="6.8458918519347887E-7"/>
    <n v="17038.25"/>
    <n v="1.3680251759729407E-4"/>
    <n v="0"/>
    <n v="0"/>
    <n v="0"/>
    <n v="0"/>
    <m/>
    <n v="1"/>
    <s v="No"/>
    <m/>
  </r>
  <r>
    <s v="PLYMOUTH"/>
    <x v="278"/>
    <s v="No"/>
    <n v="161307.43803299998"/>
    <n v="1.7365346208056927E-3"/>
    <n v="188385.17"/>
    <n v="1.5125711580704728E-3"/>
    <n v="108070.297041"/>
    <n v="1.1634169792843574E-3"/>
    <n v="124211.66"/>
    <n v="9.9731297539002589E-4"/>
    <n v="53237.140992000001"/>
    <n v="5.7311764152133556E-4"/>
    <n v="64173.51"/>
    <n v="5.1525818268044704E-4"/>
    <m/>
    <n v="1"/>
    <s v="No"/>
    <m/>
  </r>
  <r>
    <s v="PLYMOUTH"/>
    <x v="65"/>
    <s v="No"/>
    <n v="61133.092167000003"/>
    <n v="6.5812049536849535E-4"/>
    <n v="43027.99"/>
    <n v="3.4547781369279079E-4"/>
    <n v="61133.092167000003"/>
    <n v="6.5812049536849535E-4"/>
    <n v="43027.99"/>
    <n v="3.4547781369279079E-4"/>
    <n v="0"/>
    <n v="0"/>
    <n v="0"/>
    <n v="0"/>
    <m/>
    <n v="2"/>
    <s v="No"/>
    <m/>
  </r>
  <r>
    <s v="PLYMOUTH"/>
    <x v="457"/>
    <s v="No"/>
    <n v="33257.810250000002"/>
    <n v="3.5803270832121433E-4"/>
    <n v="14886.14"/>
    <n v="1.1952292220772574E-4"/>
    <n v="33257.810250000002"/>
    <n v="3.5803270832121433E-4"/>
    <n v="14886.14"/>
    <n v="1.1952292220772574E-4"/>
    <n v="0"/>
    <n v="0"/>
    <n v="0"/>
    <n v="0"/>
    <m/>
    <n v="3"/>
    <s v="No"/>
    <m/>
  </r>
  <r>
    <s v="POMFRET"/>
    <x v="458"/>
    <s v="No"/>
    <n v="95.189639999999997"/>
    <n v="1.0247519111190249E-6"/>
    <n v="11144.51"/>
    <n v="8.9480846060377076E-5"/>
    <n v="95.189639999999997"/>
    <n v="1.0247519111190249E-6"/>
    <n v="11144.51"/>
    <n v="8.9480846060377076E-5"/>
    <n v="0"/>
    <n v="0"/>
    <n v="0"/>
    <n v="0"/>
    <m/>
    <n v="1"/>
    <s v="No"/>
    <m/>
  </r>
  <r>
    <s v="POMFRET"/>
    <x v="459"/>
    <s v="No"/>
    <n v="87551.258235000001"/>
    <n v="9.425218878566146E-4"/>
    <n v="109095.565"/>
    <n v="8.759437119832869E-4"/>
    <n v="67551.353625000003"/>
    <n v="7.2721546930838081E-4"/>
    <n v="48692.565000000002"/>
    <n v="3.909594870523607E-4"/>
    <n v="19999.904610000001"/>
    <n v="2.1530641854823379E-4"/>
    <n v="60403"/>
    <n v="4.849842249309262E-4"/>
    <m/>
    <n v="2"/>
    <s v="No"/>
    <m/>
  </r>
  <r>
    <s v="POMFRET"/>
    <x v="70"/>
    <s v="No"/>
    <n v="500.39766000000003"/>
    <n v="5.3869670943653962E-6"/>
    <n v="0"/>
    <n v="0"/>
    <n v="500.39766000000003"/>
    <n v="5.3869670943653962E-6"/>
    <n v="0"/>
    <n v="0"/>
    <n v="0"/>
    <n v="0"/>
    <n v="0"/>
    <n v="0"/>
    <m/>
    <n v="4"/>
    <s v="No"/>
    <m/>
  </r>
  <r>
    <s v="PORTLAND"/>
    <x v="199"/>
    <s v="No"/>
    <n v="71395.951515000008"/>
    <n v="7.6860399683366279E-4"/>
    <n v="80971.360000000001"/>
    <n v="6.5013049469733286E-4"/>
    <n v="71395.951515000008"/>
    <n v="7.6860399683366279E-4"/>
    <n v="80971.360000000001"/>
    <n v="6.5013049469733286E-4"/>
    <n v="0"/>
    <n v="0"/>
    <n v="0"/>
    <n v="0"/>
    <m/>
    <n v="1"/>
    <s v="No"/>
    <m/>
  </r>
  <r>
    <s v="PORTLAND"/>
    <x v="460"/>
    <s v="Yes"/>
    <n v="138603.56852999999"/>
    <n v="1.4921190135715843E-3"/>
    <n v="281638.04499999998"/>
    <n v="2.2613116726882157E-3"/>
    <n v="84395.686409999995"/>
    <n v="9.0855098242675794E-4"/>
    <n v="167508.58499999999"/>
    <n v="1.3449501062116312E-3"/>
    <n v="54207.882120000002"/>
    <n v="5.8356803114482643E-4"/>
    <n v="114129.46"/>
    <n v="9.1636156647658469E-4"/>
    <m/>
    <n v="1"/>
    <s v="No"/>
    <m/>
  </r>
  <r>
    <s v="PRESTON"/>
    <x v="461"/>
    <s v="No"/>
    <n v="109280.15504699999"/>
    <n v="1.1764415511162413E-3"/>
    <n v="86808.464999999997"/>
    <n v="6.9699743581392367E-4"/>
    <n v="90254.142656999989"/>
    <n v="9.7161944486994433E-4"/>
    <n v="80069.065000000002"/>
    <n v="6.4288584060342947E-4"/>
    <n v="19026.01239"/>
    <n v="2.0482210624629682E-4"/>
    <n v="6739.4"/>
    <n v="5.4111595210494245E-5"/>
    <m/>
    <n v="4"/>
    <s v="No"/>
    <m/>
  </r>
  <r>
    <s v="PRESTON"/>
    <x v="425"/>
    <s v="No"/>
    <n v="595.22505000000001"/>
    <n v="6.4078192493785785E-6"/>
    <n v="462.76"/>
    <n v="3.7155654508722316E-6"/>
    <n v="595.22505000000001"/>
    <n v="6.4078192493785785E-6"/>
    <n v="462.76"/>
    <n v="3.7155654508722316E-6"/>
    <n v="0"/>
    <n v="0"/>
    <n v="0"/>
    <n v="0"/>
    <m/>
    <n v="3"/>
    <s v="No"/>
    <m/>
  </r>
  <r>
    <s v="PROSPECT"/>
    <x v="87"/>
    <s v="No"/>
    <n v="155503.08068400002"/>
    <n v="1.6740485531390279E-3"/>
    <n v="253804.505"/>
    <n v="2.0378322457726005E-3"/>
    <n v="121821.162624"/>
    <n v="1.3114501663593382E-3"/>
    <n v="236724.505"/>
    <n v="1.9006945115239667E-3"/>
    <n v="33681.918060000004"/>
    <n v="3.6259838677968949E-4"/>
    <n v="17080"/>
    <n v="1.3713773424863367E-4"/>
    <m/>
    <n v="1"/>
    <s v="No"/>
    <m/>
  </r>
  <r>
    <s v="PROSPECT"/>
    <x v="369"/>
    <s v="No"/>
    <n v="41695.198145999995"/>
    <n v="4.4886433003213291E-4"/>
    <n v="57181"/>
    <n v="4.5911433150299307E-4"/>
    <n v="41695.198145999995"/>
    <n v="4.4886433003213291E-4"/>
    <n v="57181"/>
    <n v="4.5911433150299307E-4"/>
    <n v="0"/>
    <n v="0"/>
    <n v="0"/>
    <n v="0"/>
    <m/>
    <n v="2"/>
    <s v="No"/>
    <m/>
  </r>
  <r>
    <s v="PROSPECT"/>
    <x v="462"/>
    <s v="No"/>
    <n v="825.21033"/>
    <n v="8.8836964058553133E-6"/>
    <n v="1572.2"/>
    <n v="1.2623416029607837E-5"/>
    <n v="825.21033"/>
    <n v="8.8836964058553133E-6"/>
    <n v="1572.2"/>
    <n v="1.2623416029607837E-5"/>
    <n v="0"/>
    <n v="0"/>
    <n v="0"/>
    <n v="0"/>
    <m/>
    <n v="5"/>
    <s v="No"/>
    <m/>
  </r>
  <r>
    <s v="PUTNAM"/>
    <x v="458"/>
    <s v="No"/>
    <n v="99.396569999999997"/>
    <n v="1.0700410786948657E-6"/>
    <n v="0"/>
    <n v="0"/>
    <n v="99.396569999999997"/>
    <n v="1.0700410786948657E-6"/>
    <n v="0"/>
    <n v="0"/>
    <n v="0"/>
    <n v="0"/>
    <n v="0"/>
    <n v="0"/>
    <m/>
    <n v="1"/>
    <s v="No"/>
    <m/>
  </r>
  <r>
    <s v="PUTNAM"/>
    <x v="459"/>
    <s v="No"/>
    <n v="121.56723600000001"/>
    <n v="1.3087165517219891E-6"/>
    <n v="0"/>
    <n v="0"/>
    <n v="121.56723600000001"/>
    <n v="1.3087165517219891E-6"/>
    <n v="0"/>
    <n v="0"/>
    <n v="0"/>
    <n v="0"/>
    <n v="0"/>
    <n v="0"/>
    <m/>
    <n v="2"/>
    <s v="No"/>
    <m/>
  </r>
  <r>
    <s v="PUTNAM"/>
    <x v="463"/>
    <s v="No"/>
    <n v="188004.95149800001"/>
    <n v="2.0239432920159703E-3"/>
    <n v="155918.16"/>
    <n v="1.2518889455864137E-3"/>
    <n v="118068.95200800001"/>
    <n v="1.2710562222319408E-3"/>
    <n v="95700.07"/>
    <n v="7.6838938918241456E-4"/>
    <n v="69935.999490000002"/>
    <n v="7.5288706978402951E-4"/>
    <n v="60218.09"/>
    <n v="4.8349955640399907E-4"/>
    <m/>
    <n v="2"/>
    <s v="No"/>
    <m/>
  </r>
  <r>
    <s v="PUTNAM"/>
    <x v="464"/>
    <s v="No"/>
    <n v="25402.228214999999"/>
    <n v="2.7346444329448945E-4"/>
    <n v="16329.46"/>
    <n v="1.3111154250021624E-4"/>
    <n v="25402.228214999999"/>
    <n v="2.7346444329448945E-4"/>
    <n v="16329.46"/>
    <n v="1.3111154250021624E-4"/>
    <n v="0"/>
    <n v="0"/>
    <n v="0"/>
    <n v="0"/>
    <m/>
    <n v="3"/>
    <s v="No"/>
    <m/>
  </r>
  <r>
    <s v="REDDING"/>
    <x v="465"/>
    <s v="No"/>
    <n v="3507.4204199999999"/>
    <n v="3.7758686538712538E-5"/>
    <n v="16482.080000000002"/>
    <n v="1.3233695005296958E-4"/>
    <n v="3507.4204199999999"/>
    <n v="3.7758686538712538E-5"/>
    <n v="16482.080000000002"/>
    <n v="1.3233695005296958E-4"/>
    <n v="0"/>
    <n v="0"/>
    <n v="0"/>
    <n v="0"/>
    <m/>
    <n v="4"/>
    <s v="No"/>
    <m/>
  </r>
  <r>
    <s v="REDDING"/>
    <x v="125"/>
    <s v="No"/>
    <n v="60110.244515999999"/>
    <n v="6.4710915962706535E-4"/>
    <n v="45503"/>
    <n v="3.6535001882409703E-4"/>
    <n v="60110.244515999999"/>
    <n v="6.4710915962706535E-4"/>
    <n v="45503"/>
    <n v="3.6535001882409703E-4"/>
    <n v="0"/>
    <n v="0"/>
    <n v="0"/>
    <n v="0"/>
    <m/>
    <n v="1"/>
    <s v="No"/>
    <m/>
  </r>
  <r>
    <s v="REDDING"/>
    <x v="466"/>
    <s v="No"/>
    <n v="176305.02273299999"/>
    <n v="1.8979892032948635E-3"/>
    <n v="217180.245"/>
    <n v="1.7437708854135335E-3"/>
    <n v="149326.444323"/>
    <n v="1.607554763318812E-3"/>
    <n v="212190.125"/>
    <n v="1.7037045065828079E-3"/>
    <n v="26978.578410000002"/>
    <n v="2.9043443997605164E-4"/>
    <n v="4990.12"/>
    <n v="4.0066378830725516E-5"/>
    <m/>
    <n v="2"/>
    <s v="No"/>
    <m/>
  </r>
  <r>
    <s v="REDDING"/>
    <x v="126"/>
    <s v="No"/>
    <n v="203.28504000000001"/>
    <n v="2.1884391331021675E-6"/>
    <n v="0"/>
    <n v="0"/>
    <n v="203.28504000000001"/>
    <n v="2.1884391331021675E-6"/>
    <n v="0"/>
    <n v="0"/>
    <n v="0"/>
    <n v="0"/>
    <n v="0"/>
    <n v="0"/>
    <m/>
    <n v="3"/>
    <s v="No"/>
    <m/>
  </r>
  <r>
    <s v="RIDGEFIELD"/>
    <x v="25"/>
    <s v="No"/>
    <n v="217.91028"/>
    <n v="2.3458852862820137E-6"/>
    <n v="26.25"/>
    <n v="2.1076496042310501E-7"/>
    <n v="217.91028"/>
    <n v="2.3458852862820137E-6"/>
    <n v="26.25"/>
    <n v="2.1076496042310501E-7"/>
    <n v="0"/>
    <n v="0"/>
    <n v="0"/>
    <n v="0"/>
    <m/>
    <n v="4"/>
    <s v="No"/>
    <m/>
  </r>
  <r>
    <s v="RIDGEFIELD"/>
    <x v="125"/>
    <s v="No"/>
    <n v="368.51934"/>
    <n v="3.9672478848467301E-6"/>
    <n v="0"/>
    <n v="0"/>
    <n v="368.51934"/>
    <n v="3.9672478848467301E-6"/>
    <n v="0"/>
    <n v="0"/>
    <n v="0"/>
    <n v="0"/>
    <n v="0"/>
    <n v="0"/>
    <m/>
    <n v="1"/>
    <s v="No"/>
    <m/>
  </r>
  <r>
    <s v="RIDGEFIELD"/>
    <x v="467"/>
    <s v="No"/>
    <n v="33072.37689"/>
    <n v="3.5603644916900804E-4"/>
    <n v="41884.339999999997"/>
    <n v="3.362952861884904E-4"/>
    <n v="33072.37689"/>
    <n v="3.5603644916900804E-4"/>
    <n v="41884.339999999997"/>
    <n v="3.362952861884904E-4"/>
    <n v="0"/>
    <n v="0"/>
    <n v="0"/>
    <n v="0"/>
    <m/>
    <n v="1"/>
    <s v="No"/>
    <m/>
  </r>
  <r>
    <s v="RIDGEFIELD"/>
    <x v="126"/>
    <s v="No"/>
    <n v="363697.00617600005"/>
    <n v="3.9153336660073916E-3"/>
    <n v="463485.64749999996"/>
    <n v="3.7213917772196074E-3"/>
    <n v="234055.90112100003"/>
    <n v="2.5196989082260455E-3"/>
    <n v="383821.09749999997"/>
    <n v="3.0817538447291517E-3"/>
    <n v="129641.10505500001"/>
    <n v="1.3956347577813461E-3"/>
    <n v="79664.55"/>
    <n v="6.3963793249045603E-4"/>
    <m/>
    <n v="3"/>
    <s v="No"/>
    <m/>
  </r>
  <r>
    <s v="RIDGEFIELD"/>
    <x v="468"/>
    <s v="No"/>
    <n v="77014.340339999995"/>
    <n v="8.2908804410843453E-4"/>
    <n v="26086.63"/>
    <n v="2.0945323960084512E-4"/>
    <n v="77014.340339999995"/>
    <n v="8.2908804410843453E-4"/>
    <n v="26086.63"/>
    <n v="2.0945323960084512E-4"/>
    <n v="0"/>
    <n v="0"/>
    <n v="0"/>
    <n v="0"/>
    <m/>
    <n v="2"/>
    <s v="No"/>
    <m/>
  </r>
  <r>
    <s v="RIDGEFIELD"/>
    <x v="469"/>
    <s v="No"/>
    <n v="53062.085370000001"/>
    <n v="5.7123310258204939E-4"/>
    <n v="13607.26"/>
    <n v="1.0925461391873905E-4"/>
    <n v="53062.085370000001"/>
    <n v="5.7123310258204939E-4"/>
    <n v="13607.26"/>
    <n v="1.0925461391873905E-4"/>
    <n v="0"/>
    <n v="0"/>
    <n v="0"/>
    <n v="0"/>
    <m/>
    <n v="1"/>
    <s v="No"/>
    <m/>
  </r>
  <r>
    <s v="RIDGEFIELD"/>
    <x v="470"/>
    <s v="No"/>
    <n v="46970.230482000006"/>
    <n v="5.0565201688051954E-4"/>
    <n v="19536.689999999999"/>
    <n v="1.5686284551041796E-4"/>
    <n v="46970.230482000006"/>
    <n v="5.0565201688051954E-4"/>
    <n v="19536.689999999999"/>
    <n v="1.5686284551041796E-4"/>
    <n v="0"/>
    <n v="0"/>
    <n v="0"/>
    <n v="0"/>
    <m/>
    <n v="3"/>
    <s v="No"/>
    <m/>
  </r>
  <r>
    <s v="RIDGEFIELD"/>
    <x v="127"/>
    <s v="No"/>
    <n v="90802.915181999997"/>
    <n v="9.7752718539468393E-4"/>
    <n v="57749.06"/>
    <n v="4.6367536553796256E-4"/>
    <n v="90802.915181999997"/>
    <n v="9.7752718539468393E-4"/>
    <n v="57749.06"/>
    <n v="4.6367536553796256E-4"/>
    <n v="0"/>
    <n v="0"/>
    <n v="0"/>
    <n v="0"/>
    <m/>
    <n v="3"/>
    <s v="No"/>
    <m/>
  </r>
  <r>
    <s v="ROCKY HILL"/>
    <x v="471"/>
    <s v="No"/>
    <n v="46378.276790999997"/>
    <n v="4.9927941502861406E-4"/>
    <n v="72265.899999999994"/>
    <n v="5.8023312584533577E-4"/>
    <n v="46378.276790999997"/>
    <n v="4.9927941502861406E-4"/>
    <n v="72265.899999999994"/>
    <n v="5.8023312584533577E-4"/>
    <n v="0"/>
    <n v="0"/>
    <n v="0"/>
    <n v="0"/>
    <m/>
    <n v="4"/>
    <s v="No"/>
    <m/>
  </r>
  <r>
    <s v="ROCKY HILL"/>
    <x v="17"/>
    <s v="No"/>
    <n v="295401.81516300002"/>
    <n v="3.1801105103067225E-3"/>
    <n v="261765.49249999999"/>
    <n v="2.1017521396913177E-3"/>
    <n v="171705.22294800001"/>
    <n v="1.8484706462287414E-3"/>
    <n v="208482.1225"/>
    <n v="1.6739324303861878E-3"/>
    <n v="123696.592215"/>
    <n v="1.331639864077981E-3"/>
    <n v="53283.37"/>
    <n v="4.2781970930512995E-4"/>
    <m/>
    <n v="5"/>
    <s v="No"/>
    <m/>
  </r>
  <r>
    <s v="ROCKY HILL"/>
    <x v="413"/>
    <s v="No"/>
    <n v="31.32255"/>
    <n v="3.3719891128510636E-7"/>
    <n v="0"/>
    <n v="0"/>
    <n v="31.32255"/>
    <n v="3.3719891128510636E-7"/>
    <n v="0"/>
    <n v="0"/>
    <n v="0"/>
    <n v="0"/>
    <n v="0"/>
    <n v="0"/>
    <m/>
    <n v="1"/>
    <s v="No"/>
    <m/>
  </r>
  <r>
    <s v="ROCKY HILL"/>
    <x v="472"/>
    <s v="No"/>
    <n v="57713.538140999997"/>
    <n v="6.2130772327146614E-4"/>
    <n v="31825.62"/>
    <n v="2.5553240151393445E-4"/>
    <n v="57713.538140999997"/>
    <n v="6.2130772327146614E-4"/>
    <n v="31825.62"/>
    <n v="2.5553240151393445E-4"/>
    <n v="0"/>
    <n v="0"/>
    <n v="0"/>
    <n v="0"/>
    <m/>
    <n v="4"/>
    <s v="No"/>
    <m/>
  </r>
  <r>
    <s v="ROXBURY"/>
    <x v="48"/>
    <s v="No"/>
    <n v="84247.663332000011"/>
    <n v="9.069574588871143E-4"/>
    <n v="115922.63499999999"/>
    <n v="9.3075922201588752E-4"/>
    <n v="78854.891052000006"/>
    <n v="8.4890225771018252E-4"/>
    <n v="115655.435"/>
    <n v="9.2861383544731409E-4"/>
    <n v="5392.7722800000001"/>
    <n v="5.8055201176931659E-5"/>
    <n v="267.2"/>
    <n v="2.1453865685734729E-6"/>
    <m/>
    <n v="1"/>
    <s v="No"/>
    <m/>
  </r>
  <r>
    <s v="SALEM"/>
    <x v="94"/>
    <s v="No"/>
    <n v="310.96989000000002"/>
    <n v="3.34770663149869E-6"/>
    <n v="0"/>
    <n v="0"/>
    <n v="310.96989000000002"/>
    <n v="3.34770663149869E-6"/>
    <n v="0"/>
    <n v="0"/>
    <n v="0"/>
    <n v="0"/>
    <n v="0"/>
    <n v="0"/>
    <m/>
    <n v="1"/>
    <s v="No"/>
    <m/>
  </r>
  <r>
    <s v="SALEM"/>
    <x v="98"/>
    <s v="No"/>
    <n v="97614.638583000007"/>
    <n v="1.0508579236261652E-3"/>
    <n v="143501.97"/>
    <n v="1.1521976010547658E-3"/>
    <n v="81863.863683000003"/>
    <n v="8.8129496824172868E-4"/>
    <n v="122564.54"/>
    <n v="9.8408801609051687E-4"/>
    <n v="15750.7749"/>
    <n v="1.6956295538443647E-4"/>
    <n v="20937.43"/>
    <n v="1.6810958496424883E-4"/>
    <m/>
    <n v="3"/>
    <s v="No"/>
    <m/>
  </r>
  <r>
    <s v="SALISBURY"/>
    <x v="473"/>
    <s v="No"/>
    <n v="149224.667529"/>
    <n v="1.6064590982426642E-3"/>
    <n v="90519.815000000002"/>
    <n v="7.2679638956121102E-4"/>
    <n v="117172.90827900001"/>
    <n v="1.2614099779164989E-3"/>
    <n v="85628.214999999997"/>
    <n v="6.8752104173623336E-4"/>
    <n v="32051.759249999999"/>
    <n v="3.4504912032616559E-4"/>
    <n v="4891.6000000000004"/>
    <n v="3.9275347824977546E-5"/>
    <m/>
    <n v="1"/>
    <s v="No"/>
    <m/>
  </r>
  <r>
    <s v="SALISBURY"/>
    <x v="104"/>
    <s v="No"/>
    <n v="515.77638000000002"/>
    <n v="5.5525247402453924E-6"/>
    <n v="0"/>
    <n v="0"/>
    <n v="515.77638000000002"/>
    <n v="5.5525247402453924E-6"/>
    <n v="0"/>
    <n v="0"/>
    <n v="0"/>
    <n v="0"/>
    <n v="0"/>
    <n v="0"/>
    <m/>
    <n v="1"/>
    <s v="No"/>
    <m/>
  </r>
  <r>
    <s v="SCOTLAND"/>
    <x v="74"/>
    <s v="No"/>
    <n v="28575.067772999999"/>
    <n v="3.0762124229839934E-4"/>
    <n v="26036.080000000002"/>
    <n v="2.0904736650563033E-4"/>
    <n v="26886.393512999999"/>
    <n v="2.8944203524191187E-4"/>
    <n v="26036.080000000002"/>
    <n v="2.0904736650563033E-4"/>
    <n v="1688.67426"/>
    <n v="1.8179207056487502E-5"/>
    <n v="0"/>
    <n v="0"/>
    <m/>
    <n v="2"/>
    <s v="No"/>
    <m/>
  </r>
  <r>
    <s v="SEYMOUR"/>
    <x v="474"/>
    <s v="No"/>
    <n v="82.235579999999999"/>
    <n v="8.8529663277412816E-7"/>
    <n v="0"/>
    <n v="0"/>
    <n v="82.235579999999999"/>
    <n v="8.8529663277412816E-7"/>
    <n v="0"/>
    <n v="0"/>
    <n v="0"/>
    <n v="0"/>
    <n v="0"/>
    <n v="0"/>
    <m/>
    <n v="4"/>
    <s v="Yes"/>
    <m/>
  </r>
  <r>
    <s v="SEYMOUR"/>
    <x v="475"/>
    <s v="No"/>
    <n v="35.635739999999998"/>
    <n v="3.8363200731866071E-7"/>
    <n v="0"/>
    <n v="0"/>
    <n v="35.635739999999998"/>
    <n v="3.8363200731866071E-7"/>
    <n v="0"/>
    <n v="0"/>
    <n v="0"/>
    <n v="0"/>
    <n v="0"/>
    <n v="0"/>
    <m/>
    <n v="5"/>
    <s v="No"/>
    <m/>
  </r>
  <r>
    <s v="SEYMOUR"/>
    <x v="476"/>
    <s v="No"/>
    <n v="673.70771999999999"/>
    <n v="7.2527144088961877E-6"/>
    <n v="2816.59"/>
    <n v="2.2614799233451939E-5"/>
    <n v="673.70771999999999"/>
    <n v="7.2527144088961877E-6"/>
    <n v="2816.59"/>
    <n v="2.2614799233451939E-5"/>
    <n v="0"/>
    <n v="0"/>
    <n v="0"/>
    <n v="0"/>
    <m/>
    <n v="3"/>
    <s v="No"/>
    <m/>
  </r>
  <r>
    <s v="SEYMOUR"/>
    <x v="12"/>
    <s v="No"/>
    <n v="197726.65184999999"/>
    <n v="2.128601015430393E-3"/>
    <n v="589813.6"/>
    <n v="4.7356967642289173E-3"/>
    <n v="135871.99439099999"/>
    <n v="1.4627126010743465E-3"/>
    <n v="320647.8"/>
    <n v="2.5745265095906932E-3"/>
    <n v="61854.657459000002"/>
    <n v="6.6588841435604655E-4"/>
    <n v="269165.8"/>
    <n v="2.1611702546382246E-3"/>
    <m/>
    <n v="2"/>
    <s v="No"/>
    <m/>
  </r>
  <r>
    <s v="SEYMOUR"/>
    <x v="477"/>
    <s v="No"/>
    <n v="31390.566060000001"/>
    <n v="3.3793112949153921E-4"/>
    <n v="13943.8"/>
    <n v="1.1195674114848348E-4"/>
    <n v="31390.566060000001"/>
    <n v="3.3793112949153921E-4"/>
    <n v="13943.8"/>
    <n v="1.1195674114848348E-4"/>
    <n v="0"/>
    <n v="0"/>
    <n v="0"/>
    <n v="0"/>
    <m/>
    <n v="2"/>
    <s v="No"/>
    <m/>
  </r>
  <r>
    <s v="SEYMOUR"/>
    <x v="478"/>
    <s v="No"/>
    <n v="94043.91231900001"/>
    <n v="1.0124177261097455E-3"/>
    <n v="140529.685"/>
    <n v="1.128332704658911E-3"/>
    <n v="94043.91231900001"/>
    <n v="1.0124177261097455E-3"/>
    <n v="140529.685"/>
    <n v="1.128332704658911E-3"/>
    <n v="0"/>
    <n v="0"/>
    <n v="0"/>
    <n v="0"/>
    <m/>
    <n v="3"/>
    <s v="No"/>
    <m/>
  </r>
  <r>
    <s v="SHARON"/>
    <x v="104"/>
    <s v="No"/>
    <n v="98514.427010999992"/>
    <n v="1.0605444810203918E-3"/>
    <n v="48756.182500000003"/>
    <n v="3.9147028095215948E-4"/>
    <n v="83729.574830999991"/>
    <n v="9.0138004330356377E-4"/>
    <n v="46758.102500000001"/>
    <n v="3.7542741420464715E-4"/>
    <n v="14784.85218"/>
    <n v="1.5916443771682803E-4"/>
    <n v="1998.08"/>
    <n v="1.6042866747512291E-5"/>
    <m/>
    <n v="1"/>
    <s v="No"/>
    <m/>
  </r>
  <r>
    <s v="SHARON"/>
    <x v="281"/>
    <s v="No"/>
    <n v="419.75115"/>
    <n v="4.5187773917088925E-6"/>
    <n v="0"/>
    <n v="0"/>
    <n v="419.75115"/>
    <n v="4.5187773917088925E-6"/>
    <n v="0"/>
    <n v="0"/>
    <n v="0"/>
    <n v="0"/>
    <n v="0"/>
    <n v="0"/>
    <m/>
    <n v="2"/>
    <s v="No"/>
    <m/>
  </r>
  <r>
    <s v="SHERMAN"/>
    <x v="124"/>
    <s v="No"/>
    <n v="270.75047999999998"/>
    <n v="2.9147297102541126E-6"/>
    <n v="0"/>
    <n v="0"/>
    <n v="270.75047999999998"/>
    <n v="2.9147297102541126E-6"/>
    <n v="0"/>
    <n v="0"/>
    <n v="0"/>
    <n v="0"/>
    <n v="0"/>
    <n v="0"/>
    <m/>
    <n v="3"/>
    <s v="No"/>
    <m/>
  </r>
  <r>
    <s v="SHERMAN"/>
    <x v="397"/>
    <s v="No"/>
    <n v="399.60522000000003"/>
    <n v="4.3018989554760206E-6"/>
    <n v="0"/>
    <n v="0"/>
    <n v="399.60522000000003"/>
    <n v="4.3018989554760206E-6"/>
    <n v="0"/>
    <n v="0"/>
    <n v="0"/>
    <n v="0"/>
    <n v="0"/>
    <n v="0"/>
    <m/>
    <n v="2"/>
    <s v="No"/>
    <m/>
  </r>
  <r>
    <s v="SHERMAN"/>
    <x v="398"/>
    <s v="No"/>
    <n v="106637.616645"/>
    <n v="1.1479936414733965E-3"/>
    <n v="116109.63"/>
    <n v="9.3226063130252834E-4"/>
    <n v="99224.223525000009"/>
    <n v="1.0681857047315766E-3"/>
    <n v="116109.63"/>
    <n v="9.3226063130252834E-4"/>
    <n v="7413.3931199999997"/>
    <n v="7.9807936741820116E-5"/>
    <n v="0"/>
    <n v="0"/>
    <m/>
    <n v="1"/>
    <s v="No"/>
    <m/>
  </r>
  <r>
    <s v="SHERMAN"/>
    <x v="69"/>
    <s v="No"/>
    <n v="537.46307999999999"/>
    <n v="5.785990139115111E-6"/>
    <n v="0"/>
    <n v="0"/>
    <n v="537.46307999999999"/>
    <n v="5.785990139115111E-6"/>
    <n v="0"/>
    <n v="0"/>
    <n v="0"/>
    <n v="0"/>
    <n v="0"/>
    <n v="0"/>
    <m/>
    <n v="2"/>
    <s v="No"/>
    <m/>
  </r>
  <r>
    <s v="SIMSBURY"/>
    <x v="76"/>
    <s v="No"/>
    <n v="632.32911000000001"/>
    <n v="6.8072582681129178E-6"/>
    <n v="25930.91"/>
    <n v="2.0820294170990851E-4"/>
    <n v="632.32911000000001"/>
    <n v="6.8072582681129178E-6"/>
    <n v="25930.91"/>
    <n v="2.0820294170990851E-4"/>
    <n v="0"/>
    <n v="0"/>
    <n v="0"/>
    <n v="0"/>
    <m/>
    <n v="1"/>
    <s v="No"/>
    <m/>
  </r>
  <r>
    <s v="SIMSBURY"/>
    <x v="479"/>
    <s v="No"/>
    <n v="53075.812230000003"/>
    <n v="5.7138087734008678E-4"/>
    <n v="51010.19"/>
    <n v="4.0956802577238354E-4"/>
    <n v="53075.812230000003"/>
    <n v="5.7138087734008678E-4"/>
    <n v="51010.19"/>
    <n v="4.0956802577238354E-4"/>
    <n v="0"/>
    <n v="0"/>
    <n v="0"/>
    <n v="0"/>
    <m/>
    <n v="1"/>
    <s v="No"/>
    <m/>
  </r>
  <r>
    <s v="SIMSBURY"/>
    <x v="78"/>
    <s v="No"/>
    <n v="62044.981677000003"/>
    <n v="6.6793732541535651E-4"/>
    <n v="57366.044999999998"/>
    <n v="4.6060008396400234E-4"/>
    <n v="62044.981677000003"/>
    <n v="6.6793732541535651E-4"/>
    <n v="57366.044999999998"/>
    <n v="4.6060008396400234E-4"/>
    <n v="0"/>
    <n v="0"/>
    <n v="0"/>
    <n v="0"/>
    <m/>
    <n v="2"/>
    <s v="No"/>
    <m/>
  </r>
  <r>
    <s v="SIMSBURY"/>
    <x v="480"/>
    <s v="No"/>
    <n v="280582.85690399999"/>
    <n v="3.0205789079526917E-3"/>
    <n v="352706.30000000005"/>
    <n v="2.8319287375420882E-3"/>
    <n v="172999.42531200001"/>
    <n v="1.86240321647361E-3"/>
    <n v="318478.40000000002"/>
    <n v="2.557108090347193E-3"/>
    <n v="107583.43159199999"/>
    <n v="1.1581756914790819E-3"/>
    <n v="34227.9"/>
    <n v="2.7482064719489512E-4"/>
    <m/>
    <n v="3"/>
    <s v="No"/>
    <m/>
  </r>
  <r>
    <s v="SIMSBURY"/>
    <x v="79"/>
    <s v="No"/>
    <n v="57805.937490000004"/>
    <n v="6.2230243666122056E-4"/>
    <n v="75848.67"/>
    <n v="6.089996925979106E-4"/>
    <n v="57805.937490000004"/>
    <n v="6.2230243666122056E-4"/>
    <n v="75848.67"/>
    <n v="6.089996925979106E-4"/>
    <n v="0"/>
    <n v="0"/>
    <n v="0"/>
    <n v="0"/>
    <m/>
    <n v="2"/>
    <s v="No"/>
    <m/>
  </r>
  <r>
    <s v="SIMSBURY"/>
    <x v="481"/>
    <s v="No"/>
    <n v="58728.268977"/>
    <n v="6.3223167847775122E-4"/>
    <n v="86922.46"/>
    <n v="6.9791271778205446E-4"/>
    <n v="58728.268977"/>
    <n v="6.3223167847775122E-4"/>
    <n v="86922.46"/>
    <n v="6.9791271778205446E-4"/>
    <n v="0"/>
    <n v="0"/>
    <n v="0"/>
    <n v="0"/>
    <m/>
    <n v="2"/>
    <s v="No"/>
    <m/>
  </r>
  <r>
    <s v="SIMSBURY"/>
    <x v="482"/>
    <s v="No"/>
    <n v="34736.427810000001"/>
    <n v="3.7395057680379446E-4"/>
    <n v="91814.76"/>
    <n v="7.3719368600597655E-4"/>
    <n v="34736.427810000001"/>
    <n v="3.7395057680379446E-4"/>
    <n v="91814.76"/>
    <n v="7.3719368600597655E-4"/>
    <n v="0"/>
    <n v="0"/>
    <n v="0"/>
    <n v="0"/>
    <m/>
    <n v="3"/>
    <s v="No"/>
    <m/>
  </r>
  <r>
    <s v="SOMERS"/>
    <x v="168"/>
    <s v="No"/>
    <n v="126732.36651600001"/>
    <n v="1.3643211045646115E-3"/>
    <n v="183814.755"/>
    <n v="1.4758746500098188E-3"/>
    <n v="116232.574416"/>
    <n v="1.2512869338205321E-3"/>
    <n v="159517.255"/>
    <n v="1.2807865880715183E-3"/>
    <n v="10499.792100000001"/>
    <n v="1.1303417074407929E-4"/>
    <n v="24297.5"/>
    <n v="1.9508806193830073E-4"/>
    <m/>
    <n v="3"/>
    <s v="No"/>
    <m/>
  </r>
  <r>
    <s v="SOMERS"/>
    <x v="169"/>
    <s v="No"/>
    <n v="51155.911379999998"/>
    <n v="5.5071242996286649E-4"/>
    <n v="44366.26"/>
    <n v="3.5622297268652145E-4"/>
    <n v="51155.911379999998"/>
    <n v="5.5071242996286649E-4"/>
    <n v="44366.26"/>
    <n v="3.5622297268652145E-4"/>
    <n v="0"/>
    <n v="0"/>
    <n v="0"/>
    <n v="0"/>
    <m/>
    <n v="1"/>
    <s v="No"/>
    <m/>
  </r>
  <r>
    <s v="SOMERS"/>
    <x v="483"/>
    <s v="No"/>
    <n v="745.263687"/>
    <n v="8.0230410319952971E-6"/>
    <n v="0"/>
    <n v="0"/>
    <n v="745.263687"/>
    <n v="8.0230410319952971E-6"/>
    <n v="0"/>
    <n v="0"/>
    <n v="0"/>
    <n v="0"/>
    <n v="0"/>
    <n v="0"/>
    <m/>
    <n v="4"/>
    <s v="No"/>
    <m/>
  </r>
  <r>
    <s v="SOUTH WINDSOR"/>
    <x v="164"/>
    <s v="No"/>
    <n v="148.3776"/>
    <n v="1.597340100952732E-6"/>
    <n v="35"/>
    <n v="2.8101994723080671E-7"/>
    <n v="148.3776"/>
    <n v="1.597340100952732E-6"/>
    <n v="35"/>
    <n v="2.8101994723080671E-7"/>
    <n v="0"/>
    <n v="0"/>
    <n v="0"/>
    <n v="0"/>
    <m/>
    <n v="3"/>
    <s v="No"/>
    <m/>
  </r>
  <r>
    <s v="SOUTH WINDSOR"/>
    <x v="165"/>
    <s v="No"/>
    <n v="74702.025657000006"/>
    <n v="8.0419511573395156E-4"/>
    <n v="50562.555"/>
    <n v="4.0597390108442177E-4"/>
    <n v="74702.025657000006"/>
    <n v="8.0419511573395156E-4"/>
    <n v="50562.555"/>
    <n v="4.0597390108442177E-4"/>
    <n v="0"/>
    <n v="0"/>
    <n v="0"/>
    <n v="0"/>
    <m/>
    <n v="3"/>
    <s v="No"/>
    <m/>
  </r>
  <r>
    <s v="SOUTH WINDSOR"/>
    <x v="300"/>
    <s v="No"/>
    <n v="47597.775959999999"/>
    <n v="5.1240777756933606E-4"/>
    <n v="31134.45"/>
    <n v="2.4998289988743398E-4"/>
    <n v="47597.775959999999"/>
    <n v="5.1240777756933606E-4"/>
    <n v="31134.45"/>
    <n v="2.4998289988743398E-4"/>
    <n v="0"/>
    <n v="0"/>
    <n v="0"/>
    <n v="0"/>
    <m/>
    <n v="4"/>
    <s v="No"/>
    <m/>
  </r>
  <r>
    <s v="SOUTH WINDSOR"/>
    <x v="484"/>
    <s v="No"/>
    <n v="37226.575848"/>
    <n v="4.0075794744738331E-4"/>
    <n v="21440.59"/>
    <n v="1.721495277256389E-4"/>
    <n v="37226.575848"/>
    <n v="4.0075794744738331E-4"/>
    <n v="21440.59"/>
    <n v="1.721495277256389E-4"/>
    <n v="0"/>
    <n v="0"/>
    <n v="0"/>
    <n v="0"/>
    <m/>
    <n v="4"/>
    <s v="No"/>
    <m/>
  </r>
  <r>
    <s v="SOUTH WINDSOR"/>
    <x v="485"/>
    <s v="No"/>
    <n v="313085.84972699999"/>
    <n v="3.3704857256742129E-3"/>
    <n v="342219.70199999999"/>
    <n v="2.747730359925211E-3"/>
    <n v="140943.45671699999"/>
    <n v="1.5173087809814945E-3"/>
    <n v="230552.59"/>
    <n v="1.851139333592166E-3"/>
    <n v="172142.39301"/>
    <n v="1.8531769446927184E-3"/>
    <n v="111667.11199999999"/>
    <n v="8.9659102633304509E-4"/>
    <m/>
    <n v="3"/>
    <s v="No"/>
    <m/>
  </r>
  <r>
    <s v="SOUTH WINDSOR"/>
    <x v="486"/>
    <s v="No"/>
    <n v="19669.320090000001"/>
    <n v="2.1174755312279079E-4"/>
    <n v="7819.69"/>
    <n v="6.2785396318893328E-5"/>
    <n v="19669.320090000001"/>
    <n v="2.1174755312279079E-4"/>
    <n v="7819.69"/>
    <n v="6.2785396318893328E-5"/>
    <n v="0"/>
    <n v="0"/>
    <n v="0"/>
    <n v="0"/>
    <m/>
    <n v="3"/>
    <s v="No"/>
    <m/>
  </r>
  <r>
    <s v="SOUTH WINDSOR"/>
    <x v="301"/>
    <s v="No"/>
    <n v="78026.816049000001"/>
    <n v="8.3998772203304213E-4"/>
    <n v="44735.17"/>
    <n v="3.5918500322174761E-4"/>
    <n v="78026.816049000001"/>
    <n v="8.3998772203304213E-4"/>
    <n v="44735.17"/>
    <n v="3.5918500322174761E-4"/>
    <n v="0"/>
    <n v="0"/>
    <n v="0"/>
    <n v="0"/>
    <m/>
    <n v="5"/>
    <s v="No"/>
    <m/>
  </r>
  <r>
    <s v="SOUTH WINDSOR"/>
    <x v="156"/>
    <s v="No"/>
    <n v="24.937290000000001"/>
    <n v="2.6845921032613792E-7"/>
    <n v="0"/>
    <n v="0"/>
    <n v="24.937290000000001"/>
    <n v="2.6845921032613792E-7"/>
    <n v="0"/>
    <n v="0"/>
    <n v="0"/>
    <n v="0"/>
    <n v="0"/>
    <n v="0"/>
    <m/>
    <n v="5"/>
    <s v="No"/>
    <m/>
  </r>
  <r>
    <s v="SOUTHBURY"/>
    <x v="487"/>
    <s v="No"/>
    <n v="31605.300132000004"/>
    <n v="3.4024282171628522E-4"/>
    <n v="27002.14"/>
    <n v="2.1680399879768156E-4"/>
    <n v="31605.300132000004"/>
    <n v="3.4024282171628522E-4"/>
    <n v="27002.14"/>
    <n v="2.1680399879768156E-4"/>
    <n v="0"/>
    <n v="0"/>
    <n v="0"/>
    <n v="0"/>
    <m/>
    <n v="2"/>
    <s v="No"/>
    <m/>
  </r>
  <r>
    <s v="SOUTHBURY"/>
    <x v="488"/>
    <s v="No"/>
    <n v="56275.587249000004"/>
    <n v="6.0582764660900264E-4"/>
    <n v="92272.05"/>
    <n v="7.4086533205366739E-4"/>
    <n v="56275.587249000004"/>
    <n v="6.0582764660900264E-4"/>
    <n v="92272.05"/>
    <n v="7.4086533205366739E-4"/>
    <n v="0"/>
    <n v="0"/>
    <n v="0"/>
    <n v="0"/>
    <m/>
    <n v="1"/>
    <s v="No"/>
    <m/>
  </r>
  <r>
    <s v="SOUTHBURY"/>
    <x v="489"/>
    <s v="No"/>
    <n v="72691.761786000003"/>
    <n v="7.8255387679596652E-4"/>
    <n v="95618.54"/>
    <n v="7.6773477328819363E-4"/>
    <n v="72691.761786000003"/>
    <n v="7.8255387679596652E-4"/>
    <n v="95618.54"/>
    <n v="7.6773477328819363E-4"/>
    <n v="0"/>
    <n v="0"/>
    <n v="0"/>
    <n v="0"/>
    <m/>
    <n v="3"/>
    <s v="No"/>
    <m/>
  </r>
  <r>
    <s v="SOUTHBURY"/>
    <x v="490"/>
    <s v="No"/>
    <n v="326091.980025"/>
    <n v="3.5105015601614381E-3"/>
    <n v="441295.10750000004"/>
    <n v="3.5432207949389481E-3"/>
    <n v="225158.04517500001"/>
    <n v="2.4239101765371209E-3"/>
    <n v="409436.20750000002"/>
    <n v="3.2874211836009036E-3"/>
    <n v="100933.93485000001"/>
    <n v="1.0865913836243172E-3"/>
    <n v="31858.9"/>
    <n v="2.5579961133804423E-4"/>
    <m/>
    <n v="2"/>
    <s v="No"/>
    <m/>
  </r>
  <r>
    <s v="SOUTHBURY"/>
    <x v="491"/>
    <s v="No"/>
    <n v="75114.846239999999"/>
    <n v="8.0863928299184339E-4"/>
    <n v="21603.38"/>
    <n v="1.7345659164591615E-4"/>
    <n v="75114.846239999999"/>
    <n v="8.0863928299184339E-4"/>
    <n v="21603.38"/>
    <n v="1.7345659164591615E-4"/>
    <n v="0"/>
    <n v="0"/>
    <n v="0"/>
    <n v="0"/>
    <m/>
    <n v="1"/>
    <s v="No"/>
    <m/>
  </r>
  <r>
    <s v="SOUTHINGTON"/>
    <x v="492"/>
    <s v="No"/>
    <n v="38355.52749"/>
    <n v="4.1291153215156393E-4"/>
    <n v="48697.254999999997"/>
    <n v="3.9099714372528961E-4"/>
    <n v="38355.52749"/>
    <n v="4.1291153215156393E-4"/>
    <n v="48697.254999999997"/>
    <n v="3.9099714372528961E-4"/>
    <n v="0"/>
    <n v="0"/>
    <n v="0"/>
    <n v="0"/>
    <m/>
    <n v="3"/>
    <s v="No"/>
    <m/>
  </r>
  <r>
    <s v="SOUTHINGTON"/>
    <x v="493"/>
    <s v="No"/>
    <n v="39128.653032000002"/>
    <n v="4.2123451642484656E-4"/>
    <n v="22102.639999999999"/>
    <n v="1.7746522075604335E-4"/>
    <n v="39128.653032000002"/>
    <n v="4.2123451642484656E-4"/>
    <n v="22102.639999999999"/>
    <n v="1.7746522075604335E-4"/>
    <n v="0"/>
    <n v="0"/>
    <n v="0"/>
    <n v="0"/>
    <m/>
    <n v="2"/>
    <s v="No"/>
    <m/>
  </r>
  <r>
    <s v="SOUTHINGTON"/>
    <x v="494"/>
    <s v="No"/>
    <n v="57801.578898"/>
    <n v="6.2225551479575512E-4"/>
    <n v="57740.36"/>
    <n v="4.6360551200822235E-4"/>
    <n v="57801.578898"/>
    <n v="6.2225551479575512E-4"/>
    <n v="57740.36"/>
    <n v="4.6360551200822235E-4"/>
    <n v="0"/>
    <n v="0"/>
    <n v="0"/>
    <n v="0"/>
    <m/>
    <n v="2"/>
    <s v="No"/>
    <m/>
  </r>
  <r>
    <s v="SOUTHINGTON"/>
    <x v="495"/>
    <s v="No"/>
    <n v="43923.895385999997"/>
    <n v="4.728570855042168E-4"/>
    <n v="47251.26"/>
    <n v="3.7938704547968937E-4"/>
    <n v="43923.895385999997"/>
    <n v="4.728570855042168E-4"/>
    <n v="47251.26"/>
    <n v="3.7938704547968937E-4"/>
    <n v="0"/>
    <n v="0"/>
    <n v="0"/>
    <n v="0"/>
    <m/>
    <n v="2"/>
    <s v="No"/>
    <m/>
  </r>
  <r>
    <s v="SOUTHINGTON"/>
    <x v="320"/>
    <s v="No"/>
    <n v="44773.363907999999"/>
    <n v="4.820019303776185E-4"/>
    <n v="48176.584999999999"/>
    <n v="3.8681661069887066E-4"/>
    <n v="44773.363907999999"/>
    <n v="4.820019303776185E-4"/>
    <n v="48176.584999999999"/>
    <n v="3.8681661069887066E-4"/>
    <n v="0"/>
    <n v="0"/>
    <n v="0"/>
    <n v="0"/>
    <m/>
    <n v="1"/>
    <s v="No"/>
    <m/>
  </r>
  <r>
    <s v="SOUTHINGTON"/>
    <x v="496"/>
    <s v="No"/>
    <n v="31374.76713"/>
    <n v="3.3776104812857644E-4"/>
    <n v="20294.47"/>
    <n v="1.6294716824220542E-4"/>
    <n v="31374.76713"/>
    <n v="3.3776104812857644E-4"/>
    <n v="20294.47"/>
    <n v="1.6294716824220542E-4"/>
    <n v="0"/>
    <n v="0"/>
    <n v="0"/>
    <n v="0"/>
    <m/>
    <n v="1"/>
    <s v="No"/>
    <m/>
  </r>
  <r>
    <s v="SOUTHINGTON"/>
    <x v="497"/>
    <s v="No"/>
    <n v="52394.084777999997"/>
    <n v="5.6404182753068193E-4"/>
    <n v="35424.68"/>
    <n v="2.844297629790918E-4"/>
    <n v="52394.084777999997"/>
    <n v="5.6404182753068193E-4"/>
    <n v="35424.68"/>
    <n v="2.844297629790918E-4"/>
    <n v="0"/>
    <n v="0"/>
    <n v="0"/>
    <n v="0"/>
    <m/>
    <n v="1"/>
    <s v="No"/>
    <m/>
  </r>
  <r>
    <s v="SOUTHINGTON"/>
    <x v="498"/>
    <s v="No"/>
    <n v="553707.48959400004"/>
    <n v="5.9608672557472549E-3"/>
    <n v="692777.26249999995"/>
    <n v="5.5624065642986484E-3"/>
    <n v="292237.14265200001"/>
    <n v="3.1460416326041375E-3"/>
    <n v="528449.83250000002"/>
    <n v="4.2429984012365323E-3"/>
    <n v="261470.346942"/>
    <n v="2.8148256231431169E-3"/>
    <n v="164327.43"/>
    <n v="1.3194081630621165E-3"/>
    <m/>
    <n v="1"/>
    <s v="No"/>
    <m/>
  </r>
  <r>
    <s v="SOUTHINGTON"/>
    <x v="64"/>
    <s v="No"/>
    <n v="68556.467447999996"/>
    <n v="7.3803589378956802E-4"/>
    <n v="78491.83"/>
    <n v="6.3022199784712712E-4"/>
    <n v="68556.467447999996"/>
    <n v="7.3803589378956802E-4"/>
    <n v="78491.83"/>
    <n v="6.3022199784712712E-4"/>
    <n v="0"/>
    <n v="0"/>
    <n v="0"/>
    <n v="0"/>
    <m/>
    <n v="2"/>
    <s v="No"/>
    <m/>
  </r>
  <r>
    <s v="SOUTHINGTON"/>
    <x v="499"/>
    <s v="No"/>
    <n v="39495.103199999998"/>
    <n v="4.2517948890281664E-4"/>
    <n v="30148.89"/>
    <n v="2.4206969933906843E-4"/>
    <n v="39495.103199999998"/>
    <n v="4.2517948890281664E-4"/>
    <n v="30148.89"/>
    <n v="2.4206969933906843E-4"/>
    <n v="0"/>
    <n v="0"/>
    <n v="0"/>
    <n v="0"/>
    <m/>
    <n v="2"/>
    <s v="No"/>
    <m/>
  </r>
  <r>
    <s v="SOUTHINGTON"/>
    <x v="82"/>
    <s v="No"/>
    <n v="323.09802000000002"/>
    <n v="3.4782704659222678E-6"/>
    <n v="200"/>
    <n v="1.6058282698903241E-6"/>
    <n v="323.09802000000002"/>
    <n v="3.4782704659222678E-6"/>
    <n v="200"/>
    <n v="1.6058282698903241E-6"/>
    <n v="0"/>
    <n v="0"/>
    <n v="0"/>
    <n v="0"/>
    <m/>
    <n v="4"/>
    <s v="No"/>
    <m/>
  </r>
  <r>
    <s v="SPRAGUE"/>
    <x v="500"/>
    <s v="No"/>
    <n v="59092.732082999995"/>
    <n v="6.3615525949356207E-4"/>
    <n v="58782.494999999995"/>
    <n v="4.7197296122843303E-4"/>
    <n v="47872.593782999997"/>
    <n v="5.153662937411466E-4"/>
    <n v="50445.294999999998"/>
    <n v="4.0503240396978503E-4"/>
    <n v="11220.138300000001"/>
    <n v="1.2078896575241558E-4"/>
    <n v="8337.2000000000007"/>
    <n v="6.6940557258648046E-5"/>
    <m/>
    <n v="4"/>
    <s v="No"/>
    <m/>
  </r>
  <r>
    <s v="SPRAGUE"/>
    <x v="191"/>
    <s v="No"/>
    <n v="180.77241000000001"/>
    <n v="1.9460822903111298E-6"/>
    <n v="1215.6099999999999"/>
    <n v="9.7603045158068827E-6"/>
    <n v="180.77241000000001"/>
    <n v="1.9460822903111298E-6"/>
    <n v="1215.6099999999999"/>
    <n v="9.7603045158068827E-6"/>
    <n v="0"/>
    <n v="0"/>
    <n v="0"/>
    <n v="0"/>
    <m/>
    <n v="1"/>
    <s v="No"/>
    <m/>
  </r>
  <r>
    <s v="STAFFORD"/>
    <x v="167"/>
    <s v="No"/>
    <n v="184.04231999999999"/>
    <n v="1.98128408875986E-6"/>
    <n v="36172.574999999997"/>
    <n v="2.904347176486399E-4"/>
    <n v="184.04231999999999"/>
    <n v="1.98128408875986E-6"/>
    <n v="36172.574999999997"/>
    <n v="2.904347176486399E-4"/>
    <n v="0"/>
    <n v="0"/>
    <n v="0"/>
    <n v="0"/>
    <m/>
    <n v="5"/>
    <s v="No"/>
    <m/>
  </r>
  <r>
    <s v="STAFFORD"/>
    <x v="314"/>
    <s v="No"/>
    <n v="190.17159000000001"/>
    <n v="2.0472679620707005E-6"/>
    <n v="0"/>
    <n v="0"/>
    <n v="190.17159000000001"/>
    <n v="2.0472679620707005E-6"/>
    <n v="0"/>
    <n v="0"/>
    <n v="0"/>
    <n v="0"/>
    <n v="0"/>
    <n v="0"/>
    <m/>
    <n v="4"/>
    <s v="No"/>
    <m/>
  </r>
  <r>
    <s v="STAFFORD"/>
    <x v="501"/>
    <s v="No"/>
    <n v="44263.430379000005"/>
    <n v="4.7651230610352302E-4"/>
    <n v="12627.035"/>
    <n v="1.0138424883947283E-4"/>
    <n v="44263.430379000005"/>
    <n v="4.7651230610352302E-4"/>
    <n v="12627.035"/>
    <n v="1.0138424883947283E-4"/>
    <n v="0"/>
    <n v="0"/>
    <n v="0"/>
    <n v="0"/>
    <m/>
    <n v="2"/>
    <s v="No"/>
    <m/>
  </r>
  <r>
    <s v="STAFFORD"/>
    <x v="502"/>
    <s v="No"/>
    <n v="32684.178681000001"/>
    <n v="3.5185735093346758E-4"/>
    <n v="28799.74"/>
    <n v="2.3123718328745579E-4"/>
    <n v="32684.178681000001"/>
    <n v="3.5185735093346758E-4"/>
    <n v="28799.74"/>
    <n v="2.3123718328745579E-4"/>
    <n v="0"/>
    <n v="0"/>
    <n v="0"/>
    <n v="0"/>
    <m/>
    <n v="4"/>
    <s v="No"/>
    <m/>
  </r>
  <r>
    <s v="STAFFORD"/>
    <x v="483"/>
    <s v="No"/>
    <n v="210779.45347199999"/>
    <n v="2.2691192840949455E-3"/>
    <n v="160191.41"/>
    <n v="1.2861994738579577E-3"/>
    <n v="118181.769216"/>
    <n v="1.2722707414748447E-3"/>
    <n v="116633.87"/>
    <n v="9.364698283635648E-4"/>
    <n v="92597.684255999993"/>
    <n v="9.9684854262010059E-4"/>
    <n v="43557.54"/>
    <n v="3.4972964549439292E-4"/>
    <m/>
    <n v="4"/>
    <s v="No"/>
    <m/>
  </r>
  <r>
    <s v="STAMFORD"/>
    <x v="206"/>
    <s v="No"/>
    <n v="309.91694999999999"/>
    <n v="3.3363713404177098E-6"/>
    <n v="0"/>
    <n v="0"/>
    <n v="309.91694999999999"/>
    <n v="3.3363713404177098E-6"/>
    <n v="0"/>
    <n v="0"/>
    <n v="0"/>
    <n v="0"/>
    <n v="0"/>
    <n v="0"/>
    <m/>
    <n v="4"/>
    <s v="No"/>
    <m/>
  </r>
  <r>
    <s v="STAMFORD"/>
    <x v="503"/>
    <s v="Yes"/>
    <n v="76790.379035999998"/>
    <n v="8.2667701729616065E-4"/>
    <n v="2129.25"/>
    <n v="1.709604921831986E-5"/>
    <n v="76790.379035999998"/>
    <n v="8.2667701729616065E-4"/>
    <n v="2129.25"/>
    <n v="1.709604921831986E-5"/>
    <n v="0"/>
    <n v="0"/>
    <n v="0"/>
    <n v="0"/>
    <m/>
    <n v="4"/>
    <s v="No"/>
    <m/>
  </r>
  <r>
    <s v="STAMFORD"/>
    <x v="218"/>
    <s v="No"/>
    <n v="68572.666785000009"/>
    <n v="7.3821028568294659E-4"/>
    <n v="23788.3"/>
    <n v="1.9099962316315995E-4"/>
    <n v="68572.666785000009"/>
    <n v="7.3821028568294659E-4"/>
    <n v="23788.3"/>
    <n v="1.9099962316315995E-4"/>
    <n v="0"/>
    <n v="0"/>
    <n v="0"/>
    <n v="0"/>
    <m/>
    <n v="4"/>
    <s v="No"/>
    <m/>
  </r>
  <r>
    <s v="STAMFORD"/>
    <x v="504"/>
    <s v="No"/>
    <n v="135246.927669"/>
    <n v="1.4559835251166436E-3"/>
    <n v="74877.14"/>
    <n v="6.0119914090267783E-4"/>
    <n v="135246.927669"/>
    <n v="1.4559835251166436E-3"/>
    <n v="74877.14"/>
    <n v="6.0119914090267783E-4"/>
    <n v="0"/>
    <n v="0"/>
    <n v="0"/>
    <n v="0"/>
    <m/>
    <n v="3"/>
    <s v="No"/>
    <m/>
  </r>
  <r>
    <s v="STAMFORD"/>
    <x v="505"/>
    <s v="No"/>
    <n v="58485.315630000005"/>
    <n v="6.2961619525236023E-4"/>
    <n v="25348.73"/>
    <n v="2.0352853619908475E-4"/>
    <n v="58485.315630000005"/>
    <n v="6.2961619525236023E-4"/>
    <n v="25348.73"/>
    <n v="2.0352853619908475E-4"/>
    <n v="0"/>
    <n v="0"/>
    <n v="0"/>
    <n v="0"/>
    <m/>
    <n v="4"/>
    <s v="No"/>
    <m/>
  </r>
  <r>
    <s v="STAMFORD"/>
    <x v="506"/>
    <s v="No"/>
    <n v="80134.068735000008"/>
    <n v="8.6267308167080532E-4"/>
    <n v="60912.480000000003"/>
    <n v="4.8907491186564477E-4"/>
    <n v="80134.068735000008"/>
    <n v="8.6267308167080532E-4"/>
    <n v="60912.480000000003"/>
    <n v="4.8907491186564477E-4"/>
    <n v="0"/>
    <n v="0"/>
    <n v="0"/>
    <n v="0"/>
    <m/>
    <n v="3"/>
    <s v="No"/>
    <m/>
  </r>
  <r>
    <s v="STAMFORD"/>
    <x v="507"/>
    <s v="No"/>
    <n v="66300.907680000004"/>
    <n v="7.1375395320337422E-4"/>
    <n v="52357.25"/>
    <n v="4.2038376091857585E-4"/>
    <n v="66300.907680000004"/>
    <n v="7.1375395320337422E-4"/>
    <n v="52357.25"/>
    <n v="4.2038376091857585E-4"/>
    <n v="0"/>
    <n v="0"/>
    <n v="0"/>
    <n v="0"/>
    <m/>
    <n v="4"/>
    <s v="No"/>
    <m/>
  </r>
  <r>
    <s v="STAMFORD"/>
    <x v="508"/>
    <s v="No"/>
    <n v="55072.519740000003"/>
    <n v="5.9287617700524162E-4"/>
    <n v="24708.13"/>
    <n v="1.9838506825062605E-4"/>
    <n v="55072.519740000003"/>
    <n v="5.9287617700524162E-4"/>
    <n v="24708.13"/>
    <n v="1.9838506825062605E-4"/>
    <n v="0"/>
    <n v="0"/>
    <n v="0"/>
    <n v="0"/>
    <m/>
    <n v="3"/>
    <s v="No"/>
    <m/>
  </r>
  <r>
    <s v="STAMFORD"/>
    <x v="509"/>
    <s v="No"/>
    <n v="36988.821029999999"/>
    <n v="3.9819842832194844E-4"/>
    <n v="13018.45"/>
    <n v="1.0452697520076844E-4"/>
    <n v="36988.821029999999"/>
    <n v="3.9819842832194844E-4"/>
    <n v="13018.45"/>
    <n v="1.0452697520076844E-4"/>
    <n v="0"/>
    <n v="0"/>
    <n v="0"/>
    <n v="0"/>
    <m/>
    <n v="4"/>
    <s v="No"/>
    <m/>
  </r>
  <r>
    <s v="STAMFORD"/>
    <x v="510"/>
    <s v="No"/>
    <n v="58716.095444999999"/>
    <n v="6.321006258738957E-4"/>
    <n v="23512.63"/>
    <n v="1.8878622976735665E-4"/>
    <n v="58716.095444999999"/>
    <n v="6.321006258738957E-4"/>
    <n v="23512.63"/>
    <n v="1.8878622976735665E-4"/>
    <n v="0"/>
    <n v="0"/>
    <n v="0"/>
    <n v="0"/>
    <m/>
    <n v="4"/>
    <s v="No"/>
    <m/>
  </r>
  <r>
    <s v="STAMFORD"/>
    <x v="511"/>
    <s v="No"/>
    <n v="40399.23573"/>
    <n v="4.3491281217226469E-4"/>
    <n v="28401.18"/>
    <n v="2.2803708871121836E-4"/>
    <n v="40399.23573"/>
    <n v="4.3491281217226469E-4"/>
    <n v="28401.18"/>
    <n v="2.2803708871121836E-4"/>
    <n v="0"/>
    <n v="0"/>
    <n v="0"/>
    <n v="0"/>
    <m/>
    <n v="4"/>
    <s v="No"/>
    <m/>
  </r>
  <r>
    <s v="STAMFORD"/>
    <x v="512"/>
    <s v="No"/>
    <n v="62757.015930000001"/>
    <n v="6.7560263921992545E-4"/>
    <n v="42749.3"/>
    <n v="3.4324017229011216E-4"/>
    <n v="62757.015930000001"/>
    <n v="6.7560263921992545E-4"/>
    <n v="42749.3"/>
    <n v="3.4324017229011216E-4"/>
    <n v="0"/>
    <n v="0"/>
    <n v="0"/>
    <n v="0"/>
    <m/>
    <n v="4"/>
    <s v="No"/>
    <m/>
  </r>
  <r>
    <s v="STAMFORD"/>
    <x v="513"/>
    <s v="No"/>
    <n v="63821.906799000004"/>
    <n v="6.870665858546743E-4"/>
    <n v="52536.29"/>
    <n v="4.2182129838578164E-4"/>
    <n v="63821.906799000004"/>
    <n v="6.870665858546743E-4"/>
    <n v="52536.29"/>
    <n v="4.2182129838578164E-4"/>
    <n v="0"/>
    <n v="0"/>
    <n v="0"/>
    <n v="0"/>
    <m/>
    <n v="4"/>
    <s v="No"/>
    <m/>
  </r>
  <r>
    <s v="STAMFORD"/>
    <x v="514"/>
    <s v="No"/>
    <n v="42841.815029999998"/>
    <n v="4.6120808764273363E-4"/>
    <n v="41538.239999999998"/>
    <n v="3.3351640036744526E-4"/>
    <n v="42841.815029999998"/>
    <n v="4.6120808764273363E-4"/>
    <n v="41538.239999999998"/>
    <n v="3.3351640036744526E-4"/>
    <n v="0"/>
    <n v="0"/>
    <n v="0"/>
    <n v="0"/>
    <m/>
    <n v="4"/>
    <s v="No"/>
    <m/>
  </r>
  <r>
    <s v="STAMFORD"/>
    <x v="219"/>
    <s v="No"/>
    <n v="1513532.2539329999"/>
    <n v="1.6293738160561663E-2"/>
    <n v="1268975.5325"/>
    <n v="1.0188783919438138E-2"/>
    <n v="804164.17349099996"/>
    <n v="8.6571266961231637E-3"/>
    <n v="962595.1825"/>
    <n v="7.7288127825936781E-3"/>
    <n v="709368.08044200006"/>
    <n v="7.6366114644385013E-3"/>
    <n v="306380.34999999998"/>
    <n v="2.4599711368444594E-3"/>
    <m/>
    <n v="4"/>
    <s v="No"/>
    <m/>
  </r>
  <r>
    <s v="STAMFORD"/>
    <x v="515"/>
    <s v="No"/>
    <n v="40504.845612000005"/>
    <n v="4.36049741867687E-4"/>
    <n v="2054.09"/>
    <n v="1.6492578954495077E-5"/>
    <n v="40504.845612000005"/>
    <n v="4.36049741867687E-4"/>
    <n v="2054.09"/>
    <n v="1.6492578954495077E-5"/>
    <n v="0"/>
    <n v="0"/>
    <n v="0"/>
    <n v="0"/>
    <m/>
    <n v="5"/>
    <s v="No"/>
    <m/>
  </r>
  <r>
    <s v="STAMFORD"/>
    <x v="516"/>
    <s v="No"/>
    <n v="53767.613129999998"/>
    <n v="5.7882837156728267E-4"/>
    <n v="9208.34"/>
    <n v="7.3935063453809335E-5"/>
    <n v="53767.613129999998"/>
    <n v="5.7882837156728267E-4"/>
    <n v="9208.34"/>
    <n v="7.3935063453809335E-5"/>
    <n v="0"/>
    <n v="0"/>
    <n v="0"/>
    <n v="0"/>
    <m/>
    <n v="5"/>
    <s v="No"/>
    <m/>
  </r>
  <r>
    <s v="STAMFORD"/>
    <x v="517"/>
    <s v="No"/>
    <n v="53211.921147000001"/>
    <n v="5.7284614050124682E-4"/>
    <n v="14602.3"/>
    <n v="1.1724393072709738E-4"/>
    <n v="53211.921147000001"/>
    <n v="5.7284614050124682E-4"/>
    <n v="14602.3"/>
    <n v="1.1724393072709738E-4"/>
    <n v="0"/>
    <n v="0"/>
    <n v="0"/>
    <n v="0"/>
    <m/>
    <n v="5"/>
    <s v="No"/>
    <m/>
  </r>
  <r>
    <s v="STAMFORD"/>
    <x v="518"/>
    <s v="No"/>
    <n v="36227.888339999998"/>
    <n v="3.9000670463951365E-4"/>
    <n v="14887.2"/>
    <n v="1.1953143309755615E-4"/>
    <n v="36227.888339999998"/>
    <n v="3.9000670463951365E-4"/>
    <n v="14887.2"/>
    <n v="1.1953143309755615E-4"/>
    <n v="0"/>
    <n v="0"/>
    <n v="0"/>
    <n v="0"/>
    <m/>
    <n v="5"/>
    <s v="No"/>
    <m/>
  </r>
  <r>
    <s v="STAMFORD"/>
    <x v="519"/>
    <s v="No"/>
    <n v="43858.587507000004"/>
    <n v="4.7215402187443132E-4"/>
    <n v="11169.85"/>
    <n v="8.9684304502172179E-5"/>
    <n v="43858.587507000004"/>
    <n v="4.7215402187443132E-4"/>
    <n v="11169.85"/>
    <n v="8.9684304502172179E-5"/>
    <n v="0"/>
    <n v="0"/>
    <n v="0"/>
    <n v="0"/>
    <m/>
    <n v="5"/>
    <s v="No"/>
    <m/>
  </r>
  <r>
    <s v="STAMFORD"/>
    <x v="520"/>
    <s v="No"/>
    <n v="64076.867042999998"/>
    <n v="6.8981132779611211E-4"/>
    <n v="8116.83"/>
    <n v="6.5171175379469387E-5"/>
    <n v="64076.867042999998"/>
    <n v="6.8981132779611211E-4"/>
    <n v="8116.83"/>
    <n v="6.5171175379469387E-5"/>
    <n v="0"/>
    <n v="0"/>
    <n v="0"/>
    <n v="0"/>
    <m/>
    <n v="4"/>
    <s v="No"/>
    <m/>
  </r>
  <r>
    <s v="STAMFORD"/>
    <x v="521"/>
    <s v="No"/>
    <n v="20920.572162"/>
    <n v="2.2521774748505163E-4"/>
    <n v="405.38"/>
    <n v="3.2548533202406976E-6"/>
    <n v="20920.572162"/>
    <n v="2.2521774748505163E-4"/>
    <n v="405.38"/>
    <n v="3.2548533202406976E-6"/>
    <n v="0"/>
    <n v="0"/>
    <n v="0"/>
    <n v="0"/>
    <m/>
    <n v="4"/>
    <s v="No"/>
    <m/>
  </r>
  <r>
    <s v="STAMFORD"/>
    <x v="522"/>
    <s v="No"/>
    <n v="52368.806006999999"/>
    <n v="5.6376969215026678E-4"/>
    <n v="3743.21"/>
    <n v="3.0054762190680799E-5"/>
    <n v="52368.806006999999"/>
    <n v="5.6376969215026678E-4"/>
    <n v="3743.21"/>
    <n v="3.0054762190680799E-5"/>
    <n v="0"/>
    <n v="0"/>
    <n v="0"/>
    <n v="0"/>
    <m/>
    <n v="5"/>
    <s v="No"/>
    <m/>
  </r>
  <r>
    <s v="STAMFORD"/>
    <x v="523"/>
    <s v="No"/>
    <n v="39090.204299999998"/>
    <n v="4.2082060151144729E-4"/>
    <n v="70"/>
    <n v="5.6203989446161343E-7"/>
    <n v="39090.204299999998"/>
    <n v="4.2082060151144729E-4"/>
    <n v="70"/>
    <n v="5.6203989446161343E-7"/>
    <n v="0"/>
    <n v="0"/>
    <n v="0"/>
    <n v="0"/>
    <m/>
    <n v="5"/>
    <s v="No"/>
    <m/>
  </r>
  <r>
    <s v="STAMFORD"/>
    <x v="524"/>
    <s v="No"/>
    <n v="45628.350705000004"/>
    <n v="4.9120618153569923E-4"/>
    <n v="7588.75"/>
    <n v="6.0931146415650983E-5"/>
    <n v="45628.350705000004"/>
    <n v="4.9120618153569923E-4"/>
    <n v="7588.75"/>
    <n v="6.0931146415650983E-5"/>
    <n v="0"/>
    <n v="0"/>
    <n v="0"/>
    <n v="0"/>
    <m/>
    <n v="5"/>
    <s v="No"/>
    <m/>
  </r>
  <r>
    <s v="STAMFORD"/>
    <x v="525"/>
    <s v="No"/>
    <n v="38408.729939999997"/>
    <n v="4.1348427633164185E-4"/>
    <n v="17249.05"/>
    <n v="1.3849506059375845E-4"/>
    <n v="38408.729939999997"/>
    <n v="4.1348427633164185E-4"/>
    <n v="17249.05"/>
    <n v="1.3849506059375845E-4"/>
    <n v="0"/>
    <n v="0"/>
    <n v="0"/>
    <n v="0"/>
    <m/>
    <n v="2"/>
    <s v="No"/>
    <m/>
  </r>
  <r>
    <s v="STERLING"/>
    <x v="286"/>
    <s v="No"/>
    <n v="189.88661999999999"/>
    <n v="2.0442001539341048E-6"/>
    <n v="850"/>
    <n v="6.8247701470338768E-6"/>
    <n v="189.88661999999999"/>
    <n v="2.0442001539341048E-6"/>
    <n v="850"/>
    <n v="6.8247701470338768E-6"/>
    <n v="0"/>
    <n v="0"/>
    <n v="0"/>
    <n v="0"/>
    <m/>
    <n v="3"/>
    <s v="No"/>
    <m/>
  </r>
  <r>
    <s v="STERLING"/>
    <x v="287"/>
    <s v="No"/>
    <n v="72766.869252000004"/>
    <n v="7.8336243662792729E-4"/>
    <n v="79388.34"/>
    <n v="6.3742020335832397E-4"/>
    <n v="64346.015412000001"/>
    <n v="6.9270881018502887E-4"/>
    <n v="41347.040000000001"/>
    <n v="3.319812285414301E-4"/>
    <n v="8420.8538399999998"/>
    <n v="9.0653626442898397E-5"/>
    <n v="38041.300000000003"/>
    <n v="3.0543897481689393E-4"/>
    <m/>
    <e v="#N/A"/>
    <e v="#N/A"/>
    <m/>
  </r>
  <r>
    <s v="STONINGTON"/>
    <x v="222"/>
    <s v="No"/>
    <n v="40.494720000000001"/>
    <n v="4.3594073588501649E-7"/>
    <n v="123169.66"/>
    <n v="9.8894661010389719E-4"/>
    <n v="40.494720000000001"/>
    <n v="4.3594073588501649E-7"/>
    <n v="123169.66"/>
    <n v="9.8894661010389719E-4"/>
    <n v="0"/>
    <n v="0"/>
    <n v="0"/>
    <n v="0"/>
    <m/>
    <n v="4"/>
    <s v="No"/>
    <m/>
  </r>
  <r>
    <s v="STONINGTON"/>
    <x v="226"/>
    <s v="No"/>
    <n v="116584.636014"/>
    <n v="1.2550770079859783E-3"/>
    <n v="293783.42749999999"/>
    <n v="2.358828665523872E-3"/>
    <n v="85225.010934000005"/>
    <n v="9.1747896966262602E-4"/>
    <n v="182853.13750000001"/>
    <n v="1.4681536871782126E-3"/>
    <n v="31359.625080000002"/>
    <n v="3.3759803832335224E-4"/>
    <n v="110930.29"/>
    <n v="8.9067497834565952E-4"/>
    <m/>
    <n v="5"/>
    <s v="No"/>
    <m/>
  </r>
  <r>
    <s v="STONINGTON"/>
    <x v="228"/>
    <s v="No"/>
    <n v="427.87038000000001"/>
    <n v="4.6061839252278231E-6"/>
    <n v="0"/>
    <n v="0"/>
    <n v="427.87038000000001"/>
    <n v="4.6061839252278231E-6"/>
    <n v="0"/>
    <n v="0"/>
    <n v="0"/>
    <n v="0"/>
    <n v="0"/>
    <n v="0"/>
    <m/>
    <n v="2"/>
    <s v="No"/>
    <m/>
  </r>
  <r>
    <s v="STONINGTON"/>
    <x v="526"/>
    <s v="No"/>
    <n v="47347.379099999998"/>
    <n v="5.0971216215548224E-4"/>
    <n v="23702.744999999999"/>
    <n v="1.9031268997500762E-4"/>
    <n v="47347.379099999998"/>
    <n v="5.0971216215548224E-4"/>
    <n v="23702.744999999999"/>
    <n v="1.9031268997500762E-4"/>
    <n v="0"/>
    <n v="0"/>
    <n v="0"/>
    <n v="0"/>
    <m/>
    <n v="1"/>
    <s v="No"/>
    <m/>
  </r>
  <r>
    <s v="STONINGTON"/>
    <x v="527"/>
    <s v="No"/>
    <n v="40340.074026000002"/>
    <n v="4.3427591440440828E-4"/>
    <n v="35105.31"/>
    <n v="2.8186549610631744E-4"/>
    <n v="40340.074026000002"/>
    <n v="4.3427591440440828E-4"/>
    <n v="35105.31"/>
    <n v="2.8186549610631744E-4"/>
    <n v="0"/>
    <n v="0"/>
    <n v="0"/>
    <n v="0"/>
    <m/>
    <n v="4"/>
    <s v="No"/>
    <m/>
  </r>
  <r>
    <s v="STONINGTON"/>
    <x v="528"/>
    <s v="No"/>
    <n v="59627.732829000008"/>
    <n v="6.4191474169050724E-4"/>
    <n v="43198.025000000001"/>
    <n v="3.4684304874214481E-4"/>
    <n v="59627.732829000008"/>
    <n v="6.4191474169050724E-4"/>
    <n v="43198.025000000001"/>
    <n v="3.4684304874214481E-4"/>
    <n v="0"/>
    <n v="0"/>
    <n v="0"/>
    <n v="0"/>
    <m/>
    <n v="2"/>
    <s v="No"/>
    <m/>
  </r>
  <r>
    <s v="STONINGTON"/>
    <x v="529"/>
    <s v="No"/>
    <n v="6979.192059"/>
    <n v="7.5133600678886609E-5"/>
    <n v="1213.375"/>
    <n v="9.7423593848908594E-6"/>
    <n v="6979.192059"/>
    <n v="7.5133600678886609E-5"/>
    <n v="1213.375"/>
    <n v="9.7423593848908594E-6"/>
    <n v="0"/>
    <n v="0"/>
    <n v="0"/>
    <n v="0"/>
    <m/>
    <n v="3"/>
    <s v="No"/>
    <m/>
  </r>
  <r>
    <s v="STONINGTON"/>
    <x v="530"/>
    <s v="No"/>
    <n v="27787.212180000002"/>
    <n v="2.9913968354250366E-4"/>
    <n v="18165.86"/>
    <n v="1.458562576743492E-4"/>
    <n v="27787.212180000002"/>
    <n v="2.9913968354250366E-4"/>
    <n v="18165.86"/>
    <n v="1.458562576743492E-4"/>
    <n v="0"/>
    <n v="0"/>
    <n v="0"/>
    <n v="0"/>
    <m/>
    <n v="1"/>
    <s v="No"/>
    <m/>
  </r>
  <r>
    <s v="SUFFIELD"/>
    <x v="136"/>
    <s v="No"/>
    <n v="112.98819"/>
    <n v="1.2163599277860437E-6"/>
    <n v="10607.365"/>
    <n v="8.5168032930225883E-5"/>
    <n v="112.98819"/>
    <n v="1.2163599277860437E-6"/>
    <n v="10607.365"/>
    <n v="8.5168032930225883E-5"/>
    <n v="0"/>
    <n v="0"/>
    <n v="0"/>
    <n v="0"/>
    <m/>
    <n v="3"/>
    <s v="No"/>
    <m/>
  </r>
  <r>
    <s v="SUFFIELD"/>
    <x v="137"/>
    <s v="No"/>
    <n v="54529.115277000004"/>
    <n v="5.8702622566631586E-4"/>
    <n v="55086.004999999997"/>
    <n v="4.4229332052159864E-4"/>
    <n v="54529.115277000004"/>
    <n v="5.8702622566631586E-4"/>
    <n v="55086.004999999997"/>
    <n v="4.4229332052159864E-4"/>
    <n v="0"/>
    <n v="0"/>
    <n v="0"/>
    <n v="0"/>
    <m/>
    <n v="1"/>
    <s v="No"/>
    <m/>
  </r>
  <r>
    <s v="SUFFIELD"/>
    <x v="531"/>
    <s v="No"/>
    <n v="679952.50427999999"/>
    <n v="7.3199418364340582E-3"/>
    <n v="285063.66500000004"/>
    <n v="2.2888164598777248E-3"/>
    <n v="157747.31700000001"/>
    <n v="1.698208592549028E-3"/>
    <n v="238144.76500000001"/>
    <n v="1.9120979798169389E-3"/>
    <n v="522205.18728000001"/>
    <n v="5.6217332438850314E-3"/>
    <n v="46918.9"/>
    <n v="3.7671848006078562E-4"/>
    <m/>
    <n v="4"/>
    <s v="No"/>
    <m/>
  </r>
  <r>
    <s v="SUFFIELD"/>
    <x v="532"/>
    <s v="No"/>
    <n v="38110.940637"/>
    <n v="4.1027846362597293E-4"/>
    <n v="49642.815000000002"/>
    <n v="3.9858917861967713E-4"/>
    <n v="38110.940637"/>
    <n v="4.1027846362597293E-4"/>
    <n v="49642.815000000002"/>
    <n v="3.9858917861967713E-4"/>
    <n v="0"/>
    <n v="0"/>
    <n v="0"/>
    <n v="0"/>
    <m/>
    <n v="1"/>
    <s v="No"/>
    <m/>
  </r>
  <r>
    <s v="THOMASTON"/>
    <x v="295"/>
    <s v="No"/>
    <n v="1484.7410339999999"/>
    <n v="1.5983789959793281E-5"/>
    <n v="0"/>
    <n v="0"/>
    <n v="1484.7410339999999"/>
    <n v="1.5983789959793281E-5"/>
    <n v="0"/>
    <n v="0"/>
    <n v="0"/>
    <n v="0"/>
    <n v="0"/>
    <n v="0"/>
    <m/>
    <n v="1"/>
    <s v="No"/>
    <m/>
  </r>
  <r>
    <s v="THOMASTON"/>
    <x v="296"/>
    <s v="No"/>
    <n v="58745.166249000002"/>
    <n v="6.3241358390122692E-4"/>
    <n v="79376.61"/>
    <n v="6.3732602153029492E-4"/>
    <n v="58745.166249000002"/>
    <n v="6.3241358390122692E-4"/>
    <n v="79376.61"/>
    <n v="6.3732602153029492E-4"/>
    <n v="0"/>
    <n v="0"/>
    <n v="0"/>
    <n v="0"/>
    <m/>
    <n v="1"/>
    <s v="No"/>
    <m/>
  </r>
  <r>
    <s v="THOMASTON"/>
    <x v="277"/>
    <s v="No"/>
    <n v="124094.57552099999"/>
    <n v="1.3359243025254524E-3"/>
    <n v="133768.95999999999"/>
    <n v="1.0740498880091396E-3"/>
    <n v="69789.499310999992"/>
    <n v="7.5130994081905463E-4"/>
    <n v="116925.56"/>
    <n v="9.3881184860378632E-4"/>
    <n v="54305.076209999999"/>
    <n v="5.8461436170639781E-4"/>
    <n v="16843.400000000001"/>
    <n v="1.3523803940535342E-4"/>
    <m/>
    <n v="1"/>
    <s v="No"/>
    <m/>
  </r>
  <r>
    <s v="THOMPSON"/>
    <x v="533"/>
    <s v="No"/>
    <n v="66740.186520000003"/>
    <n v="7.18482953447562E-4"/>
    <n v="40704.925000000003"/>
    <n v="3.2682559644382699E-4"/>
    <n v="66740.186520000003"/>
    <n v="7.18482953447562E-4"/>
    <n v="40704.925000000003"/>
    <n v="3.2682559644382699E-4"/>
    <n v="0"/>
    <n v="0"/>
    <n v="0"/>
    <n v="0"/>
    <m/>
    <n v="2"/>
    <s v="No"/>
    <m/>
  </r>
  <r>
    <s v="THOMPSON"/>
    <x v="534"/>
    <s v="No"/>
    <n v="102251.076816"/>
    <n v="1.1007709072245069E-3"/>
    <n v="159345.94999999998"/>
    <n v="1.2794111560126501E-3"/>
    <n v="96273.130716"/>
    <n v="1.0364160920309467E-3"/>
    <n v="150507.54999999999"/>
    <n v="1.208446393109657E-3"/>
    <n v="5977.9461000000001"/>
    <n v="6.4354815193560158E-5"/>
    <n v="8838.4"/>
    <n v="7.09647629029932E-5"/>
    <m/>
    <n v="2"/>
    <s v="No"/>
    <m/>
  </r>
  <r>
    <s v="THOMPSON"/>
    <x v="458"/>
    <s v="No"/>
    <n v="44.223480000000002"/>
    <n v="4.7608222540114632E-7"/>
    <n v="0"/>
    <n v="0"/>
    <n v="44.223480000000002"/>
    <n v="4.7608222540114632E-7"/>
    <n v="0"/>
    <n v="0"/>
    <n v="0"/>
    <n v="0"/>
    <n v="0"/>
    <n v="0"/>
    <m/>
    <n v="1"/>
    <s v="No"/>
    <m/>
  </r>
  <r>
    <s v="TOLLAND"/>
    <x v="39"/>
    <s v="No"/>
    <n v="270.15156000000002"/>
    <n v="2.9082821134924548E-6"/>
    <n v="0"/>
    <n v="0"/>
    <n v="270.15156000000002"/>
    <n v="2.9082821134924548E-6"/>
    <n v="0"/>
    <n v="0"/>
    <n v="0"/>
    <n v="0"/>
    <n v="0"/>
    <n v="0"/>
    <m/>
    <n v="4"/>
    <s v="No"/>
    <m/>
  </r>
  <r>
    <s v="TOLLAND"/>
    <x v="535"/>
    <s v="No"/>
    <n v="203245.89236699999"/>
    <n v="2.1880176942593215E-3"/>
    <n v="498449.17499999999"/>
    <n v="4.0021188815925462E-3"/>
    <n v="171347.98310700001"/>
    <n v="1.844624826349681E-3"/>
    <n v="473928.47499999998"/>
    <n v="3.8052387153050481E-3"/>
    <n v="31897.90926"/>
    <n v="3.4339286790964057E-4"/>
    <n v="24520.7"/>
    <n v="1.9688016628749834E-4"/>
    <m/>
    <n v="2"/>
    <s v="No"/>
    <m/>
  </r>
  <r>
    <s v="TOLLAND"/>
    <x v="536"/>
    <s v="No"/>
    <n v="61303.583922000005"/>
    <n v="6.5995590258052274E-4"/>
    <n v="57496.474999999999"/>
    <n v="4.6164732487021133E-4"/>
    <n v="61303.583922000005"/>
    <n v="6.5995590258052274E-4"/>
    <n v="57496.474999999999"/>
    <n v="4.6164732487021133E-4"/>
    <n v="0"/>
    <n v="0"/>
    <n v="0"/>
    <n v="0"/>
    <m/>
    <n v="4"/>
    <s v="No"/>
    <m/>
  </r>
  <r>
    <s v="TORRINGTON"/>
    <x v="537"/>
    <s v="No"/>
    <n v="46978.149267000001"/>
    <n v="5.0573726554899319E-4"/>
    <n v="56563.3"/>
    <n v="4.5415473089143685E-4"/>
    <n v="46978.149267000001"/>
    <n v="5.0573726554899319E-4"/>
    <n v="56563.3"/>
    <n v="4.5415473089143685E-4"/>
    <n v="0"/>
    <n v="0"/>
    <n v="0"/>
    <n v="0"/>
    <m/>
    <n v="3"/>
    <s v="No"/>
    <m/>
  </r>
  <r>
    <s v="TORRINGTON"/>
    <x v="538"/>
    <s v="No"/>
    <n v="20265.39039"/>
    <n v="2.1816447180308301E-4"/>
    <n v="5612.24"/>
    <n v="4.5061468247046356E-5"/>
    <n v="20265.39039"/>
    <n v="2.1816447180308301E-4"/>
    <n v="5612.24"/>
    <n v="4.5061468247046356E-5"/>
    <n v="0"/>
    <n v="0"/>
    <n v="0"/>
    <n v="0"/>
    <m/>
    <n v="2"/>
    <s v="No"/>
    <m/>
  </r>
  <r>
    <s v="TORRINGTON"/>
    <x v="539"/>
    <s v="No"/>
    <n v="15107.104950000001"/>
    <n v="1.6263360875183667E-4"/>
    <n v="14784.33"/>
    <n v="1.1870547532693807E-4"/>
    <n v="15107.104950000001"/>
    <n v="1.6263360875183667E-4"/>
    <n v="14784.33"/>
    <n v="1.1870547532693807E-4"/>
    <n v="0"/>
    <n v="0"/>
    <n v="0"/>
    <n v="0"/>
    <m/>
    <n v="2"/>
    <s v="Yes"/>
    <m/>
  </r>
  <r>
    <s v="TORRINGTON"/>
    <x v="276"/>
    <s v="No"/>
    <n v="28510.833119999999"/>
    <n v="3.0692973234603673E-4"/>
    <n v="28110.3"/>
    <n v="2.2570157207548987E-4"/>
    <n v="28510.833119999999"/>
    <n v="3.0692973234603673E-4"/>
    <n v="28110.3"/>
    <n v="2.2570157207548987E-4"/>
    <n v="0"/>
    <n v="0"/>
    <n v="0"/>
    <n v="0"/>
    <m/>
    <n v="3"/>
    <s v="No"/>
    <m/>
  </r>
  <r>
    <s v="TORRINGTON"/>
    <x v="540"/>
    <s v="No"/>
    <n v="20394.061107000001"/>
    <n v="2.1954965997220314E-4"/>
    <n v="45042.37"/>
    <n v="3.6165155544429917E-4"/>
    <n v="20394.061107000001"/>
    <n v="2.1954965997220314E-4"/>
    <n v="45042.37"/>
    <n v="3.6165155544429917E-4"/>
    <n v="0"/>
    <n v="0"/>
    <n v="0"/>
    <n v="0"/>
    <m/>
    <n v="1"/>
    <s v="No"/>
    <m/>
  </r>
  <r>
    <s v="TORRINGTON"/>
    <x v="541"/>
    <s v="No"/>
    <n v="35280.058799999999"/>
    <n v="3.7980296679020501E-4"/>
    <n v="18001.21"/>
    <n v="1.4453425955116198E-4"/>
    <n v="35280.058799999999"/>
    <n v="3.7980296679020501E-4"/>
    <n v="18001.21"/>
    <n v="1.4453425955116198E-4"/>
    <n v="0"/>
    <n v="0"/>
    <n v="0"/>
    <n v="0"/>
    <m/>
    <n v="3"/>
    <s v="No"/>
    <m/>
  </r>
  <r>
    <s v="TORRINGTON"/>
    <x v="542"/>
    <s v="No"/>
    <n v="43225.474488"/>
    <n v="4.653383245341053E-4"/>
    <n v="22009.26"/>
    <n v="1.7671545953683155E-4"/>
    <n v="43225.474488"/>
    <n v="4.653383245341053E-4"/>
    <n v="22009.26"/>
    <n v="1.7671545953683155E-4"/>
    <n v="0"/>
    <n v="0"/>
    <n v="0"/>
    <n v="0"/>
    <m/>
    <n v="1"/>
    <s v="No"/>
    <m/>
  </r>
  <r>
    <s v="TORRINGTON"/>
    <x v="543"/>
    <s v="No"/>
    <n v="445883.81766599999"/>
    <n v="4.8001052876161764E-3"/>
    <n v="841677.91399999999"/>
    <n v="6.7579509422175839E-3"/>
    <n v="251438.46785399999"/>
    <n v="2.7068287101645306E-3"/>
    <n v="377459.93"/>
    <n v="3.0306791317241139E-3"/>
    <n v="194445.349812"/>
    <n v="2.0932765774516462E-3"/>
    <n v="464217.984"/>
    <n v="3.7272718104934704E-3"/>
    <m/>
    <n v="1"/>
    <s v="No"/>
    <m/>
  </r>
  <r>
    <s v="TORRINGTON"/>
    <x v="544"/>
    <s v="No"/>
    <n v="22948.7307"/>
    <n v="2.4705162917499046E-4"/>
    <n v="24077.17"/>
    <n v="1.9331900122477604E-4"/>
    <n v="22948.7307"/>
    <n v="2.4705162917499046E-4"/>
    <n v="24077.17"/>
    <n v="1.9331900122477604E-4"/>
    <n v="0"/>
    <n v="0"/>
    <n v="0"/>
    <n v="0"/>
    <m/>
    <n v="3"/>
    <s v="No"/>
    <m/>
  </r>
  <r>
    <s v="TORRINGTON"/>
    <x v="545"/>
    <s v="No"/>
    <n v="43171.448040000003"/>
    <n v="4.6475670970880532E-4"/>
    <n v="32602.01"/>
    <n v="2.617661465662352E-4"/>
    <n v="43171.448040000003"/>
    <n v="4.6475670970880532E-4"/>
    <n v="32602.01"/>
    <n v="2.617661465662352E-4"/>
    <n v="0"/>
    <n v="0"/>
    <n v="0"/>
    <n v="0"/>
    <m/>
    <n v="4"/>
    <s v="Yes"/>
    <m/>
  </r>
  <r>
    <s v="TORRINGTON"/>
    <x v="546"/>
    <s v="No"/>
    <n v="24409.89747"/>
    <n v="2.6278163340676515E-4"/>
    <n v="24823.07"/>
    <n v="1.9930793775733201E-4"/>
    <n v="24409.89747"/>
    <n v="2.6278163340676515E-4"/>
    <n v="24823.07"/>
    <n v="1.9930793775733201E-4"/>
    <n v="0"/>
    <n v="0"/>
    <n v="0"/>
    <n v="0"/>
    <m/>
    <n v="2"/>
    <s v="No"/>
    <m/>
  </r>
  <r>
    <s v="TORRINGTON"/>
    <x v="547"/>
    <s v="No"/>
    <n v="31.573710000000002"/>
    <n v="3.399027421851566E-7"/>
    <n v="0"/>
    <n v="0"/>
    <n v="31.573710000000002"/>
    <n v="3.399027421851566E-7"/>
    <n v="0"/>
    <n v="0"/>
    <n v="0"/>
    <n v="0"/>
    <n v="0"/>
    <n v="0"/>
    <m/>
    <n v="3"/>
    <s v="No"/>
    <m/>
  </r>
  <r>
    <s v="UNION"/>
    <x v="501"/>
    <s v="No"/>
    <n v="1850.545431"/>
    <n v="1.9921810472545431E-5"/>
    <n v="0"/>
    <n v="0"/>
    <n v="1850.545431"/>
    <n v="1.9921810472545431E-5"/>
    <n v="0"/>
    <n v="0"/>
    <n v="0"/>
    <n v="0"/>
    <n v="0"/>
    <n v="0"/>
    <m/>
    <n v="2"/>
    <s v="No"/>
    <m/>
  </r>
  <r>
    <s v="UNION"/>
    <x v="502"/>
    <s v="No"/>
    <n v="17537.232026999998"/>
    <n v="1.8879483140608598E-4"/>
    <n v="28395.01"/>
    <n v="2.2798754890909222E-4"/>
    <n v="13524.197547"/>
    <n v="1.4559302128508395E-4"/>
    <n v="27261.01"/>
    <n v="2.1888250261881408E-4"/>
    <n v="4013.0344800000003"/>
    <n v="4.3201810121002056E-5"/>
    <n v="1134"/>
    <n v="9.105046290278136E-6"/>
    <m/>
    <n v="4"/>
    <s v="No"/>
    <m/>
  </r>
  <r>
    <s v="UNION"/>
    <x v="483"/>
    <s v="No"/>
    <n v="41.359290000000001"/>
    <n v="4.4524815379095848E-7"/>
    <n v="0"/>
    <n v="0"/>
    <n v="41.359290000000001"/>
    <n v="4.4524815379095848E-7"/>
    <n v="0"/>
    <n v="0"/>
    <n v="0"/>
    <n v="0"/>
    <n v="0"/>
    <n v="0"/>
    <m/>
    <n v="4"/>
    <s v="No"/>
    <m/>
  </r>
  <r>
    <s v="VERNON"/>
    <x v="484"/>
    <s v="No"/>
    <n v="162.26867999999999"/>
    <n v="1.746882748424739E-6"/>
    <n v="1618.75"/>
    <n v="1.2997172559424809E-5"/>
    <n v="162.26867999999999"/>
    <n v="1.746882748424739E-6"/>
    <n v="1618.75"/>
    <n v="1.2997172559424809E-5"/>
    <n v="0"/>
    <n v="0"/>
    <n v="0"/>
    <n v="0"/>
    <m/>
    <n v="4"/>
    <s v="No"/>
    <m/>
  </r>
  <r>
    <s v="VERNON"/>
    <x v="302"/>
    <s v="No"/>
    <n v="285.68484000000001"/>
    <n v="3.0755036553109439E-6"/>
    <n v="0"/>
    <n v="0"/>
    <n v="285.68484000000001"/>
    <n v="3.0755036553109439E-6"/>
    <n v="0"/>
    <n v="0"/>
    <n v="0"/>
    <n v="0"/>
    <n v="0"/>
    <n v="0"/>
    <m/>
    <n v="3"/>
    <s v="No"/>
    <m/>
  </r>
  <r>
    <s v="VERNON"/>
    <x v="548"/>
    <s v="No"/>
    <n v="19799.478930000001"/>
    <n v="2.1314876148999373E-4"/>
    <n v="13785.48"/>
    <n v="1.1068556749003831E-4"/>
    <n v="19799.478930000001"/>
    <n v="2.1314876148999373E-4"/>
    <n v="13785.48"/>
    <n v="1.1068556749003831E-4"/>
    <n v="0"/>
    <n v="0"/>
    <n v="0"/>
    <n v="0"/>
    <m/>
    <n v="5"/>
    <s v="No"/>
    <m/>
  </r>
  <r>
    <s v="VERNON"/>
    <x v="549"/>
    <s v="No"/>
    <n v="44244.281844000005"/>
    <n v="4.763061649957682E-4"/>
    <n v="41263.214999999997"/>
    <n v="3.3130818576781231E-4"/>
    <n v="44244.281844000005"/>
    <n v="4.763061649957682E-4"/>
    <n v="41263.214999999997"/>
    <n v="3.3130818576781231E-4"/>
    <n v="0"/>
    <n v="0"/>
    <n v="0"/>
    <n v="0"/>
    <m/>
    <n v="4"/>
    <s v="No"/>
    <m/>
  </r>
  <r>
    <s v="VERNON"/>
    <x v="550"/>
    <s v="No"/>
    <n v="42821.970492"/>
    <n v="4.6099445380358081E-4"/>
    <n v="20861.705000000002"/>
    <n v="1.6750157823556161E-4"/>
    <n v="42821.970492"/>
    <n v="4.6099445380358081E-4"/>
    <n v="20861.705000000002"/>
    <n v="1.6750157823556161E-4"/>
    <n v="0"/>
    <n v="0"/>
    <n v="0"/>
    <n v="0"/>
    <m/>
    <n v="2"/>
    <s v="No"/>
    <m/>
  </r>
  <r>
    <s v="VERNON"/>
    <x v="551"/>
    <s v="No"/>
    <n v="352011.71472599998"/>
    <n v="3.789537153431334E-3"/>
    <n v="619875.90500000003"/>
    <n v="4.9770712603642445E-3"/>
    <n v="205215.11524499999"/>
    <n v="2.209217111629214E-3"/>
    <n v="545177.29500000004"/>
    <n v="4.3773055620666837E-3"/>
    <n v="146796.59948100001"/>
    <n v="1.5803200418021207E-3"/>
    <n v="74698.61"/>
    <n v="5.9976569829756023E-4"/>
    <m/>
    <n v="5"/>
    <s v="No"/>
    <m/>
  </r>
  <r>
    <s v="VERNON"/>
    <x v="552"/>
    <s v="No"/>
    <n v="36310.123437000002"/>
    <n v="3.9089199607261304E-4"/>
    <n v="23887.19"/>
    <n v="1.9179362495120724E-4"/>
    <n v="36310.123437000002"/>
    <n v="3.9089199607261304E-4"/>
    <n v="23887.19"/>
    <n v="1.9179362495120724E-4"/>
    <n v="0"/>
    <n v="0"/>
    <n v="0"/>
    <n v="0"/>
    <m/>
    <n v="5"/>
    <s v="No"/>
    <m/>
  </r>
  <r>
    <s v="VERNON"/>
    <x v="553"/>
    <s v="No"/>
    <n v="37242.180612000004"/>
    <n v="4.0092593854107336E-4"/>
    <n v="48754.07"/>
    <n v="3.9145331939105873E-4"/>
    <n v="37242.180612000004"/>
    <n v="4.0092593854107336E-4"/>
    <n v="48754.07"/>
    <n v="3.9145331939105873E-4"/>
    <n v="0"/>
    <n v="0"/>
    <n v="0"/>
    <n v="0"/>
    <m/>
    <n v="4"/>
    <s v="No"/>
    <m/>
  </r>
  <r>
    <s v="VERNON"/>
    <x v="39"/>
    <s v="No"/>
    <n v="30897.422094000001"/>
    <n v="3.326222511134372E-4"/>
    <n v="25912.400000000001"/>
    <n v="2.0805432230353016E-4"/>
    <n v="30897.422094000001"/>
    <n v="3.326222511134372E-4"/>
    <n v="25912.400000000001"/>
    <n v="2.0805432230353016E-4"/>
    <n v="0"/>
    <n v="0"/>
    <n v="0"/>
    <n v="0"/>
    <m/>
    <n v="4"/>
    <s v="No"/>
    <m/>
  </r>
  <r>
    <s v="VERNON"/>
    <x v="166"/>
    <s v="No"/>
    <n v="342.93966"/>
    <n v="3.6918731070262332E-6"/>
    <n v="0"/>
    <n v="0"/>
    <n v="342.93966"/>
    <n v="3.6918731070262332E-6"/>
    <n v="0"/>
    <n v="0"/>
    <n v="0"/>
    <n v="0"/>
    <n v="0"/>
    <n v="0"/>
    <m/>
    <n v="4"/>
    <s v="No"/>
    <m/>
  </r>
  <r>
    <s v="VOLUNTOWN"/>
    <x v="426"/>
    <s v="No"/>
    <n v="60654.256592999998"/>
    <n v="6.5296565215689926E-4"/>
    <n v="129827.41500000001"/>
    <n v="1.0424026660689155E-3"/>
    <n v="49383.412952999999"/>
    <n v="5.31630824543162E-4"/>
    <n v="81345.205000000002"/>
    <n v="6.5313214904511865E-4"/>
    <n v="11270.843640000001"/>
    <n v="1.2133482761373725E-4"/>
    <n v="48482.21"/>
    <n v="3.8927051702379681E-4"/>
    <m/>
    <n v="2"/>
    <s v="No"/>
    <m/>
  </r>
  <r>
    <s v="WARREN"/>
    <x v="105"/>
    <s v="No"/>
    <n v="673.37976300000003"/>
    <n v="7.2491838297016995E-6"/>
    <n v="200"/>
    <n v="1.6058282698903241E-6"/>
    <n v="673.37976300000003"/>
    <n v="7.2491838297016995E-6"/>
    <n v="200"/>
    <n v="1.6058282698903241E-6"/>
    <n v="0"/>
    <n v="0"/>
    <n v="0"/>
    <n v="0"/>
    <m/>
    <n v="3"/>
    <s v="No"/>
    <m/>
  </r>
  <r>
    <s v="WARREN"/>
    <x v="106"/>
    <s v="No"/>
    <n v="24777.743991000003"/>
    <n v="2.6674163814460468E-4"/>
    <n v="54379.39"/>
    <n v="4.3661980880695589E-4"/>
    <n v="24777.743991000003"/>
    <n v="2.6674163814460468E-4"/>
    <n v="54379.39"/>
    <n v="4.3661980880695589E-4"/>
    <n v="0"/>
    <n v="0"/>
    <n v="0"/>
    <n v="0"/>
    <m/>
    <n v="1"/>
    <s v="No"/>
    <m/>
  </r>
  <r>
    <s v="WARREN"/>
    <x v="281"/>
    <s v="No"/>
    <n v="72.126390000000001"/>
    <n v="7.7646743904710768E-7"/>
    <n v="0"/>
    <n v="0"/>
    <n v="72.126390000000001"/>
    <n v="7.7646743904710768E-7"/>
    <n v="0"/>
    <n v="0"/>
    <n v="0"/>
    <n v="0"/>
    <n v="0"/>
    <n v="0"/>
    <m/>
    <n v="2"/>
    <s v="No"/>
    <m/>
  </r>
  <r>
    <s v="WARREN"/>
    <x v="412"/>
    <s v="No"/>
    <n v="18056.466204"/>
    <n v="1.9438458061828034E-4"/>
    <n v="11356.949999999999"/>
    <n v="9.1186556848654566E-5"/>
    <n v="14924.056644"/>
    <n v="1.6066302559383122E-4"/>
    <n v="10880.07"/>
    <n v="8.7357619921928079E-5"/>
    <n v="3132.4095600000001"/>
    <n v="3.3721555024449128E-5"/>
    <n v="476.88"/>
    <n v="3.8289369267264885E-6"/>
    <m/>
    <n v="3"/>
    <s v="No"/>
    <m/>
  </r>
  <r>
    <s v="WASHINGTON"/>
    <x v="409"/>
    <s v="No"/>
    <n v="66.504270000000005"/>
    <n v="7.1594322428444561E-7"/>
    <n v="21922.17"/>
    <n v="1.7601620161670779E-4"/>
    <n v="66.504270000000005"/>
    <n v="7.1594322428444561E-7"/>
    <n v="21922.17"/>
    <n v="1.7601620161670779E-4"/>
    <n v="0"/>
    <n v="0"/>
    <n v="0"/>
    <n v="0"/>
    <m/>
    <n v="4"/>
    <s v="No"/>
    <m/>
  </r>
  <r>
    <s v="WASHINGTON"/>
    <x v="280"/>
    <s v="No"/>
    <n v="107.05212"/>
    <n v="1.1524559243983189E-6"/>
    <n v="0"/>
    <n v="0"/>
    <n v="107.05212"/>
    <n v="1.1524559243983189E-6"/>
    <n v="0"/>
    <n v="0"/>
    <n v="0"/>
    <n v="0"/>
    <n v="0"/>
    <n v="0"/>
    <m/>
    <n v="4"/>
    <s v="No"/>
    <m/>
  </r>
  <r>
    <s v="WASHINGTON"/>
    <x v="106"/>
    <s v="No"/>
    <n v="1711.09512"/>
    <n v="1.8420575961065062E-5"/>
    <n v="0"/>
    <n v="0"/>
    <n v="1711.09512"/>
    <n v="1.8420575961065062E-5"/>
    <n v="0"/>
    <n v="0"/>
    <n v="0"/>
    <n v="0"/>
    <n v="0"/>
    <n v="0"/>
    <m/>
    <n v="1"/>
    <s v="No"/>
    <m/>
  </r>
  <r>
    <s v="WASHINGTON"/>
    <x v="412"/>
    <s v="No"/>
    <n v="162107.21744699997"/>
    <n v="1.7451445439335684E-3"/>
    <n v="80067.759999999995"/>
    <n v="6.4287536257396835E-4"/>
    <n v="133166.11826699998"/>
    <n v="1.4335828372752572E-3"/>
    <n v="79339.759999999995"/>
    <n v="6.3703014767156759E-4"/>
    <n v="28941.099180000001"/>
    <n v="3.1156170665831121E-4"/>
    <n v="728"/>
    <n v="5.8452149024007792E-6"/>
    <m/>
    <n v="3"/>
    <s v="No"/>
    <m/>
  </r>
  <r>
    <s v="WASHINGTON"/>
    <x v="29"/>
    <s v="No"/>
    <n v="473.65395000000001"/>
    <n v="5.0990611002581273E-6"/>
    <n v="2065.66"/>
    <n v="1.658547611990823E-5"/>
    <n v="473.65395000000001"/>
    <n v="5.0990611002581273E-6"/>
    <n v="2065.66"/>
    <n v="1.658547611990823E-5"/>
    <n v="0"/>
    <n v="0"/>
    <n v="0"/>
    <n v="0"/>
    <m/>
    <n v="1"/>
    <s v="No"/>
    <m/>
  </r>
  <r>
    <s v="WATERBURY"/>
    <x v="364"/>
    <s v="No"/>
    <n v="389.16275999999999"/>
    <n v="4.1894819861316255E-6"/>
    <n v="2014.33"/>
    <n v="1.6173340294440879E-5"/>
    <n v="389.16275999999999"/>
    <n v="4.1894819861316255E-6"/>
    <n v="2014.33"/>
    <n v="1.6173340294440879E-5"/>
    <n v="0"/>
    <n v="0"/>
    <n v="0"/>
    <n v="0"/>
    <m/>
    <n v="2"/>
    <s v="No"/>
    <m/>
  </r>
  <r>
    <s v="WATERBURY"/>
    <x v="87"/>
    <s v="No"/>
    <n v="415.863"/>
    <n v="4.4769200095061923E-6"/>
    <n v="6600.93"/>
    <n v="5.2999800007835685E-5"/>
    <n v="415.863"/>
    <n v="4.4769200095061923E-6"/>
    <n v="6600.93"/>
    <n v="5.2999800007835685E-5"/>
    <n v="0"/>
    <n v="0"/>
    <n v="0"/>
    <n v="0"/>
    <m/>
    <n v="1"/>
    <s v="No"/>
    <m/>
  </r>
  <r>
    <s v="WATERBURY"/>
    <x v="554"/>
    <s v="Yes"/>
    <n v="23434.522440000001"/>
    <n v="2.522813581031683E-4"/>
    <n v="12399.57"/>
    <n v="9.9557900202419818E-5"/>
    <n v="23434.522440000001"/>
    <n v="2.522813581031683E-4"/>
    <n v="12399.57"/>
    <n v="9.9557900202419818E-5"/>
    <n v="0"/>
    <n v="0"/>
    <n v="0"/>
    <n v="0"/>
    <m/>
    <n v="5"/>
    <e v="#N/A"/>
    <m/>
  </r>
  <r>
    <s v="WATERBURY"/>
    <x v="555"/>
    <s v="Yes"/>
    <n v="28879.834493999999"/>
    <n v="3.1090216950634163E-4"/>
    <n v="13582.24"/>
    <n v="1.0905372480217577E-4"/>
    <n v="28879.834493999999"/>
    <n v="3.1090216950634163E-4"/>
    <n v="13582.24"/>
    <n v="1.0905372480217577E-4"/>
    <n v="0"/>
    <n v="0"/>
    <n v="0"/>
    <n v="0"/>
    <m/>
    <n v="4"/>
    <e v="#N/A"/>
    <m/>
  </r>
  <r>
    <s v="WATERBURY"/>
    <x v="556"/>
    <s v="Yes"/>
    <n v="17128.156626"/>
    <n v="1.8439098242665366E-4"/>
    <n v="5358.74"/>
    <n v="4.3026080914960371E-5"/>
    <n v="17128.156626"/>
    <n v="1.8439098242665366E-4"/>
    <n v="5358.74"/>
    <n v="4.3026080914960371E-5"/>
    <n v="0"/>
    <n v="0"/>
    <n v="0"/>
    <n v="0"/>
    <m/>
    <n v="5"/>
    <s v="Yes"/>
    <m/>
  </r>
  <r>
    <s v="WATERBURY"/>
    <x v="557"/>
    <s v="Yes"/>
    <n v="23221.326240000002"/>
    <n v="2.4998622164301032E-4"/>
    <n v="2982.93"/>
    <n v="2.3950366605519718E-5"/>
    <n v="23221.326240000002"/>
    <n v="2.4998622164301032E-4"/>
    <n v="2982.93"/>
    <n v="2.3950366605519718E-5"/>
    <n v="0"/>
    <n v="0"/>
    <n v="0"/>
    <n v="0"/>
    <m/>
    <n v="5"/>
    <s v="Yes"/>
    <m/>
  </r>
  <r>
    <s v="WATERBURY"/>
    <x v="558"/>
    <s v="Yes"/>
    <n v="20038.37556"/>
    <n v="2.1572057264667417E-4"/>
    <n v="6947.96"/>
    <n v="5.578615293033588E-5"/>
    <n v="20038.37556"/>
    <n v="2.1572057264667417E-4"/>
    <n v="6947.96"/>
    <n v="5.578615293033588E-5"/>
    <n v="0"/>
    <n v="0"/>
    <n v="0"/>
    <n v="0"/>
    <m/>
    <n v="5"/>
    <s v="Yes"/>
    <m/>
  </r>
  <r>
    <s v="WATERBURY"/>
    <x v="559"/>
    <s v="No"/>
    <n v="43880.282900999999"/>
    <n v="4.7238758086744751E-4"/>
    <n v="89050.46"/>
    <n v="7.1499873057368759E-4"/>
    <n v="43880.282900999999"/>
    <n v="4.7238758086744751E-4"/>
    <n v="89050.46"/>
    <n v="7.1499873057368759E-4"/>
    <n v="0"/>
    <n v="0"/>
    <n v="0"/>
    <n v="0"/>
    <m/>
    <n v="3"/>
    <s v="Yes"/>
    <m/>
  </r>
  <r>
    <s v="WATERBURY"/>
    <x v="560"/>
    <s v="No"/>
    <n v="16708.066409999999"/>
    <n v="1.7986855486322971E-4"/>
    <n v="20847.330000000002"/>
    <n v="1.6738615932866325E-4"/>
    <n v="16708.066409999999"/>
    <n v="1.7986855486322971E-4"/>
    <n v="20847.330000000002"/>
    <n v="1.6738615932866325E-4"/>
    <n v="0"/>
    <n v="0"/>
    <n v="0"/>
    <n v="0"/>
    <m/>
    <n v="3"/>
    <s v="No"/>
    <m/>
  </r>
  <r>
    <s v="WATERBURY"/>
    <x v="561"/>
    <s v="No"/>
    <n v="36690.453576"/>
    <n v="3.9498639160553457E-4"/>
    <n v="163625.94"/>
    <n v="1.3137758006968897E-3"/>
    <n v="36690.453576"/>
    <n v="3.9498639160553457E-4"/>
    <n v="163625.94"/>
    <n v="1.3137758006968897E-3"/>
    <n v="0"/>
    <n v="0"/>
    <n v="0"/>
    <n v="0"/>
    <m/>
    <n v="4"/>
    <s v="No"/>
    <m/>
  </r>
  <r>
    <s v="WATERBURY"/>
    <x v="562"/>
    <s v="No"/>
    <n v="46283.665784999997"/>
    <n v="4.9826089232791473E-4"/>
    <n v="43075.85"/>
    <n v="3.4586208839777554E-4"/>
    <n v="46283.665784999997"/>
    <n v="4.9826089232791473E-4"/>
    <n v="43075.85"/>
    <n v="3.4586208839777554E-4"/>
    <n v="0"/>
    <n v="0"/>
    <n v="0"/>
    <n v="0"/>
    <m/>
    <n v="5"/>
    <s v="Yes"/>
    <m/>
  </r>
  <r>
    <s v="WATERBURY"/>
    <x v="563"/>
    <s v="Yes"/>
    <n v="33114.572736000002"/>
    <n v="3.5649070315956611E-4"/>
    <n v="29954.27"/>
    <n v="2.4050706784963817E-4"/>
    <n v="33042.248316000005"/>
    <n v="3.5571210385384783E-4"/>
    <n v="29954.27"/>
    <n v="2.4050706784963817E-4"/>
    <n v="72.324420000000003"/>
    <n v="7.7859930571830116E-7"/>
    <n v="0"/>
    <n v="0"/>
    <m/>
    <n v="5"/>
    <s v="Yes"/>
    <m/>
  </r>
  <r>
    <s v="WATERBURY"/>
    <x v="564"/>
    <s v="No"/>
    <n v="42691.258617"/>
    <n v="4.5958729180872298E-4"/>
    <n v="28562.37"/>
    <n v="2.2933130600533646E-4"/>
    <n v="42691.258617"/>
    <n v="4.5958729180872298E-4"/>
    <n v="28562.37"/>
    <n v="2.2933130600533646E-4"/>
    <n v="0"/>
    <n v="0"/>
    <n v="0"/>
    <n v="0"/>
    <m/>
    <n v="5"/>
    <s v="Yes"/>
    <m/>
  </r>
  <r>
    <s v="WATERBURY"/>
    <x v="565"/>
    <s v="No"/>
    <n v="31006.797927000003"/>
    <n v="3.337997226733358E-4"/>
    <n v="18242.98"/>
    <n v="1.4647546505521891E-4"/>
    <n v="31006.797927000003"/>
    <n v="3.337997226733358E-4"/>
    <n v="18242.98"/>
    <n v="1.4647546505521891E-4"/>
    <n v="0"/>
    <n v="0"/>
    <n v="0"/>
    <n v="0"/>
    <m/>
    <n v="5"/>
    <s v="Yes"/>
    <m/>
  </r>
  <r>
    <s v="WATERBURY"/>
    <x v="566"/>
    <s v="No"/>
    <n v="1190353.5333270002"/>
    <n v="1.2814598922573164E-2"/>
    <n v="2379026.9295000001"/>
    <n v="1.9101543491107376E-2"/>
    <n v="596771.44550100004"/>
    <n v="6.4244667726279115E-3"/>
    <n v="1611142.2975000001"/>
    <n v="1.2936089240707735E-2"/>
    <n v="593582.08782600006"/>
    <n v="6.3901321499452504E-3"/>
    <n v="767884.63199999998"/>
    <n v="6.1654542503996402E-3"/>
    <m/>
    <n v="5"/>
    <s v="No"/>
    <m/>
  </r>
  <r>
    <s v="WATERBURY"/>
    <x v="567"/>
    <s v="No"/>
    <n v="30895.346160000001"/>
    <n v="3.3259990291111333E-4"/>
    <n v="118713.64"/>
    <n v="9.5316859566791376E-4"/>
    <n v="30895.346160000001"/>
    <n v="3.3259990291111333E-4"/>
    <n v="118713.64"/>
    <n v="9.5316859566791376E-4"/>
    <n v="0"/>
    <n v="0"/>
    <n v="0"/>
    <n v="0"/>
    <m/>
    <n v="3"/>
    <s v="Yes"/>
    <m/>
  </r>
  <r>
    <s v="WATERBURY"/>
    <x v="568"/>
    <s v="No"/>
    <n v="74318.513030999995"/>
    <n v="8.0006645954372132E-4"/>
    <n v="162698.62"/>
    <n v="1.3063302173407162E-3"/>
    <n v="74318.513030999995"/>
    <n v="8.0006645954372132E-4"/>
    <n v="162698.62"/>
    <n v="1.3063302173407162E-3"/>
    <n v="0"/>
    <n v="0"/>
    <n v="0"/>
    <n v="0"/>
    <m/>
    <n v="1"/>
    <s v="No"/>
    <m/>
  </r>
  <r>
    <s v="WATERBURY"/>
    <x v="569"/>
    <s v="Yes"/>
    <n v="23698.46745"/>
    <n v="2.5512282439538067E-4"/>
    <n v="33062.53"/>
    <n v="2.6546372674048465E-4"/>
    <n v="23698.46745"/>
    <n v="2.5512282439538067E-4"/>
    <n v="33062.53"/>
    <n v="2.6546372674048465E-4"/>
    <n v="0"/>
    <n v="0"/>
    <n v="0"/>
    <n v="0"/>
    <m/>
    <n v="3"/>
    <s v="Yes"/>
    <m/>
  </r>
  <r>
    <s v="WATERBURY"/>
    <x v="570"/>
    <s v="No"/>
    <n v="43962.579339000004"/>
    <n v="4.7327353265924746E-4"/>
    <n v="32703.31"/>
    <n v="2.6257949858493466E-4"/>
    <n v="43962.579339000004"/>
    <n v="4.7327353265924746E-4"/>
    <n v="32703.31"/>
    <n v="2.6257949858493466E-4"/>
    <n v="0"/>
    <n v="0"/>
    <n v="0"/>
    <n v="0"/>
    <m/>
    <n v="3"/>
    <s v="No"/>
    <m/>
  </r>
  <r>
    <s v="WATERBURY"/>
    <x v="571"/>
    <s v="No"/>
    <n v="25884.690636000003"/>
    <n v="2.7865833086421725E-4"/>
    <n v="43030.07"/>
    <n v="3.4549451430679768E-4"/>
    <n v="25884.690636000003"/>
    <n v="2.7865833086421725E-4"/>
    <n v="43030.07"/>
    <n v="3.4549451430679768E-4"/>
    <n v="0"/>
    <n v="0"/>
    <n v="0"/>
    <n v="0"/>
    <m/>
    <n v="4"/>
    <s v="No"/>
    <m/>
  </r>
  <r>
    <s v="WATERBURY"/>
    <x v="572"/>
    <s v="No"/>
    <n v="48736.955610000005"/>
    <n v="5.2467147058724657E-4"/>
    <n v="38986.54"/>
    <n v="3.1302844038604954E-4"/>
    <n v="48736.955610000005"/>
    <n v="5.2467147058724657E-4"/>
    <n v="38986.54"/>
    <n v="3.1302844038604954E-4"/>
    <n v="0"/>
    <n v="0"/>
    <n v="0"/>
    <n v="0"/>
    <m/>
    <n v="4"/>
    <s v="No"/>
    <m/>
  </r>
  <r>
    <s v="WATERBURY"/>
    <x v="573"/>
    <s v="Yes"/>
    <n v="38439.535680000001"/>
    <n v="4.1381591159088264E-4"/>
    <n v="48254.43"/>
    <n v="3.8744163920721871E-4"/>
    <n v="38439.535680000001"/>
    <n v="4.1381591159088264E-4"/>
    <n v="48254.43"/>
    <n v="3.8744163920721871E-4"/>
    <n v="0"/>
    <n v="0"/>
    <n v="0"/>
    <n v="0"/>
    <m/>
    <n v="2"/>
    <s v="No"/>
    <m/>
  </r>
  <r>
    <s v="WATERBURY"/>
    <x v="574"/>
    <s v="No"/>
    <n v="19370.41071"/>
    <n v="2.0852968237124257E-4"/>
    <n v="5523.22"/>
    <n v="4.4346714084118176E-5"/>
    <n v="19370.41071"/>
    <n v="2.0852968237124257E-4"/>
    <n v="5523.22"/>
    <n v="4.4346714084118176E-5"/>
    <n v="0"/>
    <n v="0"/>
    <n v="0"/>
    <n v="0"/>
    <m/>
    <n v="4"/>
    <s v="Yes"/>
    <m/>
  </r>
  <r>
    <s v="WATERBURY"/>
    <x v="575"/>
    <s v="No"/>
    <n v="22892.527854"/>
    <n v="2.4644658461500652E-4"/>
    <n v="24175.97"/>
    <n v="1.941122803901019E-4"/>
    <n v="22892.527854"/>
    <n v="2.4644658461500652E-4"/>
    <n v="24175.97"/>
    <n v="1.941122803901019E-4"/>
    <n v="0"/>
    <n v="0"/>
    <n v="0"/>
    <n v="0"/>
    <m/>
    <n v="2"/>
    <s v="Yes"/>
    <m/>
  </r>
  <r>
    <s v="WATERBURY"/>
    <x v="576"/>
    <s v="No"/>
    <n v="38637.741974999997"/>
    <n v="4.1594967614338085E-4"/>
    <n v="72312.13"/>
    <n v="5.8060431304992103E-4"/>
    <n v="38637.741974999997"/>
    <n v="4.1594967614338085E-4"/>
    <n v="72312.13"/>
    <n v="5.8060431304992103E-4"/>
    <n v="0"/>
    <n v="0"/>
    <n v="0"/>
    <n v="0"/>
    <m/>
    <n v="4"/>
    <s v="Yes"/>
    <m/>
  </r>
  <r>
    <s v="WATERBURY"/>
    <x v="577"/>
    <s v="No"/>
    <n v="38768.454333000001"/>
    <n v="4.1735684333791358E-4"/>
    <n v="72973.83"/>
    <n v="5.8591719588085313E-4"/>
    <n v="38768.454333000001"/>
    <n v="4.1735684333791358E-4"/>
    <n v="72973.83"/>
    <n v="5.8591719588085313E-4"/>
    <n v="0"/>
    <n v="0"/>
    <n v="0"/>
    <n v="0"/>
    <m/>
    <n v="3"/>
    <s v="No"/>
    <m/>
  </r>
  <r>
    <s v="WATERBURY"/>
    <x v="578"/>
    <s v="No"/>
    <n v="57566.171459999998"/>
    <n v="6.1972126608988607E-4"/>
    <n v="54329.26"/>
    <n v="4.3621730795110795E-4"/>
    <n v="57566.171459999998"/>
    <n v="6.1972126608988607E-4"/>
    <n v="54329.26"/>
    <n v="4.3621730795110795E-4"/>
    <n v="0"/>
    <n v="0"/>
    <n v="0"/>
    <n v="0"/>
    <m/>
    <n v="3"/>
    <s v="Yes"/>
    <m/>
  </r>
  <r>
    <s v="WATERBURY"/>
    <x v="579"/>
    <s v="No"/>
    <n v="23961.671054999999"/>
    <n v="2.5795630918676305E-4"/>
    <n v="3889.29"/>
    <n v="3.1227659159008691E-5"/>
    <n v="23961.671054999999"/>
    <n v="2.5795630918676305E-4"/>
    <n v="3889.29"/>
    <n v="3.1227659159008691E-5"/>
    <n v="0"/>
    <n v="0"/>
    <n v="0"/>
    <n v="0"/>
    <m/>
    <n v="4"/>
    <s v="Yes"/>
    <m/>
  </r>
  <r>
    <s v="WATERBURY"/>
    <x v="580"/>
    <s v="No"/>
    <n v="65231.542299000008"/>
    <n v="7.0224183678120611E-4"/>
    <n v="139502.82"/>
    <n v="1.1200878604271064E-3"/>
    <n v="65231.542299000008"/>
    <n v="7.0224183678120611E-4"/>
    <n v="139502.82"/>
    <n v="1.1200878604271064E-3"/>
    <n v="0"/>
    <n v="0"/>
    <n v="0"/>
    <n v="0"/>
    <m/>
    <n v="4"/>
    <s v="No"/>
    <m/>
  </r>
  <r>
    <s v="WATERBURY"/>
    <x v="462"/>
    <s v="No"/>
    <n v="57099.472227000006"/>
    <n v="6.1469707510718543E-4"/>
    <n v="108308.37"/>
    <n v="8.6962321205870526E-4"/>
    <n v="57099.472227000006"/>
    <n v="6.1469707510718543E-4"/>
    <n v="108308.37"/>
    <n v="8.6962321205870526E-4"/>
    <n v="0"/>
    <n v="0"/>
    <n v="0"/>
    <n v="0"/>
    <m/>
    <n v="5"/>
    <s v="No"/>
    <m/>
  </r>
  <r>
    <s v="WATERBURY"/>
    <x v="581"/>
    <s v="No"/>
    <n v="292.78010999999998"/>
    <n v="3.1518868782373618E-6"/>
    <n v="0"/>
    <n v="0"/>
    <n v="292.78010999999998"/>
    <n v="3.1518868782373618E-6"/>
    <n v="0"/>
    <n v="0"/>
    <n v="0"/>
    <n v="0"/>
    <n v="0"/>
    <n v="0"/>
    <m/>
    <n v="2"/>
    <s v="No"/>
    <m/>
  </r>
  <r>
    <s v="WATERFORD"/>
    <x v="400"/>
    <s v="No"/>
    <n v="26.410440000000001"/>
    <n v="2.8431821848989388E-7"/>
    <n v="19380.12"/>
    <n v="1.5560572284933433E-4"/>
    <n v="26.410440000000001"/>
    <n v="2.8431821848989388E-7"/>
    <n v="19380.12"/>
    <n v="1.5560572284933433E-4"/>
    <n v="0"/>
    <n v="0"/>
    <n v="0"/>
    <n v="0"/>
    <m/>
    <n v="5"/>
    <s v="No"/>
    <m/>
  </r>
  <r>
    <s v="WATERFORD"/>
    <x v="582"/>
    <s v="No"/>
    <n v="327100.77140999999"/>
    <n v="3.5213615749666118E-3"/>
    <n v="414869.36"/>
    <n v="3.3310447329965298E-3"/>
    <n v="188488.64073899999"/>
    <n v="2.0291503867597097E-3"/>
    <n v="385602.36"/>
    <n v="3.0960558531221293E-3"/>
    <n v="138612.13067099999"/>
    <n v="1.4922111882069019E-3"/>
    <n v="29267"/>
    <n v="2.3498887987440055E-4"/>
    <m/>
    <n v="4"/>
    <s v="No"/>
    <m/>
  </r>
  <r>
    <s v="WATERFORD"/>
    <x v="406"/>
    <s v="No"/>
    <n v="45235.504587000003"/>
    <n v="4.8697704682948342E-4"/>
    <n v="38042.25"/>
    <n v="3.0544660250117587E-4"/>
    <n v="45235.504587000003"/>
    <n v="4.8697704682948342E-4"/>
    <n v="38042.25"/>
    <n v="3.0544660250117587E-4"/>
    <n v="0"/>
    <n v="0"/>
    <n v="0"/>
    <n v="0"/>
    <m/>
    <n v="3"/>
    <s v="No"/>
    <m/>
  </r>
  <r>
    <s v="WATERFORD"/>
    <x v="583"/>
    <s v="No"/>
    <n v="48281.161550999997"/>
    <n v="5.1976467786235591E-4"/>
    <n v="80646.14"/>
    <n v="6.4751925734766427E-4"/>
    <n v="48281.161550999997"/>
    <n v="5.1976467786235591E-4"/>
    <n v="80646.14"/>
    <n v="6.4751925734766427E-4"/>
    <n v="0"/>
    <n v="0"/>
    <n v="0"/>
    <n v="0"/>
    <m/>
    <n v="1"/>
    <s v="No"/>
    <m/>
  </r>
  <r>
    <s v="WATERFORD"/>
    <x v="360"/>
    <s v="No"/>
    <n v="30911.518448999999"/>
    <n v="3.3277400362270249E-4"/>
    <n v="21870.935000000001"/>
    <n v="1.7560482855966868E-4"/>
    <n v="30911.518448999999"/>
    <n v="3.3277400362270249E-4"/>
    <n v="21870.935000000001"/>
    <n v="1.7560482855966868E-4"/>
    <n v="0"/>
    <n v="0"/>
    <n v="0"/>
    <n v="0"/>
    <m/>
    <n v="2"/>
    <s v="No"/>
    <m/>
  </r>
  <r>
    <s v="WATERFORD"/>
    <x v="584"/>
    <s v="No"/>
    <n v="38782.259439000001"/>
    <n v="4.1750546044326981E-4"/>
    <n v="54294.33"/>
    <n v="4.3593685004377159E-4"/>
    <n v="38782.259439000001"/>
    <n v="4.1750546044326981E-4"/>
    <n v="54294.33"/>
    <n v="4.3593685004377159E-4"/>
    <n v="0"/>
    <n v="0"/>
    <n v="0"/>
    <n v="0"/>
    <m/>
    <n v="4"/>
    <s v="No"/>
    <m/>
  </r>
  <r>
    <s v="WATERFORD"/>
    <x v="363"/>
    <s v="No"/>
    <n v="10.51491"/>
    <n v="1.1319692056556308E-7"/>
    <n v="0"/>
    <n v="0"/>
    <n v="10.51491"/>
    <n v="1.1319692056556308E-7"/>
    <n v="0"/>
    <n v="0"/>
    <n v="0"/>
    <n v="0"/>
    <n v="0"/>
    <n v="0"/>
    <m/>
    <n v="5"/>
    <s v="No"/>
    <m/>
  </r>
  <r>
    <s v="WATERTOWN"/>
    <x v="28"/>
    <s v="No"/>
    <n v="65.538269999999997"/>
    <n v="7.0554387466886791E-7"/>
    <n v="24003.5"/>
    <n v="1.9272749438156196E-4"/>
    <n v="65.538269999999997"/>
    <n v="7.0554387466886791E-7"/>
    <n v="24003.5"/>
    <n v="1.9272749438156196E-4"/>
    <n v="0"/>
    <n v="0"/>
    <n v="0"/>
    <n v="0"/>
    <m/>
    <n v="2"/>
    <s v="No"/>
    <m/>
  </r>
  <r>
    <s v="WATERTOWN"/>
    <x v="585"/>
    <s v="No"/>
    <n v="62129.850572999996"/>
    <n v="6.6885097067518262E-4"/>
    <n v="40450.42"/>
    <n v="3.2478213982468478E-4"/>
    <n v="62129.850572999996"/>
    <n v="6.6885097067518262E-4"/>
    <n v="40450.42"/>
    <n v="3.2478213982468478E-4"/>
    <n v="0"/>
    <n v="0"/>
    <n v="0"/>
    <n v="0"/>
    <m/>
    <n v="3"/>
    <s v="No"/>
    <m/>
  </r>
  <r>
    <s v="WATERTOWN"/>
    <x v="586"/>
    <s v="No"/>
    <n v="99607.674809999997"/>
    <n v="1.0723137005631059E-3"/>
    <n v="147997.88"/>
    <n v="1.188295897939179E-3"/>
    <n v="99607.674809999997"/>
    <n v="1.0723137005631059E-3"/>
    <n v="147997.88"/>
    <n v="1.188295897939179E-3"/>
    <n v="0"/>
    <n v="0"/>
    <n v="0"/>
    <n v="0"/>
    <m/>
    <n v="2"/>
    <s v="No"/>
    <m/>
  </r>
  <r>
    <s v="WATERTOWN"/>
    <x v="587"/>
    <s v="No"/>
    <n v="33231.462599999999"/>
    <n v="3.5774906606044941E-4"/>
    <n v="78957.36"/>
    <n v="6.3395980401953738E-4"/>
    <n v="33231.462599999999"/>
    <n v="3.5774906606044941E-4"/>
    <n v="78957.36"/>
    <n v="6.3395980401953738E-4"/>
    <n v="0"/>
    <n v="0"/>
    <n v="0"/>
    <n v="0"/>
    <m/>
    <n v="2"/>
    <s v="No"/>
    <m/>
  </r>
  <r>
    <s v="WATERTOWN"/>
    <x v="588"/>
    <s v="No"/>
    <n v="286625.22216300003"/>
    <n v="3.0856272193743916E-3"/>
    <n v="464900.45"/>
    <n v="3.7327514264736653E-3"/>
    <n v="173153.679573"/>
    <n v="1.8640638210179492E-3"/>
    <n v="345274.68"/>
    <n v="2.772259210106676E-3"/>
    <n v="113471.54259"/>
    <n v="1.2215633983564422E-3"/>
    <n v="119625.77"/>
    <n v="9.6049221636698918E-4"/>
    <m/>
    <n v="4"/>
    <s v="No"/>
    <m/>
  </r>
  <r>
    <s v="WATERTOWN"/>
    <x v="29"/>
    <s v="No"/>
    <n v="27.275010000000002"/>
    <n v="2.9362563639583588E-7"/>
    <n v="0"/>
    <n v="0"/>
    <n v="27.275010000000002"/>
    <n v="2.9362563639583588E-7"/>
    <n v="0"/>
    <n v="0"/>
    <n v="0"/>
    <n v="0"/>
    <n v="0"/>
    <n v="0"/>
    <m/>
    <n v="1"/>
    <s v="No"/>
    <m/>
  </r>
  <r>
    <s v="WATERTOWN"/>
    <x v="573"/>
    <s v="No"/>
    <n v="25.941929999999999"/>
    <n v="2.7927453392633865E-7"/>
    <n v="0"/>
    <n v="0"/>
    <n v="25.941929999999999"/>
    <n v="2.7927453392633865E-7"/>
    <n v="0"/>
    <n v="0"/>
    <n v="0"/>
    <n v="0"/>
    <n v="0"/>
    <n v="0"/>
    <m/>
    <n v="2"/>
    <s v="No"/>
    <m/>
  </r>
  <r>
    <s v="WEST HARTFORD"/>
    <x v="185"/>
    <s v="No"/>
    <n v="212.85810000000001"/>
    <n v="2.2914966877925424E-6"/>
    <n v="0"/>
    <n v="0"/>
    <n v="212.85810000000001"/>
    <n v="2.2914966877925424E-6"/>
    <n v="0"/>
    <n v="0"/>
    <n v="0"/>
    <n v="0"/>
    <n v="0"/>
    <n v="0"/>
    <m/>
    <n v="3"/>
    <s v="No"/>
    <m/>
  </r>
  <r>
    <s v="WEST HARTFORD"/>
    <x v="33"/>
    <s v="No"/>
    <n v="225.31467000000001"/>
    <n v="2.4255963010854166E-6"/>
    <n v="0"/>
    <n v="0"/>
    <n v="225.31467000000001"/>
    <n v="2.4255963010854166E-6"/>
    <n v="0"/>
    <n v="0"/>
    <n v="0"/>
    <n v="0"/>
    <n v="0"/>
    <n v="0"/>
    <m/>
    <n v="2"/>
    <s v="No"/>
    <m/>
  </r>
  <r>
    <s v="WEST HARTFORD"/>
    <x v="589"/>
    <s v="No"/>
    <n v="16448.888610000002"/>
    <n v="1.7707840936137024E-4"/>
    <n v="6266.33"/>
    <n v="5.0313249312309171E-5"/>
    <n v="16448.888610000002"/>
    <n v="1.7707840936137024E-4"/>
    <n v="6266.33"/>
    <n v="5.0313249312309171E-5"/>
    <n v="0"/>
    <n v="0"/>
    <n v="0"/>
    <n v="0"/>
    <m/>
    <n v="5"/>
    <s v="No"/>
    <m/>
  </r>
  <r>
    <s v="WEST HARTFORD"/>
    <x v="190"/>
    <s v="No"/>
    <n v="42113.700741000001"/>
    <n v="4.533696662644637E-4"/>
    <n v="23069.759999999998"/>
    <n v="1.8523036393792498E-4"/>
    <n v="42113.700741000001"/>
    <n v="4.533696662644637E-4"/>
    <n v="23069.759999999998"/>
    <n v="1.8523036393792498E-4"/>
    <n v="0"/>
    <n v="0"/>
    <n v="0"/>
    <n v="0"/>
    <m/>
    <n v="5"/>
    <s v="No"/>
    <m/>
  </r>
  <r>
    <s v="WEST HARTFORD"/>
    <x v="590"/>
    <s v="No"/>
    <n v="33541.533627000004"/>
    <n v="3.6108709609713086E-4"/>
    <n v="42797.17"/>
    <n v="3.4362452728651035E-4"/>
    <n v="33541.533627000004"/>
    <n v="3.6108709609713086E-4"/>
    <n v="42797.17"/>
    <n v="3.4362452728651035E-4"/>
    <n v="0"/>
    <n v="0"/>
    <n v="0"/>
    <n v="0"/>
    <m/>
    <n v="3"/>
    <s v="No"/>
    <m/>
  </r>
  <r>
    <s v="WEST HARTFORD"/>
    <x v="591"/>
    <s v="No"/>
    <n v="30594.441989999999"/>
    <n v="3.2936055750260891E-4"/>
    <n v="14597.38"/>
    <n v="1.1720442735165807E-4"/>
    <n v="30594.441989999999"/>
    <n v="3.2936055750260891E-4"/>
    <n v="14597.38"/>
    <n v="1.1720442735165807E-4"/>
    <n v="0"/>
    <n v="0"/>
    <n v="0"/>
    <n v="0"/>
    <m/>
    <n v="2"/>
    <s v="No"/>
    <m/>
  </r>
  <r>
    <s v="WEST HARTFORD"/>
    <x v="592"/>
    <s v="No"/>
    <n v="25890.069807000003"/>
    <n v="2.787162396425516E-4"/>
    <n v="21906.12"/>
    <n v="1.7588733389804911E-4"/>
    <n v="25890.069807000003"/>
    <n v="2.787162396425516E-4"/>
    <n v="21906.12"/>
    <n v="1.7588733389804911E-4"/>
    <n v="0"/>
    <n v="0"/>
    <n v="0"/>
    <n v="0"/>
    <m/>
    <n v="3"/>
    <s v="No"/>
    <m/>
  </r>
  <r>
    <s v="WEST HARTFORD"/>
    <x v="593"/>
    <s v="No"/>
    <n v="34384.151760000001"/>
    <n v="3.7015819398273367E-4"/>
    <n v="27790.895"/>
    <n v="2.2313702418276827E-4"/>
    <n v="34384.151760000001"/>
    <n v="3.7015819398273367E-4"/>
    <n v="27790.895"/>
    <n v="2.2313702418276827E-4"/>
    <n v="0"/>
    <n v="0"/>
    <n v="0"/>
    <n v="0"/>
    <m/>
    <n v="4"/>
    <s v="No"/>
    <m/>
  </r>
  <r>
    <s v="WEST HARTFORD"/>
    <x v="594"/>
    <s v="Yes"/>
    <n v="27724.629870000001"/>
    <n v="2.9846596167765844E-4"/>
    <n v="8293.83"/>
    <n v="6.6592333398322325E-5"/>
    <n v="27724.629870000001"/>
    <n v="2.9846596167765844E-4"/>
    <n v="8293.83"/>
    <n v="6.6592333398322325E-5"/>
    <n v="0"/>
    <n v="0"/>
    <n v="0"/>
    <n v="0"/>
    <m/>
    <n v="5"/>
    <s v="No"/>
    <m/>
  </r>
  <r>
    <s v="WEST HARTFORD"/>
    <x v="595"/>
    <s v="No"/>
    <n v="25846.706549999999"/>
    <n v="2.7824941803798308E-4"/>
    <n v="15979.65"/>
    <n v="1.2830286856476458E-4"/>
    <n v="25846.706549999999"/>
    <n v="2.7824941803798308E-4"/>
    <n v="15979.65"/>
    <n v="1.2830286856476458E-4"/>
    <n v="0"/>
    <n v="0"/>
    <n v="0"/>
    <n v="0"/>
    <m/>
    <n v="5"/>
    <s v="No"/>
    <m/>
  </r>
  <r>
    <s v="WEST HARTFORD"/>
    <x v="596"/>
    <s v="No"/>
    <n v="42917.689982999997"/>
    <n v="4.6202490975796396E-4"/>
    <n v="23923.57"/>
    <n v="1.9208572511350029E-4"/>
    <n v="42917.689982999997"/>
    <n v="4.6202490975796396E-4"/>
    <n v="23923.57"/>
    <n v="1.9208572511350029E-4"/>
    <n v="0"/>
    <n v="0"/>
    <n v="0"/>
    <n v="0"/>
    <m/>
    <n v="3"/>
    <s v="No"/>
    <m/>
  </r>
  <r>
    <s v="WEST HARTFORD"/>
    <x v="597"/>
    <s v="No"/>
    <n v="45619.848939000003"/>
    <n v="4.9111465685973258E-4"/>
    <n v="29069.134999999998"/>
    <n v="2.334001938212913E-4"/>
    <n v="45619.848939000003"/>
    <n v="4.9111465685973258E-4"/>
    <n v="29069.134999999998"/>
    <n v="2.334001938212913E-4"/>
    <n v="0"/>
    <n v="0"/>
    <n v="0"/>
    <n v="0"/>
    <m/>
    <n v="2"/>
    <s v="No"/>
    <m/>
  </r>
  <r>
    <s v="WEST HARTFORD"/>
    <x v="598"/>
    <s v="No"/>
    <n v="28096.74756"/>
    <n v="3.0247194713982318E-4"/>
    <n v="9294.2900000000009"/>
    <n v="7.4625168152794705E-5"/>
    <n v="28096.74756"/>
    <n v="3.0247194713982318E-4"/>
    <n v="9294.2900000000009"/>
    <n v="7.4625168152794705E-5"/>
    <n v="0"/>
    <n v="0"/>
    <n v="0"/>
    <n v="0"/>
    <m/>
    <n v="2"/>
    <s v="No"/>
    <m/>
  </r>
  <r>
    <s v="WEST HARTFORD"/>
    <x v="599"/>
    <s v="No"/>
    <n v="630909.85072500003"/>
    <n v="6.7919794136658412E-3"/>
    <n v="690809.96500000008"/>
    <n v="5.546610854594727E-3"/>
    <n v="309165.11123400001"/>
    <n v="3.3282775162125564E-3"/>
    <n v="533732.29500000004"/>
    <n v="4.2854120393222101E-3"/>
    <n v="321744.73949100001"/>
    <n v="3.4637018974532844E-3"/>
    <n v="157077.67000000001"/>
    <n v="1.2611988152725162E-3"/>
    <m/>
    <n v="2"/>
    <s v="No"/>
    <m/>
  </r>
  <r>
    <s v="WEST HARTFORD"/>
    <x v="600"/>
    <s v="No"/>
    <n v="48008.189754000006"/>
    <n v="5.1682603484766085E-4"/>
    <n v="48414.97"/>
    <n v="3.8873063755945971E-4"/>
    <n v="48008.189754000006"/>
    <n v="5.1682603484766085E-4"/>
    <n v="48414.97"/>
    <n v="3.8873063755945971E-4"/>
    <n v="0"/>
    <n v="0"/>
    <n v="0"/>
    <n v="0"/>
    <m/>
    <n v="4"/>
    <s v="No"/>
    <m/>
  </r>
  <r>
    <s v="WEST HARTFORD"/>
    <x v="601"/>
    <s v="No"/>
    <n v="45826.131959999999"/>
    <n v="4.9333537037436661E-4"/>
    <n v="47578.44"/>
    <n v="3.8201401994640295E-4"/>
    <n v="45826.131959999999"/>
    <n v="4.9333537037436661E-4"/>
    <n v="47578.44"/>
    <n v="3.8201401994640295E-4"/>
    <n v="0"/>
    <n v="0"/>
    <n v="0"/>
    <n v="0"/>
    <m/>
    <n v="2"/>
    <s v="No"/>
    <m/>
  </r>
  <r>
    <s v="WEST HARTFORD"/>
    <x v="602"/>
    <s v="No"/>
    <n v="43312.493699999999"/>
    <n v="4.6627511874617575E-4"/>
    <n v="40365.855000000003"/>
    <n v="3.2410315548646844E-4"/>
    <n v="43312.493699999999"/>
    <n v="4.6627511874617575E-4"/>
    <n v="40365.855000000003"/>
    <n v="3.2410315548646844E-4"/>
    <n v="0"/>
    <n v="0"/>
    <n v="0"/>
    <n v="0"/>
    <m/>
    <n v="5"/>
    <s v="No"/>
    <m/>
  </r>
  <r>
    <s v="WEST HARTFORD"/>
    <x v="603"/>
    <s v="No"/>
    <n v="21331.970310000001"/>
    <n v="2.2964660170063462E-4"/>
    <n v="10221.24"/>
    <n v="8.2067780726668873E-5"/>
    <n v="21331.970310000001"/>
    <n v="2.2964660170063462E-4"/>
    <n v="10221.24"/>
    <n v="8.2067780726668873E-5"/>
    <n v="0"/>
    <n v="0"/>
    <n v="0"/>
    <n v="0"/>
    <m/>
    <n v="3"/>
    <s v="No"/>
    <m/>
  </r>
  <r>
    <s v="WEST HARTFORD"/>
    <x v="604"/>
    <s v="No"/>
    <n v="68225.623556999999"/>
    <n v="7.3447423613875323E-4"/>
    <n v="33866.21"/>
    <n v="2.7191658706021194E-4"/>
    <n v="68225.623556999999"/>
    <n v="7.3447423613875323E-4"/>
    <n v="33866.21"/>
    <n v="2.7191658706021194E-4"/>
    <n v="0"/>
    <n v="0"/>
    <n v="0"/>
    <n v="0"/>
    <m/>
    <n v="3"/>
    <s v="No"/>
    <m/>
  </r>
  <r>
    <s v="WESTBROOK"/>
    <x v="605"/>
    <s v="No"/>
    <n v="208709.18312999999"/>
    <n v="2.2468320531578651E-3"/>
    <n v="226416.56"/>
    <n v="1.8179305640965936E-3"/>
    <n v="153241.18637099999"/>
    <n v="1.6496984188177296E-3"/>
    <n v="215689.32"/>
    <n v="1.7318000378471023E-3"/>
    <n v="55467.996759000001"/>
    <n v="5.9713363434013545E-4"/>
    <n v="10727.24"/>
    <n v="8.6130526249491389E-5"/>
    <m/>
    <n v="2"/>
    <s v="No"/>
    <m/>
  </r>
  <r>
    <s v="WESTON"/>
    <x v="606"/>
    <s v="No"/>
    <n v="318.62061"/>
    <n v="3.430069480454065E-6"/>
    <n v="0"/>
    <n v="0"/>
    <n v="318.62061"/>
    <n v="3.430069480454065E-6"/>
    <n v="0"/>
    <n v="0"/>
    <n v="0"/>
    <n v="0"/>
    <n v="0"/>
    <n v="0"/>
    <m/>
    <n v="2"/>
    <s v="No"/>
    <m/>
  </r>
  <r>
    <s v="WESTON"/>
    <x v="607"/>
    <s v="No"/>
    <n v="253.16928000000001"/>
    <n v="2.7254615472505993E-6"/>
    <n v="0"/>
    <n v="0"/>
    <n v="253.16928000000001"/>
    <n v="2.7254615472505993E-6"/>
    <n v="0"/>
    <n v="0"/>
    <n v="0"/>
    <n v="0"/>
    <n v="0"/>
    <n v="0"/>
    <m/>
    <n v="3"/>
    <s v="No"/>
    <m/>
  </r>
  <r>
    <s v="WESTON"/>
    <x v="465"/>
    <s v="No"/>
    <n v="214617.93030300003"/>
    <n v="2.3104419161413883E-3"/>
    <n v="203891.61499999999"/>
    <n v="1.63707459680297E-3"/>
    <n v="202690.61721300002"/>
    <n v="2.1820399505126449E-3"/>
    <n v="203841.61499999999"/>
    <n v="1.6366731397354974E-3"/>
    <n v="11927.31309"/>
    <n v="1.2840196562874343E-4"/>
    <n v="50"/>
    <n v="4.0145706747258101E-7"/>
    <m/>
    <n v="4"/>
    <s v="No"/>
    <m/>
  </r>
  <r>
    <s v="WESTON"/>
    <x v="608"/>
    <s v="No"/>
    <n v="87994.934789999999"/>
    <n v="9.4729823113992725E-4"/>
    <n v="23066.18"/>
    <n v="1.8520161961189396E-4"/>
    <n v="87994.934789999999"/>
    <n v="9.4729823113992725E-4"/>
    <n v="23066.18"/>
    <n v="1.8520161961189396E-4"/>
    <n v="0"/>
    <n v="0"/>
    <n v="0"/>
    <n v="0"/>
    <m/>
    <n v="1"/>
    <s v="No"/>
    <m/>
  </r>
  <r>
    <s v="WESTPORT"/>
    <x v="427"/>
    <s v="No"/>
    <n v="72.411360000000002"/>
    <n v="7.795352471837031E-7"/>
    <n v="0"/>
    <n v="0"/>
    <n v="72.411360000000002"/>
    <n v="7.795352471837031E-7"/>
    <n v="0"/>
    <n v="0"/>
    <n v="0"/>
    <n v="0"/>
    <n v="0"/>
    <n v="0"/>
    <m/>
    <n v="1"/>
    <s v="No"/>
    <m/>
  </r>
  <r>
    <s v="WESTPORT"/>
    <x v="428"/>
    <s v="No"/>
    <n v="510.99950999999999"/>
    <n v="5.5010999563963606E-6"/>
    <n v="7093.56"/>
    <n v="5.6955195910816032E-5"/>
    <n v="510.99950999999999"/>
    <n v="5.5010999563963606E-6"/>
    <n v="7093.56"/>
    <n v="5.6955195910816032E-5"/>
    <n v="0"/>
    <n v="0"/>
    <n v="0"/>
    <n v="0"/>
    <m/>
    <n v="3"/>
    <s v="No"/>
    <m/>
  </r>
  <r>
    <s v="WESTPORT"/>
    <x v="437"/>
    <s v="No"/>
    <n v="904.67349000000002"/>
    <n v="9.739146905232734E-6"/>
    <n v="4648.4399999999996"/>
    <n v="3.7322981814444882E-5"/>
    <n v="904.67349000000002"/>
    <n v="9.739146905232734E-6"/>
    <n v="4648.4399999999996"/>
    <n v="3.7322981814444882E-5"/>
    <n v="0"/>
    <n v="0"/>
    <n v="0"/>
    <n v="0"/>
    <m/>
    <n v="1"/>
    <s v="No"/>
    <m/>
  </r>
  <r>
    <s v="WESTPORT"/>
    <x v="444"/>
    <s v="No"/>
    <n v="741.14900999999998"/>
    <n v="7.9787450023077431E-6"/>
    <n v="0"/>
    <n v="0"/>
    <n v="741.14900999999998"/>
    <n v="7.9787450023077431E-6"/>
    <n v="0"/>
    <n v="0"/>
    <n v="0"/>
    <n v="0"/>
    <n v="0"/>
    <n v="0"/>
    <m/>
    <n v="3"/>
    <s v="No"/>
    <m/>
  </r>
  <r>
    <s v="WESTPORT"/>
    <x v="449"/>
    <s v="No"/>
    <n v="261.25470000000001"/>
    <n v="2.8125041035329844E-6"/>
    <n v="1515.03"/>
    <n v="1.2164390018659688E-5"/>
    <n v="261.25470000000001"/>
    <n v="2.8125041035329844E-6"/>
    <n v="1515.03"/>
    <n v="1.2164390018659688E-5"/>
    <n v="0"/>
    <n v="0"/>
    <n v="0"/>
    <n v="0"/>
    <m/>
    <n v="4"/>
    <s v="No"/>
    <m/>
  </r>
  <r>
    <s v="WESTPORT"/>
    <x v="606"/>
    <s v="No"/>
    <n v="535384.02871800005"/>
    <n v="5.7636083780900254E-3"/>
    <n v="383836.77500000002"/>
    <n v="3.0818797215926581E-3"/>
    <n v="321653.872218"/>
    <n v="3.4627236774320202E-3"/>
    <n v="348848.11499999999"/>
    <n v="2.8009508248247536E-3"/>
    <n v="213730.15650000001"/>
    <n v="2.3008847006580051E-3"/>
    <n v="34988.660000000003"/>
    <n v="2.8092889676790392E-4"/>
    <m/>
    <n v="2"/>
    <s v="No"/>
    <m/>
  </r>
  <r>
    <s v="WESTPORT"/>
    <x v="609"/>
    <s v="No"/>
    <n v="71129.185301999998"/>
    <n v="7.6573215924089801E-4"/>
    <n v="27588.02"/>
    <n v="2.2150811213149827E-4"/>
    <n v="71129.185301999998"/>
    <n v="7.6573215924089801E-4"/>
    <n v="27588.02"/>
    <n v="2.2150811213149827E-4"/>
    <n v="0"/>
    <n v="0"/>
    <n v="0"/>
    <n v="0"/>
    <m/>
    <n v="4"/>
    <s v="No"/>
    <m/>
  </r>
  <r>
    <s v="WESTPORT"/>
    <x v="607"/>
    <s v="No"/>
    <n v="155737.95682200001"/>
    <n v="1.6765770822026083E-3"/>
    <n v="82894.264999999999"/>
    <n v="6.655697707439002E-4"/>
    <n v="155737.95682200001"/>
    <n v="1.6765770822026083E-3"/>
    <n v="82894.264999999999"/>
    <n v="6.655697707439002E-4"/>
    <n v="0"/>
    <n v="0"/>
    <n v="0"/>
    <n v="0"/>
    <m/>
    <n v="3"/>
    <s v="No"/>
    <m/>
  </r>
  <r>
    <s v="WESTPORT"/>
    <x v="610"/>
    <s v="No"/>
    <n v="43883.853719999999"/>
    <n v="4.7242602206330151E-4"/>
    <n v="19179.91"/>
    <n v="1.5399820845976063E-4"/>
    <n v="43883.853719999999"/>
    <n v="4.7242602206330151E-4"/>
    <n v="19179.91"/>
    <n v="1.5399820845976063E-4"/>
    <n v="0"/>
    <n v="0"/>
    <n v="0"/>
    <n v="0"/>
    <m/>
    <n v="3"/>
    <s v="No"/>
    <m/>
  </r>
  <r>
    <s v="WESTPORT"/>
    <x v="611"/>
    <s v="No"/>
    <n v="87628.02915300001"/>
    <n v="9.4334835536861355E-4"/>
    <n v="59388.24"/>
    <n v="4.7683657345515664E-4"/>
    <n v="87628.02915300001"/>
    <n v="9.4334835536861355E-4"/>
    <n v="59388.24"/>
    <n v="4.7683657345515664E-4"/>
    <n v="0"/>
    <n v="0"/>
    <n v="0"/>
    <n v="0"/>
    <m/>
    <n v="1"/>
    <s v="No"/>
    <m/>
  </r>
  <r>
    <s v="WESTPORT"/>
    <x v="612"/>
    <s v="No"/>
    <n v="77110.199418000004"/>
    <n v="8.301200027688373E-4"/>
    <n v="30199.65"/>
    <n v="2.4247725855396662E-4"/>
    <n v="77110.199418000004"/>
    <n v="8.301200027688373E-4"/>
    <n v="30199.65"/>
    <n v="2.4247725855396662E-4"/>
    <n v="0"/>
    <n v="0"/>
    <n v="0"/>
    <n v="0"/>
    <m/>
    <n v="3"/>
    <s v="No"/>
    <m/>
  </r>
  <r>
    <s v="WESTPORT"/>
    <x v="608"/>
    <s v="No"/>
    <n v="3187.5826500000003"/>
    <n v="3.4315513877742854E-5"/>
    <n v="0"/>
    <n v="0"/>
    <n v="3187.5826500000003"/>
    <n v="3.4315513877742854E-5"/>
    <n v="0"/>
    <n v="0"/>
    <n v="0"/>
    <n v="0"/>
    <n v="0"/>
    <n v="0"/>
    <m/>
    <n v="1"/>
    <s v="No"/>
    <m/>
  </r>
  <r>
    <s v="WESTPORT"/>
    <x v="613"/>
    <s v="No"/>
    <n v="2587.7884199999999"/>
    <n v="2.7858505704682587E-5"/>
    <n v="0"/>
    <n v="0"/>
    <n v="2587.7884199999999"/>
    <n v="2.7858505704682587E-5"/>
    <n v="0"/>
    <n v="0"/>
    <n v="0"/>
    <n v="0"/>
    <n v="0"/>
    <n v="0"/>
    <m/>
    <n v="1"/>
    <s v="No"/>
    <m/>
  </r>
  <r>
    <s v="WETHERSFIELD"/>
    <x v="614"/>
    <s v="No"/>
    <n v="35513.312540999999"/>
    <n v="3.8231403014610607E-4"/>
    <n v="10410.450000000001"/>
    <n v="8.3586974561398618E-5"/>
    <n v="35513.312540999999"/>
    <n v="3.8231403014610607E-4"/>
    <n v="10410.450000000001"/>
    <n v="8.3586974561398618E-5"/>
    <n v="0"/>
    <n v="0"/>
    <n v="0"/>
    <n v="0"/>
    <m/>
    <n v="1"/>
    <s v="No"/>
    <m/>
  </r>
  <r>
    <s v="WETHERSFIELD"/>
    <x v="615"/>
    <s v="No"/>
    <n v="37924.348559999999"/>
    <n v="4.0826973045390272E-4"/>
    <n v="33134.660000000003"/>
    <n v="2.6604286870602061E-4"/>
    <n v="37924.348559999999"/>
    <n v="4.0826973045390272E-4"/>
    <n v="33134.660000000003"/>
    <n v="2.6604286870602061E-4"/>
    <n v="0"/>
    <n v="0"/>
    <n v="0"/>
    <n v="0"/>
    <m/>
    <n v="3"/>
    <s v="No"/>
    <m/>
  </r>
  <r>
    <s v="WETHERSFIELD"/>
    <x v="616"/>
    <s v="No"/>
    <n v="50552.514452999996"/>
    <n v="5.4421663741541487E-4"/>
    <n v="21693.439999999999"/>
    <n v="1.7417969611584775E-4"/>
    <n v="50552.514452999996"/>
    <n v="5.4421663741541487E-4"/>
    <n v="21693.439999999999"/>
    <n v="1.7417969611584775E-4"/>
    <n v="0"/>
    <n v="0"/>
    <n v="0"/>
    <n v="0"/>
    <m/>
    <n v="5"/>
    <s v="No"/>
    <m/>
  </r>
  <r>
    <s v="WETHERSFIELD"/>
    <x v="617"/>
    <s v="No"/>
    <n v="270067.70975100005"/>
    <n v="2.9073794343467988E-3"/>
    <n v="364013.26500000001"/>
    <n v="2.9227139577603901E-3"/>
    <n v="148145.87930100001"/>
    <n v="1.5948455413646711E-3"/>
    <n v="245909.85500000001"/>
    <n v="1.9744449850181522E-3"/>
    <n v="121921.83045000001"/>
    <n v="1.3125338929821273E-3"/>
    <n v="118103.41"/>
    <n v="9.4826897274223794E-4"/>
    <m/>
    <n v="4"/>
    <s v="No"/>
    <m/>
  </r>
  <r>
    <s v="WETHERSFIELD"/>
    <x v="618"/>
    <s v="No"/>
    <n v="37870.569890999999"/>
    <n v="4.076907830617791E-4"/>
    <n v="11815.06"/>
    <n v="9.4864786792251852E-5"/>
    <n v="37870.569890999999"/>
    <n v="4.076907830617791E-4"/>
    <n v="11815.06"/>
    <n v="9.4864786792251852E-5"/>
    <n v="0"/>
    <n v="0"/>
    <n v="0"/>
    <n v="0"/>
    <m/>
    <n v="2"/>
    <s v="No"/>
    <m/>
  </r>
  <r>
    <s v="WETHERSFIELD"/>
    <x v="413"/>
    <s v="No"/>
    <n v="76744.188779999997"/>
    <n v="8.261797619949421E-4"/>
    <n v="39052.839999999997"/>
    <n v="3.1356077245751814E-4"/>
    <n v="76744.188779999997"/>
    <n v="8.261797619949421E-4"/>
    <n v="39052.839999999997"/>
    <n v="3.1356077245751814E-4"/>
    <n v="0"/>
    <n v="0"/>
    <n v="0"/>
    <n v="0"/>
    <m/>
    <n v="1"/>
    <s v="No"/>
    <m/>
  </r>
  <r>
    <s v="WETHERSFIELD"/>
    <x v="414"/>
    <s v="No"/>
    <n v="559.50237000000004"/>
    <n v="6.0232513005945167E-6"/>
    <n v="447.57"/>
    <n v="3.5936027937740615E-6"/>
    <n v="559.50237000000004"/>
    <n v="6.0232513005945167E-6"/>
    <n v="447.57"/>
    <n v="3.5936027937740615E-6"/>
    <n v="0"/>
    <n v="0"/>
    <n v="0"/>
    <n v="0"/>
    <m/>
    <n v="4"/>
    <s v="No"/>
    <m/>
  </r>
  <r>
    <s v="WILLINGTON"/>
    <x v="314"/>
    <s v="No"/>
    <n v="112466.34569099999"/>
    <n v="1.210742079531188E-3"/>
    <n v="366106.23"/>
    <n v="2.9395186695848449E-3"/>
    <n v="93452.915450999993"/>
    <n v="1.006055424813634E-3"/>
    <n v="358399.32"/>
    <n v="2.8776387998273429E-3"/>
    <n v="19013.430240000002"/>
    <n v="2.0468665471755395E-4"/>
    <n v="7706.91"/>
    <n v="6.187986975750218E-5"/>
    <m/>
    <n v="4"/>
    <s v="No"/>
    <m/>
  </r>
  <r>
    <s v="WILLINGTON"/>
    <x v="502"/>
    <s v="No"/>
    <n v="185.52029999999999"/>
    <n v="1.9971950936716937E-6"/>
    <n v="0"/>
    <n v="0"/>
    <n v="185.52029999999999"/>
    <n v="1.9971950936716937E-6"/>
    <n v="0"/>
    <n v="0"/>
    <n v="0"/>
    <n v="0"/>
    <n v="0"/>
    <n v="0"/>
    <m/>
    <n v="4"/>
    <s v="No"/>
    <m/>
  </r>
  <r>
    <s v="WILLINGTON"/>
    <x v="2"/>
    <s v="No"/>
    <n v="292.78010999999998"/>
    <n v="3.1518868782373618E-6"/>
    <n v="0"/>
    <n v="0"/>
    <n v="292.78010999999998"/>
    <n v="3.1518868782373618E-6"/>
    <n v="0"/>
    <n v="0"/>
    <n v="0"/>
    <n v="0"/>
    <n v="0"/>
    <n v="0"/>
    <m/>
    <n v="4"/>
    <s v="No"/>
    <m/>
  </r>
  <r>
    <s v="WILTON"/>
    <x v="395"/>
    <s v="No"/>
    <n v="33.017879999999998"/>
    <n v="3.5544976986044516E-7"/>
    <n v="0"/>
    <n v="0"/>
    <n v="33.017879999999998"/>
    <n v="3.5544976986044516E-7"/>
    <n v="0"/>
    <n v="0"/>
    <n v="0"/>
    <n v="0"/>
    <n v="0"/>
    <n v="0"/>
    <m/>
    <n v="2"/>
    <s v="No"/>
    <m/>
  </r>
  <r>
    <s v="WILTON"/>
    <x v="431"/>
    <s v="No"/>
    <n v="316.85766000000001"/>
    <n v="3.411090667405636E-6"/>
    <n v="0"/>
    <n v="0"/>
    <n v="316.85766000000001"/>
    <n v="3.411090667405636E-6"/>
    <n v="0"/>
    <n v="0"/>
    <n v="0"/>
    <n v="0"/>
    <n v="0"/>
    <n v="0"/>
    <m/>
    <n v="1"/>
    <s v="No"/>
    <m/>
  </r>
  <r>
    <s v="WILTON"/>
    <x v="619"/>
    <s v="No"/>
    <n v="70871.097150000001"/>
    <n v="7.629537442054049E-4"/>
    <n v="40031.455000000002"/>
    <n v="3.2141821061921181E-4"/>
    <n v="70871.097150000001"/>
    <n v="7.629537442054049E-4"/>
    <n v="40031.455000000002"/>
    <n v="3.2141821061921181E-4"/>
    <n v="0"/>
    <n v="0"/>
    <n v="0"/>
    <n v="0"/>
    <m/>
    <n v="3"/>
    <s v="No"/>
    <m/>
  </r>
  <r>
    <s v="WILTON"/>
    <x v="620"/>
    <s v="No"/>
    <n v="86008.314735000007"/>
    <n v="9.2591152668313316E-4"/>
    <n v="59803.004999999997"/>
    <n v="4.8016678026696196E-4"/>
    <n v="86008.314735000007"/>
    <n v="9.2591152668313316E-4"/>
    <n v="59803.004999999997"/>
    <n v="4.8016678026696196E-4"/>
    <n v="0"/>
    <n v="0"/>
    <n v="0"/>
    <n v="0"/>
    <m/>
    <n v="3"/>
    <s v="No"/>
    <m/>
  </r>
  <r>
    <s v="WILTON"/>
    <x v="621"/>
    <s v="No"/>
    <n v="46002.0792"/>
    <n v="4.9522950791334791E-4"/>
    <n v="19014.46"/>
    <n v="1.5266978702349385E-4"/>
    <n v="46002.0792"/>
    <n v="4.9522950791334791E-4"/>
    <n v="19014.46"/>
    <n v="1.5266978702349385E-4"/>
    <n v="0"/>
    <n v="0"/>
    <n v="0"/>
    <n v="0"/>
    <m/>
    <n v="3"/>
    <s v="No"/>
    <m/>
  </r>
  <r>
    <s v="WILTON"/>
    <x v="448"/>
    <s v="No"/>
    <n v="36109.273200000003"/>
    <n v="3.8872976850021695E-4"/>
    <n v="34329.315000000002"/>
    <n v="2.7563492256484973E-4"/>
    <n v="36109.273200000003"/>
    <n v="3.8872976850021695E-4"/>
    <n v="34329.315000000002"/>
    <n v="2.7563492256484973E-4"/>
    <n v="0"/>
    <n v="0"/>
    <n v="0"/>
    <n v="0"/>
    <m/>
    <n v="4"/>
    <s v="No"/>
    <m/>
  </r>
  <r>
    <s v="WILTON"/>
    <x v="449"/>
    <s v="No"/>
    <n v="268017.69594600005"/>
    <n v="2.8853102725714822E-3"/>
    <n v="342257.79499999998"/>
    <n v="2.7480362140066359E-3"/>
    <n v="183569.65233600003"/>
    <n v="1.9761956453955599E-3"/>
    <n v="321053.245"/>
    <n v="2.5777818848051214E-3"/>
    <n v="84448.043610000008"/>
    <n v="9.0911462717592235E-4"/>
    <n v="21204.55"/>
    <n v="1.7025432920151433E-4"/>
    <m/>
    <n v="4"/>
    <s v="No"/>
    <m/>
  </r>
  <r>
    <s v="WILTON"/>
    <x v="465"/>
    <s v="No"/>
    <n v="243.73629"/>
    <n v="2.6239118982544832E-6"/>
    <n v="282.64999999999998"/>
    <n v="2.2694368024225002E-6"/>
    <n v="243.73629"/>
    <n v="2.6239118982544832E-6"/>
    <n v="282.64999999999998"/>
    <n v="2.2694368024225002E-6"/>
    <n v="0"/>
    <n v="0"/>
    <n v="0"/>
    <n v="0"/>
    <m/>
    <n v="4"/>
    <s v="No"/>
    <m/>
  </r>
  <r>
    <s v="WILTON"/>
    <x v="125"/>
    <s v="No"/>
    <n v="168.68774999999999"/>
    <n v="1.8159864266202527E-6"/>
    <n v="0"/>
    <n v="0"/>
    <n v="168.68774999999999"/>
    <n v="1.8159864266202527E-6"/>
    <n v="0"/>
    <n v="0"/>
    <n v="0"/>
    <n v="0"/>
    <n v="0"/>
    <n v="0"/>
    <m/>
    <n v="1"/>
    <s v="No"/>
    <m/>
  </r>
  <r>
    <s v="WILTON"/>
    <x v="469"/>
    <s v="No"/>
    <n v="243.8184"/>
    <n v="2.624795842971807E-6"/>
    <n v="35"/>
    <n v="2.8101994723080671E-7"/>
    <n v="243.8184"/>
    <n v="2.624795842971807E-6"/>
    <n v="35"/>
    <n v="2.8101994723080671E-7"/>
    <n v="0"/>
    <n v="0"/>
    <n v="0"/>
    <n v="0"/>
    <m/>
    <n v="1"/>
    <s v="No"/>
    <m/>
  </r>
  <r>
    <s v="WINCHESTER"/>
    <x v="10"/>
    <s v="No"/>
    <n v="819.05691000000002"/>
    <n v="8.8174525488040834E-6"/>
    <n v="38855.199999999997"/>
    <n v="3.1197389296121257E-4"/>
    <n v="819.05691000000002"/>
    <n v="8.8174525488040834E-6"/>
    <n v="38855.199999999997"/>
    <n v="3.1197389296121257E-4"/>
    <n v="0"/>
    <n v="0"/>
    <n v="0"/>
    <n v="0"/>
    <m/>
    <n v="2"/>
    <s v="No"/>
    <m/>
  </r>
  <r>
    <s v="WINCHESTER"/>
    <x v="101"/>
    <s v="No"/>
    <n v="2894.8943100000001"/>
    <n v="3.1164614937718966E-5"/>
    <n v="591.26"/>
    <n v="4.747310114276765E-6"/>
    <n v="2894.8943100000001"/>
    <n v="3.1164614937718966E-5"/>
    <n v="591.26"/>
    <n v="4.747310114276765E-6"/>
    <n v="0"/>
    <n v="0"/>
    <n v="0"/>
    <n v="0"/>
    <m/>
    <n v="1"/>
    <s v="No"/>
    <m/>
  </r>
  <r>
    <s v="WINCHESTER"/>
    <x v="543"/>
    <s v="No"/>
    <n v="178.227"/>
    <n v="1.9186800040740826E-6"/>
    <n v="0"/>
    <n v="0"/>
    <n v="178.227"/>
    <n v="1.9186800040740826E-6"/>
    <n v="0"/>
    <n v="0"/>
    <n v="0"/>
    <n v="0"/>
    <n v="0"/>
    <n v="0"/>
    <m/>
    <n v="1"/>
    <s v="No"/>
    <m/>
  </r>
  <r>
    <s v="WINCHESTER"/>
    <x v="11"/>
    <s v="No"/>
    <n v="179762.96656500001"/>
    <n v="1.9352152559449656E-3"/>
    <n v="165704.77000000002"/>
    <n v="1.3304670206083704E-3"/>
    <n v="122420.332335"/>
    <n v="1.3179004513528721E-3"/>
    <n v="84824.17"/>
    <n v="6.8106525077991356E-4"/>
    <n v="57342.634230000003"/>
    <n v="6.1731480459209336E-4"/>
    <n v="80880.600000000006"/>
    <n v="6.494017698284567E-4"/>
    <m/>
    <n v="1"/>
    <s v="No"/>
    <m/>
  </r>
  <r>
    <s v="WINCHESTER"/>
    <x v="547"/>
    <s v="No"/>
    <n v="47163.092864999999"/>
    <n v="5.077282522309444E-4"/>
    <n v="27253.485000000001"/>
    <n v="2.1882208333015948E-4"/>
    <n v="47163.092864999999"/>
    <n v="5.077282522309444E-4"/>
    <n v="27253.485000000001"/>
    <n v="2.1882208333015948E-4"/>
    <n v="0"/>
    <n v="0"/>
    <n v="0"/>
    <n v="0"/>
    <m/>
    <n v="3"/>
    <s v="No"/>
    <m/>
  </r>
  <r>
    <s v="WINDHAM"/>
    <x v="318"/>
    <s v="No"/>
    <n v="1362.91491"/>
    <n v="1.4672286382374318E-5"/>
    <n v="23715.695"/>
    <n v="1.9041666735548302E-4"/>
    <n v="1362.91491"/>
    <n v="1.4672286382374318E-5"/>
    <n v="23715.695"/>
    <n v="1.9041666735548302E-4"/>
    <n v="0"/>
    <n v="0"/>
    <n v="0"/>
    <n v="0"/>
    <m/>
    <n v="4"/>
    <s v="No"/>
    <m/>
  </r>
  <r>
    <s v="WINDHAM"/>
    <x v="622"/>
    <s v="No"/>
    <n v="26256.757611000001"/>
    <n v="2.8266377036052716E-4"/>
    <n v="42645.85"/>
    <n v="3.4240955761751136E-4"/>
    <n v="26256.757611000001"/>
    <n v="2.8266377036052716E-4"/>
    <n v="42645.85"/>
    <n v="3.4240955761751136E-4"/>
    <n v="0"/>
    <n v="0"/>
    <n v="0"/>
    <n v="0"/>
    <m/>
    <n v="5"/>
    <s v="Yes"/>
    <m/>
  </r>
  <r>
    <s v="WINDHAM"/>
    <x v="623"/>
    <s v="No"/>
    <n v="35383.881098999998"/>
    <n v="3.8092065248916364E-4"/>
    <n v="24489.759999999998"/>
    <n v="1.966317446541463E-4"/>
    <n v="35383.881098999998"/>
    <n v="3.8092065248916364E-4"/>
    <n v="24489.759999999998"/>
    <n v="1.966317446541463E-4"/>
    <n v="0"/>
    <n v="0"/>
    <n v="0"/>
    <n v="0"/>
    <m/>
    <n v="5"/>
    <s v="No"/>
    <m/>
  </r>
  <r>
    <s v="WINDHAM"/>
    <x v="624"/>
    <s v="Yes"/>
    <n v="65345.950509000002"/>
    <n v="7.0347348375292696E-4"/>
    <n v="69607.570000000007"/>
    <n v="5.5888901852184814E-4"/>
    <n v="65345.950509000002"/>
    <n v="7.0347348375292696E-4"/>
    <n v="69607.570000000007"/>
    <n v="5.5888901852184814E-4"/>
    <n v="0"/>
    <n v="0"/>
    <n v="0"/>
    <n v="0"/>
    <m/>
    <n v="5"/>
    <s v="No"/>
    <m/>
  </r>
  <r>
    <s v="WINDHAM"/>
    <x v="625"/>
    <s v="No"/>
    <n v="270036.75814499997"/>
    <n v="2.907046228785765E-3"/>
    <n v="253806.65000000002"/>
    <n v="2.0378494682807952E-3"/>
    <n v="135299.778012"/>
    <n v="1.4565524787337866E-3"/>
    <n v="103563.74"/>
    <n v="8.3152790713785678E-4"/>
    <n v="134736.980133"/>
    <n v="1.4504937500519788E-3"/>
    <n v="150242.91"/>
    <n v="1.2063215611429383E-3"/>
    <m/>
    <n v="5"/>
    <s v="Yes"/>
    <m/>
  </r>
  <r>
    <s v="WINDHAM"/>
    <x v="626"/>
    <s v="No"/>
    <n v="22710.111795000001"/>
    <n v="2.4448280783132448E-4"/>
    <n v="5531.64"/>
    <n v="4.4414319454280559E-5"/>
    <n v="22710.111795000001"/>
    <n v="2.4448280783132448E-4"/>
    <n v="5531.64"/>
    <n v="4.4414319454280559E-5"/>
    <n v="0"/>
    <n v="0"/>
    <n v="0"/>
    <n v="0"/>
    <m/>
    <n v="5"/>
    <s v="Yes"/>
    <m/>
  </r>
  <r>
    <s v="WINDHAM"/>
    <x v="80"/>
    <s v="No"/>
    <n v="153.59882999999999"/>
    <n v="1.6535485856249294E-6"/>
    <n v="0"/>
    <n v="0"/>
    <n v="153.59882999999999"/>
    <n v="1.6535485856249294E-6"/>
    <n v="0"/>
    <n v="0"/>
    <n v="0"/>
    <n v="0"/>
    <n v="0"/>
    <n v="0"/>
    <m/>
    <n v="5"/>
    <s v="No"/>
    <m/>
  </r>
  <r>
    <s v="WINDHAM"/>
    <x v="74"/>
    <s v="No"/>
    <n v="241.28120099999998"/>
    <n v="2.5974819512064922E-6"/>
    <n v="0"/>
    <n v="0"/>
    <n v="241.28120099999998"/>
    <n v="2.5974819512064922E-6"/>
    <n v="0"/>
    <n v="0"/>
    <n v="0"/>
    <n v="0"/>
    <n v="0"/>
    <n v="0"/>
    <m/>
    <n v="2"/>
    <s v="No"/>
    <m/>
  </r>
  <r>
    <s v="WINDSOR"/>
    <x v="136"/>
    <s v="No"/>
    <n v="49.55097"/>
    <n v="5.3343463853105728E-7"/>
    <n v="0"/>
    <n v="0"/>
    <n v="49.55097"/>
    <n v="5.3343463853105728E-7"/>
    <n v="0"/>
    <n v="0"/>
    <n v="0"/>
    <n v="0"/>
    <n v="0"/>
    <n v="0"/>
    <m/>
    <n v="3"/>
    <s v="No"/>
    <m/>
  </r>
  <r>
    <s v="WINDSOR"/>
    <x v="35"/>
    <s v="No"/>
    <n v="59616.347070000003"/>
    <n v="6.4179216975626316E-4"/>
    <n v="127200.1"/>
    <n v="1.021307582564381E-3"/>
    <n v="59616.347070000003"/>
    <n v="6.4179216975626316E-4"/>
    <n v="127200.1"/>
    <n v="1.021307582564381E-3"/>
    <n v="0"/>
    <n v="0"/>
    <n v="0"/>
    <n v="0"/>
    <m/>
    <n v="1"/>
    <s v="No"/>
    <m/>
  </r>
  <r>
    <s v="WINDSOR"/>
    <x v="627"/>
    <s v="No"/>
    <n v="20071.610789999999"/>
    <n v="2.1607836227019811E-4"/>
    <n v="21364.74"/>
    <n v="1.71540517354283E-4"/>
    <n v="20071.610789999999"/>
    <n v="2.1607836227019811E-4"/>
    <n v="21364.74"/>
    <n v="1.71540517354283E-4"/>
    <n v="0"/>
    <n v="0"/>
    <n v="0"/>
    <n v="0"/>
    <m/>
    <n v="2"/>
    <s v="No"/>
    <m/>
  </r>
  <r>
    <s v="WINDSOR"/>
    <x v="36"/>
    <s v="No"/>
    <n v="49962.848250000003"/>
    <n v="5.3786866122339922E-4"/>
    <n v="28077"/>
    <n v="2.2543420166855314E-4"/>
    <n v="49962.848250000003"/>
    <n v="5.3786866122339922E-4"/>
    <n v="28077"/>
    <n v="2.2543420166855314E-4"/>
    <n v="0"/>
    <n v="0"/>
    <n v="0"/>
    <n v="0"/>
    <m/>
    <n v="3"/>
    <s v="No"/>
    <m/>
  </r>
  <r>
    <s v="WINDSOR"/>
    <x v="628"/>
    <s v="No"/>
    <n v="32310.085521000001"/>
    <n v="3.4783009880133895E-4"/>
    <n v="52284.84"/>
    <n v="4.1980237079346201E-4"/>
    <n v="32310.085521000001"/>
    <n v="3.4783009880133895E-4"/>
    <n v="52284.84"/>
    <n v="4.1980237079346201E-4"/>
    <n v="0"/>
    <n v="0"/>
    <n v="0"/>
    <n v="0"/>
    <m/>
    <n v="2"/>
    <s v="No"/>
    <m/>
  </r>
  <r>
    <s v="WINDSOR"/>
    <x v="629"/>
    <s v="No"/>
    <n v="320343.85643400002"/>
    <n v="3.4486208698339448E-3"/>
    <n v="583112.92000000004"/>
    <n v="4.6818960573714744E-3"/>
    <n v="164555.215524"/>
    <n v="1.7714981545557062E-3"/>
    <n v="442167.51"/>
    <n v="3.5502254379250627E-3"/>
    <n v="155788.64091000002"/>
    <n v="1.6771227152782384E-3"/>
    <n v="140945.41"/>
    <n v="1.1316706194464119E-3"/>
    <m/>
    <n v="3"/>
    <s v="No"/>
    <m/>
  </r>
  <r>
    <s v="WINDSOR"/>
    <x v="630"/>
    <s v="No"/>
    <n v="21608.422122000004"/>
    <n v="2.326227083723199E-4"/>
    <n v="32396.705000000002"/>
    <n v="2.6011772370148603E-4"/>
    <n v="21608.422122000004"/>
    <n v="2.326227083723199E-4"/>
    <n v="32396.705000000002"/>
    <n v="2.6011772370148603E-4"/>
    <n v="0"/>
    <n v="0"/>
    <n v="0"/>
    <n v="0"/>
    <m/>
    <n v="5"/>
    <s v="No"/>
    <m/>
  </r>
  <r>
    <s v="WINDSOR"/>
    <x v="631"/>
    <s v="No"/>
    <n v="49874.666940000003"/>
    <n v="5.3691935659374115E-4"/>
    <n v="103144.505"/>
    <n v="8.2816181006421937E-4"/>
    <n v="49874.666940000003"/>
    <n v="5.3691935659374115E-4"/>
    <n v="103144.505"/>
    <n v="8.2816181006421937E-4"/>
    <n v="0"/>
    <n v="0"/>
    <n v="0"/>
    <n v="0"/>
    <m/>
    <n v="3"/>
    <s v="No"/>
    <m/>
  </r>
  <r>
    <s v="WINDSOR"/>
    <x v="632"/>
    <s v="No"/>
    <n v="14993.566140000001"/>
    <n v="1.6141132119476973E-4"/>
    <n v="4319.22"/>
    <n v="3.4679627899378424E-5"/>
    <n v="14993.566140000001"/>
    <n v="1.6141132119476973E-4"/>
    <n v="4319.22"/>
    <n v="3.4679627899378424E-5"/>
    <n v="0"/>
    <n v="0"/>
    <n v="0"/>
    <n v="0"/>
    <m/>
    <n v="5"/>
    <s v="No"/>
    <m/>
  </r>
  <r>
    <s v="WINDSOR"/>
    <x v="269"/>
    <s v="No"/>
    <n v="126.14028"/>
    <n v="1.3579470728021339E-6"/>
    <n v="0"/>
    <n v="0"/>
    <n v="126.14028"/>
    <n v="1.3579470728021339E-6"/>
    <n v="0"/>
    <n v="0"/>
    <n v="0"/>
    <n v="0"/>
    <n v="0"/>
    <n v="0"/>
    <m/>
    <n v="5"/>
    <s v="Yes"/>
    <m/>
  </r>
  <r>
    <s v="WINDSOR LOCKS"/>
    <x v="633"/>
    <s v="No"/>
    <n v="202207.63943099999"/>
    <n v="2.176840514889897E-3"/>
    <n v="300592.18"/>
    <n v="2.4134971017598043E-3"/>
    <n v="100669.664781"/>
    <n v="1.0837464179509592E-3"/>
    <n v="183148.27"/>
    <n v="1.4705233477375296E-3"/>
    <n v="101537.97465"/>
    <n v="1.093094096938938E-3"/>
    <n v="117443.91"/>
    <n v="9.4297375402227458E-4"/>
    <m/>
    <n v="2"/>
    <s v="No"/>
    <m/>
  </r>
  <r>
    <s v="WINDSOR LOCKS"/>
    <x v="634"/>
    <s v="No"/>
    <n v="24917.057130000001"/>
    <n v="2.6824139594843963E-4"/>
    <n v="12391.18"/>
    <n v="9.9490535706497918E-5"/>
    <n v="24917.057130000001"/>
    <n v="2.6824139594843963E-4"/>
    <n v="12391.18"/>
    <n v="9.9490535706497918E-5"/>
    <n v="0"/>
    <n v="0"/>
    <n v="0"/>
    <n v="0"/>
    <m/>
    <n v="2"/>
    <s v="No"/>
    <m/>
  </r>
  <r>
    <s v="WINDSOR LOCKS"/>
    <x v="635"/>
    <s v="No"/>
    <n v="51116.455110000003"/>
    <n v="5.5028766852781828E-4"/>
    <n v="114017.03"/>
    <n v="9.154588501146658E-4"/>
    <n v="51116.455110000003"/>
    <n v="5.5028766852781828E-4"/>
    <n v="114017.03"/>
    <n v="9.154588501146658E-4"/>
    <n v="0"/>
    <n v="0"/>
    <n v="0"/>
    <n v="0"/>
    <m/>
    <n v="4"/>
    <s v="No"/>
    <m/>
  </r>
  <r>
    <s v="WOLCOTT"/>
    <x v="578"/>
    <s v="No"/>
    <n v="45.28125"/>
    <n v="4.874695132302039E-7"/>
    <n v="0"/>
    <n v="0"/>
    <n v="45.28125"/>
    <n v="4.874695132302039E-7"/>
    <n v="0"/>
    <n v="0"/>
    <n v="0"/>
    <n v="0"/>
    <n v="0"/>
    <n v="0"/>
    <m/>
    <n v="3"/>
    <s v="Yes"/>
    <m/>
  </r>
  <r>
    <s v="WOLCOTT"/>
    <x v="579"/>
    <s v="No"/>
    <n v="83.583150000000003"/>
    <n v="8.9980372548785901E-7"/>
    <n v="0"/>
    <n v="0"/>
    <n v="83.583150000000003"/>
    <n v="8.9980372548785901E-7"/>
    <n v="0"/>
    <n v="0"/>
    <n v="0"/>
    <n v="0"/>
    <n v="0"/>
    <n v="0"/>
    <m/>
    <n v="4"/>
    <s v="Yes"/>
    <m/>
  </r>
  <r>
    <s v="WOLCOTT"/>
    <x v="581"/>
    <s v="No"/>
    <n v="83789.394864000002"/>
    <n v="9.0202402822818332E-4"/>
    <n v="159721.81"/>
    <n v="1.2824289890802552E-3"/>
    <n v="83789.394864000002"/>
    <n v="9.0202402822818332E-4"/>
    <n v="159721.81"/>
    <n v="1.2824289890802552E-3"/>
    <n v="0"/>
    <n v="0"/>
    <n v="0"/>
    <n v="0"/>
    <m/>
    <n v="2"/>
    <s v="No"/>
    <m/>
  </r>
  <r>
    <s v="WOLCOTT"/>
    <x v="636"/>
    <s v="No"/>
    <n v="208704.33670800002"/>
    <n v="2.246779879620844E-3"/>
    <n v="356149.29250000004"/>
    <n v="2.8595730109896899E-3"/>
    <n v="151534.98114300001"/>
    <n v="1.6313304843644189E-3"/>
    <n v="326662.40250000003"/>
    <n v="2.6228186032239585E-3"/>
    <n v="57169.355564999998"/>
    <n v="6.1544939525642504E-4"/>
    <n v="29486.89"/>
    <n v="2.3675440776573146E-4"/>
    <m/>
    <n v="2"/>
    <s v="No"/>
    <m/>
  </r>
  <r>
    <s v="WOLCOTT"/>
    <x v="637"/>
    <s v="No"/>
    <n v="50841.12096"/>
    <n v="5.4732359390363813E-4"/>
    <n v="60562.62"/>
    <n v="4.8626583647312568E-4"/>
    <n v="50841.12096"/>
    <n v="5.4732359390363813E-4"/>
    <n v="60562.62"/>
    <n v="4.8626583647312568E-4"/>
    <n v="0"/>
    <n v="0"/>
    <n v="0"/>
    <n v="0"/>
    <m/>
    <n v="1"/>
    <s v="No"/>
    <m/>
  </r>
  <r>
    <s v="WOODBURY"/>
    <x v="638"/>
    <s v="No"/>
    <n v="181420.263213"/>
    <n v="1.9530566713272398E-3"/>
    <n v="354615.005"/>
    <n v="2.8472539997814929E-3"/>
    <n v="138746.17959300001"/>
    <n v="1.493654274755007E-3"/>
    <n v="330214.005"/>
    <n v="2.6513349217135241E-3"/>
    <n v="42674.083619999998"/>
    <n v="4.5940239657223277E-4"/>
    <n v="24401"/>
    <n v="1.9591907806796897E-4"/>
    <m/>
    <n v="2"/>
    <s v="No"/>
    <m/>
  </r>
  <r>
    <s v="WOODBURY"/>
    <x v="29"/>
    <s v="No"/>
    <n v="85384.974738000004"/>
    <n v="9.1920103956286798E-4"/>
    <n v="104272.47"/>
    <n v="8.372184004864536E-4"/>
    <n v="85384.974738000004"/>
    <n v="9.1920103956286798E-4"/>
    <n v="104272.47"/>
    <n v="8.372184004864536E-4"/>
    <n v="0"/>
    <n v="0"/>
    <n v="0"/>
    <n v="0"/>
    <m/>
    <n v="1"/>
    <s v="No"/>
    <m/>
  </r>
  <r>
    <s v="WOODSTOCK"/>
    <x v="534"/>
    <s v="No"/>
    <n v="115.41768"/>
    <n v="1.2425142920692216E-6"/>
    <n v="8237.125"/>
    <n v="6.6137040938101671E-5"/>
    <n v="115.41768"/>
    <n v="1.2425142920692216E-6"/>
    <n v="8237.125"/>
    <n v="6.6137040938101671E-5"/>
    <n v="0"/>
    <n v="0"/>
    <n v="0"/>
    <n v="0"/>
    <m/>
    <n v="2"/>
    <s v="No"/>
    <m/>
  </r>
  <r>
    <s v="WOODSTOCK"/>
    <x v="458"/>
    <s v="No"/>
    <n v="173914.05584700001"/>
    <n v="1.8722495546750055E-3"/>
    <n v="190406.92500000002"/>
    <n v="1.5288041147394336E-3"/>
    <n v="157071.80865600001"/>
    <n v="1.6909364937524483E-3"/>
    <n v="180564.32500000001"/>
    <n v="1.449776488093321E-3"/>
    <n v="16842.247191000002"/>
    <n v="1.8131306092255712E-4"/>
    <n v="9842.6"/>
    <n v="7.902762664611251E-5"/>
    <m/>
    <n v="1"/>
    <s v="No"/>
    <m/>
  </r>
  <r>
    <s v="WOODSTOCK"/>
    <x v="3"/>
    <s v="No"/>
    <n v="634.60887000000002"/>
    <n v="6.8318007332056812E-6"/>
    <n v="0"/>
    <n v="0"/>
    <n v="634.60887000000002"/>
    <n v="6.8318007332056812E-6"/>
    <n v="0"/>
    <n v="0"/>
    <n v="0"/>
    <n v="0"/>
    <n v="0"/>
    <n v="0"/>
    <m/>
    <n v="2"/>
    <s v="No"/>
    <m/>
  </r>
  <r>
    <s v="WOODSTOCK"/>
    <x v="459"/>
    <s v="No"/>
    <n v="1455.77649"/>
    <n v="1.5671975860919802E-5"/>
    <n v="1514.96"/>
    <n v="1.2163827978765226E-5"/>
    <n v="1455.77649"/>
    <n v="1.5671975860919802E-5"/>
    <n v="1514.96"/>
    <n v="1.2163827978765226E-5"/>
    <n v="0"/>
    <n v="0"/>
    <n v="0"/>
    <n v="0"/>
    <m/>
    <n v="2"/>
    <s v="No"/>
    <m/>
  </r>
  <r>
    <m/>
    <x v="639"/>
    <s v="Totals"/>
    <n v="58471010.013801031"/>
    <n v="0.62946218996838565"/>
    <n v="80858628.885499969"/>
    <n v="0.64922536064453096"/>
    <n v="44253449.255484052"/>
    <n v="0.47640485559317242"/>
    <n v="67612952.937499985"/>
    <n v="0.54287395618900747"/>
    <n v="14217560.758317005"/>
    <n v="0.15305733437521354"/>
    <n v="13245675.947999999"/>
    <n v="0.10635140445552357"/>
    <m/>
    <e v="#N/A"/>
    <e v="#N/A"/>
    <m/>
  </r>
  <r>
    <m/>
    <x v="639"/>
    <m/>
    <m/>
    <m/>
    <m/>
    <m/>
    <m/>
    <m/>
    <m/>
    <m/>
    <m/>
    <m/>
    <m/>
    <m/>
    <m/>
    <e v="#N/A"/>
    <e v="#N/A"/>
    <m/>
  </r>
  <r>
    <s v="1. Distressed Tracts are tracts that are less than or equal to 60% of the State Median Income and 100% Distressed (Source - Experian)."/>
    <x v="639"/>
    <m/>
    <m/>
    <m/>
    <m/>
    <m/>
    <m/>
    <m/>
    <m/>
    <m/>
    <m/>
    <m/>
    <m/>
    <m/>
    <m/>
    <e v="#N/A"/>
    <e v="#N/A"/>
    <m/>
  </r>
  <r>
    <s v="2. CLM $ Collected equals the Conservation Adjustment Mechanism (CAM) Charge."/>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r>
    <m/>
    <x v="639"/>
    <m/>
    <m/>
    <m/>
    <m/>
    <m/>
    <m/>
    <m/>
    <m/>
    <m/>
    <m/>
    <m/>
    <m/>
    <m/>
    <m/>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6B70B-68A0-49C7-89CA-56836358B616}" name="PivotTable1" cacheId="4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644" firstHeaderRow="0" firstDataRow="1" firstDataCol="1"/>
  <pivotFields count="19">
    <pivotField showAll="0"/>
    <pivotField axis="axisRow" showAll="0">
      <items count="644">
        <item m="1" x="640"/>
        <item x="203"/>
        <item x="204"/>
        <item x="205"/>
        <item x="206"/>
        <item x="207"/>
        <item x="208"/>
        <item x="209"/>
        <item x="210"/>
        <item x="211"/>
        <item x="212"/>
        <item x="213"/>
        <item x="214"/>
        <item x="215"/>
        <item x="216"/>
        <item x="217"/>
        <item x="503"/>
        <item x="218"/>
        <item x="504"/>
        <item x="505"/>
        <item x="506"/>
        <item x="507"/>
        <item x="508"/>
        <item x="509"/>
        <item x="510"/>
        <item x="511"/>
        <item x="512"/>
        <item x="513"/>
        <item x="514"/>
        <item x="219"/>
        <item x="515"/>
        <item x="516"/>
        <item x="517"/>
        <item x="518"/>
        <item x="519"/>
        <item x="520"/>
        <item x="521"/>
        <item x="522"/>
        <item x="523"/>
        <item x="524"/>
        <item x="525"/>
        <item x="128"/>
        <item x="129"/>
        <item x="130"/>
        <item x="131"/>
        <item x="132"/>
        <item x="392"/>
        <item x="393"/>
        <item x="394"/>
        <item x="395"/>
        <item x="427"/>
        <item x="428"/>
        <item x="429"/>
        <item x="430"/>
        <item x="431"/>
        <item x="432"/>
        <item x="433"/>
        <item x="434"/>
        <item x="435"/>
        <item x="436"/>
        <item x="437"/>
        <item x="438"/>
        <item x="439"/>
        <item x="440"/>
        <item x="441"/>
        <item x="442"/>
        <item x="443"/>
        <item x="444"/>
        <item x="445"/>
        <item x="446"/>
        <item x="447"/>
        <item x="619"/>
        <item x="620"/>
        <item x="621"/>
        <item x="448"/>
        <item x="449"/>
        <item x="606"/>
        <item x="609"/>
        <item x="607"/>
        <item x="610"/>
        <item x="611"/>
        <item x="612"/>
        <item x="465"/>
        <item x="608"/>
        <item x="613"/>
        <item x="355"/>
        <item x="356"/>
        <item x="357"/>
        <item m="1" x="642"/>
        <item x="358"/>
        <item x="359"/>
        <item x="20"/>
        <item x="21"/>
        <item x="22"/>
        <item x="23"/>
        <item x="66"/>
        <item x="67"/>
        <item x="24"/>
        <item x="111"/>
        <item x="112"/>
        <item x="113"/>
        <item x="114"/>
        <item x="25"/>
        <item x="115"/>
        <item x="116"/>
        <item x="117"/>
        <item x="118"/>
        <item x="119"/>
        <item x="120"/>
        <item x="121"/>
        <item x="122"/>
        <item x="123"/>
        <item x="68"/>
        <item x="396"/>
        <item x="124"/>
        <item x="397"/>
        <item x="420"/>
        <item x="421"/>
        <item x="422"/>
        <item x="26"/>
        <item x="423"/>
        <item x="424"/>
        <item x="125"/>
        <item x="466"/>
        <item x="467"/>
        <item x="126"/>
        <item x="468"/>
        <item x="469"/>
        <item x="470"/>
        <item x="127"/>
        <item x="398"/>
        <item x="9"/>
        <item x="14"/>
        <item x="15"/>
        <item x="16"/>
        <item x="49"/>
        <item x="50"/>
        <item x="51"/>
        <item x="52"/>
        <item x="53"/>
        <item x="54"/>
        <item x="55"/>
        <item x="56"/>
        <item x="57"/>
        <item x="58"/>
        <item x="59"/>
        <item x="60"/>
        <item x="61"/>
        <item x="62"/>
        <item x="71"/>
        <item x="370"/>
        <item x="371"/>
        <item x="372"/>
        <item x="373"/>
        <item x="374"/>
        <item x="375"/>
        <item x="377"/>
        <item x="378"/>
        <item x="379"/>
        <item x="380"/>
        <item x="381"/>
        <item x="382"/>
        <item x="383"/>
        <item x="384"/>
        <item x="385"/>
        <item x="386"/>
        <item x="388"/>
        <item x="389"/>
        <item x="390"/>
        <item x="455"/>
        <item x="63"/>
        <item x="184"/>
        <item x="456"/>
        <item x="492"/>
        <item x="493"/>
        <item x="494"/>
        <item x="495"/>
        <item x="320"/>
        <item x="496"/>
        <item x="497"/>
        <item x="498"/>
        <item x="64"/>
        <item x="499"/>
        <item x="185"/>
        <item x="186"/>
        <item x="187"/>
        <item x="188"/>
        <item x="189"/>
        <item x="4"/>
        <item x="5"/>
        <item x="6"/>
        <item x="7"/>
        <item x="8"/>
        <item x="76"/>
        <item x="77"/>
        <item x="479"/>
        <item x="78"/>
        <item x="480"/>
        <item x="79"/>
        <item x="481"/>
        <item x="482"/>
        <item x="201"/>
        <item x="202"/>
        <item x="136"/>
        <item x="30"/>
        <item x="31"/>
        <item x="32"/>
        <item x="33"/>
        <item x="34"/>
        <item x="35"/>
        <item x="627"/>
        <item x="36"/>
        <item x="628"/>
        <item x="629"/>
        <item x="630"/>
        <item x="631"/>
        <item x="632"/>
        <item x="633"/>
        <item x="634"/>
        <item x="635"/>
        <item x="137"/>
        <item x="531"/>
        <item x="532"/>
        <item x="170"/>
        <item x="171"/>
        <item x="172"/>
        <item x="173"/>
        <item x="174"/>
        <item x="175"/>
        <item x="176"/>
        <item x="177"/>
        <item x="178"/>
        <item x="179"/>
        <item x="180"/>
        <item x="163"/>
        <item x="164"/>
        <item x="165"/>
        <item x="300"/>
        <item x="484"/>
        <item x="485"/>
        <item x="486"/>
        <item x="301"/>
        <item x="471"/>
        <item x="17"/>
        <item x="614"/>
        <item x="615"/>
        <item x="616"/>
        <item x="617"/>
        <item x="618"/>
        <item x="413"/>
        <item x="414"/>
        <item x="415"/>
        <item x="416"/>
        <item x="391"/>
        <item x="417"/>
        <item x="418"/>
        <item x="419"/>
        <item x="589"/>
        <item x="190"/>
        <item x="590"/>
        <item x="591"/>
        <item x="592"/>
        <item x="593"/>
        <item x="594"/>
        <item x="595"/>
        <item x="596"/>
        <item x="597"/>
        <item x="598"/>
        <item x="599"/>
        <item x="600"/>
        <item x="601"/>
        <item x="602"/>
        <item x="603"/>
        <item x="604"/>
        <item x="236"/>
        <item x="237"/>
        <item x="238"/>
        <item x="239"/>
        <item x="240"/>
        <item x="241"/>
        <item x="242"/>
        <item x="243"/>
        <item x="244"/>
        <item x="245"/>
        <item x="246"/>
        <item x="247"/>
        <item x="248"/>
        <item x="249"/>
        <item x="250"/>
        <item x="251"/>
        <item x="252"/>
        <item x="253"/>
        <item x="254"/>
        <item x="255"/>
        <item x="256"/>
        <item x="257"/>
        <item x="258"/>
        <item x="259"/>
        <item x="260"/>
        <item x="261"/>
        <item x="37"/>
        <item x="262"/>
        <item x="263"/>
        <item x="264"/>
        <item x="265"/>
        <item x="266"/>
        <item x="267"/>
        <item x="268"/>
        <item x="142"/>
        <item x="143"/>
        <item x="144"/>
        <item x="145"/>
        <item x="146"/>
        <item x="147"/>
        <item x="148"/>
        <item x="149"/>
        <item x="150"/>
        <item x="151"/>
        <item x="152"/>
        <item x="153"/>
        <item x="154"/>
        <item x="155"/>
        <item x="302"/>
        <item x="156"/>
        <item x="303"/>
        <item x="304"/>
        <item x="305"/>
        <item x="306"/>
        <item x="307"/>
        <item x="308"/>
        <item x="309"/>
        <item x="38"/>
        <item x="310"/>
        <item x="311"/>
        <item x="312"/>
        <item x="313"/>
        <item x="192"/>
        <item x="193"/>
        <item x="194"/>
        <item x="195"/>
        <item x="196"/>
        <item x="197"/>
        <item x="198"/>
        <item x="319"/>
        <item x="472"/>
        <item x="181"/>
        <item x="269"/>
        <item x="270"/>
        <item x="271"/>
        <item x="272"/>
        <item x="273"/>
        <item x="47"/>
        <item x="408"/>
        <item x="409"/>
        <item x="410"/>
        <item x="69"/>
        <item x="280"/>
        <item x="411"/>
        <item x="72"/>
        <item x="473"/>
        <item x="104"/>
        <item x="105"/>
        <item x="106"/>
        <item x="281"/>
        <item x="412"/>
        <item x="48"/>
        <item x="10"/>
        <item x="101"/>
        <item x="200"/>
        <item x="274"/>
        <item x="275"/>
        <item x="293"/>
        <item x="294"/>
        <item x="295"/>
        <item x="27"/>
        <item x="399"/>
        <item x="537"/>
        <item x="538"/>
        <item x="539"/>
        <item x="276"/>
        <item x="540"/>
        <item x="541"/>
        <item x="542"/>
        <item x="543"/>
        <item x="544"/>
        <item x="545"/>
        <item x="546"/>
        <item x="11"/>
        <item x="547"/>
        <item x="28"/>
        <item x="296"/>
        <item x="277"/>
        <item x="585"/>
        <item x="586"/>
        <item x="587"/>
        <item x="588"/>
        <item x="638"/>
        <item x="29"/>
        <item x="278"/>
        <item x="65"/>
        <item x="457"/>
        <item x="73"/>
        <item x="343"/>
        <item x="344"/>
        <item x="345"/>
        <item x="346"/>
        <item x="347"/>
        <item x="348"/>
        <item x="349"/>
        <item x="350"/>
        <item x="351"/>
        <item x="352"/>
        <item x="353"/>
        <item x="139"/>
        <item x="93"/>
        <item x="140"/>
        <item x="199"/>
        <item x="460"/>
        <item x="108"/>
        <item x="109"/>
        <item x="110"/>
        <item x="342"/>
        <item x="134"/>
        <item x="141"/>
        <item x="94"/>
        <item x="138"/>
        <item x="88"/>
        <item x="89"/>
        <item x="90"/>
        <item x="91"/>
        <item x="92"/>
        <item x="133"/>
        <item x="182"/>
        <item x="288"/>
        <item x="183"/>
        <item x="452"/>
        <item x="605"/>
        <item x="354"/>
        <item x="474"/>
        <item x="475"/>
        <item x="476"/>
        <item x="12"/>
        <item x="477"/>
        <item x="478"/>
        <item x="19"/>
        <item x="81"/>
        <item x="321"/>
        <item x="322"/>
        <item x="323"/>
        <item x="324"/>
        <item x="325"/>
        <item x="326"/>
        <item x="327"/>
        <item x="328"/>
        <item x="329"/>
        <item x="330"/>
        <item x="331"/>
        <item x="332"/>
        <item x="333"/>
        <item x="334"/>
        <item x="335"/>
        <item x="18"/>
        <item x="336"/>
        <item x="337"/>
        <item x="338"/>
        <item x="40"/>
        <item x="41"/>
        <item x="42"/>
        <item x="43"/>
        <item x="44"/>
        <item x="45"/>
        <item x="46"/>
        <item x="230"/>
        <item x="231"/>
        <item x="232"/>
        <item x="233"/>
        <item x="135"/>
        <item x="298"/>
        <item x="234"/>
        <item x="299"/>
        <item x="13"/>
        <item x="82"/>
        <item x="83"/>
        <item x="84"/>
        <item x="85"/>
        <item x="86"/>
        <item x="339"/>
        <item x="340"/>
        <item x="364"/>
        <item x="365"/>
        <item x="366"/>
        <item x="367"/>
        <item x="341"/>
        <item x="453"/>
        <item x="368"/>
        <item x="87"/>
        <item x="369"/>
        <item x="487"/>
        <item x="488"/>
        <item x="489"/>
        <item x="490"/>
        <item x="491"/>
        <item x="554"/>
        <item x="555"/>
        <item x="556"/>
        <item x="557"/>
        <item x="558"/>
        <item x="559"/>
        <item x="560"/>
        <item x="561"/>
        <item x="562"/>
        <item x="563"/>
        <item x="564"/>
        <item x="565"/>
        <item x="566"/>
        <item x="567"/>
        <item x="568"/>
        <item x="569"/>
        <item x="570"/>
        <item x="571"/>
        <item x="572"/>
        <item x="573"/>
        <item x="574"/>
        <item x="575"/>
        <item x="576"/>
        <item x="577"/>
        <item x="578"/>
        <item x="579"/>
        <item x="580"/>
        <item x="462"/>
        <item x="581"/>
        <item x="636"/>
        <item x="637"/>
        <item x="297"/>
        <item x="450"/>
        <item x="451"/>
        <item x="400"/>
        <item x="401"/>
        <item x="402"/>
        <item x="403"/>
        <item x="404"/>
        <item x="405"/>
        <item x="582"/>
        <item x="406"/>
        <item x="583"/>
        <item x="360"/>
        <item x="584"/>
        <item x="361"/>
        <item x="157"/>
        <item m="1" x="641"/>
        <item x="461"/>
        <item x="289"/>
        <item x="290"/>
        <item x="222"/>
        <item x="223"/>
        <item x="224"/>
        <item x="225"/>
        <item x="226"/>
        <item x="227"/>
        <item x="228"/>
        <item x="526"/>
        <item x="527"/>
        <item x="528"/>
        <item x="529"/>
        <item x="530"/>
        <item x="425"/>
        <item x="426"/>
        <item x="220"/>
        <item x="221"/>
        <item x="292"/>
        <item x="500"/>
        <item x="191"/>
        <item x="95"/>
        <item x="96"/>
        <item x="97"/>
        <item x="98"/>
        <item x="158"/>
        <item x="159"/>
        <item x="99"/>
        <item x="407"/>
        <item x="362"/>
        <item x="363"/>
        <item x="160"/>
        <item x="161"/>
        <item x="162"/>
        <item x="291"/>
        <item x="100"/>
        <item x="279"/>
        <item x="0"/>
        <item x="1"/>
        <item x="548"/>
        <item x="549"/>
        <item x="550"/>
        <item x="551"/>
        <item x="552"/>
        <item x="553"/>
        <item x="39"/>
        <item x="535"/>
        <item x="536"/>
        <item x="166"/>
        <item x="167"/>
        <item x="168"/>
        <item x="169"/>
        <item x="314"/>
        <item x="107"/>
        <item x="102"/>
        <item x="103"/>
        <item x="315"/>
        <item x="316"/>
        <item x="317"/>
        <item x="318"/>
        <item x="501"/>
        <item x="502"/>
        <item x="483"/>
        <item x="622"/>
        <item x="623"/>
        <item x="624"/>
        <item x="625"/>
        <item x="626"/>
        <item x="80"/>
        <item x="235"/>
        <item x="74"/>
        <item x="2"/>
        <item x="533"/>
        <item x="534"/>
        <item x="458"/>
        <item x="3"/>
        <item x="459"/>
        <item x="463"/>
        <item x="464"/>
        <item x="282"/>
        <item x="283"/>
        <item x="284"/>
        <item x="70"/>
        <item x="75"/>
        <item x="285"/>
        <item x="286"/>
        <item x="454"/>
        <item x="287"/>
        <item x="639"/>
        <item x="229"/>
        <item x="376"/>
        <item x="387"/>
        <item t="default"/>
      </items>
    </pivotField>
    <pivotField showAll="0"/>
    <pivotField dataField="1" numFmtId="42" showAll="0"/>
    <pivotField numFmtId="166" showAll="0"/>
    <pivotField dataField="1" numFmtId="42" showAll="0"/>
    <pivotField numFmtId="166" showAll="0"/>
    <pivotField numFmtId="42" showAll="0"/>
    <pivotField numFmtId="166" showAll="0"/>
    <pivotField numFmtId="42" showAll="0"/>
    <pivotField numFmtId="166" showAll="0"/>
    <pivotField numFmtId="42" showAll="0"/>
    <pivotField numFmtId="166" showAll="0"/>
    <pivotField numFmtId="42" showAll="0"/>
    <pivotField numFmtId="166" showAll="0"/>
    <pivotField showAll="0"/>
    <pivotField dataField="1" showAll="0"/>
    <pivotField showAll="0"/>
    <pivotField showAll="0"/>
  </pivotFields>
  <rowFields count="1">
    <field x="1"/>
  </rowFields>
  <rowItems count="6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t="grand">
      <x/>
    </i>
  </rowItems>
  <colFields count="1">
    <field x="-2"/>
  </colFields>
  <colItems count="3">
    <i>
      <x/>
    </i>
    <i i="1">
      <x v="1"/>
    </i>
    <i i="2">
      <x v="2"/>
    </i>
  </colItems>
  <dataFields count="3">
    <dataField name="Count of BIPOC Index" fld="16" subtotal="count" baseField="0" baseItem="0"/>
    <dataField name="Sum of CLM $ Collected " fld="3" baseField="0" baseItem="0"/>
    <dataField name="Sum of Incentive Disbursemen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1A2DD-42DD-4F92-9C7B-BF179A2E9561}" name="Table3" displayName="Table3" ref="A5:S939" totalsRowShown="0" headerRowDxfId="105" tableBorderDxfId="104">
  <autoFilter ref="A5:S939" xr:uid="{00000000-0009-0000-0100-000003000000}"/>
  <tableColumns count="19">
    <tableColumn id="1" xr3:uid="{00000000-0010-0000-0000-000001000000}" name="Town"/>
    <tableColumn id="2" xr3:uid="{00000000-0010-0000-0000-000002000000}" name="Census Tract" dataDxfId="103"/>
    <tableColumn id="3" xr3:uid="{00000000-0010-0000-0000-000003000000}" name="Distressed Tract1"/>
    <tableColumn id="4" xr3:uid="{00000000-0010-0000-0000-000004000000}" name="CLM $ Collected " dataDxfId="102" dataCellStyle="Currency"/>
    <tableColumn id="5" xr3:uid="{00000000-0010-0000-0000-000005000000}" name="% of Total CLM $ Collected " dataDxfId="101" dataCellStyle="Percent"/>
    <tableColumn id="6" xr3:uid="{00000000-0010-0000-0000-000006000000}" name="Incentive Disbursements" dataDxfId="100" dataCellStyle="Currency"/>
    <tableColumn id="7" xr3:uid="{00000000-0010-0000-0000-000007000000}" name="% of Total Incentive Disbursements" dataDxfId="99" dataCellStyle="Percent"/>
    <tableColumn id="9" xr3:uid="{00000000-0010-0000-0000-000009000000}" name="Residential CLM $ Collected" dataDxfId="98" dataCellStyle="Currency"/>
    <tableColumn id="10" xr3:uid="{00000000-0010-0000-0000-00000A000000}" name="% of Total Residential CLM $ Collected" dataDxfId="97" dataCellStyle="Percent"/>
    <tableColumn id="11" xr3:uid="{00000000-0010-0000-0000-00000B000000}" name="Residential Incentive Disbursements" dataDxfId="96" dataCellStyle="Currency"/>
    <tableColumn id="12" xr3:uid="{00000000-0010-0000-0000-00000C000000}" name="% of Total Residential Incentive Disbursements " dataDxfId="95" dataCellStyle="Percent"/>
    <tableColumn id="14" xr3:uid="{00000000-0010-0000-0000-00000E000000}" name="C&amp;I CLM $ Collected" dataDxfId="94" dataCellStyle="Currency"/>
    <tableColumn id="15" xr3:uid="{00000000-0010-0000-0000-00000F000000}" name="% of Total C&amp;I CLM $ Collected" dataDxfId="93" dataCellStyle="Percent"/>
    <tableColumn id="16" xr3:uid="{00000000-0010-0000-0000-000010000000}" name="C&amp;I Incentive Disbursements" dataDxfId="92" dataCellStyle="Currency"/>
    <tableColumn id="17" xr3:uid="{00000000-0010-0000-0000-000011000000}" name="% of TotalC&amp;I Incentive Disbursements " dataDxfId="91" dataCellStyle="Percent"/>
    <tableColumn id="8" xr3:uid="{24BD6032-BD7C-40E7-A363-64A2386C9F62}" name="Affluence Rank "/>
    <tableColumn id="13" xr3:uid="{30AEA127-371E-4384-9C35-A5D1BE96EC49}" name="BIPOC Index" dataDxfId="90">
      <calculatedColumnFormula>VLOOKUP(Table3[[#This Row],[Census Tract]],'Population and Diversity Data'!$B$2:$K$823,10,FALSE)</calculatedColumnFormula>
    </tableColumn>
    <tableColumn id="19" xr3:uid="{94F62DCD-6287-44B9-9E7A-5D09622A7040}" name="Energy Burdened?" dataDxfId="89">
      <calculatedColumnFormula>VLOOKUP(Table3[[#This Row],[Census Tract]],'ES Energy Burden'!$B$2:$E$914,4,FALSE)</calculatedColumnFormula>
    </tableColumn>
    <tableColumn id="20" xr3:uid="{4936EC74-80C0-4E8E-805E-F047CCED61D0}" name="Ratio of Billed Collects to Incentiv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56EE45-7849-4748-B9B5-3D3581116937}" name="Table2" displayName="Table2" ref="A5:Q277" totalsRowShown="0" tableBorderDxfId="13">
  <autoFilter ref="A5:Q277" xr:uid="{C956EE45-7849-4748-B9B5-3D3581116937}"/>
  <tableColumns count="17">
    <tableColumn id="1" xr3:uid="{070284DD-D73E-774F-92FA-5747831CB3DE}" name="Town"/>
    <tableColumn id="2" xr3:uid="{05FB6862-CA2D-7A4B-9E46-31174D431133}" name="Census Tract" dataDxfId="12"/>
    <tableColumn id="3" xr3:uid="{6760F043-0B43-8E47-A700-FC39989F2D06}" name="Distressed Tract1"/>
    <tableColumn id="4" xr3:uid="{6647C7D2-B93C-8248-B241-AF5F2BBB9C50}" name="CLM $ Collected " dataDxfId="11" dataCellStyle="Currency">
      <calculatedColumnFormula>[1]!Table32[[#This Row],[Residential CLM $ Collected]]+[1]!Table32[[#This Row],[C&amp;I CLM $ Collected]]</calculatedColumnFormula>
    </tableColumn>
    <tableColumn id="5" xr3:uid="{5E51410A-4D7F-C343-A7B5-C6C68F8C0001}" name="% of Total CLM $ Collected " dataDxfId="10" dataCellStyle="Percent">
      <calculatedColumnFormula>[1]!Table32[[#This Row],[CLM $ Collected ]]/'[1]1.) CLM Reference'!$B$4</calculatedColumnFormula>
    </tableColumn>
    <tableColumn id="6" xr3:uid="{88A3659C-05BC-464F-9A9A-B66FE237223C}" name="Incentive Disbursements" dataDxfId="9" dataCellStyle="Currency">
      <calculatedColumnFormula>[1]!Table32[[#This Row],[Residential Incentive Disbursements]]+[1]!Table32[[#This Row],[C&amp;I Incentive Disbursements]]</calculatedColumnFormula>
    </tableColumn>
    <tableColumn id="7" xr3:uid="{8E2F8B50-EA54-0146-A634-2FAB9EBF582D}" name="% of Total Incentive Disbursements" dataDxfId="8" dataCellStyle="Percent">
      <calculatedColumnFormula>[1]!Table32[[#This Row],[Incentive Disbursements]]/'[1]1.) CLM Reference'!$B$5</calculatedColumnFormula>
    </tableColumn>
    <tableColumn id="8" xr3:uid="{C5AF2020-C670-CE49-B904-6E5B1B1329BE}" name="Residential CLM $ Collected" dataDxfId="7" dataCellStyle="Currency"/>
    <tableColumn id="9" xr3:uid="{83E671BD-D3E0-6D43-8C49-8090BB949BBD}" name="% of Total Residential CLM $ Collected" dataDxfId="6" dataCellStyle="Percent">
      <calculatedColumnFormula>[1]!Table32[[#This Row],[Residential CLM $ Collected]]/'[1]1.) CLM Reference'!$B$4</calculatedColumnFormula>
    </tableColumn>
    <tableColumn id="10" xr3:uid="{68081761-177C-7645-99D8-1C68D6836BFE}" name="Residential Incentive Disbursements" dataDxfId="5" dataCellStyle="Currency"/>
    <tableColumn id="11" xr3:uid="{040D7FE3-64BE-584F-AC82-860D85694E03}" name="% of Total Residential Incentive Disbursements " dataDxfId="4" dataCellStyle="Percent">
      <calculatedColumnFormula>[1]!Table32[[#This Row],[Residential Incentive Disbursements]]/'[1]1.) CLM Reference'!$B$5</calculatedColumnFormula>
    </tableColumn>
    <tableColumn id="12" xr3:uid="{D431A0BE-D6C3-2844-ACE7-D533302E329D}" name="C&amp;I CLM $ Collected" dataDxfId="3" dataCellStyle="Currency"/>
    <tableColumn id="13" xr3:uid="{9695444F-14D6-8442-905A-E1D4262823A4}" name="% of Total C&amp;I CLM $ Collected" dataDxfId="2" dataCellStyle="Percent">
      <calculatedColumnFormula>[1]!Table32[[#This Row],[C&amp;I CLM $ Collected]]/'[1]1.) CLM Reference'!$B$4</calculatedColumnFormula>
    </tableColumn>
    <tableColumn id="14" xr3:uid="{A1614DD0-DAB3-A041-AB78-A648C3899D94}" name="C&amp;I Incentive Disbursements" dataDxfId="1" dataCellStyle="Currency"/>
    <tableColumn id="15" xr3:uid="{CDBD56FF-0DE2-0B4D-88BB-7F9958E42B6D}" name="% of TotalC&amp;I Incentive Disbursements " dataDxfId="0" dataCellStyle="Percent">
      <calculatedColumnFormula>[1]!Table32[[#This Row],[C&amp;I Incentive Disbursements]]/'[1]1.) CLM Reference'!$B$5</calculatedColumnFormula>
    </tableColumn>
    <tableColumn id="16" xr3:uid="{76A0B365-4903-B540-854F-72A4ECFBA4CA}" name="BIPOC Index"/>
    <tableColumn id="17" xr3:uid="{3D7BC301-D63A-AD4A-AB6E-6F76F13D6A3E}" name="Energy Burden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06BC5-53CB-420B-82D1-E1859570CC98}" name="Table323" displayName="Table323" ref="A5:Q940" totalsRowShown="0" headerRowDxfId="88" dataDxfId="87" tableBorderDxfId="86">
  <autoFilter ref="A5:Q940" xr:uid="{00000000-0009-0000-0100-000002000000}"/>
  <tableColumns count="17">
    <tableColumn id="1" xr3:uid="{00000000-0010-0000-0200-000001000000}" name="Town"/>
    <tableColumn id="2" xr3:uid="{00000000-0010-0000-0200-000002000000}" name="Census Tract" dataDxfId="85"/>
    <tableColumn id="3" xr3:uid="{00000000-0010-0000-0200-000003000000}" name="Distressed Tract1" dataDxfId="84"/>
    <tableColumn id="4" xr3:uid="{00000000-0010-0000-0200-000004000000}" name="CLM $ Collected " dataDxfId="83" dataCellStyle="Currency"/>
    <tableColumn id="6" xr3:uid="{00000000-0010-0000-0200-000006000000}" name="Incentive Disbursements" dataDxfId="82" dataCellStyle="Currency"/>
    <tableColumn id="9" xr3:uid="{00000000-0010-0000-0200-000009000000}" name="Total Units" dataDxfId="81"/>
    <tableColumn id="11" xr3:uid="{00000000-0010-0000-0200-00000B000000}" name="Single Family" dataDxfId="80"/>
    <tableColumn id="10" xr3:uid="{00000000-0010-0000-0200-00000A000000}" name="2-4 Units" dataDxfId="79"/>
    <tableColumn id="8" xr3:uid="{00000000-0010-0000-0200-000008000000}" name="&gt;4 Units" dataDxfId="78"/>
    <tableColumn id="7" xr3:uid="{00000000-0010-0000-0200-000007000000}" name="Incentives" dataDxfId="77"/>
    <tableColumn id="14" xr3:uid="{00000000-0010-0000-0200-00000E000000}" name="Total Units2"/>
    <tableColumn id="15" xr3:uid="{00000000-0010-0000-0200-00000F000000}" name="Single Family " dataDxfId="76"/>
    <tableColumn id="13" xr3:uid="{00000000-0010-0000-0200-00000D000000}" name=" 2-4 Units" dataDxfId="75"/>
    <tableColumn id="12" xr3:uid="{00000000-0010-0000-0200-00000C000000}" name="&gt;4 Units " dataDxfId="74"/>
    <tableColumn id="16" xr3:uid="{00000000-0010-0000-0200-000010000000}" name="Incentives " dataDxfId="73"/>
    <tableColumn id="5" xr3:uid="{88F22D7C-6347-4F90-A656-D560652368D8}" name="BIPOC Index" dataDxfId="72">
      <calculatedColumnFormula>VLOOKUP(Table323[[#This Row],[Census Tract]],'Population and Diversity Data'!$B$2:$K$823,10,FALSE)</calculatedColumnFormula>
    </tableColumn>
    <tableColumn id="17" xr3:uid="{0DB47C55-0C62-46CD-9471-B1E08E6F9EAE}" name="Energy Burdened?" dataDxfId="71">
      <calculatedColumnFormula>VLOOKUP(Table323[[#This Row],[Census Tract]],'ES Energy Burden'!$B$2:$E$914,4,FALSE)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9AA1B8-5B6B-4FC8-AEEF-89810B8A3E3A}" name="Table6" displayName="Table6" ref="G2:H239" totalsRowShown="0">
  <autoFilter ref="G2:H239" xr:uid="{289AA1B8-5B6B-4FC8-AEEF-89810B8A3E3A}"/>
  <sortState xmlns:xlrd2="http://schemas.microsoft.com/office/spreadsheetml/2017/richdata2" ref="G3:H239">
    <sortCondition descending="1" ref="H3:H239"/>
  </sortState>
  <tableColumns count="2">
    <tableColumn id="1" xr3:uid="{F0A40715-484B-4232-8705-D2912E110308}" name="Town"/>
    <tableColumn id="2" xr3:uid="{252E8A47-B249-474A-B176-468839C7FD1F}" name="Sum of # Terminat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3D1267-7D36-4E25-8814-591BB8C0BA6A}" name="Table8" displayName="Table8" ref="A5:R423" totalsRowShown="0" headerRowDxfId="70">
  <autoFilter ref="A5:R423" xr:uid="{DB3D1267-7D36-4E25-8814-591BB8C0BA6A}"/>
  <tableColumns count="18">
    <tableColumn id="1" xr3:uid="{16783C68-A2C6-41AC-A1A7-D33A4A4F8614}" name="Census Tract" dataDxfId="69"/>
    <tableColumn id="2" xr3:uid="{6D311D33-E99C-4CC9-B440-2174BA106B94}" name="Town" dataDxfId="68"/>
    <tableColumn id="3" xr3:uid="{538A8AC7-8AF1-4658-BB1B-755E4407DE57}" name="Distressed Tract1" dataDxfId="67"/>
    <tableColumn id="4" xr3:uid="{2E6AEFDD-817D-432E-9376-3B9655676006}" name="CLM $ Collected " dataDxfId="66" dataCellStyle="Currency"/>
    <tableColumn id="5" xr3:uid="{735279B8-9D05-4367-A2EC-30EF1055F137}" name="% of Total CLM $ Collected " dataDxfId="65" dataCellStyle="Percent"/>
    <tableColumn id="6" xr3:uid="{2EBBF949-E256-42CF-8B9E-6E2B222D84FF}" name="Incentive Disbursements" dataDxfId="64" dataCellStyle="Currency"/>
    <tableColumn id="7" xr3:uid="{4E6D7BAE-44ED-403F-8F0C-E4792B8C5812}" name="% of Total Incentive Disbursements" dataDxfId="63" dataCellStyle="Percent"/>
    <tableColumn id="10" xr3:uid="{D5AEAE98-B238-4570-8FE4-49AA7EDA63C4}" name="Residential CLM $ Collected" dataDxfId="62" dataCellStyle="Currency"/>
    <tableColumn id="11" xr3:uid="{EC476A00-77A5-44BC-8FE7-6D04AA44F28C}" name="% of Total Residential CLM $ Collected" dataDxfId="61" dataCellStyle="Percent"/>
    <tableColumn id="12" xr3:uid="{9D49823E-1C9F-4EC8-B010-2FEBC8550869}" name="Residential Incentive Disbursements" dataDxfId="60" dataCellStyle="Currency"/>
    <tableColumn id="13" xr3:uid="{1A5B8F52-8051-4B1A-8F2F-653E22F21D75}" name="% of Total Residential Incentive Disbursements " dataDxfId="59" dataCellStyle="Percent"/>
    <tableColumn id="15" xr3:uid="{E5296E05-A26F-44F3-AFC5-37121C095828}" name="C&amp;I CLM $ Collected" dataDxfId="58" dataCellStyle="Currency"/>
    <tableColumn id="16" xr3:uid="{3FFAEBC8-56B8-4E47-88EB-6C06FC8399A4}" name="% of Total C&amp;I CLM $ Collected" dataDxfId="57" dataCellStyle="Percent"/>
    <tableColumn id="17" xr3:uid="{871D52AA-4DF2-4E90-819D-AFA127F4CEC9}" name="C&amp;I Incentive Disbursements" dataDxfId="56" dataCellStyle="Currency"/>
    <tableColumn id="18" xr3:uid="{34D83DF6-3E9C-4AD7-B033-54C336E45763}" name="% of TotalC&amp;I Incentive Disbursements " dataDxfId="55" dataCellStyle="Percent"/>
    <tableColumn id="19" xr3:uid="{1FD71713-B2CF-465A-BFE3-1353A8AC3ACE}" name="Equitable 3">
      <calculatedColumnFormula>IF(ROUND(M6,5)&lt;0.00001,"N/A",IF(ROUND(M6,5)&lt;=ROUND(O6,5),"YES","NO"))</calculatedColumnFormula>
    </tableColumn>
    <tableColumn id="20" xr3:uid="{DDA5A4C8-593B-4D5F-BDCB-92B5143F9FEB}" name="Energy Burdened?" dataDxfId="54">
      <calculatedColumnFormula>VLOOKUP(Table8[[#This Row],[Census Tract]],'UI EnergyBurden'!$A$2:$B$184,2,FALSE)</calculatedColumnFormula>
    </tableColumn>
    <tableColumn id="21" xr3:uid="{1BCCE729-5223-4F71-AF3B-60F2132629A0}" name="BIPOC Index" dataDxfId="53">
      <calculatedColumnFormula>VLOOKUP(Table8[[#This Row],[Census Tract]],'Population and Diversity Data'!$B$2:$K$823,10,FALSE)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2965-8A05-4523-8BEE-546592905F2D}" name="Table325" displayName="Table325" ref="A5:Q210" totalsRowShown="0" headerRowDxfId="52" tableBorderDxfId="51">
  <autoFilter ref="A5:Q210" xr:uid="{BC152965-8A05-4523-8BEE-546592905F2D}"/>
  <tableColumns count="17">
    <tableColumn id="1" xr3:uid="{75E7DB33-B880-4804-9C4C-3452376F7527}" name="Census Tract" dataDxfId="50"/>
    <tableColumn id="2" xr3:uid="{B9DD0282-C791-4ED9-AF88-070D566FF4F3}" name="Town" dataDxfId="49"/>
    <tableColumn id="3" xr3:uid="{266DDBAA-CD7F-4D5E-B726-DD70563F7642}" name="Distressed Tract1" dataDxfId="48"/>
    <tableColumn id="4" xr3:uid="{5874DF3B-F882-460C-80FB-8B10A077F9C9}" name="CLM $ Collected " dataDxfId="47" dataCellStyle="Currency"/>
    <tableColumn id="5" xr3:uid="{E394A0A5-817F-492B-8A00-DFCB161A15F1}" name="% of Total CLM $ Collected " dataDxfId="46" dataCellStyle="Percent"/>
    <tableColumn id="6" xr3:uid="{F8B3B6C8-553C-4FE9-A806-77C1AE2EF3F2}" name="Incentive Disbursements" dataDxfId="45" dataCellStyle="Currency"/>
    <tableColumn id="7" xr3:uid="{BB286C1F-BD79-4F36-BADB-F839842863B1}" name="% of Total Incentive Disbursements" dataDxfId="44" dataCellStyle="Percent"/>
    <tableColumn id="9" xr3:uid="{08D5FEE0-9E94-41C7-8D3B-7ED1E620C018}" name="Residential CLM $ Collected" dataDxfId="43"/>
    <tableColumn id="10" xr3:uid="{FF64FEBC-85F5-4B2B-AECA-B6A931685DAF}" name="% of Total Residential CLM $ Collected" dataDxfId="42" dataCellStyle="Percent"/>
    <tableColumn id="11" xr3:uid="{87C5D8A7-381E-4785-A427-AE5A311291D1}" name="Residential Incentive Disbursements" dataDxfId="41"/>
    <tableColumn id="12" xr3:uid="{57F0634F-2A8A-44C9-B646-8BC38C544048}" name="% of Total Residential Incentive Disbursements " dataDxfId="40" dataCellStyle="Percent"/>
    <tableColumn id="14" xr3:uid="{F302065B-D069-4A20-8A24-8243597307D2}" name="C&amp;I CLM $ Collected" dataDxfId="39"/>
    <tableColumn id="15" xr3:uid="{CCB275E5-FED9-465E-B502-C92A891B638C}" name="% of Total C&amp;I CLM $ Collected" dataDxfId="38"/>
    <tableColumn id="16" xr3:uid="{CDBCC9B3-716F-40F6-8769-567DF002DC28}" name="C&amp;I Incentive Disbursements" dataDxfId="37"/>
    <tableColumn id="17" xr3:uid="{2E83B318-1F53-4178-87E1-04FC14664A81}" name="% of TotalC&amp;I Incentive Disbursements " dataDxfId="36"/>
    <tableColumn id="13" xr3:uid="{D98F478D-0D8C-4AA1-9F70-801F70263C5D}" name="Energy Burdened?" dataDxfId="35">
      <calculatedColumnFormula>VLOOKUP(Table325[[#This Row],[Census Tract]],'UI EnergyBurden'!$A$2:$B$184,2,FALSE)</calculatedColumnFormula>
    </tableColumn>
    <tableColumn id="18" xr3:uid="{9DF84FC9-C819-4BFA-BA74-043F820CB3B7}" name="BIPOC Index" dataDxfId="34">
      <calculatedColumnFormula>VLOOKUP(Table325[[#This Row],[Census Tract]],'Population and Diversity Data'!B2:K823,10,FALSE)</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5F2D5B-B9AB-4EFD-BC56-49753B842591}" name="Table3236" displayName="Table3236" ref="A5:Q507" totalsRowShown="0" headerRowDxfId="33" dataDxfId="32" tableBorderDxfId="31">
  <autoFilter ref="A5:Q507" xr:uid="{3E5F2D5B-B9AB-4EFD-BC56-49753B842591}"/>
  <tableColumns count="17">
    <tableColumn id="1" xr3:uid="{38C5908B-798C-47B6-9794-C26D59D1B695}" name="Census Tract" dataDxfId="30"/>
    <tableColumn id="2" xr3:uid="{FF126B5A-6FBF-4CEB-B418-FCE6C826AE8A}" name="Town" dataDxfId="29"/>
    <tableColumn id="3" xr3:uid="{BDF2EB0A-4E92-4A2D-97CB-25F115795864}" name="Distressed Tract1" dataDxfId="28"/>
    <tableColumn id="4" xr3:uid="{FF7AF1C5-359F-4165-87C2-192135B55DD4}" name="CLM $ Collected " dataDxfId="27" dataCellStyle="Currency"/>
    <tableColumn id="6" xr3:uid="{6CD8D830-C779-41AD-8841-4B8F813AD3EE}" name="Incentive Disbursements" dataDxfId="26" dataCellStyle="Currency"/>
    <tableColumn id="9" xr3:uid="{5E1BF494-66C3-4570-B7B2-A4B6A62A57C5}" name="Total Units" dataDxfId="25">
      <calculatedColumnFormula>[2]!Table323[[#This Row],[Single Family]]+[2]!Table323[[#This Row],[2-4 Units]]+[2]!Table323[[#This Row],[&gt;4 Units]]</calculatedColumnFormula>
    </tableColumn>
    <tableColumn id="11" xr3:uid="{B039E268-1A43-41DA-85D0-99A6C9352187}" name="Single Family" dataDxfId="24"/>
    <tableColumn id="10" xr3:uid="{2C73E01B-F2C9-4005-BED0-64D5B19D4C7E}" name="2-4 Units" dataDxfId="23"/>
    <tableColumn id="8" xr3:uid="{984B75B1-2B4A-4797-B7DD-774FFD0644F6}" name="&gt;4 Units" dataDxfId="22"/>
    <tableColumn id="7" xr3:uid="{3EE66E34-C762-4EC0-BBB1-06A468B4FD35}" name="Incentives" dataDxfId="21" dataCellStyle="Currency"/>
    <tableColumn id="14" xr3:uid="{A0A57275-220A-4717-A976-CD3C47FB374C}" name="Total Units2" dataDxfId="20">
      <calculatedColumnFormula>SUM([2]!Table323[[#This Row],[Single Family ]:[&gt;4 Units ]])</calculatedColumnFormula>
    </tableColumn>
    <tableColumn id="15" xr3:uid="{5B9877B1-F396-42CA-B015-B621D2961AED}" name="Single Family " dataDxfId="19"/>
    <tableColumn id="13" xr3:uid="{9226CD69-182E-4B96-9D7F-B65360414C74}" name="2-4 Units2" dataDxfId="18"/>
    <tableColumn id="12" xr3:uid="{3A9A6207-C71F-4F10-95BE-928A54D78874}" name="&gt;4 Units " dataDxfId="17"/>
    <tableColumn id="16" xr3:uid="{37EB8EF8-6431-433A-9270-F59782F48F26}" name="Incentives " dataDxfId="16"/>
    <tableColumn id="5" xr3:uid="{0461BC2D-C0BC-43DD-8271-EB0CB70DA7BF}" name="BIPOC Index" dataDxfId="15">
      <calculatedColumnFormula>VLOOKUP(Table3236[[#This Row],[Census Tract]],'Population and Diversity Data'!$B$2:$K$823,10,FALSE)</calculatedColumnFormula>
    </tableColumn>
    <tableColumn id="17" xr3:uid="{250F8E9E-2CB3-4033-AF61-8528E42F2352}" name="Energy Burdened?" dataDxfId="14">
      <calculatedColumnFormula>VLOOKUP(Table3236[[#This Row],[Census Tract]],'UI EnergyBurden'!$A$2:$B$184,2,FALSE)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rs.usda.gov/data-products/rural-urban-commuting-area-codes/"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871"/>
  <sheetViews>
    <sheetView workbookViewId="0">
      <selection activeCell="H8" sqref="H8"/>
    </sheetView>
  </sheetViews>
  <sheetFormatPr baseColWidth="10" defaultColWidth="8.83203125" defaultRowHeight="15" x14ac:dyDescent="0.2"/>
  <cols>
    <col min="1" max="1" width="25" style="1" customWidth="1"/>
    <col min="2" max="2" width="80" style="1" customWidth="1"/>
    <col min="3" max="3" width="20" customWidth="1"/>
  </cols>
  <sheetData>
    <row r="1" spans="1:8" ht="60" customHeight="1" x14ac:dyDescent="0.2">
      <c r="A1" s="234" t="s">
        <v>0</v>
      </c>
      <c r="B1" s="234"/>
      <c r="C1" s="2"/>
    </row>
    <row r="2" spans="1:8" x14ac:dyDescent="0.2">
      <c r="A2" s="235"/>
      <c r="B2" s="235"/>
      <c r="C2" s="235"/>
    </row>
    <row r="3" spans="1:8" x14ac:dyDescent="0.2">
      <c r="A3" s="236" t="s">
        <v>1</v>
      </c>
      <c r="B3" s="236"/>
      <c r="C3" s="236"/>
      <c r="G3" t="s">
        <v>2</v>
      </c>
    </row>
    <row r="4" spans="1:8" x14ac:dyDescent="0.2">
      <c r="A4" s="235"/>
      <c r="B4" s="235"/>
      <c r="C4" s="235"/>
      <c r="G4" s="9" t="s">
        <v>3</v>
      </c>
      <c r="H4" t="s">
        <v>4</v>
      </c>
    </row>
    <row r="5" spans="1:8" ht="16" customHeight="1" x14ac:dyDescent="0.2">
      <c r="A5" s="3" t="s">
        <v>5</v>
      </c>
      <c r="B5" s="235" t="s">
        <v>6</v>
      </c>
      <c r="C5" s="235"/>
      <c r="G5" s="10" t="s">
        <v>7</v>
      </c>
      <c r="H5" t="s">
        <v>8</v>
      </c>
    </row>
    <row r="6" spans="1:8" ht="16" customHeight="1" x14ac:dyDescent="0.2">
      <c r="A6" s="1" t="s">
        <v>9</v>
      </c>
      <c r="B6" s="235" t="s">
        <v>3</v>
      </c>
      <c r="C6" s="235"/>
      <c r="G6" s="6" t="s">
        <v>10</v>
      </c>
      <c r="H6" t="s">
        <v>11</v>
      </c>
    </row>
    <row r="7" spans="1:8" ht="16" customHeight="1" x14ac:dyDescent="0.2">
      <c r="A7" s="1" t="s">
        <v>12</v>
      </c>
      <c r="B7" s="235" t="s">
        <v>13</v>
      </c>
      <c r="C7" s="235"/>
      <c r="H7" t="s">
        <v>14</v>
      </c>
    </row>
    <row r="8" spans="1:8" ht="16" customHeight="1" x14ac:dyDescent="0.2">
      <c r="A8" s="1" t="s">
        <v>15</v>
      </c>
      <c r="B8" s="235" t="s">
        <v>16</v>
      </c>
      <c r="C8" s="235"/>
      <c r="H8" t="s">
        <v>17</v>
      </c>
    </row>
    <row r="9" spans="1:8" ht="16" customHeight="1" x14ac:dyDescent="0.2">
      <c r="A9" s="1" t="s">
        <v>18</v>
      </c>
      <c r="B9" s="235" t="s">
        <v>19</v>
      </c>
      <c r="C9" s="235"/>
    </row>
    <row r="10" spans="1:8" ht="16" customHeight="1" x14ac:dyDescent="0.2">
      <c r="A10" s="1" t="s">
        <v>20</v>
      </c>
      <c r="B10" s="235" t="s">
        <v>21</v>
      </c>
      <c r="C10" s="235"/>
    </row>
    <row r="11" spans="1:8" ht="16" customHeight="1" x14ac:dyDescent="0.2">
      <c r="A11" s="1" t="s">
        <v>22</v>
      </c>
      <c r="B11" s="235" t="s">
        <v>23</v>
      </c>
      <c r="C11" s="235"/>
    </row>
    <row r="12" spans="1:8" ht="16" customHeight="1" x14ac:dyDescent="0.2">
      <c r="A12" s="1" t="s">
        <v>24</v>
      </c>
      <c r="B12" s="235" t="s">
        <v>25</v>
      </c>
      <c r="C12" s="235"/>
    </row>
    <row r="13" spans="1:8" ht="16" customHeight="1" x14ac:dyDescent="0.2">
      <c r="A13" s="1" t="s">
        <v>26</v>
      </c>
      <c r="B13" s="235" t="s">
        <v>27</v>
      </c>
      <c r="C13" s="235"/>
    </row>
    <row r="14" spans="1:8" x14ac:dyDescent="0.2">
      <c r="A14" s="235"/>
      <c r="B14" s="235"/>
      <c r="C14" s="235"/>
    </row>
    <row r="15" spans="1:8" ht="16" customHeight="1" x14ac:dyDescent="0.2">
      <c r="A15" s="3" t="s">
        <v>28</v>
      </c>
      <c r="B15" s="235" t="s">
        <v>6</v>
      </c>
      <c r="C15" s="235"/>
    </row>
    <row r="16" spans="1:8" ht="16" customHeight="1" x14ac:dyDescent="0.2">
      <c r="A16" s="1" t="s">
        <v>29</v>
      </c>
      <c r="B16" s="235" t="s">
        <v>30</v>
      </c>
      <c r="C16" s="235"/>
    </row>
    <row r="17" spans="1:3" ht="32" customHeight="1" x14ac:dyDescent="0.2">
      <c r="A17" s="1" t="s">
        <v>31</v>
      </c>
      <c r="B17" s="235" t="s">
        <v>32</v>
      </c>
      <c r="C17" s="235"/>
    </row>
    <row r="18" spans="1:3" x14ac:dyDescent="0.2">
      <c r="A18" s="235"/>
      <c r="B18" s="235"/>
      <c r="C18" s="235"/>
    </row>
    <row r="19" spans="1:3" ht="32" customHeight="1" x14ac:dyDescent="0.2">
      <c r="A19" s="3" t="s">
        <v>33</v>
      </c>
      <c r="B19" s="235" t="s">
        <v>34</v>
      </c>
      <c r="C19" s="235"/>
    </row>
    <row r="20" spans="1:3" ht="32" customHeight="1" x14ac:dyDescent="0.2">
      <c r="A20" s="1" t="s">
        <v>6</v>
      </c>
      <c r="B20" s="235" t="s">
        <v>35</v>
      </c>
      <c r="C20" s="235"/>
    </row>
    <row r="21" spans="1:3" ht="32" customHeight="1" x14ac:dyDescent="0.2">
      <c r="A21" s="1" t="s">
        <v>6</v>
      </c>
      <c r="B21" s="235" t="s">
        <v>36</v>
      </c>
      <c r="C21" s="235"/>
    </row>
    <row r="22" spans="1:3" ht="32" customHeight="1" x14ac:dyDescent="0.2">
      <c r="A22" s="1" t="s">
        <v>6</v>
      </c>
      <c r="B22" s="235" t="s">
        <v>37</v>
      </c>
      <c r="C22" s="235"/>
    </row>
    <row r="23" spans="1:3" ht="32" customHeight="1" x14ac:dyDescent="0.2">
      <c r="A23" s="1" t="s">
        <v>6</v>
      </c>
      <c r="B23" s="235" t="s">
        <v>38</v>
      </c>
      <c r="C23" s="235"/>
    </row>
    <row r="24" spans="1:3" ht="32" customHeight="1" x14ac:dyDescent="0.2">
      <c r="A24" s="1" t="s">
        <v>6</v>
      </c>
      <c r="B24" s="235" t="s">
        <v>39</v>
      </c>
      <c r="C24" s="235"/>
    </row>
    <row r="25" spans="1:3" ht="32" customHeight="1" x14ac:dyDescent="0.2">
      <c r="A25" s="1" t="s">
        <v>6</v>
      </c>
      <c r="B25" s="235" t="s">
        <v>40</v>
      </c>
      <c r="C25" s="235"/>
    </row>
    <row r="26" spans="1:3" ht="32" customHeight="1" x14ac:dyDescent="0.2">
      <c r="A26" s="1" t="s">
        <v>6</v>
      </c>
      <c r="B26" s="235" t="s">
        <v>41</v>
      </c>
      <c r="C26" s="235"/>
    </row>
    <row r="27" spans="1:3" ht="32" customHeight="1" x14ac:dyDescent="0.2">
      <c r="A27" s="1" t="s">
        <v>6</v>
      </c>
      <c r="B27" s="235" t="s">
        <v>42</v>
      </c>
      <c r="C27" s="235"/>
    </row>
    <row r="28" spans="1:3" ht="32" customHeight="1" x14ac:dyDescent="0.2">
      <c r="A28" s="1" t="s">
        <v>6</v>
      </c>
      <c r="B28" s="235" t="s">
        <v>43</v>
      </c>
      <c r="C28" s="235"/>
    </row>
    <row r="29" spans="1:3" ht="32" customHeight="1" x14ac:dyDescent="0.2">
      <c r="A29" s="1" t="s">
        <v>6</v>
      </c>
      <c r="B29" s="235" t="s">
        <v>44</v>
      </c>
      <c r="C29" s="235"/>
    </row>
    <row r="30" spans="1:3" ht="32" customHeight="1" x14ac:dyDescent="0.2">
      <c r="A30" s="1" t="s">
        <v>6</v>
      </c>
      <c r="B30" s="235" t="s">
        <v>45</v>
      </c>
      <c r="C30" s="235"/>
    </row>
    <row r="31" spans="1:3" ht="32" customHeight="1" x14ac:dyDescent="0.2">
      <c r="A31" s="1" t="s">
        <v>6</v>
      </c>
      <c r="B31" s="235" t="s">
        <v>46</v>
      </c>
      <c r="C31" s="235"/>
    </row>
    <row r="32" spans="1:3" ht="32" customHeight="1" x14ac:dyDescent="0.2">
      <c r="A32" s="1" t="s">
        <v>6</v>
      </c>
      <c r="B32" s="235" t="s">
        <v>47</v>
      </c>
      <c r="C32" s="235"/>
    </row>
    <row r="33" spans="1:3" ht="32" customHeight="1" x14ac:dyDescent="0.2">
      <c r="A33" s="1" t="s">
        <v>6</v>
      </c>
      <c r="B33" s="235" t="s">
        <v>48</v>
      </c>
      <c r="C33" s="235"/>
    </row>
    <row r="34" spans="1:3" ht="32" customHeight="1" x14ac:dyDescent="0.2">
      <c r="A34" s="1" t="s">
        <v>6</v>
      </c>
      <c r="B34" s="235" t="s">
        <v>49</v>
      </c>
      <c r="C34" s="235"/>
    </row>
    <row r="35" spans="1:3" ht="32" customHeight="1" x14ac:dyDescent="0.2">
      <c r="A35" s="1" t="s">
        <v>6</v>
      </c>
      <c r="B35" s="235" t="s">
        <v>50</v>
      </c>
      <c r="C35" s="235"/>
    </row>
    <row r="36" spans="1:3" ht="32" customHeight="1" x14ac:dyDescent="0.2">
      <c r="A36" s="1" t="s">
        <v>6</v>
      </c>
      <c r="B36" s="235" t="s">
        <v>51</v>
      </c>
      <c r="C36" s="235"/>
    </row>
    <row r="37" spans="1:3" ht="32" customHeight="1" x14ac:dyDescent="0.2">
      <c r="A37" s="1" t="s">
        <v>6</v>
      </c>
      <c r="B37" s="235" t="s">
        <v>52</v>
      </c>
      <c r="C37" s="235"/>
    </row>
    <row r="38" spans="1:3" ht="32" customHeight="1" x14ac:dyDescent="0.2">
      <c r="A38" s="1" t="s">
        <v>6</v>
      </c>
      <c r="B38" s="235" t="s">
        <v>53</v>
      </c>
      <c r="C38" s="235"/>
    </row>
    <row r="39" spans="1:3" ht="32" customHeight="1" x14ac:dyDescent="0.2">
      <c r="A39" s="1" t="s">
        <v>6</v>
      </c>
      <c r="B39" s="235" t="s">
        <v>54</v>
      </c>
      <c r="C39" s="235"/>
    </row>
    <row r="40" spans="1:3" ht="32" customHeight="1" x14ac:dyDescent="0.2">
      <c r="A40" s="1" t="s">
        <v>6</v>
      </c>
      <c r="B40" s="235" t="s">
        <v>55</v>
      </c>
      <c r="C40" s="235"/>
    </row>
    <row r="41" spans="1:3" ht="32" customHeight="1" x14ac:dyDescent="0.2">
      <c r="A41" s="1" t="s">
        <v>6</v>
      </c>
      <c r="B41" s="235" t="s">
        <v>56</v>
      </c>
      <c r="C41" s="235"/>
    </row>
    <row r="42" spans="1:3" ht="32" customHeight="1" x14ac:dyDescent="0.2">
      <c r="A42" s="1" t="s">
        <v>6</v>
      </c>
      <c r="B42" s="235" t="s">
        <v>57</v>
      </c>
      <c r="C42" s="235"/>
    </row>
    <row r="43" spans="1:3" ht="32" customHeight="1" x14ac:dyDescent="0.2">
      <c r="A43" s="1" t="s">
        <v>6</v>
      </c>
      <c r="B43" s="235" t="s">
        <v>58</v>
      </c>
      <c r="C43" s="235"/>
    </row>
    <row r="44" spans="1:3" ht="32" customHeight="1" x14ac:dyDescent="0.2">
      <c r="A44" s="1" t="s">
        <v>6</v>
      </c>
      <c r="B44" s="235" t="s">
        <v>59</v>
      </c>
      <c r="C44" s="235"/>
    </row>
    <row r="45" spans="1:3" ht="32" customHeight="1" x14ac:dyDescent="0.2">
      <c r="A45" s="1" t="s">
        <v>6</v>
      </c>
      <c r="B45" s="235" t="s">
        <v>60</v>
      </c>
      <c r="C45" s="235"/>
    </row>
    <row r="46" spans="1:3" ht="32" customHeight="1" x14ac:dyDescent="0.2">
      <c r="A46" s="1" t="s">
        <v>6</v>
      </c>
      <c r="B46" s="235" t="s">
        <v>61</v>
      </c>
      <c r="C46" s="235"/>
    </row>
    <row r="47" spans="1:3" ht="32" customHeight="1" x14ac:dyDescent="0.2">
      <c r="A47" s="1" t="s">
        <v>6</v>
      </c>
      <c r="B47" s="235" t="s">
        <v>62</v>
      </c>
      <c r="C47" s="235"/>
    </row>
    <row r="48" spans="1:3" ht="32" customHeight="1" x14ac:dyDescent="0.2">
      <c r="A48" s="1" t="s">
        <v>6</v>
      </c>
      <c r="B48" s="235" t="s">
        <v>63</v>
      </c>
      <c r="C48" s="235"/>
    </row>
    <row r="49" spans="1:3" ht="32" customHeight="1" x14ac:dyDescent="0.2">
      <c r="A49" s="1" t="s">
        <v>6</v>
      </c>
      <c r="B49" s="235" t="s">
        <v>64</v>
      </c>
      <c r="C49" s="235"/>
    </row>
    <row r="50" spans="1:3" ht="32" customHeight="1" x14ac:dyDescent="0.2">
      <c r="A50" s="1" t="s">
        <v>6</v>
      </c>
      <c r="B50" s="235" t="s">
        <v>65</v>
      </c>
      <c r="C50" s="235"/>
    </row>
    <row r="51" spans="1:3" ht="32" customHeight="1" x14ac:dyDescent="0.2">
      <c r="A51" s="1" t="s">
        <v>6</v>
      </c>
      <c r="B51" s="235" t="s">
        <v>66</v>
      </c>
      <c r="C51" s="235"/>
    </row>
    <row r="52" spans="1:3" ht="32" customHeight="1" x14ac:dyDescent="0.2">
      <c r="A52" s="1" t="s">
        <v>6</v>
      </c>
      <c r="B52" s="235" t="s">
        <v>67</v>
      </c>
      <c r="C52" s="235"/>
    </row>
    <row r="53" spans="1:3" ht="32" customHeight="1" x14ac:dyDescent="0.2">
      <c r="A53" s="1" t="s">
        <v>6</v>
      </c>
      <c r="B53" s="235" t="s">
        <v>68</v>
      </c>
      <c r="C53" s="235"/>
    </row>
    <row r="54" spans="1:3" ht="32" customHeight="1" x14ac:dyDescent="0.2">
      <c r="A54" s="1" t="s">
        <v>6</v>
      </c>
      <c r="B54" s="235" t="s">
        <v>69</v>
      </c>
      <c r="C54" s="235"/>
    </row>
    <row r="55" spans="1:3" ht="32" customHeight="1" x14ac:dyDescent="0.2">
      <c r="A55" s="1" t="s">
        <v>6</v>
      </c>
      <c r="B55" s="235" t="s">
        <v>70</v>
      </c>
      <c r="C55" s="235"/>
    </row>
    <row r="56" spans="1:3" ht="32" customHeight="1" x14ac:dyDescent="0.2">
      <c r="A56" s="1" t="s">
        <v>6</v>
      </c>
      <c r="B56" s="235" t="s">
        <v>71</v>
      </c>
      <c r="C56" s="235"/>
    </row>
    <row r="57" spans="1:3" ht="32" customHeight="1" x14ac:dyDescent="0.2">
      <c r="A57" s="1" t="s">
        <v>6</v>
      </c>
      <c r="B57" s="235" t="s">
        <v>72</v>
      </c>
      <c r="C57" s="235"/>
    </row>
    <row r="58" spans="1:3" ht="32" customHeight="1" x14ac:dyDescent="0.2">
      <c r="A58" s="1" t="s">
        <v>6</v>
      </c>
      <c r="B58" s="235" t="s">
        <v>73</v>
      </c>
      <c r="C58" s="235"/>
    </row>
    <row r="59" spans="1:3" ht="32" customHeight="1" x14ac:dyDescent="0.2">
      <c r="A59" s="1" t="s">
        <v>6</v>
      </c>
      <c r="B59" s="235" t="s">
        <v>74</v>
      </c>
      <c r="C59" s="235"/>
    </row>
    <row r="60" spans="1:3" ht="32" customHeight="1" x14ac:dyDescent="0.2">
      <c r="A60" s="1" t="s">
        <v>6</v>
      </c>
      <c r="B60" s="235" t="s">
        <v>75</v>
      </c>
      <c r="C60" s="235"/>
    </row>
    <row r="61" spans="1:3" ht="32" customHeight="1" x14ac:dyDescent="0.2">
      <c r="A61" s="1" t="s">
        <v>6</v>
      </c>
      <c r="B61" s="235" t="s">
        <v>76</v>
      </c>
      <c r="C61" s="235"/>
    </row>
    <row r="62" spans="1:3" ht="32" customHeight="1" x14ac:dyDescent="0.2">
      <c r="A62" s="1" t="s">
        <v>6</v>
      </c>
      <c r="B62" s="235" t="s">
        <v>77</v>
      </c>
      <c r="C62" s="235"/>
    </row>
    <row r="63" spans="1:3" ht="32" customHeight="1" x14ac:dyDescent="0.2">
      <c r="A63" s="1" t="s">
        <v>6</v>
      </c>
      <c r="B63" s="235" t="s">
        <v>78</v>
      </c>
      <c r="C63" s="235"/>
    </row>
    <row r="64" spans="1:3" ht="32" customHeight="1" x14ac:dyDescent="0.2">
      <c r="A64" s="1" t="s">
        <v>6</v>
      </c>
      <c r="B64" s="235" t="s">
        <v>79</v>
      </c>
      <c r="C64" s="235"/>
    </row>
    <row r="65" spans="1:3" ht="32" customHeight="1" x14ac:dyDescent="0.2">
      <c r="A65" s="1" t="s">
        <v>6</v>
      </c>
      <c r="B65" s="235" t="s">
        <v>80</v>
      </c>
      <c r="C65" s="235"/>
    </row>
    <row r="66" spans="1:3" ht="32" customHeight="1" x14ac:dyDescent="0.2">
      <c r="A66" s="1" t="s">
        <v>6</v>
      </c>
      <c r="B66" s="235" t="s">
        <v>81</v>
      </c>
      <c r="C66" s="235"/>
    </row>
    <row r="67" spans="1:3" ht="32" customHeight="1" x14ac:dyDescent="0.2">
      <c r="A67" s="1" t="s">
        <v>6</v>
      </c>
      <c r="B67" s="235" t="s">
        <v>82</v>
      </c>
      <c r="C67" s="235"/>
    </row>
    <row r="68" spans="1:3" ht="32" customHeight="1" x14ac:dyDescent="0.2">
      <c r="A68" s="1" t="s">
        <v>6</v>
      </c>
      <c r="B68" s="235" t="s">
        <v>83</v>
      </c>
      <c r="C68" s="235"/>
    </row>
    <row r="69" spans="1:3" ht="32" customHeight="1" x14ac:dyDescent="0.2">
      <c r="A69" s="1" t="s">
        <v>6</v>
      </c>
      <c r="B69" s="235" t="s">
        <v>84</v>
      </c>
      <c r="C69" s="235"/>
    </row>
    <row r="70" spans="1:3" ht="32" customHeight="1" x14ac:dyDescent="0.2">
      <c r="A70" s="1" t="s">
        <v>6</v>
      </c>
      <c r="B70" s="235" t="s">
        <v>85</v>
      </c>
      <c r="C70" s="235"/>
    </row>
    <row r="71" spans="1:3" ht="32" customHeight="1" x14ac:dyDescent="0.2">
      <c r="A71" s="1" t="s">
        <v>6</v>
      </c>
      <c r="B71" s="235" t="s">
        <v>86</v>
      </c>
      <c r="C71" s="235"/>
    </row>
    <row r="72" spans="1:3" ht="32" customHeight="1" x14ac:dyDescent="0.2">
      <c r="A72" s="1" t="s">
        <v>6</v>
      </c>
      <c r="B72" s="235" t="s">
        <v>87</v>
      </c>
      <c r="C72" s="235"/>
    </row>
    <row r="73" spans="1:3" ht="32" customHeight="1" x14ac:dyDescent="0.2">
      <c r="A73" s="1" t="s">
        <v>6</v>
      </c>
      <c r="B73" s="235" t="s">
        <v>88</v>
      </c>
      <c r="C73" s="235"/>
    </row>
    <row r="74" spans="1:3" ht="32" customHeight="1" x14ac:dyDescent="0.2">
      <c r="A74" s="1" t="s">
        <v>6</v>
      </c>
      <c r="B74" s="235" t="s">
        <v>89</v>
      </c>
      <c r="C74" s="235"/>
    </row>
    <row r="75" spans="1:3" ht="32" customHeight="1" x14ac:dyDescent="0.2">
      <c r="A75" s="1" t="s">
        <v>6</v>
      </c>
      <c r="B75" s="235" t="s">
        <v>90</v>
      </c>
      <c r="C75" s="235"/>
    </row>
    <row r="76" spans="1:3" ht="32" customHeight="1" x14ac:dyDescent="0.2">
      <c r="A76" s="1" t="s">
        <v>6</v>
      </c>
      <c r="B76" s="235" t="s">
        <v>91</v>
      </c>
      <c r="C76" s="235"/>
    </row>
    <row r="77" spans="1:3" ht="32" customHeight="1" x14ac:dyDescent="0.2">
      <c r="A77" s="1" t="s">
        <v>6</v>
      </c>
      <c r="B77" s="235" t="s">
        <v>92</v>
      </c>
      <c r="C77" s="235"/>
    </row>
    <row r="78" spans="1:3" ht="32" customHeight="1" x14ac:dyDescent="0.2">
      <c r="A78" s="1" t="s">
        <v>6</v>
      </c>
      <c r="B78" s="235" t="s">
        <v>93</v>
      </c>
      <c r="C78" s="235"/>
    </row>
    <row r="79" spans="1:3" ht="32" customHeight="1" x14ac:dyDescent="0.2">
      <c r="A79" s="1" t="s">
        <v>6</v>
      </c>
      <c r="B79" s="235" t="s">
        <v>94</v>
      </c>
      <c r="C79" s="235"/>
    </row>
    <row r="80" spans="1:3" ht="32" customHeight="1" x14ac:dyDescent="0.2">
      <c r="A80" s="1" t="s">
        <v>6</v>
      </c>
      <c r="B80" s="235" t="s">
        <v>95</v>
      </c>
      <c r="C80" s="235"/>
    </row>
    <row r="81" spans="1:3" ht="32" customHeight="1" x14ac:dyDescent="0.2">
      <c r="A81" s="1" t="s">
        <v>6</v>
      </c>
      <c r="B81" s="235" t="s">
        <v>96</v>
      </c>
      <c r="C81" s="235"/>
    </row>
    <row r="82" spans="1:3" ht="32" customHeight="1" x14ac:dyDescent="0.2">
      <c r="A82" s="1" t="s">
        <v>6</v>
      </c>
      <c r="B82" s="235" t="s">
        <v>97</v>
      </c>
      <c r="C82" s="235"/>
    </row>
    <row r="83" spans="1:3" ht="32" customHeight="1" x14ac:dyDescent="0.2">
      <c r="A83" s="1" t="s">
        <v>6</v>
      </c>
      <c r="B83" s="235" t="s">
        <v>98</v>
      </c>
      <c r="C83" s="235"/>
    </row>
    <row r="84" spans="1:3" ht="32" customHeight="1" x14ac:dyDescent="0.2">
      <c r="A84" s="1" t="s">
        <v>6</v>
      </c>
      <c r="B84" s="235" t="s">
        <v>99</v>
      </c>
      <c r="C84" s="235"/>
    </row>
    <row r="85" spans="1:3" ht="32" customHeight="1" x14ac:dyDescent="0.2">
      <c r="A85" s="1" t="s">
        <v>6</v>
      </c>
      <c r="B85" s="235" t="s">
        <v>100</v>
      </c>
      <c r="C85" s="235"/>
    </row>
    <row r="86" spans="1:3" ht="32" customHeight="1" x14ac:dyDescent="0.2">
      <c r="A86" s="1" t="s">
        <v>6</v>
      </c>
      <c r="B86" s="235" t="s">
        <v>101</v>
      </c>
      <c r="C86" s="235"/>
    </row>
    <row r="87" spans="1:3" ht="32" customHeight="1" x14ac:dyDescent="0.2">
      <c r="A87" s="1" t="s">
        <v>6</v>
      </c>
      <c r="B87" s="235" t="s">
        <v>102</v>
      </c>
      <c r="C87" s="235"/>
    </row>
    <row r="88" spans="1:3" ht="32" customHeight="1" x14ac:dyDescent="0.2">
      <c r="A88" s="1" t="s">
        <v>6</v>
      </c>
      <c r="B88" s="235" t="s">
        <v>103</v>
      </c>
      <c r="C88" s="235"/>
    </row>
    <row r="89" spans="1:3" ht="32" customHeight="1" x14ac:dyDescent="0.2">
      <c r="A89" s="1" t="s">
        <v>6</v>
      </c>
      <c r="B89" s="235" t="s">
        <v>104</v>
      </c>
      <c r="C89" s="235"/>
    </row>
    <row r="90" spans="1:3" ht="32" customHeight="1" x14ac:dyDescent="0.2">
      <c r="A90" s="1" t="s">
        <v>6</v>
      </c>
      <c r="B90" s="235" t="s">
        <v>105</v>
      </c>
      <c r="C90" s="235"/>
    </row>
    <row r="91" spans="1:3" ht="32" customHeight="1" x14ac:dyDescent="0.2">
      <c r="A91" s="1" t="s">
        <v>6</v>
      </c>
      <c r="B91" s="235" t="s">
        <v>106</v>
      </c>
      <c r="C91" s="235"/>
    </row>
    <row r="92" spans="1:3" ht="32" customHeight="1" x14ac:dyDescent="0.2">
      <c r="A92" s="1" t="s">
        <v>6</v>
      </c>
      <c r="B92" s="235" t="s">
        <v>107</v>
      </c>
      <c r="C92" s="235"/>
    </row>
    <row r="93" spans="1:3" ht="32" customHeight="1" x14ac:dyDescent="0.2">
      <c r="A93" s="1" t="s">
        <v>6</v>
      </c>
      <c r="B93" s="235" t="s">
        <v>108</v>
      </c>
      <c r="C93" s="235"/>
    </row>
    <row r="94" spans="1:3" ht="32" customHeight="1" x14ac:dyDescent="0.2">
      <c r="A94" s="1" t="s">
        <v>6</v>
      </c>
      <c r="B94" s="235" t="s">
        <v>109</v>
      </c>
      <c r="C94" s="235"/>
    </row>
    <row r="95" spans="1:3" ht="32" customHeight="1" x14ac:dyDescent="0.2">
      <c r="A95" s="1" t="s">
        <v>6</v>
      </c>
      <c r="B95" s="235" t="s">
        <v>110</v>
      </c>
      <c r="C95" s="235"/>
    </row>
    <row r="96" spans="1:3" ht="32" customHeight="1" x14ac:dyDescent="0.2">
      <c r="A96" s="1" t="s">
        <v>6</v>
      </c>
      <c r="B96" s="235" t="s">
        <v>111</v>
      </c>
      <c r="C96" s="235"/>
    </row>
    <row r="97" spans="1:3" ht="32" customHeight="1" x14ac:dyDescent="0.2">
      <c r="A97" s="1" t="s">
        <v>6</v>
      </c>
      <c r="B97" s="235" t="s">
        <v>112</v>
      </c>
      <c r="C97" s="235"/>
    </row>
    <row r="98" spans="1:3" ht="32" customHeight="1" x14ac:dyDescent="0.2">
      <c r="A98" s="1" t="s">
        <v>6</v>
      </c>
      <c r="B98" s="235" t="s">
        <v>113</v>
      </c>
      <c r="C98" s="235"/>
    </row>
    <row r="99" spans="1:3" ht="32" customHeight="1" x14ac:dyDescent="0.2">
      <c r="A99" s="1" t="s">
        <v>6</v>
      </c>
      <c r="B99" s="235" t="s">
        <v>114</v>
      </c>
      <c r="C99" s="235"/>
    </row>
    <row r="100" spans="1:3" ht="32" customHeight="1" x14ac:dyDescent="0.2">
      <c r="A100" s="1" t="s">
        <v>6</v>
      </c>
      <c r="B100" s="235" t="s">
        <v>115</v>
      </c>
      <c r="C100" s="235"/>
    </row>
    <row r="101" spans="1:3" ht="32" customHeight="1" x14ac:dyDescent="0.2">
      <c r="A101" s="1" t="s">
        <v>6</v>
      </c>
      <c r="B101" s="235" t="s">
        <v>116</v>
      </c>
      <c r="C101" s="235"/>
    </row>
    <row r="102" spans="1:3" ht="32" customHeight="1" x14ac:dyDescent="0.2">
      <c r="A102" s="1" t="s">
        <v>6</v>
      </c>
      <c r="B102" s="235" t="s">
        <v>117</v>
      </c>
      <c r="C102" s="235"/>
    </row>
    <row r="103" spans="1:3" ht="32" customHeight="1" x14ac:dyDescent="0.2">
      <c r="A103" s="1" t="s">
        <v>6</v>
      </c>
      <c r="B103" s="235" t="s">
        <v>118</v>
      </c>
      <c r="C103" s="235"/>
    </row>
    <row r="104" spans="1:3" ht="32" customHeight="1" x14ac:dyDescent="0.2">
      <c r="A104" s="1" t="s">
        <v>6</v>
      </c>
      <c r="B104" s="235" t="s">
        <v>119</v>
      </c>
      <c r="C104" s="235"/>
    </row>
    <row r="105" spans="1:3" ht="32" customHeight="1" x14ac:dyDescent="0.2">
      <c r="A105" s="1" t="s">
        <v>6</v>
      </c>
      <c r="B105" s="235" t="s">
        <v>120</v>
      </c>
      <c r="C105" s="235"/>
    </row>
    <row r="106" spans="1:3" ht="32" customHeight="1" x14ac:dyDescent="0.2">
      <c r="A106" s="1" t="s">
        <v>6</v>
      </c>
      <c r="B106" s="235" t="s">
        <v>121</v>
      </c>
      <c r="C106" s="235"/>
    </row>
    <row r="107" spans="1:3" ht="32" customHeight="1" x14ac:dyDescent="0.2">
      <c r="A107" s="1" t="s">
        <v>6</v>
      </c>
      <c r="B107" s="235" t="s">
        <v>122</v>
      </c>
      <c r="C107" s="235"/>
    </row>
    <row r="108" spans="1:3" ht="32" customHeight="1" x14ac:dyDescent="0.2">
      <c r="A108" s="1" t="s">
        <v>6</v>
      </c>
      <c r="B108" s="235" t="s">
        <v>123</v>
      </c>
      <c r="C108" s="235"/>
    </row>
    <row r="109" spans="1:3" ht="32" customHeight="1" x14ac:dyDescent="0.2">
      <c r="A109" s="1" t="s">
        <v>6</v>
      </c>
      <c r="B109" s="235" t="s">
        <v>124</v>
      </c>
      <c r="C109" s="235"/>
    </row>
    <row r="110" spans="1:3" ht="32" customHeight="1" x14ac:dyDescent="0.2">
      <c r="A110" s="1" t="s">
        <v>6</v>
      </c>
      <c r="B110" s="235" t="s">
        <v>125</v>
      </c>
      <c r="C110" s="235"/>
    </row>
    <row r="111" spans="1:3" ht="32" customHeight="1" x14ac:dyDescent="0.2">
      <c r="A111" s="1" t="s">
        <v>6</v>
      </c>
      <c r="B111" s="235" t="s">
        <v>126</v>
      </c>
      <c r="C111" s="235"/>
    </row>
    <row r="112" spans="1:3" ht="32" customHeight="1" x14ac:dyDescent="0.2">
      <c r="A112" s="1" t="s">
        <v>6</v>
      </c>
      <c r="B112" s="235" t="s">
        <v>127</v>
      </c>
      <c r="C112" s="235"/>
    </row>
    <row r="113" spans="1:3" ht="32" customHeight="1" x14ac:dyDescent="0.2">
      <c r="A113" s="1" t="s">
        <v>6</v>
      </c>
      <c r="B113" s="235" t="s">
        <v>128</v>
      </c>
      <c r="C113" s="235"/>
    </row>
    <row r="114" spans="1:3" ht="32" customHeight="1" x14ac:dyDescent="0.2">
      <c r="A114" s="1" t="s">
        <v>6</v>
      </c>
      <c r="B114" s="235" t="s">
        <v>129</v>
      </c>
      <c r="C114" s="235"/>
    </row>
    <row r="115" spans="1:3" ht="32" customHeight="1" x14ac:dyDescent="0.2">
      <c r="A115" s="1" t="s">
        <v>6</v>
      </c>
      <c r="B115" s="235" t="s">
        <v>130</v>
      </c>
      <c r="C115" s="235"/>
    </row>
    <row r="116" spans="1:3" ht="32" customHeight="1" x14ac:dyDescent="0.2">
      <c r="A116" s="1" t="s">
        <v>6</v>
      </c>
      <c r="B116" s="235" t="s">
        <v>131</v>
      </c>
      <c r="C116" s="235"/>
    </row>
    <row r="117" spans="1:3" ht="32" customHeight="1" x14ac:dyDescent="0.2">
      <c r="A117" s="1" t="s">
        <v>6</v>
      </c>
      <c r="B117" s="235" t="s">
        <v>132</v>
      </c>
      <c r="C117" s="235"/>
    </row>
    <row r="118" spans="1:3" ht="32" customHeight="1" x14ac:dyDescent="0.2">
      <c r="A118" s="1" t="s">
        <v>6</v>
      </c>
      <c r="B118" s="235" t="s">
        <v>133</v>
      </c>
      <c r="C118" s="235"/>
    </row>
    <row r="119" spans="1:3" ht="32" customHeight="1" x14ac:dyDescent="0.2">
      <c r="A119" s="1" t="s">
        <v>6</v>
      </c>
      <c r="B119" s="235" t="s">
        <v>134</v>
      </c>
      <c r="C119" s="235"/>
    </row>
    <row r="120" spans="1:3" ht="32" customHeight="1" x14ac:dyDescent="0.2">
      <c r="A120" s="1" t="s">
        <v>6</v>
      </c>
      <c r="B120" s="235" t="s">
        <v>135</v>
      </c>
      <c r="C120" s="235"/>
    </row>
    <row r="121" spans="1:3" ht="32" customHeight="1" x14ac:dyDescent="0.2">
      <c r="A121" s="1" t="s">
        <v>6</v>
      </c>
      <c r="B121" s="235" t="s">
        <v>136</v>
      </c>
      <c r="C121" s="235"/>
    </row>
    <row r="122" spans="1:3" ht="32" customHeight="1" x14ac:dyDescent="0.2">
      <c r="A122" s="1" t="s">
        <v>6</v>
      </c>
      <c r="B122" s="235" t="s">
        <v>137</v>
      </c>
      <c r="C122" s="235"/>
    </row>
    <row r="123" spans="1:3" ht="32" customHeight="1" x14ac:dyDescent="0.2">
      <c r="A123" s="1" t="s">
        <v>6</v>
      </c>
      <c r="B123" s="235" t="s">
        <v>138</v>
      </c>
      <c r="C123" s="235"/>
    </row>
    <row r="124" spans="1:3" ht="32" customHeight="1" x14ac:dyDescent="0.2">
      <c r="A124" s="1" t="s">
        <v>6</v>
      </c>
      <c r="B124" s="235" t="s">
        <v>139</v>
      </c>
      <c r="C124" s="235"/>
    </row>
    <row r="125" spans="1:3" ht="32" customHeight="1" x14ac:dyDescent="0.2">
      <c r="A125" s="1" t="s">
        <v>6</v>
      </c>
      <c r="B125" s="235" t="s">
        <v>140</v>
      </c>
      <c r="C125" s="235"/>
    </row>
    <row r="126" spans="1:3" ht="32" customHeight="1" x14ac:dyDescent="0.2">
      <c r="A126" s="1" t="s">
        <v>6</v>
      </c>
      <c r="B126" s="235" t="s">
        <v>141</v>
      </c>
      <c r="C126" s="235"/>
    </row>
    <row r="127" spans="1:3" ht="32" customHeight="1" x14ac:dyDescent="0.2">
      <c r="A127" s="1" t="s">
        <v>6</v>
      </c>
      <c r="B127" s="235" t="s">
        <v>142</v>
      </c>
      <c r="C127" s="235"/>
    </row>
    <row r="128" spans="1:3" ht="32" customHeight="1" x14ac:dyDescent="0.2">
      <c r="A128" s="1" t="s">
        <v>6</v>
      </c>
      <c r="B128" s="235" t="s">
        <v>143</v>
      </c>
      <c r="C128" s="235"/>
    </row>
    <row r="129" spans="1:3" ht="32" customHeight="1" x14ac:dyDescent="0.2">
      <c r="A129" s="1" t="s">
        <v>6</v>
      </c>
      <c r="B129" s="235" t="s">
        <v>144</v>
      </c>
      <c r="C129" s="235"/>
    </row>
    <row r="130" spans="1:3" ht="32" customHeight="1" x14ac:dyDescent="0.2">
      <c r="A130" s="1" t="s">
        <v>6</v>
      </c>
      <c r="B130" s="235" t="s">
        <v>145</v>
      </c>
      <c r="C130" s="235"/>
    </row>
    <row r="131" spans="1:3" ht="32" customHeight="1" x14ac:dyDescent="0.2">
      <c r="A131" s="1" t="s">
        <v>6</v>
      </c>
      <c r="B131" s="235" t="s">
        <v>146</v>
      </c>
      <c r="C131" s="235"/>
    </row>
    <row r="132" spans="1:3" ht="32" customHeight="1" x14ac:dyDescent="0.2">
      <c r="A132" s="1" t="s">
        <v>6</v>
      </c>
      <c r="B132" s="235" t="s">
        <v>147</v>
      </c>
      <c r="C132" s="235"/>
    </row>
    <row r="133" spans="1:3" ht="32" customHeight="1" x14ac:dyDescent="0.2">
      <c r="A133" s="1" t="s">
        <v>6</v>
      </c>
      <c r="B133" s="235" t="s">
        <v>148</v>
      </c>
      <c r="C133" s="235"/>
    </row>
    <row r="134" spans="1:3" ht="32" customHeight="1" x14ac:dyDescent="0.2">
      <c r="A134" s="1" t="s">
        <v>6</v>
      </c>
      <c r="B134" s="235" t="s">
        <v>149</v>
      </c>
      <c r="C134" s="235"/>
    </row>
    <row r="135" spans="1:3" ht="32" customHeight="1" x14ac:dyDescent="0.2">
      <c r="A135" s="1" t="s">
        <v>6</v>
      </c>
      <c r="B135" s="235" t="s">
        <v>150</v>
      </c>
      <c r="C135" s="235"/>
    </row>
    <row r="136" spans="1:3" ht="32" customHeight="1" x14ac:dyDescent="0.2">
      <c r="A136" s="1" t="s">
        <v>6</v>
      </c>
      <c r="B136" s="235" t="s">
        <v>151</v>
      </c>
      <c r="C136" s="235"/>
    </row>
    <row r="137" spans="1:3" ht="32" customHeight="1" x14ac:dyDescent="0.2">
      <c r="A137" s="1" t="s">
        <v>6</v>
      </c>
      <c r="B137" s="235" t="s">
        <v>152</v>
      </c>
      <c r="C137" s="235"/>
    </row>
    <row r="138" spans="1:3" ht="32" customHeight="1" x14ac:dyDescent="0.2">
      <c r="A138" s="1" t="s">
        <v>6</v>
      </c>
      <c r="B138" s="235" t="s">
        <v>153</v>
      </c>
      <c r="C138" s="235"/>
    </row>
    <row r="139" spans="1:3" ht="32" customHeight="1" x14ac:dyDescent="0.2">
      <c r="A139" s="1" t="s">
        <v>6</v>
      </c>
      <c r="B139" s="235" t="s">
        <v>154</v>
      </c>
      <c r="C139" s="235"/>
    </row>
    <row r="140" spans="1:3" ht="32" customHeight="1" x14ac:dyDescent="0.2">
      <c r="A140" s="1" t="s">
        <v>6</v>
      </c>
      <c r="B140" s="235" t="s">
        <v>155</v>
      </c>
      <c r="C140" s="235"/>
    </row>
    <row r="141" spans="1:3" ht="32" customHeight="1" x14ac:dyDescent="0.2">
      <c r="A141" s="1" t="s">
        <v>6</v>
      </c>
      <c r="B141" s="235" t="s">
        <v>156</v>
      </c>
      <c r="C141" s="235"/>
    </row>
    <row r="142" spans="1:3" ht="32" customHeight="1" x14ac:dyDescent="0.2">
      <c r="A142" s="1" t="s">
        <v>6</v>
      </c>
      <c r="B142" s="235" t="s">
        <v>157</v>
      </c>
      <c r="C142" s="235"/>
    </row>
    <row r="143" spans="1:3" ht="32" customHeight="1" x14ac:dyDescent="0.2">
      <c r="A143" s="1" t="s">
        <v>6</v>
      </c>
      <c r="B143" s="235" t="s">
        <v>158</v>
      </c>
      <c r="C143" s="235"/>
    </row>
    <row r="144" spans="1:3" ht="32" customHeight="1" x14ac:dyDescent="0.2">
      <c r="A144" s="1" t="s">
        <v>6</v>
      </c>
      <c r="B144" s="235" t="s">
        <v>159</v>
      </c>
      <c r="C144" s="235"/>
    </row>
    <row r="145" spans="1:3" ht="32" customHeight="1" x14ac:dyDescent="0.2">
      <c r="A145" s="1" t="s">
        <v>6</v>
      </c>
      <c r="B145" s="235" t="s">
        <v>160</v>
      </c>
      <c r="C145" s="235"/>
    </row>
    <row r="146" spans="1:3" ht="32" customHeight="1" x14ac:dyDescent="0.2">
      <c r="A146" s="1" t="s">
        <v>6</v>
      </c>
      <c r="B146" s="235" t="s">
        <v>161</v>
      </c>
      <c r="C146" s="235"/>
    </row>
    <row r="147" spans="1:3" ht="32" customHeight="1" x14ac:dyDescent="0.2">
      <c r="A147" s="1" t="s">
        <v>6</v>
      </c>
      <c r="B147" s="235" t="s">
        <v>162</v>
      </c>
      <c r="C147" s="235"/>
    </row>
    <row r="148" spans="1:3" ht="32" customHeight="1" x14ac:dyDescent="0.2">
      <c r="A148" s="1" t="s">
        <v>6</v>
      </c>
      <c r="B148" s="235" t="s">
        <v>163</v>
      </c>
      <c r="C148" s="235"/>
    </row>
    <row r="149" spans="1:3" ht="32" customHeight="1" x14ac:dyDescent="0.2">
      <c r="A149" s="1" t="s">
        <v>6</v>
      </c>
      <c r="B149" s="235" t="s">
        <v>164</v>
      </c>
      <c r="C149" s="235"/>
    </row>
    <row r="150" spans="1:3" ht="32" customHeight="1" x14ac:dyDescent="0.2">
      <c r="A150" s="1" t="s">
        <v>6</v>
      </c>
      <c r="B150" s="235" t="s">
        <v>165</v>
      </c>
      <c r="C150" s="235"/>
    </row>
    <row r="151" spans="1:3" ht="32" customHeight="1" x14ac:dyDescent="0.2">
      <c r="A151" s="1" t="s">
        <v>6</v>
      </c>
      <c r="B151" s="235" t="s">
        <v>166</v>
      </c>
      <c r="C151" s="235"/>
    </row>
    <row r="152" spans="1:3" ht="32" customHeight="1" x14ac:dyDescent="0.2">
      <c r="A152" s="1" t="s">
        <v>6</v>
      </c>
      <c r="B152" s="235" t="s">
        <v>167</v>
      </c>
      <c r="C152" s="235"/>
    </row>
    <row r="153" spans="1:3" ht="32" customHeight="1" x14ac:dyDescent="0.2">
      <c r="A153" s="1" t="s">
        <v>6</v>
      </c>
      <c r="B153" s="235" t="s">
        <v>168</v>
      </c>
      <c r="C153" s="235"/>
    </row>
    <row r="154" spans="1:3" ht="32" customHeight="1" x14ac:dyDescent="0.2">
      <c r="A154" s="1" t="s">
        <v>6</v>
      </c>
      <c r="B154" s="235" t="s">
        <v>169</v>
      </c>
      <c r="C154" s="235"/>
    </row>
    <row r="155" spans="1:3" ht="32" customHeight="1" x14ac:dyDescent="0.2">
      <c r="A155" s="1" t="s">
        <v>6</v>
      </c>
      <c r="B155" s="235" t="s">
        <v>170</v>
      </c>
      <c r="C155" s="235"/>
    </row>
    <row r="156" spans="1:3" ht="32" customHeight="1" x14ac:dyDescent="0.2">
      <c r="A156" s="1" t="s">
        <v>6</v>
      </c>
      <c r="B156" s="235" t="s">
        <v>171</v>
      </c>
      <c r="C156" s="235"/>
    </row>
    <row r="157" spans="1:3" ht="32" customHeight="1" x14ac:dyDescent="0.2">
      <c r="A157" s="1" t="s">
        <v>6</v>
      </c>
      <c r="B157" s="235" t="s">
        <v>172</v>
      </c>
      <c r="C157" s="235"/>
    </row>
    <row r="158" spans="1:3" ht="32" customHeight="1" x14ac:dyDescent="0.2">
      <c r="A158" s="1" t="s">
        <v>6</v>
      </c>
      <c r="B158" s="235" t="s">
        <v>173</v>
      </c>
      <c r="C158" s="235"/>
    </row>
    <row r="159" spans="1:3" ht="32" customHeight="1" x14ac:dyDescent="0.2">
      <c r="A159" s="1" t="s">
        <v>6</v>
      </c>
      <c r="B159" s="235" t="s">
        <v>174</v>
      </c>
      <c r="C159" s="235"/>
    </row>
    <row r="160" spans="1:3" ht="32" customHeight="1" x14ac:dyDescent="0.2">
      <c r="A160" s="1" t="s">
        <v>6</v>
      </c>
      <c r="B160" s="235" t="s">
        <v>175</v>
      </c>
      <c r="C160" s="235"/>
    </row>
    <row r="161" spans="1:3" ht="32" customHeight="1" x14ac:dyDescent="0.2">
      <c r="A161" s="1" t="s">
        <v>6</v>
      </c>
      <c r="B161" s="235" t="s">
        <v>176</v>
      </c>
      <c r="C161" s="235"/>
    </row>
    <row r="162" spans="1:3" ht="32" customHeight="1" x14ac:dyDescent="0.2">
      <c r="A162" s="1" t="s">
        <v>6</v>
      </c>
      <c r="B162" s="235" t="s">
        <v>177</v>
      </c>
      <c r="C162" s="235"/>
    </row>
    <row r="163" spans="1:3" ht="32" customHeight="1" x14ac:dyDescent="0.2">
      <c r="A163" s="1" t="s">
        <v>6</v>
      </c>
      <c r="B163" s="235" t="s">
        <v>178</v>
      </c>
      <c r="C163" s="235"/>
    </row>
    <row r="164" spans="1:3" ht="32" customHeight="1" x14ac:dyDescent="0.2">
      <c r="A164" s="1" t="s">
        <v>6</v>
      </c>
      <c r="B164" s="235" t="s">
        <v>179</v>
      </c>
      <c r="C164" s="235"/>
    </row>
    <row r="165" spans="1:3" ht="32" customHeight="1" x14ac:dyDescent="0.2">
      <c r="A165" s="1" t="s">
        <v>6</v>
      </c>
      <c r="B165" s="235" t="s">
        <v>180</v>
      </c>
      <c r="C165" s="235"/>
    </row>
    <row r="166" spans="1:3" ht="32" customHeight="1" x14ac:dyDescent="0.2">
      <c r="A166" s="1" t="s">
        <v>6</v>
      </c>
      <c r="B166" s="235" t="s">
        <v>181</v>
      </c>
      <c r="C166" s="235"/>
    </row>
    <row r="167" spans="1:3" ht="32" customHeight="1" x14ac:dyDescent="0.2">
      <c r="A167" s="1" t="s">
        <v>6</v>
      </c>
      <c r="B167" s="235" t="s">
        <v>182</v>
      </c>
      <c r="C167" s="235"/>
    </row>
    <row r="168" spans="1:3" ht="32" customHeight="1" x14ac:dyDescent="0.2">
      <c r="A168" s="1" t="s">
        <v>6</v>
      </c>
      <c r="B168" s="235" t="s">
        <v>183</v>
      </c>
      <c r="C168" s="235"/>
    </row>
    <row r="169" spans="1:3" ht="32" customHeight="1" x14ac:dyDescent="0.2">
      <c r="A169" s="1" t="s">
        <v>6</v>
      </c>
      <c r="B169" s="235" t="s">
        <v>184</v>
      </c>
      <c r="C169" s="235"/>
    </row>
    <row r="170" spans="1:3" ht="32" customHeight="1" x14ac:dyDescent="0.2">
      <c r="A170" s="1" t="s">
        <v>6</v>
      </c>
      <c r="B170" s="235" t="s">
        <v>185</v>
      </c>
      <c r="C170" s="235"/>
    </row>
    <row r="171" spans="1:3" ht="32" customHeight="1" x14ac:dyDescent="0.2">
      <c r="A171" s="1" t="s">
        <v>6</v>
      </c>
      <c r="B171" s="235" t="s">
        <v>186</v>
      </c>
      <c r="C171" s="235"/>
    </row>
    <row r="172" spans="1:3" ht="32" customHeight="1" x14ac:dyDescent="0.2">
      <c r="A172" s="1" t="s">
        <v>6</v>
      </c>
      <c r="B172" s="235" t="s">
        <v>187</v>
      </c>
      <c r="C172" s="235"/>
    </row>
    <row r="173" spans="1:3" ht="32" customHeight="1" x14ac:dyDescent="0.2">
      <c r="A173" s="1" t="s">
        <v>6</v>
      </c>
      <c r="B173" s="235" t="s">
        <v>188</v>
      </c>
      <c r="C173" s="235"/>
    </row>
    <row r="174" spans="1:3" ht="32" customHeight="1" x14ac:dyDescent="0.2">
      <c r="A174" s="1" t="s">
        <v>6</v>
      </c>
      <c r="B174" s="235" t="s">
        <v>189</v>
      </c>
      <c r="C174" s="235"/>
    </row>
    <row r="175" spans="1:3" ht="32" customHeight="1" x14ac:dyDescent="0.2">
      <c r="A175" s="1" t="s">
        <v>6</v>
      </c>
      <c r="B175" s="235" t="s">
        <v>190</v>
      </c>
      <c r="C175" s="235"/>
    </row>
    <row r="176" spans="1:3" ht="32" customHeight="1" x14ac:dyDescent="0.2">
      <c r="A176" s="1" t="s">
        <v>6</v>
      </c>
      <c r="B176" s="235" t="s">
        <v>191</v>
      </c>
      <c r="C176" s="235"/>
    </row>
    <row r="177" spans="1:3" ht="32" customHeight="1" x14ac:dyDescent="0.2">
      <c r="A177" s="1" t="s">
        <v>6</v>
      </c>
      <c r="B177" s="235" t="s">
        <v>192</v>
      </c>
      <c r="C177" s="235"/>
    </row>
    <row r="178" spans="1:3" ht="32" customHeight="1" x14ac:dyDescent="0.2">
      <c r="A178" s="1" t="s">
        <v>6</v>
      </c>
      <c r="B178" s="235" t="s">
        <v>193</v>
      </c>
      <c r="C178" s="235"/>
    </row>
    <row r="179" spans="1:3" ht="32" customHeight="1" x14ac:dyDescent="0.2">
      <c r="A179" s="1" t="s">
        <v>6</v>
      </c>
      <c r="B179" s="235" t="s">
        <v>194</v>
      </c>
      <c r="C179" s="235"/>
    </row>
    <row r="180" spans="1:3" ht="32" customHeight="1" x14ac:dyDescent="0.2">
      <c r="A180" s="1" t="s">
        <v>6</v>
      </c>
      <c r="B180" s="235" t="s">
        <v>195</v>
      </c>
      <c r="C180" s="235"/>
    </row>
    <row r="181" spans="1:3" ht="32" customHeight="1" x14ac:dyDescent="0.2">
      <c r="A181" s="1" t="s">
        <v>6</v>
      </c>
      <c r="B181" s="235" t="s">
        <v>196</v>
      </c>
      <c r="C181" s="235"/>
    </row>
    <row r="182" spans="1:3" ht="32" customHeight="1" x14ac:dyDescent="0.2">
      <c r="A182" s="1" t="s">
        <v>6</v>
      </c>
      <c r="B182" s="235" t="s">
        <v>197</v>
      </c>
      <c r="C182" s="235"/>
    </row>
    <row r="183" spans="1:3" ht="32" customHeight="1" x14ac:dyDescent="0.2">
      <c r="A183" s="1" t="s">
        <v>6</v>
      </c>
      <c r="B183" s="235" t="s">
        <v>198</v>
      </c>
      <c r="C183" s="235"/>
    </row>
    <row r="184" spans="1:3" ht="32" customHeight="1" x14ac:dyDescent="0.2">
      <c r="A184" s="1" t="s">
        <v>6</v>
      </c>
      <c r="B184" s="235" t="s">
        <v>199</v>
      </c>
      <c r="C184" s="235"/>
    </row>
    <row r="185" spans="1:3" ht="32" customHeight="1" x14ac:dyDescent="0.2">
      <c r="A185" s="1" t="s">
        <v>6</v>
      </c>
      <c r="B185" s="235" t="s">
        <v>200</v>
      </c>
      <c r="C185" s="235"/>
    </row>
    <row r="186" spans="1:3" ht="32" customHeight="1" x14ac:dyDescent="0.2">
      <c r="A186" s="1" t="s">
        <v>6</v>
      </c>
      <c r="B186" s="235" t="s">
        <v>201</v>
      </c>
      <c r="C186" s="235"/>
    </row>
    <row r="187" spans="1:3" ht="32" customHeight="1" x14ac:dyDescent="0.2">
      <c r="A187" s="1" t="s">
        <v>6</v>
      </c>
      <c r="B187" s="235" t="s">
        <v>202</v>
      </c>
      <c r="C187" s="235"/>
    </row>
    <row r="188" spans="1:3" ht="32" customHeight="1" x14ac:dyDescent="0.2">
      <c r="A188" s="1" t="s">
        <v>6</v>
      </c>
      <c r="B188" s="235" t="s">
        <v>203</v>
      </c>
      <c r="C188" s="235"/>
    </row>
    <row r="189" spans="1:3" ht="32" customHeight="1" x14ac:dyDescent="0.2">
      <c r="A189" s="1" t="s">
        <v>6</v>
      </c>
      <c r="B189" s="235" t="s">
        <v>204</v>
      </c>
      <c r="C189" s="235"/>
    </row>
    <row r="190" spans="1:3" ht="32" customHeight="1" x14ac:dyDescent="0.2">
      <c r="A190" s="1" t="s">
        <v>6</v>
      </c>
      <c r="B190" s="235" t="s">
        <v>205</v>
      </c>
      <c r="C190" s="235"/>
    </row>
    <row r="191" spans="1:3" ht="32" customHeight="1" x14ac:dyDescent="0.2">
      <c r="A191" s="1" t="s">
        <v>6</v>
      </c>
      <c r="B191" s="235" t="s">
        <v>206</v>
      </c>
      <c r="C191" s="235"/>
    </row>
    <row r="192" spans="1:3" ht="32" customHeight="1" x14ac:dyDescent="0.2">
      <c r="A192" s="1" t="s">
        <v>6</v>
      </c>
      <c r="B192" s="235" t="s">
        <v>207</v>
      </c>
      <c r="C192" s="235"/>
    </row>
    <row r="193" spans="1:3" ht="32" customHeight="1" x14ac:dyDescent="0.2">
      <c r="A193" s="1" t="s">
        <v>6</v>
      </c>
      <c r="B193" s="235" t="s">
        <v>208</v>
      </c>
      <c r="C193" s="235"/>
    </row>
    <row r="194" spans="1:3" ht="32" customHeight="1" x14ac:dyDescent="0.2">
      <c r="A194" s="1" t="s">
        <v>6</v>
      </c>
      <c r="B194" s="235" t="s">
        <v>209</v>
      </c>
      <c r="C194" s="235"/>
    </row>
    <row r="195" spans="1:3" ht="32" customHeight="1" x14ac:dyDescent="0.2">
      <c r="A195" s="1" t="s">
        <v>6</v>
      </c>
      <c r="B195" s="235" t="s">
        <v>210</v>
      </c>
      <c r="C195" s="235"/>
    </row>
    <row r="196" spans="1:3" ht="32" customHeight="1" x14ac:dyDescent="0.2">
      <c r="A196" s="1" t="s">
        <v>6</v>
      </c>
      <c r="B196" s="235" t="s">
        <v>211</v>
      </c>
      <c r="C196" s="235"/>
    </row>
    <row r="197" spans="1:3" ht="32" customHeight="1" x14ac:dyDescent="0.2">
      <c r="A197" s="1" t="s">
        <v>6</v>
      </c>
      <c r="B197" s="235" t="s">
        <v>212</v>
      </c>
      <c r="C197" s="235"/>
    </row>
    <row r="198" spans="1:3" ht="32" customHeight="1" x14ac:dyDescent="0.2">
      <c r="A198" s="1" t="s">
        <v>6</v>
      </c>
      <c r="B198" s="235" t="s">
        <v>213</v>
      </c>
      <c r="C198" s="235"/>
    </row>
    <row r="199" spans="1:3" ht="32" customHeight="1" x14ac:dyDescent="0.2">
      <c r="A199" s="1" t="s">
        <v>6</v>
      </c>
      <c r="B199" s="235" t="s">
        <v>214</v>
      </c>
      <c r="C199" s="235"/>
    </row>
    <row r="200" spans="1:3" ht="32" customHeight="1" x14ac:dyDescent="0.2">
      <c r="A200" s="1" t="s">
        <v>6</v>
      </c>
      <c r="B200" s="235" t="s">
        <v>215</v>
      </c>
      <c r="C200" s="235"/>
    </row>
    <row r="201" spans="1:3" ht="32" customHeight="1" x14ac:dyDescent="0.2">
      <c r="A201" s="1" t="s">
        <v>6</v>
      </c>
      <c r="B201" s="235" t="s">
        <v>216</v>
      </c>
      <c r="C201" s="235"/>
    </row>
    <row r="202" spans="1:3" ht="32" customHeight="1" x14ac:dyDescent="0.2">
      <c r="A202" s="1" t="s">
        <v>6</v>
      </c>
      <c r="B202" s="235" t="s">
        <v>217</v>
      </c>
      <c r="C202" s="235"/>
    </row>
    <row r="203" spans="1:3" ht="32" customHeight="1" x14ac:dyDescent="0.2">
      <c r="A203" s="1" t="s">
        <v>6</v>
      </c>
      <c r="B203" s="235" t="s">
        <v>218</v>
      </c>
      <c r="C203" s="235"/>
    </row>
    <row r="204" spans="1:3" ht="32" customHeight="1" x14ac:dyDescent="0.2">
      <c r="A204" s="1" t="s">
        <v>6</v>
      </c>
      <c r="B204" s="235" t="s">
        <v>219</v>
      </c>
      <c r="C204" s="235"/>
    </row>
    <row r="205" spans="1:3" ht="32" customHeight="1" x14ac:dyDescent="0.2">
      <c r="A205" s="1" t="s">
        <v>6</v>
      </c>
      <c r="B205" s="235" t="s">
        <v>220</v>
      </c>
      <c r="C205" s="235"/>
    </row>
    <row r="206" spans="1:3" ht="32" customHeight="1" x14ac:dyDescent="0.2">
      <c r="A206" s="1" t="s">
        <v>6</v>
      </c>
      <c r="B206" s="235" t="s">
        <v>221</v>
      </c>
      <c r="C206" s="235"/>
    </row>
    <row r="207" spans="1:3" ht="32" customHeight="1" x14ac:dyDescent="0.2">
      <c r="A207" s="1" t="s">
        <v>6</v>
      </c>
      <c r="B207" s="235" t="s">
        <v>222</v>
      </c>
      <c r="C207" s="235"/>
    </row>
    <row r="208" spans="1:3" ht="32" customHeight="1" x14ac:dyDescent="0.2">
      <c r="A208" s="1" t="s">
        <v>6</v>
      </c>
      <c r="B208" s="235" t="s">
        <v>223</v>
      </c>
      <c r="C208" s="235"/>
    </row>
    <row r="209" spans="1:3" ht="32" customHeight="1" x14ac:dyDescent="0.2">
      <c r="A209" s="1" t="s">
        <v>6</v>
      </c>
      <c r="B209" s="235" t="s">
        <v>224</v>
      </c>
      <c r="C209" s="235"/>
    </row>
    <row r="210" spans="1:3" ht="32" customHeight="1" x14ac:dyDescent="0.2">
      <c r="A210" s="1" t="s">
        <v>6</v>
      </c>
      <c r="B210" s="235" t="s">
        <v>225</v>
      </c>
      <c r="C210" s="235"/>
    </row>
    <row r="211" spans="1:3" ht="32" customHeight="1" x14ac:dyDescent="0.2">
      <c r="A211" s="1" t="s">
        <v>6</v>
      </c>
      <c r="B211" s="235" t="s">
        <v>226</v>
      </c>
      <c r="C211" s="235"/>
    </row>
    <row r="212" spans="1:3" ht="32" customHeight="1" x14ac:dyDescent="0.2">
      <c r="A212" s="1" t="s">
        <v>6</v>
      </c>
      <c r="B212" s="235" t="s">
        <v>227</v>
      </c>
      <c r="C212" s="235"/>
    </row>
    <row r="213" spans="1:3" ht="32" customHeight="1" x14ac:dyDescent="0.2">
      <c r="A213" s="1" t="s">
        <v>6</v>
      </c>
      <c r="B213" s="235" t="s">
        <v>228</v>
      </c>
      <c r="C213" s="235"/>
    </row>
    <row r="214" spans="1:3" ht="32" customHeight="1" x14ac:dyDescent="0.2">
      <c r="A214" s="1" t="s">
        <v>6</v>
      </c>
      <c r="B214" s="235" t="s">
        <v>229</v>
      </c>
      <c r="C214" s="235"/>
    </row>
    <row r="215" spans="1:3" ht="32" customHeight="1" x14ac:dyDescent="0.2">
      <c r="A215" s="1" t="s">
        <v>6</v>
      </c>
      <c r="B215" s="235" t="s">
        <v>230</v>
      </c>
      <c r="C215" s="235"/>
    </row>
    <row r="216" spans="1:3" ht="32" customHeight="1" x14ac:dyDescent="0.2">
      <c r="A216" s="1" t="s">
        <v>6</v>
      </c>
      <c r="B216" s="235" t="s">
        <v>231</v>
      </c>
      <c r="C216" s="235"/>
    </row>
    <row r="217" spans="1:3" ht="32" customHeight="1" x14ac:dyDescent="0.2">
      <c r="A217" s="1" t="s">
        <v>6</v>
      </c>
      <c r="B217" s="235" t="s">
        <v>232</v>
      </c>
      <c r="C217" s="235"/>
    </row>
    <row r="218" spans="1:3" ht="32" customHeight="1" x14ac:dyDescent="0.2">
      <c r="A218" s="1" t="s">
        <v>6</v>
      </c>
      <c r="B218" s="235" t="s">
        <v>233</v>
      </c>
      <c r="C218" s="235"/>
    </row>
    <row r="219" spans="1:3" ht="32" customHeight="1" x14ac:dyDescent="0.2">
      <c r="A219" s="1" t="s">
        <v>6</v>
      </c>
      <c r="B219" s="235" t="s">
        <v>234</v>
      </c>
      <c r="C219" s="235"/>
    </row>
    <row r="220" spans="1:3" ht="32" customHeight="1" x14ac:dyDescent="0.2">
      <c r="A220" s="1" t="s">
        <v>6</v>
      </c>
      <c r="B220" s="235" t="s">
        <v>235</v>
      </c>
      <c r="C220" s="235"/>
    </row>
    <row r="221" spans="1:3" ht="32" customHeight="1" x14ac:dyDescent="0.2">
      <c r="A221" s="1" t="s">
        <v>6</v>
      </c>
      <c r="B221" s="235" t="s">
        <v>236</v>
      </c>
      <c r="C221" s="235"/>
    </row>
    <row r="222" spans="1:3" ht="32" customHeight="1" x14ac:dyDescent="0.2">
      <c r="A222" s="1" t="s">
        <v>6</v>
      </c>
      <c r="B222" s="235" t="s">
        <v>237</v>
      </c>
      <c r="C222" s="235"/>
    </row>
    <row r="223" spans="1:3" ht="32" customHeight="1" x14ac:dyDescent="0.2">
      <c r="A223" s="1" t="s">
        <v>6</v>
      </c>
      <c r="B223" s="235" t="s">
        <v>238</v>
      </c>
      <c r="C223" s="235"/>
    </row>
    <row r="224" spans="1:3" ht="32" customHeight="1" x14ac:dyDescent="0.2">
      <c r="A224" s="1" t="s">
        <v>6</v>
      </c>
      <c r="B224" s="235" t="s">
        <v>239</v>
      </c>
      <c r="C224" s="235"/>
    </row>
    <row r="225" spans="1:3" ht="32" customHeight="1" x14ac:dyDescent="0.2">
      <c r="A225" s="1" t="s">
        <v>6</v>
      </c>
      <c r="B225" s="235" t="s">
        <v>240</v>
      </c>
      <c r="C225" s="235"/>
    </row>
    <row r="226" spans="1:3" ht="32" customHeight="1" x14ac:dyDescent="0.2">
      <c r="A226" s="1" t="s">
        <v>6</v>
      </c>
      <c r="B226" s="235" t="s">
        <v>241</v>
      </c>
      <c r="C226" s="235"/>
    </row>
    <row r="227" spans="1:3" ht="32" customHeight="1" x14ac:dyDescent="0.2">
      <c r="A227" s="1" t="s">
        <v>6</v>
      </c>
      <c r="B227" s="235" t="s">
        <v>242</v>
      </c>
      <c r="C227" s="235"/>
    </row>
    <row r="228" spans="1:3" ht="32" customHeight="1" x14ac:dyDescent="0.2">
      <c r="A228" s="1" t="s">
        <v>6</v>
      </c>
      <c r="B228" s="235" t="s">
        <v>243</v>
      </c>
      <c r="C228" s="235"/>
    </row>
    <row r="229" spans="1:3" ht="32" customHeight="1" x14ac:dyDescent="0.2">
      <c r="A229" s="1" t="s">
        <v>6</v>
      </c>
      <c r="B229" s="235" t="s">
        <v>244</v>
      </c>
      <c r="C229" s="235"/>
    </row>
    <row r="230" spans="1:3" ht="32" customHeight="1" x14ac:dyDescent="0.2">
      <c r="A230" s="1" t="s">
        <v>6</v>
      </c>
      <c r="B230" s="235" t="s">
        <v>245</v>
      </c>
      <c r="C230" s="235"/>
    </row>
    <row r="231" spans="1:3" ht="32" customHeight="1" x14ac:dyDescent="0.2">
      <c r="A231" s="1" t="s">
        <v>6</v>
      </c>
      <c r="B231" s="235" t="s">
        <v>246</v>
      </c>
      <c r="C231" s="235"/>
    </row>
    <row r="232" spans="1:3" ht="32" customHeight="1" x14ac:dyDescent="0.2">
      <c r="A232" s="1" t="s">
        <v>6</v>
      </c>
      <c r="B232" s="235" t="s">
        <v>247</v>
      </c>
      <c r="C232" s="235"/>
    </row>
    <row r="233" spans="1:3" ht="32" customHeight="1" x14ac:dyDescent="0.2">
      <c r="A233" s="1" t="s">
        <v>6</v>
      </c>
      <c r="B233" s="235" t="s">
        <v>248</v>
      </c>
      <c r="C233" s="235"/>
    </row>
    <row r="234" spans="1:3" ht="32" customHeight="1" x14ac:dyDescent="0.2">
      <c r="A234" s="1" t="s">
        <v>6</v>
      </c>
      <c r="B234" s="235" t="s">
        <v>249</v>
      </c>
      <c r="C234" s="235"/>
    </row>
    <row r="235" spans="1:3" ht="32" customHeight="1" x14ac:dyDescent="0.2">
      <c r="A235" s="1" t="s">
        <v>6</v>
      </c>
      <c r="B235" s="235" t="s">
        <v>250</v>
      </c>
      <c r="C235" s="235"/>
    </row>
    <row r="236" spans="1:3" ht="32" customHeight="1" x14ac:dyDescent="0.2">
      <c r="A236" s="1" t="s">
        <v>6</v>
      </c>
      <c r="B236" s="235" t="s">
        <v>251</v>
      </c>
      <c r="C236" s="235"/>
    </row>
    <row r="237" spans="1:3" ht="32" customHeight="1" x14ac:dyDescent="0.2">
      <c r="A237" s="1" t="s">
        <v>6</v>
      </c>
      <c r="B237" s="235" t="s">
        <v>252</v>
      </c>
      <c r="C237" s="235"/>
    </row>
    <row r="238" spans="1:3" ht="32" customHeight="1" x14ac:dyDescent="0.2">
      <c r="A238" s="1" t="s">
        <v>6</v>
      </c>
      <c r="B238" s="235" t="s">
        <v>253</v>
      </c>
      <c r="C238" s="235"/>
    </row>
    <row r="239" spans="1:3" ht="32" customHeight="1" x14ac:dyDescent="0.2">
      <c r="A239" s="1" t="s">
        <v>6</v>
      </c>
      <c r="B239" s="235" t="s">
        <v>254</v>
      </c>
      <c r="C239" s="235"/>
    </row>
    <row r="240" spans="1:3" ht="32" customHeight="1" x14ac:dyDescent="0.2">
      <c r="A240" s="1" t="s">
        <v>6</v>
      </c>
      <c r="B240" s="235" t="s">
        <v>255</v>
      </c>
      <c r="C240" s="235"/>
    </row>
    <row r="241" spans="1:3" ht="32" customHeight="1" x14ac:dyDescent="0.2">
      <c r="A241" s="1" t="s">
        <v>6</v>
      </c>
      <c r="B241" s="235" t="s">
        <v>256</v>
      </c>
      <c r="C241" s="235"/>
    </row>
    <row r="242" spans="1:3" ht="32" customHeight="1" x14ac:dyDescent="0.2">
      <c r="A242" s="1" t="s">
        <v>6</v>
      </c>
      <c r="B242" s="235" t="s">
        <v>257</v>
      </c>
      <c r="C242" s="235"/>
    </row>
    <row r="243" spans="1:3" ht="32" customHeight="1" x14ac:dyDescent="0.2">
      <c r="A243" s="1" t="s">
        <v>6</v>
      </c>
      <c r="B243" s="235" t="s">
        <v>258</v>
      </c>
      <c r="C243" s="235"/>
    </row>
    <row r="244" spans="1:3" ht="32" customHeight="1" x14ac:dyDescent="0.2">
      <c r="A244" s="1" t="s">
        <v>6</v>
      </c>
      <c r="B244" s="235" t="s">
        <v>259</v>
      </c>
      <c r="C244" s="235"/>
    </row>
    <row r="245" spans="1:3" ht="32" customHeight="1" x14ac:dyDescent="0.2">
      <c r="A245" s="1" t="s">
        <v>6</v>
      </c>
      <c r="B245" s="235" t="s">
        <v>260</v>
      </c>
      <c r="C245" s="235"/>
    </row>
    <row r="246" spans="1:3" ht="32" customHeight="1" x14ac:dyDescent="0.2">
      <c r="A246" s="1" t="s">
        <v>6</v>
      </c>
      <c r="B246" s="235" t="s">
        <v>261</v>
      </c>
      <c r="C246" s="235"/>
    </row>
    <row r="247" spans="1:3" ht="32" customHeight="1" x14ac:dyDescent="0.2">
      <c r="A247" s="1" t="s">
        <v>6</v>
      </c>
      <c r="B247" s="235" t="s">
        <v>262</v>
      </c>
      <c r="C247" s="235"/>
    </row>
    <row r="248" spans="1:3" ht="32" customHeight="1" x14ac:dyDescent="0.2">
      <c r="A248" s="1" t="s">
        <v>6</v>
      </c>
      <c r="B248" s="235" t="s">
        <v>263</v>
      </c>
      <c r="C248" s="235"/>
    </row>
    <row r="249" spans="1:3" ht="32" customHeight="1" x14ac:dyDescent="0.2">
      <c r="A249" s="1" t="s">
        <v>6</v>
      </c>
      <c r="B249" s="235" t="s">
        <v>264</v>
      </c>
      <c r="C249" s="235"/>
    </row>
    <row r="250" spans="1:3" ht="32" customHeight="1" x14ac:dyDescent="0.2">
      <c r="A250" s="1" t="s">
        <v>6</v>
      </c>
      <c r="B250" s="235" t="s">
        <v>265</v>
      </c>
      <c r="C250" s="235"/>
    </row>
    <row r="251" spans="1:3" ht="32" customHeight="1" x14ac:dyDescent="0.2">
      <c r="A251" s="1" t="s">
        <v>6</v>
      </c>
      <c r="B251" s="235" t="s">
        <v>266</v>
      </c>
      <c r="C251" s="235"/>
    </row>
    <row r="252" spans="1:3" ht="32" customHeight="1" x14ac:dyDescent="0.2">
      <c r="A252" s="1" t="s">
        <v>6</v>
      </c>
      <c r="B252" s="235" t="s">
        <v>267</v>
      </c>
      <c r="C252" s="235"/>
    </row>
    <row r="253" spans="1:3" ht="32" customHeight="1" x14ac:dyDescent="0.2">
      <c r="A253" s="1" t="s">
        <v>6</v>
      </c>
      <c r="B253" s="235" t="s">
        <v>268</v>
      </c>
      <c r="C253" s="235"/>
    </row>
    <row r="254" spans="1:3" ht="32" customHeight="1" x14ac:dyDescent="0.2">
      <c r="A254" s="1" t="s">
        <v>6</v>
      </c>
      <c r="B254" s="235" t="s">
        <v>269</v>
      </c>
      <c r="C254" s="235"/>
    </row>
    <row r="255" spans="1:3" ht="32" customHeight="1" x14ac:dyDescent="0.2">
      <c r="A255" s="1" t="s">
        <v>6</v>
      </c>
      <c r="B255" s="235" t="s">
        <v>270</v>
      </c>
      <c r="C255" s="235"/>
    </row>
    <row r="256" spans="1:3" ht="32" customHeight="1" x14ac:dyDescent="0.2">
      <c r="A256" s="1" t="s">
        <v>6</v>
      </c>
      <c r="B256" s="235" t="s">
        <v>271</v>
      </c>
      <c r="C256" s="235"/>
    </row>
    <row r="257" spans="1:3" ht="32" customHeight="1" x14ac:dyDescent="0.2">
      <c r="A257" s="1" t="s">
        <v>6</v>
      </c>
      <c r="B257" s="235" t="s">
        <v>272</v>
      </c>
      <c r="C257" s="235"/>
    </row>
    <row r="258" spans="1:3" ht="32" customHeight="1" x14ac:dyDescent="0.2">
      <c r="A258" s="1" t="s">
        <v>6</v>
      </c>
      <c r="B258" s="235" t="s">
        <v>273</v>
      </c>
      <c r="C258" s="235"/>
    </row>
    <row r="259" spans="1:3" ht="32" customHeight="1" x14ac:dyDescent="0.2">
      <c r="A259" s="1" t="s">
        <v>6</v>
      </c>
      <c r="B259" s="235" t="s">
        <v>274</v>
      </c>
      <c r="C259" s="235"/>
    </row>
    <row r="260" spans="1:3" ht="32" customHeight="1" x14ac:dyDescent="0.2">
      <c r="A260" s="1" t="s">
        <v>6</v>
      </c>
      <c r="B260" s="235" t="s">
        <v>275</v>
      </c>
      <c r="C260" s="235"/>
    </row>
    <row r="261" spans="1:3" ht="32" customHeight="1" x14ac:dyDescent="0.2">
      <c r="A261" s="1" t="s">
        <v>6</v>
      </c>
      <c r="B261" s="235" t="s">
        <v>276</v>
      </c>
      <c r="C261" s="235"/>
    </row>
    <row r="262" spans="1:3" ht="32" customHeight="1" x14ac:dyDescent="0.2">
      <c r="A262" s="1" t="s">
        <v>6</v>
      </c>
      <c r="B262" s="235" t="s">
        <v>277</v>
      </c>
      <c r="C262" s="235"/>
    </row>
    <row r="263" spans="1:3" ht="32" customHeight="1" x14ac:dyDescent="0.2">
      <c r="A263" s="1" t="s">
        <v>6</v>
      </c>
      <c r="B263" s="235" t="s">
        <v>278</v>
      </c>
      <c r="C263" s="235"/>
    </row>
    <row r="264" spans="1:3" ht="32" customHeight="1" x14ac:dyDescent="0.2">
      <c r="A264" s="1" t="s">
        <v>6</v>
      </c>
      <c r="B264" s="235" t="s">
        <v>279</v>
      </c>
      <c r="C264" s="235"/>
    </row>
    <row r="265" spans="1:3" ht="32" customHeight="1" x14ac:dyDescent="0.2">
      <c r="A265" s="1" t="s">
        <v>6</v>
      </c>
      <c r="B265" s="235" t="s">
        <v>280</v>
      </c>
      <c r="C265" s="235"/>
    </row>
    <row r="266" spans="1:3" ht="32" customHeight="1" x14ac:dyDescent="0.2">
      <c r="A266" s="1" t="s">
        <v>6</v>
      </c>
      <c r="B266" s="235" t="s">
        <v>281</v>
      </c>
      <c r="C266" s="235"/>
    </row>
    <row r="267" spans="1:3" ht="32" customHeight="1" x14ac:dyDescent="0.2">
      <c r="A267" s="1" t="s">
        <v>6</v>
      </c>
      <c r="B267" s="235" t="s">
        <v>282</v>
      </c>
      <c r="C267" s="235"/>
    </row>
    <row r="268" spans="1:3" ht="32" customHeight="1" x14ac:dyDescent="0.2">
      <c r="A268" s="1" t="s">
        <v>6</v>
      </c>
      <c r="B268" s="235" t="s">
        <v>283</v>
      </c>
      <c r="C268" s="235"/>
    </row>
    <row r="269" spans="1:3" ht="32" customHeight="1" x14ac:dyDescent="0.2">
      <c r="A269" s="1" t="s">
        <v>6</v>
      </c>
      <c r="B269" s="235" t="s">
        <v>284</v>
      </c>
      <c r="C269" s="235"/>
    </row>
    <row r="270" spans="1:3" ht="32" customHeight="1" x14ac:dyDescent="0.2">
      <c r="A270" s="1" t="s">
        <v>6</v>
      </c>
      <c r="B270" s="235" t="s">
        <v>285</v>
      </c>
      <c r="C270" s="235"/>
    </row>
    <row r="271" spans="1:3" ht="32" customHeight="1" x14ac:dyDescent="0.2">
      <c r="A271" s="1" t="s">
        <v>6</v>
      </c>
      <c r="B271" s="235" t="s">
        <v>286</v>
      </c>
      <c r="C271" s="235"/>
    </row>
    <row r="272" spans="1:3" ht="32" customHeight="1" x14ac:dyDescent="0.2">
      <c r="A272" s="1" t="s">
        <v>6</v>
      </c>
      <c r="B272" s="235" t="s">
        <v>287</v>
      </c>
      <c r="C272" s="235"/>
    </row>
    <row r="273" spans="1:3" ht="32" customHeight="1" x14ac:dyDescent="0.2">
      <c r="A273" s="1" t="s">
        <v>6</v>
      </c>
      <c r="B273" s="235" t="s">
        <v>288</v>
      </c>
      <c r="C273" s="235"/>
    </row>
    <row r="274" spans="1:3" ht="32" customHeight="1" x14ac:dyDescent="0.2">
      <c r="A274" s="1" t="s">
        <v>6</v>
      </c>
      <c r="B274" s="235" t="s">
        <v>289</v>
      </c>
      <c r="C274" s="235"/>
    </row>
    <row r="275" spans="1:3" ht="32" customHeight="1" x14ac:dyDescent="0.2">
      <c r="A275" s="1" t="s">
        <v>6</v>
      </c>
      <c r="B275" s="235" t="s">
        <v>290</v>
      </c>
      <c r="C275" s="235"/>
    </row>
    <row r="276" spans="1:3" ht="32" customHeight="1" x14ac:dyDescent="0.2">
      <c r="A276" s="1" t="s">
        <v>6</v>
      </c>
      <c r="B276" s="235" t="s">
        <v>291</v>
      </c>
      <c r="C276" s="235"/>
    </row>
    <row r="277" spans="1:3" ht="32" customHeight="1" x14ac:dyDescent="0.2">
      <c r="A277" s="1" t="s">
        <v>6</v>
      </c>
      <c r="B277" s="235" t="s">
        <v>292</v>
      </c>
      <c r="C277" s="235"/>
    </row>
    <row r="278" spans="1:3" ht="32" customHeight="1" x14ac:dyDescent="0.2">
      <c r="A278" s="1" t="s">
        <v>6</v>
      </c>
      <c r="B278" s="235" t="s">
        <v>293</v>
      </c>
      <c r="C278" s="235"/>
    </row>
    <row r="279" spans="1:3" ht="32" customHeight="1" x14ac:dyDescent="0.2">
      <c r="A279" s="1" t="s">
        <v>6</v>
      </c>
      <c r="B279" s="235" t="s">
        <v>294</v>
      </c>
      <c r="C279" s="235"/>
    </row>
    <row r="280" spans="1:3" ht="32" customHeight="1" x14ac:dyDescent="0.2">
      <c r="A280" s="1" t="s">
        <v>6</v>
      </c>
      <c r="B280" s="235" t="s">
        <v>295</v>
      </c>
      <c r="C280" s="235"/>
    </row>
    <row r="281" spans="1:3" ht="32" customHeight="1" x14ac:dyDescent="0.2">
      <c r="A281" s="1" t="s">
        <v>6</v>
      </c>
      <c r="B281" s="235" t="s">
        <v>296</v>
      </c>
      <c r="C281" s="235"/>
    </row>
    <row r="282" spans="1:3" ht="32" customHeight="1" x14ac:dyDescent="0.2">
      <c r="A282" s="1" t="s">
        <v>6</v>
      </c>
      <c r="B282" s="235" t="s">
        <v>297</v>
      </c>
      <c r="C282" s="235"/>
    </row>
    <row r="283" spans="1:3" ht="32" customHeight="1" x14ac:dyDescent="0.2">
      <c r="A283" s="1" t="s">
        <v>6</v>
      </c>
      <c r="B283" s="235" t="s">
        <v>298</v>
      </c>
      <c r="C283" s="235"/>
    </row>
    <row r="284" spans="1:3" ht="32" customHeight="1" x14ac:dyDescent="0.2">
      <c r="A284" s="1" t="s">
        <v>6</v>
      </c>
      <c r="B284" s="235" t="s">
        <v>299</v>
      </c>
      <c r="C284" s="235"/>
    </row>
    <row r="285" spans="1:3" ht="32" customHeight="1" x14ac:dyDescent="0.2">
      <c r="A285" s="1" t="s">
        <v>6</v>
      </c>
      <c r="B285" s="235" t="s">
        <v>300</v>
      </c>
      <c r="C285" s="235"/>
    </row>
    <row r="286" spans="1:3" ht="32" customHeight="1" x14ac:dyDescent="0.2">
      <c r="A286" s="1" t="s">
        <v>6</v>
      </c>
      <c r="B286" s="235" t="s">
        <v>301</v>
      </c>
      <c r="C286" s="235"/>
    </row>
    <row r="287" spans="1:3" ht="32" customHeight="1" x14ac:dyDescent="0.2">
      <c r="A287" s="1" t="s">
        <v>6</v>
      </c>
      <c r="B287" s="235" t="s">
        <v>302</v>
      </c>
      <c r="C287" s="235"/>
    </row>
    <row r="288" spans="1:3" ht="32" customHeight="1" x14ac:dyDescent="0.2">
      <c r="A288" s="1" t="s">
        <v>6</v>
      </c>
      <c r="B288" s="235" t="s">
        <v>303</v>
      </c>
      <c r="C288" s="235"/>
    </row>
    <row r="289" spans="1:3" ht="32" customHeight="1" x14ac:dyDescent="0.2">
      <c r="A289" s="1" t="s">
        <v>6</v>
      </c>
      <c r="B289" s="235" t="s">
        <v>304</v>
      </c>
      <c r="C289" s="235"/>
    </row>
    <row r="290" spans="1:3" ht="32" customHeight="1" x14ac:dyDescent="0.2">
      <c r="A290" s="1" t="s">
        <v>6</v>
      </c>
      <c r="B290" s="235" t="s">
        <v>305</v>
      </c>
      <c r="C290" s="235"/>
    </row>
    <row r="291" spans="1:3" ht="32" customHeight="1" x14ac:dyDescent="0.2">
      <c r="A291" s="1" t="s">
        <v>6</v>
      </c>
      <c r="B291" s="235" t="s">
        <v>306</v>
      </c>
      <c r="C291" s="235"/>
    </row>
    <row r="292" spans="1:3" ht="32" customHeight="1" x14ac:dyDescent="0.2">
      <c r="A292" s="1" t="s">
        <v>6</v>
      </c>
      <c r="B292" s="235" t="s">
        <v>307</v>
      </c>
      <c r="C292" s="235"/>
    </row>
    <row r="293" spans="1:3" ht="32" customHeight="1" x14ac:dyDescent="0.2">
      <c r="A293" s="1" t="s">
        <v>6</v>
      </c>
      <c r="B293" s="235" t="s">
        <v>308</v>
      </c>
      <c r="C293" s="235"/>
    </row>
    <row r="294" spans="1:3" ht="32" customHeight="1" x14ac:dyDescent="0.2">
      <c r="A294" s="1" t="s">
        <v>6</v>
      </c>
      <c r="B294" s="235" t="s">
        <v>309</v>
      </c>
      <c r="C294" s="235"/>
    </row>
    <row r="295" spans="1:3" ht="32" customHeight="1" x14ac:dyDescent="0.2">
      <c r="A295" s="1" t="s">
        <v>6</v>
      </c>
      <c r="B295" s="235" t="s">
        <v>310</v>
      </c>
      <c r="C295" s="235"/>
    </row>
    <row r="296" spans="1:3" ht="32" customHeight="1" x14ac:dyDescent="0.2">
      <c r="A296" s="1" t="s">
        <v>6</v>
      </c>
      <c r="B296" s="235" t="s">
        <v>311</v>
      </c>
      <c r="C296" s="235"/>
    </row>
    <row r="297" spans="1:3" ht="32" customHeight="1" x14ac:dyDescent="0.2">
      <c r="A297" s="1" t="s">
        <v>6</v>
      </c>
      <c r="B297" s="235" t="s">
        <v>312</v>
      </c>
      <c r="C297" s="235"/>
    </row>
    <row r="298" spans="1:3" ht="32" customHeight="1" x14ac:dyDescent="0.2">
      <c r="A298" s="1" t="s">
        <v>6</v>
      </c>
      <c r="B298" s="235" t="s">
        <v>313</v>
      </c>
      <c r="C298" s="235"/>
    </row>
    <row r="299" spans="1:3" ht="32" customHeight="1" x14ac:dyDescent="0.2">
      <c r="A299" s="1" t="s">
        <v>6</v>
      </c>
      <c r="B299" s="235" t="s">
        <v>314</v>
      </c>
      <c r="C299" s="235"/>
    </row>
    <row r="300" spans="1:3" ht="32" customHeight="1" x14ac:dyDescent="0.2">
      <c r="A300" s="1" t="s">
        <v>6</v>
      </c>
      <c r="B300" s="235" t="s">
        <v>315</v>
      </c>
      <c r="C300" s="235"/>
    </row>
    <row r="301" spans="1:3" ht="32" customHeight="1" x14ac:dyDescent="0.2">
      <c r="A301" s="1" t="s">
        <v>6</v>
      </c>
      <c r="B301" s="235" t="s">
        <v>316</v>
      </c>
      <c r="C301" s="235"/>
    </row>
    <row r="302" spans="1:3" ht="32" customHeight="1" x14ac:dyDescent="0.2">
      <c r="A302" s="1" t="s">
        <v>6</v>
      </c>
      <c r="B302" s="235" t="s">
        <v>317</v>
      </c>
      <c r="C302" s="235"/>
    </row>
    <row r="303" spans="1:3" ht="32" customHeight="1" x14ac:dyDescent="0.2">
      <c r="A303" s="1" t="s">
        <v>6</v>
      </c>
      <c r="B303" s="235" t="s">
        <v>318</v>
      </c>
      <c r="C303" s="235"/>
    </row>
    <row r="304" spans="1:3" ht="32" customHeight="1" x14ac:dyDescent="0.2">
      <c r="A304" s="1" t="s">
        <v>6</v>
      </c>
      <c r="B304" s="235" t="s">
        <v>319</v>
      </c>
      <c r="C304" s="235"/>
    </row>
    <row r="305" spans="1:3" ht="32" customHeight="1" x14ac:dyDescent="0.2">
      <c r="A305" s="1" t="s">
        <v>6</v>
      </c>
      <c r="B305" s="235" t="s">
        <v>320</v>
      </c>
      <c r="C305" s="235"/>
    </row>
    <row r="306" spans="1:3" ht="32" customHeight="1" x14ac:dyDescent="0.2">
      <c r="A306" s="1" t="s">
        <v>6</v>
      </c>
      <c r="B306" s="235" t="s">
        <v>321</v>
      </c>
      <c r="C306" s="235"/>
    </row>
    <row r="307" spans="1:3" ht="32" customHeight="1" x14ac:dyDescent="0.2">
      <c r="A307" s="1" t="s">
        <v>6</v>
      </c>
      <c r="B307" s="235" t="s">
        <v>322</v>
      </c>
      <c r="C307" s="235"/>
    </row>
    <row r="308" spans="1:3" ht="32" customHeight="1" x14ac:dyDescent="0.2">
      <c r="A308" s="1" t="s">
        <v>6</v>
      </c>
      <c r="B308" s="235" t="s">
        <v>323</v>
      </c>
      <c r="C308" s="235"/>
    </row>
    <row r="309" spans="1:3" ht="32" customHeight="1" x14ac:dyDescent="0.2">
      <c r="A309" s="1" t="s">
        <v>6</v>
      </c>
      <c r="B309" s="235" t="s">
        <v>324</v>
      </c>
      <c r="C309" s="235"/>
    </row>
    <row r="310" spans="1:3" ht="32" customHeight="1" x14ac:dyDescent="0.2">
      <c r="A310" s="1" t="s">
        <v>6</v>
      </c>
      <c r="B310" s="235" t="s">
        <v>325</v>
      </c>
      <c r="C310" s="235"/>
    </row>
    <row r="311" spans="1:3" ht="32" customHeight="1" x14ac:dyDescent="0.2">
      <c r="A311" s="1" t="s">
        <v>6</v>
      </c>
      <c r="B311" s="235" t="s">
        <v>326</v>
      </c>
      <c r="C311" s="235"/>
    </row>
    <row r="312" spans="1:3" ht="32" customHeight="1" x14ac:dyDescent="0.2">
      <c r="A312" s="1" t="s">
        <v>6</v>
      </c>
      <c r="B312" s="235" t="s">
        <v>327</v>
      </c>
      <c r="C312" s="235"/>
    </row>
    <row r="313" spans="1:3" ht="32" customHeight="1" x14ac:dyDescent="0.2">
      <c r="A313" s="1" t="s">
        <v>6</v>
      </c>
      <c r="B313" s="235" t="s">
        <v>328</v>
      </c>
      <c r="C313" s="235"/>
    </row>
    <row r="314" spans="1:3" ht="32" customHeight="1" x14ac:dyDescent="0.2">
      <c r="A314" s="1" t="s">
        <v>6</v>
      </c>
      <c r="B314" s="235" t="s">
        <v>329</v>
      </c>
      <c r="C314" s="235"/>
    </row>
    <row r="315" spans="1:3" ht="32" customHeight="1" x14ac:dyDescent="0.2">
      <c r="A315" s="1" t="s">
        <v>6</v>
      </c>
      <c r="B315" s="235" t="s">
        <v>330</v>
      </c>
      <c r="C315" s="235"/>
    </row>
    <row r="316" spans="1:3" ht="32" customHeight="1" x14ac:dyDescent="0.2">
      <c r="A316" s="1" t="s">
        <v>6</v>
      </c>
      <c r="B316" s="235" t="s">
        <v>331</v>
      </c>
      <c r="C316" s="235"/>
    </row>
    <row r="317" spans="1:3" ht="32" customHeight="1" x14ac:dyDescent="0.2">
      <c r="A317" s="1" t="s">
        <v>6</v>
      </c>
      <c r="B317" s="235" t="s">
        <v>332</v>
      </c>
      <c r="C317" s="235"/>
    </row>
    <row r="318" spans="1:3" ht="32" customHeight="1" x14ac:dyDescent="0.2">
      <c r="A318" s="1" t="s">
        <v>6</v>
      </c>
      <c r="B318" s="235" t="s">
        <v>333</v>
      </c>
      <c r="C318" s="235"/>
    </row>
    <row r="319" spans="1:3" ht="32" customHeight="1" x14ac:dyDescent="0.2">
      <c r="A319" s="1" t="s">
        <v>6</v>
      </c>
      <c r="B319" s="235" t="s">
        <v>334</v>
      </c>
      <c r="C319" s="235"/>
    </row>
    <row r="320" spans="1:3" ht="32" customHeight="1" x14ac:dyDescent="0.2">
      <c r="A320" s="1" t="s">
        <v>6</v>
      </c>
      <c r="B320" s="235" t="s">
        <v>335</v>
      </c>
      <c r="C320" s="235"/>
    </row>
    <row r="321" spans="1:3" ht="32" customHeight="1" x14ac:dyDescent="0.2">
      <c r="A321" s="1" t="s">
        <v>6</v>
      </c>
      <c r="B321" s="235" t="s">
        <v>336</v>
      </c>
      <c r="C321" s="235"/>
    </row>
    <row r="322" spans="1:3" ht="32" customHeight="1" x14ac:dyDescent="0.2">
      <c r="A322" s="1" t="s">
        <v>6</v>
      </c>
      <c r="B322" s="235" t="s">
        <v>337</v>
      </c>
      <c r="C322" s="235"/>
    </row>
    <row r="323" spans="1:3" ht="32" customHeight="1" x14ac:dyDescent="0.2">
      <c r="A323" s="1" t="s">
        <v>6</v>
      </c>
      <c r="B323" s="235" t="s">
        <v>338</v>
      </c>
      <c r="C323" s="235"/>
    </row>
    <row r="324" spans="1:3" ht="32" customHeight="1" x14ac:dyDescent="0.2">
      <c r="A324" s="1" t="s">
        <v>6</v>
      </c>
      <c r="B324" s="235" t="s">
        <v>339</v>
      </c>
      <c r="C324" s="235"/>
    </row>
    <row r="325" spans="1:3" ht="32" customHeight="1" x14ac:dyDescent="0.2">
      <c r="A325" s="1" t="s">
        <v>6</v>
      </c>
      <c r="B325" s="235" t="s">
        <v>340</v>
      </c>
      <c r="C325" s="235"/>
    </row>
    <row r="326" spans="1:3" ht="32" customHeight="1" x14ac:dyDescent="0.2">
      <c r="A326" s="1" t="s">
        <v>6</v>
      </c>
      <c r="B326" s="235" t="s">
        <v>341</v>
      </c>
      <c r="C326" s="235"/>
    </row>
    <row r="327" spans="1:3" ht="32" customHeight="1" x14ac:dyDescent="0.2">
      <c r="A327" s="1" t="s">
        <v>6</v>
      </c>
      <c r="B327" s="235" t="s">
        <v>342</v>
      </c>
      <c r="C327" s="235"/>
    </row>
    <row r="328" spans="1:3" ht="32" customHeight="1" x14ac:dyDescent="0.2">
      <c r="A328" s="1" t="s">
        <v>6</v>
      </c>
      <c r="B328" s="235" t="s">
        <v>343</v>
      </c>
      <c r="C328" s="235"/>
    </row>
    <row r="329" spans="1:3" ht="32" customHeight="1" x14ac:dyDescent="0.2">
      <c r="A329" s="1" t="s">
        <v>6</v>
      </c>
      <c r="B329" s="235" t="s">
        <v>344</v>
      </c>
      <c r="C329" s="235"/>
    </row>
    <row r="330" spans="1:3" ht="32" customHeight="1" x14ac:dyDescent="0.2">
      <c r="A330" s="1" t="s">
        <v>6</v>
      </c>
      <c r="B330" s="235" t="s">
        <v>345</v>
      </c>
      <c r="C330" s="235"/>
    </row>
    <row r="331" spans="1:3" ht="32" customHeight="1" x14ac:dyDescent="0.2">
      <c r="A331" s="1" t="s">
        <v>6</v>
      </c>
      <c r="B331" s="235" t="s">
        <v>346</v>
      </c>
      <c r="C331" s="235"/>
    </row>
    <row r="332" spans="1:3" ht="32" customHeight="1" x14ac:dyDescent="0.2">
      <c r="A332" s="1" t="s">
        <v>6</v>
      </c>
      <c r="B332" s="235" t="s">
        <v>347</v>
      </c>
      <c r="C332" s="235"/>
    </row>
    <row r="333" spans="1:3" ht="32" customHeight="1" x14ac:dyDescent="0.2">
      <c r="A333" s="1" t="s">
        <v>6</v>
      </c>
      <c r="B333" s="235" t="s">
        <v>348</v>
      </c>
      <c r="C333" s="235"/>
    </row>
    <row r="334" spans="1:3" ht="32" customHeight="1" x14ac:dyDescent="0.2">
      <c r="A334" s="1" t="s">
        <v>6</v>
      </c>
      <c r="B334" s="235" t="s">
        <v>349</v>
      </c>
      <c r="C334" s="235"/>
    </row>
    <row r="335" spans="1:3" ht="32" customHeight="1" x14ac:dyDescent="0.2">
      <c r="A335" s="1" t="s">
        <v>6</v>
      </c>
      <c r="B335" s="235" t="s">
        <v>350</v>
      </c>
      <c r="C335" s="235"/>
    </row>
    <row r="336" spans="1:3" ht="32" customHeight="1" x14ac:dyDescent="0.2">
      <c r="A336" s="1" t="s">
        <v>6</v>
      </c>
      <c r="B336" s="235" t="s">
        <v>351</v>
      </c>
      <c r="C336" s="235"/>
    </row>
    <row r="337" spans="1:3" ht="32" customHeight="1" x14ac:dyDescent="0.2">
      <c r="A337" s="1" t="s">
        <v>6</v>
      </c>
      <c r="B337" s="235" t="s">
        <v>352</v>
      </c>
      <c r="C337" s="235"/>
    </row>
    <row r="338" spans="1:3" ht="32" customHeight="1" x14ac:dyDescent="0.2">
      <c r="A338" s="1" t="s">
        <v>6</v>
      </c>
      <c r="B338" s="235" t="s">
        <v>353</v>
      </c>
      <c r="C338" s="235"/>
    </row>
    <row r="339" spans="1:3" ht="32" customHeight="1" x14ac:dyDescent="0.2">
      <c r="A339" s="1" t="s">
        <v>6</v>
      </c>
      <c r="B339" s="235" t="s">
        <v>354</v>
      </c>
      <c r="C339" s="235"/>
    </row>
    <row r="340" spans="1:3" ht="32" customHeight="1" x14ac:dyDescent="0.2">
      <c r="A340" s="1" t="s">
        <v>6</v>
      </c>
      <c r="B340" s="235" t="s">
        <v>355</v>
      </c>
      <c r="C340" s="235"/>
    </row>
    <row r="341" spans="1:3" ht="32" customHeight="1" x14ac:dyDescent="0.2">
      <c r="A341" s="1" t="s">
        <v>6</v>
      </c>
      <c r="B341" s="235" t="s">
        <v>356</v>
      </c>
      <c r="C341" s="235"/>
    </row>
    <row r="342" spans="1:3" ht="32" customHeight="1" x14ac:dyDescent="0.2">
      <c r="A342" s="1" t="s">
        <v>6</v>
      </c>
      <c r="B342" s="235" t="s">
        <v>357</v>
      </c>
      <c r="C342" s="235"/>
    </row>
    <row r="343" spans="1:3" ht="32" customHeight="1" x14ac:dyDescent="0.2">
      <c r="A343" s="1" t="s">
        <v>6</v>
      </c>
      <c r="B343" s="235" t="s">
        <v>358</v>
      </c>
      <c r="C343" s="235"/>
    </row>
    <row r="344" spans="1:3" ht="32" customHeight="1" x14ac:dyDescent="0.2">
      <c r="A344" s="1" t="s">
        <v>6</v>
      </c>
      <c r="B344" s="235" t="s">
        <v>359</v>
      </c>
      <c r="C344" s="235"/>
    </row>
    <row r="345" spans="1:3" ht="32" customHeight="1" x14ac:dyDescent="0.2">
      <c r="A345" s="1" t="s">
        <v>6</v>
      </c>
      <c r="B345" s="235" t="s">
        <v>360</v>
      </c>
      <c r="C345" s="235"/>
    </row>
    <row r="346" spans="1:3" ht="32" customHeight="1" x14ac:dyDescent="0.2">
      <c r="A346" s="1" t="s">
        <v>6</v>
      </c>
      <c r="B346" s="235" t="s">
        <v>361</v>
      </c>
      <c r="C346" s="235"/>
    </row>
    <row r="347" spans="1:3" ht="32" customHeight="1" x14ac:dyDescent="0.2">
      <c r="A347" s="1" t="s">
        <v>6</v>
      </c>
      <c r="B347" s="235" t="s">
        <v>362</v>
      </c>
      <c r="C347" s="235"/>
    </row>
    <row r="348" spans="1:3" ht="32" customHeight="1" x14ac:dyDescent="0.2">
      <c r="A348" s="1" t="s">
        <v>6</v>
      </c>
      <c r="B348" s="235" t="s">
        <v>363</v>
      </c>
      <c r="C348" s="235"/>
    </row>
    <row r="349" spans="1:3" ht="32" customHeight="1" x14ac:dyDescent="0.2">
      <c r="A349" s="1" t="s">
        <v>6</v>
      </c>
      <c r="B349" s="235" t="s">
        <v>364</v>
      </c>
      <c r="C349" s="235"/>
    </row>
    <row r="350" spans="1:3" ht="32" customHeight="1" x14ac:dyDescent="0.2">
      <c r="A350" s="1" t="s">
        <v>6</v>
      </c>
      <c r="B350" s="235" t="s">
        <v>365</v>
      </c>
      <c r="C350" s="235"/>
    </row>
    <row r="351" spans="1:3" ht="32" customHeight="1" x14ac:dyDescent="0.2">
      <c r="A351" s="1" t="s">
        <v>6</v>
      </c>
      <c r="B351" s="235" t="s">
        <v>366</v>
      </c>
      <c r="C351" s="235"/>
    </row>
    <row r="352" spans="1:3" ht="32" customHeight="1" x14ac:dyDescent="0.2">
      <c r="A352" s="1" t="s">
        <v>6</v>
      </c>
      <c r="B352" s="235" t="s">
        <v>367</v>
      </c>
      <c r="C352" s="235"/>
    </row>
    <row r="353" spans="1:3" ht="32" customHeight="1" x14ac:dyDescent="0.2">
      <c r="A353" s="1" t="s">
        <v>6</v>
      </c>
      <c r="B353" s="235" t="s">
        <v>368</v>
      </c>
      <c r="C353" s="235"/>
    </row>
    <row r="354" spans="1:3" ht="32" customHeight="1" x14ac:dyDescent="0.2">
      <c r="A354" s="1" t="s">
        <v>6</v>
      </c>
      <c r="B354" s="235" t="s">
        <v>369</v>
      </c>
      <c r="C354" s="235"/>
    </row>
    <row r="355" spans="1:3" ht="32" customHeight="1" x14ac:dyDescent="0.2">
      <c r="A355" s="1" t="s">
        <v>6</v>
      </c>
      <c r="B355" s="235" t="s">
        <v>370</v>
      </c>
      <c r="C355" s="235"/>
    </row>
    <row r="356" spans="1:3" ht="32" customHeight="1" x14ac:dyDescent="0.2">
      <c r="A356" s="1" t="s">
        <v>6</v>
      </c>
      <c r="B356" s="235" t="s">
        <v>371</v>
      </c>
      <c r="C356" s="235"/>
    </row>
    <row r="357" spans="1:3" ht="32" customHeight="1" x14ac:dyDescent="0.2">
      <c r="A357" s="1" t="s">
        <v>6</v>
      </c>
      <c r="B357" s="235" t="s">
        <v>372</v>
      </c>
      <c r="C357" s="235"/>
    </row>
    <row r="358" spans="1:3" ht="32" customHeight="1" x14ac:dyDescent="0.2">
      <c r="A358" s="1" t="s">
        <v>6</v>
      </c>
      <c r="B358" s="235" t="s">
        <v>373</v>
      </c>
      <c r="C358" s="235"/>
    </row>
    <row r="359" spans="1:3" ht="32" customHeight="1" x14ac:dyDescent="0.2">
      <c r="A359" s="1" t="s">
        <v>6</v>
      </c>
      <c r="B359" s="235" t="s">
        <v>374</v>
      </c>
      <c r="C359" s="235"/>
    </row>
    <row r="360" spans="1:3" ht="32" customHeight="1" x14ac:dyDescent="0.2">
      <c r="A360" s="1" t="s">
        <v>6</v>
      </c>
      <c r="B360" s="235" t="s">
        <v>375</v>
      </c>
      <c r="C360" s="235"/>
    </row>
    <row r="361" spans="1:3" ht="32" customHeight="1" x14ac:dyDescent="0.2">
      <c r="A361" s="1" t="s">
        <v>6</v>
      </c>
      <c r="B361" s="235" t="s">
        <v>376</v>
      </c>
      <c r="C361" s="235"/>
    </row>
    <row r="362" spans="1:3" ht="32" customHeight="1" x14ac:dyDescent="0.2">
      <c r="A362" s="1" t="s">
        <v>6</v>
      </c>
      <c r="B362" s="235" t="s">
        <v>377</v>
      </c>
      <c r="C362" s="235"/>
    </row>
    <row r="363" spans="1:3" ht="32" customHeight="1" x14ac:dyDescent="0.2">
      <c r="A363" s="1" t="s">
        <v>6</v>
      </c>
      <c r="B363" s="235" t="s">
        <v>378</v>
      </c>
      <c r="C363" s="235"/>
    </row>
    <row r="364" spans="1:3" ht="32" customHeight="1" x14ac:dyDescent="0.2">
      <c r="A364" s="1" t="s">
        <v>6</v>
      </c>
      <c r="B364" s="235" t="s">
        <v>379</v>
      </c>
      <c r="C364" s="235"/>
    </row>
    <row r="365" spans="1:3" ht="32" customHeight="1" x14ac:dyDescent="0.2">
      <c r="A365" s="1" t="s">
        <v>6</v>
      </c>
      <c r="B365" s="235" t="s">
        <v>380</v>
      </c>
      <c r="C365" s="235"/>
    </row>
    <row r="366" spans="1:3" ht="32" customHeight="1" x14ac:dyDescent="0.2">
      <c r="A366" s="1" t="s">
        <v>6</v>
      </c>
      <c r="B366" s="235" t="s">
        <v>381</v>
      </c>
      <c r="C366" s="235"/>
    </row>
    <row r="367" spans="1:3" ht="32" customHeight="1" x14ac:dyDescent="0.2">
      <c r="A367" s="1" t="s">
        <v>6</v>
      </c>
      <c r="B367" s="235" t="s">
        <v>382</v>
      </c>
      <c r="C367" s="235"/>
    </row>
    <row r="368" spans="1:3" ht="32" customHeight="1" x14ac:dyDescent="0.2">
      <c r="A368" s="1" t="s">
        <v>6</v>
      </c>
      <c r="B368" s="235" t="s">
        <v>383</v>
      </c>
      <c r="C368" s="235"/>
    </row>
    <row r="369" spans="1:3" ht="32" customHeight="1" x14ac:dyDescent="0.2">
      <c r="A369" s="1" t="s">
        <v>6</v>
      </c>
      <c r="B369" s="235" t="s">
        <v>384</v>
      </c>
      <c r="C369" s="235"/>
    </row>
    <row r="370" spans="1:3" ht="32" customHeight="1" x14ac:dyDescent="0.2">
      <c r="A370" s="1" t="s">
        <v>6</v>
      </c>
      <c r="B370" s="235" t="s">
        <v>385</v>
      </c>
      <c r="C370" s="235"/>
    </row>
    <row r="371" spans="1:3" ht="32" customHeight="1" x14ac:dyDescent="0.2">
      <c r="A371" s="1" t="s">
        <v>6</v>
      </c>
      <c r="B371" s="235" t="s">
        <v>386</v>
      </c>
      <c r="C371" s="235"/>
    </row>
    <row r="372" spans="1:3" ht="32" customHeight="1" x14ac:dyDescent="0.2">
      <c r="A372" s="1" t="s">
        <v>6</v>
      </c>
      <c r="B372" s="235" t="s">
        <v>387</v>
      </c>
      <c r="C372" s="235"/>
    </row>
    <row r="373" spans="1:3" ht="32" customHeight="1" x14ac:dyDescent="0.2">
      <c r="A373" s="1" t="s">
        <v>6</v>
      </c>
      <c r="B373" s="235" t="s">
        <v>388</v>
      </c>
      <c r="C373" s="235"/>
    </row>
    <row r="374" spans="1:3" ht="32" customHeight="1" x14ac:dyDescent="0.2">
      <c r="A374" s="1" t="s">
        <v>6</v>
      </c>
      <c r="B374" s="235" t="s">
        <v>389</v>
      </c>
      <c r="C374" s="235"/>
    </row>
    <row r="375" spans="1:3" ht="32" customHeight="1" x14ac:dyDescent="0.2">
      <c r="A375" s="1" t="s">
        <v>6</v>
      </c>
      <c r="B375" s="235" t="s">
        <v>390</v>
      </c>
      <c r="C375" s="235"/>
    </row>
    <row r="376" spans="1:3" ht="32" customHeight="1" x14ac:dyDescent="0.2">
      <c r="A376" s="1" t="s">
        <v>6</v>
      </c>
      <c r="B376" s="235" t="s">
        <v>391</v>
      </c>
      <c r="C376" s="235"/>
    </row>
    <row r="377" spans="1:3" ht="32" customHeight="1" x14ac:dyDescent="0.2">
      <c r="A377" s="1" t="s">
        <v>6</v>
      </c>
      <c r="B377" s="235" t="s">
        <v>392</v>
      </c>
      <c r="C377" s="235"/>
    </row>
    <row r="378" spans="1:3" ht="32" customHeight="1" x14ac:dyDescent="0.2">
      <c r="A378" s="1" t="s">
        <v>6</v>
      </c>
      <c r="B378" s="235" t="s">
        <v>393</v>
      </c>
      <c r="C378" s="235"/>
    </row>
    <row r="379" spans="1:3" ht="32" customHeight="1" x14ac:dyDescent="0.2">
      <c r="A379" s="1" t="s">
        <v>6</v>
      </c>
      <c r="B379" s="235" t="s">
        <v>394</v>
      </c>
      <c r="C379" s="235"/>
    </row>
    <row r="380" spans="1:3" ht="32" customHeight="1" x14ac:dyDescent="0.2">
      <c r="A380" s="1" t="s">
        <v>6</v>
      </c>
      <c r="B380" s="235" t="s">
        <v>395</v>
      </c>
      <c r="C380" s="235"/>
    </row>
    <row r="381" spans="1:3" ht="32" customHeight="1" x14ac:dyDescent="0.2">
      <c r="A381" s="1" t="s">
        <v>6</v>
      </c>
      <c r="B381" s="235" t="s">
        <v>396</v>
      </c>
      <c r="C381" s="235"/>
    </row>
    <row r="382" spans="1:3" ht="32" customHeight="1" x14ac:dyDescent="0.2">
      <c r="A382" s="1" t="s">
        <v>6</v>
      </c>
      <c r="B382" s="235" t="s">
        <v>397</v>
      </c>
      <c r="C382" s="235"/>
    </row>
    <row r="383" spans="1:3" ht="32" customHeight="1" x14ac:dyDescent="0.2">
      <c r="A383" s="1" t="s">
        <v>6</v>
      </c>
      <c r="B383" s="235" t="s">
        <v>398</v>
      </c>
      <c r="C383" s="235"/>
    </row>
    <row r="384" spans="1:3" ht="32" customHeight="1" x14ac:dyDescent="0.2">
      <c r="A384" s="1" t="s">
        <v>6</v>
      </c>
      <c r="B384" s="235" t="s">
        <v>399</v>
      </c>
      <c r="C384" s="235"/>
    </row>
    <row r="385" spans="1:3" ht="32" customHeight="1" x14ac:dyDescent="0.2">
      <c r="A385" s="1" t="s">
        <v>6</v>
      </c>
      <c r="B385" s="235" t="s">
        <v>400</v>
      </c>
      <c r="C385" s="235"/>
    </row>
    <row r="386" spans="1:3" ht="32" customHeight="1" x14ac:dyDescent="0.2">
      <c r="A386" s="1" t="s">
        <v>6</v>
      </c>
      <c r="B386" s="235" t="s">
        <v>401</v>
      </c>
      <c r="C386" s="235"/>
    </row>
    <row r="387" spans="1:3" ht="32" customHeight="1" x14ac:dyDescent="0.2">
      <c r="A387" s="1" t="s">
        <v>6</v>
      </c>
      <c r="B387" s="235" t="s">
        <v>402</v>
      </c>
      <c r="C387" s="235"/>
    </row>
    <row r="388" spans="1:3" ht="32" customHeight="1" x14ac:dyDescent="0.2">
      <c r="A388" s="1" t="s">
        <v>6</v>
      </c>
      <c r="B388" s="235" t="s">
        <v>403</v>
      </c>
      <c r="C388" s="235"/>
    </row>
    <row r="389" spans="1:3" ht="32" customHeight="1" x14ac:dyDescent="0.2">
      <c r="A389" s="1" t="s">
        <v>6</v>
      </c>
      <c r="B389" s="235" t="s">
        <v>404</v>
      </c>
      <c r="C389" s="235"/>
    </row>
    <row r="390" spans="1:3" ht="32" customHeight="1" x14ac:dyDescent="0.2">
      <c r="A390" s="1" t="s">
        <v>6</v>
      </c>
      <c r="B390" s="235" t="s">
        <v>405</v>
      </c>
      <c r="C390" s="235"/>
    </row>
    <row r="391" spans="1:3" ht="32" customHeight="1" x14ac:dyDescent="0.2">
      <c r="A391" s="1" t="s">
        <v>6</v>
      </c>
      <c r="B391" s="235" t="s">
        <v>406</v>
      </c>
      <c r="C391" s="235"/>
    </row>
    <row r="392" spans="1:3" ht="32" customHeight="1" x14ac:dyDescent="0.2">
      <c r="A392" s="1" t="s">
        <v>6</v>
      </c>
      <c r="B392" s="235" t="s">
        <v>407</v>
      </c>
      <c r="C392" s="235"/>
    </row>
    <row r="393" spans="1:3" ht="32" customHeight="1" x14ac:dyDescent="0.2">
      <c r="A393" s="1" t="s">
        <v>6</v>
      </c>
      <c r="B393" s="235" t="s">
        <v>408</v>
      </c>
      <c r="C393" s="235"/>
    </row>
    <row r="394" spans="1:3" ht="32" customHeight="1" x14ac:dyDescent="0.2">
      <c r="A394" s="1" t="s">
        <v>6</v>
      </c>
      <c r="B394" s="235" t="s">
        <v>409</v>
      </c>
      <c r="C394" s="235"/>
    </row>
    <row r="395" spans="1:3" ht="32" customHeight="1" x14ac:dyDescent="0.2">
      <c r="A395" s="1" t="s">
        <v>6</v>
      </c>
      <c r="B395" s="235" t="s">
        <v>410</v>
      </c>
      <c r="C395" s="235"/>
    </row>
    <row r="396" spans="1:3" ht="32" customHeight="1" x14ac:dyDescent="0.2">
      <c r="A396" s="1" t="s">
        <v>6</v>
      </c>
      <c r="B396" s="235" t="s">
        <v>411</v>
      </c>
      <c r="C396" s="235"/>
    </row>
    <row r="397" spans="1:3" ht="32" customHeight="1" x14ac:dyDescent="0.2">
      <c r="A397" s="1" t="s">
        <v>6</v>
      </c>
      <c r="B397" s="235" t="s">
        <v>412</v>
      </c>
      <c r="C397" s="235"/>
    </row>
    <row r="398" spans="1:3" ht="32" customHeight="1" x14ac:dyDescent="0.2">
      <c r="A398" s="1" t="s">
        <v>6</v>
      </c>
      <c r="B398" s="235" t="s">
        <v>413</v>
      </c>
      <c r="C398" s="235"/>
    </row>
    <row r="399" spans="1:3" ht="32" customHeight="1" x14ac:dyDescent="0.2">
      <c r="A399" s="1" t="s">
        <v>6</v>
      </c>
      <c r="B399" s="235" t="s">
        <v>414</v>
      </c>
      <c r="C399" s="235"/>
    </row>
    <row r="400" spans="1:3" ht="32" customHeight="1" x14ac:dyDescent="0.2">
      <c r="A400" s="1" t="s">
        <v>6</v>
      </c>
      <c r="B400" s="235" t="s">
        <v>415</v>
      </c>
      <c r="C400" s="235"/>
    </row>
    <row r="401" spans="1:3" ht="32" customHeight="1" x14ac:dyDescent="0.2">
      <c r="A401" s="1" t="s">
        <v>6</v>
      </c>
      <c r="B401" s="235" t="s">
        <v>416</v>
      </c>
      <c r="C401" s="235"/>
    </row>
    <row r="402" spans="1:3" ht="32" customHeight="1" x14ac:dyDescent="0.2">
      <c r="A402" s="1" t="s">
        <v>6</v>
      </c>
      <c r="B402" s="235" t="s">
        <v>417</v>
      </c>
      <c r="C402" s="235"/>
    </row>
    <row r="403" spans="1:3" ht="32" customHeight="1" x14ac:dyDescent="0.2">
      <c r="A403" s="1" t="s">
        <v>6</v>
      </c>
      <c r="B403" s="235" t="s">
        <v>418</v>
      </c>
      <c r="C403" s="235"/>
    </row>
    <row r="404" spans="1:3" ht="32" customHeight="1" x14ac:dyDescent="0.2">
      <c r="A404" s="1" t="s">
        <v>6</v>
      </c>
      <c r="B404" s="235" t="s">
        <v>419</v>
      </c>
      <c r="C404" s="235"/>
    </row>
    <row r="405" spans="1:3" ht="32" customHeight="1" x14ac:dyDescent="0.2">
      <c r="A405" s="1" t="s">
        <v>6</v>
      </c>
      <c r="B405" s="235" t="s">
        <v>420</v>
      </c>
      <c r="C405" s="235"/>
    </row>
    <row r="406" spans="1:3" ht="32" customHeight="1" x14ac:dyDescent="0.2">
      <c r="A406" s="1" t="s">
        <v>6</v>
      </c>
      <c r="B406" s="235" t="s">
        <v>421</v>
      </c>
      <c r="C406" s="235"/>
    </row>
    <row r="407" spans="1:3" ht="32" customHeight="1" x14ac:dyDescent="0.2">
      <c r="A407" s="1" t="s">
        <v>6</v>
      </c>
      <c r="B407" s="235" t="s">
        <v>422</v>
      </c>
      <c r="C407" s="235"/>
    </row>
    <row r="408" spans="1:3" ht="32" customHeight="1" x14ac:dyDescent="0.2">
      <c r="A408" s="1" t="s">
        <v>6</v>
      </c>
      <c r="B408" s="235" t="s">
        <v>423</v>
      </c>
      <c r="C408" s="235"/>
    </row>
    <row r="409" spans="1:3" ht="32" customHeight="1" x14ac:dyDescent="0.2">
      <c r="A409" s="1" t="s">
        <v>6</v>
      </c>
      <c r="B409" s="235" t="s">
        <v>424</v>
      </c>
      <c r="C409" s="235"/>
    </row>
    <row r="410" spans="1:3" ht="32" customHeight="1" x14ac:dyDescent="0.2">
      <c r="A410" s="1" t="s">
        <v>6</v>
      </c>
      <c r="B410" s="235" t="s">
        <v>425</v>
      </c>
      <c r="C410" s="235"/>
    </row>
    <row r="411" spans="1:3" ht="32" customHeight="1" x14ac:dyDescent="0.2">
      <c r="A411" s="1" t="s">
        <v>6</v>
      </c>
      <c r="B411" s="235" t="s">
        <v>426</v>
      </c>
      <c r="C411" s="235"/>
    </row>
    <row r="412" spans="1:3" ht="32" customHeight="1" x14ac:dyDescent="0.2">
      <c r="A412" s="1" t="s">
        <v>6</v>
      </c>
      <c r="B412" s="235" t="s">
        <v>427</v>
      </c>
      <c r="C412" s="235"/>
    </row>
    <row r="413" spans="1:3" ht="32" customHeight="1" x14ac:dyDescent="0.2">
      <c r="A413" s="1" t="s">
        <v>6</v>
      </c>
      <c r="B413" s="235" t="s">
        <v>428</v>
      </c>
      <c r="C413" s="235"/>
    </row>
    <row r="414" spans="1:3" ht="32" customHeight="1" x14ac:dyDescent="0.2">
      <c r="A414" s="1" t="s">
        <v>6</v>
      </c>
      <c r="B414" s="235" t="s">
        <v>429</v>
      </c>
      <c r="C414" s="235"/>
    </row>
    <row r="415" spans="1:3" ht="32" customHeight="1" x14ac:dyDescent="0.2">
      <c r="A415" s="1" t="s">
        <v>6</v>
      </c>
      <c r="B415" s="235" t="s">
        <v>430</v>
      </c>
      <c r="C415" s="235"/>
    </row>
    <row r="416" spans="1:3" ht="32" customHeight="1" x14ac:dyDescent="0.2">
      <c r="A416" s="1" t="s">
        <v>6</v>
      </c>
      <c r="B416" s="235" t="s">
        <v>431</v>
      </c>
      <c r="C416" s="235"/>
    </row>
    <row r="417" spans="1:3" ht="32" customHeight="1" x14ac:dyDescent="0.2">
      <c r="A417" s="1" t="s">
        <v>6</v>
      </c>
      <c r="B417" s="235" t="s">
        <v>432</v>
      </c>
      <c r="C417" s="235"/>
    </row>
    <row r="418" spans="1:3" ht="32" customHeight="1" x14ac:dyDescent="0.2">
      <c r="A418" s="1" t="s">
        <v>6</v>
      </c>
      <c r="B418" s="235" t="s">
        <v>433</v>
      </c>
      <c r="C418" s="235"/>
    </row>
    <row r="419" spans="1:3" ht="32" customHeight="1" x14ac:dyDescent="0.2">
      <c r="A419" s="1" t="s">
        <v>6</v>
      </c>
      <c r="B419" s="235" t="s">
        <v>434</v>
      </c>
      <c r="C419" s="235"/>
    </row>
    <row r="420" spans="1:3" ht="32" customHeight="1" x14ac:dyDescent="0.2">
      <c r="A420" s="1" t="s">
        <v>6</v>
      </c>
      <c r="B420" s="235" t="s">
        <v>435</v>
      </c>
      <c r="C420" s="235"/>
    </row>
    <row r="421" spans="1:3" ht="32" customHeight="1" x14ac:dyDescent="0.2">
      <c r="A421" s="1" t="s">
        <v>6</v>
      </c>
      <c r="B421" s="235" t="s">
        <v>436</v>
      </c>
      <c r="C421" s="235"/>
    </row>
    <row r="422" spans="1:3" ht="32" customHeight="1" x14ac:dyDescent="0.2">
      <c r="A422" s="1" t="s">
        <v>6</v>
      </c>
      <c r="B422" s="235" t="s">
        <v>437</v>
      </c>
      <c r="C422" s="235"/>
    </row>
    <row r="423" spans="1:3" ht="32" customHeight="1" x14ac:dyDescent="0.2">
      <c r="A423" s="1" t="s">
        <v>6</v>
      </c>
      <c r="B423" s="235" t="s">
        <v>438</v>
      </c>
      <c r="C423" s="235"/>
    </row>
    <row r="424" spans="1:3" ht="32" customHeight="1" x14ac:dyDescent="0.2">
      <c r="A424" s="1" t="s">
        <v>6</v>
      </c>
      <c r="B424" s="235" t="s">
        <v>439</v>
      </c>
      <c r="C424" s="235"/>
    </row>
    <row r="425" spans="1:3" ht="32" customHeight="1" x14ac:dyDescent="0.2">
      <c r="A425" s="1" t="s">
        <v>6</v>
      </c>
      <c r="B425" s="235" t="s">
        <v>440</v>
      </c>
      <c r="C425" s="235"/>
    </row>
    <row r="426" spans="1:3" ht="32" customHeight="1" x14ac:dyDescent="0.2">
      <c r="A426" s="1" t="s">
        <v>6</v>
      </c>
      <c r="B426" s="235" t="s">
        <v>441</v>
      </c>
      <c r="C426" s="235"/>
    </row>
    <row r="427" spans="1:3" ht="32" customHeight="1" x14ac:dyDescent="0.2">
      <c r="A427" s="1" t="s">
        <v>6</v>
      </c>
      <c r="B427" s="235" t="s">
        <v>442</v>
      </c>
      <c r="C427" s="235"/>
    </row>
    <row r="428" spans="1:3" ht="32" customHeight="1" x14ac:dyDescent="0.2">
      <c r="A428" s="1" t="s">
        <v>6</v>
      </c>
      <c r="B428" s="235" t="s">
        <v>443</v>
      </c>
      <c r="C428" s="235"/>
    </row>
    <row r="429" spans="1:3" ht="32" customHeight="1" x14ac:dyDescent="0.2">
      <c r="A429" s="1" t="s">
        <v>6</v>
      </c>
      <c r="B429" s="235" t="s">
        <v>444</v>
      </c>
      <c r="C429" s="235"/>
    </row>
    <row r="430" spans="1:3" ht="32" customHeight="1" x14ac:dyDescent="0.2">
      <c r="A430" s="1" t="s">
        <v>6</v>
      </c>
      <c r="B430" s="235" t="s">
        <v>445</v>
      </c>
      <c r="C430" s="235"/>
    </row>
    <row r="431" spans="1:3" ht="32" customHeight="1" x14ac:dyDescent="0.2">
      <c r="A431" s="1" t="s">
        <v>6</v>
      </c>
      <c r="B431" s="235" t="s">
        <v>446</v>
      </c>
      <c r="C431" s="235"/>
    </row>
    <row r="432" spans="1:3" ht="32" customHeight="1" x14ac:dyDescent="0.2">
      <c r="A432" s="1" t="s">
        <v>6</v>
      </c>
      <c r="B432" s="235" t="s">
        <v>447</v>
      </c>
      <c r="C432" s="235"/>
    </row>
    <row r="433" spans="1:3" ht="32" customHeight="1" x14ac:dyDescent="0.2">
      <c r="A433" s="1" t="s">
        <v>6</v>
      </c>
      <c r="B433" s="235" t="s">
        <v>448</v>
      </c>
      <c r="C433" s="235"/>
    </row>
    <row r="434" spans="1:3" ht="32" customHeight="1" x14ac:dyDescent="0.2">
      <c r="A434" s="1" t="s">
        <v>6</v>
      </c>
      <c r="B434" s="235" t="s">
        <v>449</v>
      </c>
      <c r="C434" s="235"/>
    </row>
    <row r="435" spans="1:3" ht="32" customHeight="1" x14ac:dyDescent="0.2">
      <c r="A435" s="1" t="s">
        <v>6</v>
      </c>
      <c r="B435" s="235" t="s">
        <v>450</v>
      </c>
      <c r="C435" s="235"/>
    </row>
    <row r="436" spans="1:3" ht="32" customHeight="1" x14ac:dyDescent="0.2">
      <c r="A436" s="1" t="s">
        <v>6</v>
      </c>
      <c r="B436" s="235" t="s">
        <v>451</v>
      </c>
      <c r="C436" s="235"/>
    </row>
    <row r="437" spans="1:3" ht="32" customHeight="1" x14ac:dyDescent="0.2">
      <c r="A437" s="1" t="s">
        <v>6</v>
      </c>
      <c r="B437" s="235" t="s">
        <v>452</v>
      </c>
      <c r="C437" s="235"/>
    </row>
    <row r="438" spans="1:3" ht="32" customHeight="1" x14ac:dyDescent="0.2">
      <c r="A438" s="1" t="s">
        <v>6</v>
      </c>
      <c r="B438" s="235" t="s">
        <v>453</v>
      </c>
      <c r="C438" s="235"/>
    </row>
    <row r="439" spans="1:3" ht="32" customHeight="1" x14ac:dyDescent="0.2">
      <c r="A439" s="1" t="s">
        <v>6</v>
      </c>
      <c r="B439" s="235" t="s">
        <v>454</v>
      </c>
      <c r="C439" s="235"/>
    </row>
    <row r="440" spans="1:3" ht="32" customHeight="1" x14ac:dyDescent="0.2">
      <c r="A440" s="1" t="s">
        <v>6</v>
      </c>
      <c r="B440" s="235" t="s">
        <v>455</v>
      </c>
      <c r="C440" s="235"/>
    </row>
    <row r="441" spans="1:3" ht="32" customHeight="1" x14ac:dyDescent="0.2">
      <c r="A441" s="1" t="s">
        <v>6</v>
      </c>
      <c r="B441" s="235" t="s">
        <v>456</v>
      </c>
      <c r="C441" s="235"/>
    </row>
    <row r="442" spans="1:3" ht="32" customHeight="1" x14ac:dyDescent="0.2">
      <c r="A442" s="1" t="s">
        <v>6</v>
      </c>
      <c r="B442" s="235" t="s">
        <v>457</v>
      </c>
      <c r="C442" s="235"/>
    </row>
    <row r="443" spans="1:3" ht="32" customHeight="1" x14ac:dyDescent="0.2">
      <c r="A443" s="1" t="s">
        <v>6</v>
      </c>
      <c r="B443" s="235" t="s">
        <v>458</v>
      </c>
      <c r="C443" s="235"/>
    </row>
    <row r="444" spans="1:3" ht="32" customHeight="1" x14ac:dyDescent="0.2">
      <c r="A444" s="1" t="s">
        <v>6</v>
      </c>
      <c r="B444" s="235" t="s">
        <v>459</v>
      </c>
      <c r="C444" s="235"/>
    </row>
    <row r="445" spans="1:3" ht="32" customHeight="1" x14ac:dyDescent="0.2">
      <c r="A445" s="1" t="s">
        <v>6</v>
      </c>
      <c r="B445" s="235" t="s">
        <v>460</v>
      </c>
      <c r="C445" s="235"/>
    </row>
    <row r="446" spans="1:3" ht="32" customHeight="1" x14ac:dyDescent="0.2">
      <c r="A446" s="1" t="s">
        <v>6</v>
      </c>
      <c r="B446" s="235" t="s">
        <v>461</v>
      </c>
      <c r="C446" s="235"/>
    </row>
    <row r="447" spans="1:3" ht="32" customHeight="1" x14ac:dyDescent="0.2">
      <c r="A447" s="1" t="s">
        <v>6</v>
      </c>
      <c r="B447" s="235" t="s">
        <v>462</v>
      </c>
      <c r="C447" s="235"/>
    </row>
    <row r="448" spans="1:3" ht="32" customHeight="1" x14ac:dyDescent="0.2">
      <c r="A448" s="1" t="s">
        <v>6</v>
      </c>
      <c r="B448" s="235" t="s">
        <v>463</v>
      </c>
      <c r="C448" s="235"/>
    </row>
    <row r="449" spans="1:3" ht="32" customHeight="1" x14ac:dyDescent="0.2">
      <c r="A449" s="1" t="s">
        <v>6</v>
      </c>
      <c r="B449" s="235" t="s">
        <v>464</v>
      </c>
      <c r="C449" s="235"/>
    </row>
    <row r="450" spans="1:3" ht="32" customHeight="1" x14ac:dyDescent="0.2">
      <c r="A450" s="1" t="s">
        <v>6</v>
      </c>
      <c r="B450" s="235" t="s">
        <v>465</v>
      </c>
      <c r="C450" s="235"/>
    </row>
    <row r="451" spans="1:3" ht="32" customHeight="1" x14ac:dyDescent="0.2">
      <c r="A451" s="1" t="s">
        <v>6</v>
      </c>
      <c r="B451" s="235" t="s">
        <v>466</v>
      </c>
      <c r="C451" s="235"/>
    </row>
    <row r="452" spans="1:3" ht="32" customHeight="1" x14ac:dyDescent="0.2">
      <c r="A452" s="1" t="s">
        <v>6</v>
      </c>
      <c r="B452" s="235" t="s">
        <v>467</v>
      </c>
      <c r="C452" s="235"/>
    </row>
    <row r="453" spans="1:3" ht="32" customHeight="1" x14ac:dyDescent="0.2">
      <c r="A453" s="1" t="s">
        <v>6</v>
      </c>
      <c r="B453" s="235" t="s">
        <v>468</v>
      </c>
      <c r="C453" s="235"/>
    </row>
    <row r="454" spans="1:3" ht="32" customHeight="1" x14ac:dyDescent="0.2">
      <c r="A454" s="1" t="s">
        <v>6</v>
      </c>
      <c r="B454" s="235" t="s">
        <v>469</v>
      </c>
      <c r="C454" s="235"/>
    </row>
    <row r="455" spans="1:3" ht="32" customHeight="1" x14ac:dyDescent="0.2">
      <c r="A455" s="1" t="s">
        <v>6</v>
      </c>
      <c r="B455" s="235" t="s">
        <v>470</v>
      </c>
      <c r="C455" s="235"/>
    </row>
    <row r="456" spans="1:3" ht="32" customHeight="1" x14ac:dyDescent="0.2">
      <c r="A456" s="1" t="s">
        <v>6</v>
      </c>
      <c r="B456" s="235" t="s">
        <v>471</v>
      </c>
      <c r="C456" s="235"/>
    </row>
    <row r="457" spans="1:3" ht="32" customHeight="1" x14ac:dyDescent="0.2">
      <c r="A457" s="1" t="s">
        <v>6</v>
      </c>
      <c r="B457" s="235" t="s">
        <v>472</v>
      </c>
      <c r="C457" s="235"/>
    </row>
    <row r="458" spans="1:3" ht="32" customHeight="1" x14ac:dyDescent="0.2">
      <c r="A458" s="1" t="s">
        <v>6</v>
      </c>
      <c r="B458" s="235" t="s">
        <v>473</v>
      </c>
      <c r="C458" s="235"/>
    </row>
    <row r="459" spans="1:3" ht="32" customHeight="1" x14ac:dyDescent="0.2">
      <c r="A459" s="1" t="s">
        <v>6</v>
      </c>
      <c r="B459" s="235" t="s">
        <v>474</v>
      </c>
      <c r="C459" s="235"/>
    </row>
    <row r="460" spans="1:3" ht="32" customHeight="1" x14ac:dyDescent="0.2">
      <c r="A460" s="1" t="s">
        <v>6</v>
      </c>
      <c r="B460" s="235" t="s">
        <v>475</v>
      </c>
      <c r="C460" s="235"/>
    </row>
    <row r="461" spans="1:3" ht="32" customHeight="1" x14ac:dyDescent="0.2">
      <c r="A461" s="1" t="s">
        <v>6</v>
      </c>
      <c r="B461" s="235" t="s">
        <v>476</v>
      </c>
      <c r="C461" s="235"/>
    </row>
    <row r="462" spans="1:3" ht="32" customHeight="1" x14ac:dyDescent="0.2">
      <c r="A462" s="1" t="s">
        <v>6</v>
      </c>
      <c r="B462" s="235" t="s">
        <v>477</v>
      </c>
      <c r="C462" s="235"/>
    </row>
    <row r="463" spans="1:3" ht="32" customHeight="1" x14ac:dyDescent="0.2">
      <c r="A463" s="1" t="s">
        <v>6</v>
      </c>
      <c r="B463" s="235" t="s">
        <v>478</v>
      </c>
      <c r="C463" s="235"/>
    </row>
    <row r="464" spans="1:3" ht="32" customHeight="1" x14ac:dyDescent="0.2">
      <c r="A464" s="1" t="s">
        <v>6</v>
      </c>
      <c r="B464" s="235" t="s">
        <v>479</v>
      </c>
      <c r="C464" s="235"/>
    </row>
    <row r="465" spans="1:3" ht="32" customHeight="1" x14ac:dyDescent="0.2">
      <c r="A465" s="1" t="s">
        <v>6</v>
      </c>
      <c r="B465" s="235" t="s">
        <v>480</v>
      </c>
      <c r="C465" s="235"/>
    </row>
    <row r="466" spans="1:3" ht="32" customHeight="1" x14ac:dyDescent="0.2">
      <c r="A466" s="1" t="s">
        <v>6</v>
      </c>
      <c r="B466" s="235" t="s">
        <v>481</v>
      </c>
      <c r="C466" s="235"/>
    </row>
    <row r="467" spans="1:3" ht="32" customHeight="1" x14ac:dyDescent="0.2">
      <c r="A467" s="1" t="s">
        <v>6</v>
      </c>
      <c r="B467" s="235" t="s">
        <v>482</v>
      </c>
      <c r="C467" s="235"/>
    </row>
    <row r="468" spans="1:3" ht="32" customHeight="1" x14ac:dyDescent="0.2">
      <c r="A468" s="1" t="s">
        <v>6</v>
      </c>
      <c r="B468" s="235" t="s">
        <v>483</v>
      </c>
      <c r="C468" s="235"/>
    </row>
    <row r="469" spans="1:3" ht="32" customHeight="1" x14ac:dyDescent="0.2">
      <c r="A469" s="1" t="s">
        <v>6</v>
      </c>
      <c r="B469" s="235" t="s">
        <v>484</v>
      </c>
      <c r="C469" s="235"/>
    </row>
    <row r="470" spans="1:3" ht="32" customHeight="1" x14ac:dyDescent="0.2">
      <c r="A470" s="1" t="s">
        <v>6</v>
      </c>
      <c r="B470" s="235" t="s">
        <v>485</v>
      </c>
      <c r="C470" s="235"/>
    </row>
    <row r="471" spans="1:3" ht="32" customHeight="1" x14ac:dyDescent="0.2">
      <c r="A471" s="1" t="s">
        <v>6</v>
      </c>
      <c r="B471" s="235" t="s">
        <v>486</v>
      </c>
      <c r="C471" s="235"/>
    </row>
    <row r="472" spans="1:3" ht="32" customHeight="1" x14ac:dyDescent="0.2">
      <c r="A472" s="1" t="s">
        <v>6</v>
      </c>
      <c r="B472" s="235" t="s">
        <v>487</v>
      </c>
      <c r="C472" s="235"/>
    </row>
    <row r="473" spans="1:3" ht="32" customHeight="1" x14ac:dyDescent="0.2">
      <c r="A473" s="1" t="s">
        <v>6</v>
      </c>
      <c r="B473" s="235" t="s">
        <v>488</v>
      </c>
      <c r="C473" s="235"/>
    </row>
    <row r="474" spans="1:3" ht="32" customHeight="1" x14ac:dyDescent="0.2">
      <c r="A474" s="1" t="s">
        <v>6</v>
      </c>
      <c r="B474" s="235" t="s">
        <v>489</v>
      </c>
      <c r="C474" s="235"/>
    </row>
    <row r="475" spans="1:3" ht="32" customHeight="1" x14ac:dyDescent="0.2">
      <c r="A475" s="1" t="s">
        <v>6</v>
      </c>
      <c r="B475" s="235" t="s">
        <v>490</v>
      </c>
      <c r="C475" s="235"/>
    </row>
    <row r="476" spans="1:3" ht="32" customHeight="1" x14ac:dyDescent="0.2">
      <c r="A476" s="1" t="s">
        <v>6</v>
      </c>
      <c r="B476" s="235" t="s">
        <v>491</v>
      </c>
      <c r="C476" s="235"/>
    </row>
    <row r="477" spans="1:3" ht="32" customHeight="1" x14ac:dyDescent="0.2">
      <c r="A477" s="1" t="s">
        <v>6</v>
      </c>
      <c r="B477" s="235" t="s">
        <v>492</v>
      </c>
      <c r="C477" s="235"/>
    </row>
    <row r="478" spans="1:3" ht="32" customHeight="1" x14ac:dyDescent="0.2">
      <c r="A478" s="1" t="s">
        <v>6</v>
      </c>
      <c r="B478" s="235" t="s">
        <v>493</v>
      </c>
      <c r="C478" s="235"/>
    </row>
    <row r="479" spans="1:3" ht="32" customHeight="1" x14ac:dyDescent="0.2">
      <c r="A479" s="1" t="s">
        <v>6</v>
      </c>
      <c r="B479" s="235" t="s">
        <v>494</v>
      </c>
      <c r="C479" s="235"/>
    </row>
    <row r="480" spans="1:3" ht="32" customHeight="1" x14ac:dyDescent="0.2">
      <c r="A480" s="1" t="s">
        <v>6</v>
      </c>
      <c r="B480" s="235" t="s">
        <v>495</v>
      </c>
      <c r="C480" s="235"/>
    </row>
    <row r="481" spans="1:3" ht="32" customHeight="1" x14ac:dyDescent="0.2">
      <c r="A481" s="1" t="s">
        <v>6</v>
      </c>
      <c r="B481" s="235" t="s">
        <v>496</v>
      </c>
      <c r="C481" s="235"/>
    </row>
    <row r="482" spans="1:3" ht="32" customHeight="1" x14ac:dyDescent="0.2">
      <c r="A482" s="1" t="s">
        <v>6</v>
      </c>
      <c r="B482" s="235" t="s">
        <v>497</v>
      </c>
      <c r="C482" s="235"/>
    </row>
    <row r="483" spans="1:3" ht="32" customHeight="1" x14ac:dyDescent="0.2">
      <c r="A483" s="1" t="s">
        <v>6</v>
      </c>
      <c r="B483" s="235" t="s">
        <v>498</v>
      </c>
      <c r="C483" s="235"/>
    </row>
    <row r="484" spans="1:3" ht="32" customHeight="1" x14ac:dyDescent="0.2">
      <c r="A484" s="1" t="s">
        <v>6</v>
      </c>
      <c r="B484" s="235" t="s">
        <v>499</v>
      </c>
      <c r="C484" s="235"/>
    </row>
    <row r="485" spans="1:3" ht="32" customHeight="1" x14ac:dyDescent="0.2">
      <c r="A485" s="1" t="s">
        <v>6</v>
      </c>
      <c r="B485" s="235" t="s">
        <v>500</v>
      </c>
      <c r="C485" s="235"/>
    </row>
    <row r="486" spans="1:3" ht="32" customHeight="1" x14ac:dyDescent="0.2">
      <c r="A486" s="1" t="s">
        <v>6</v>
      </c>
      <c r="B486" s="235" t="s">
        <v>501</v>
      </c>
      <c r="C486" s="235"/>
    </row>
    <row r="487" spans="1:3" ht="32" customHeight="1" x14ac:dyDescent="0.2">
      <c r="A487" s="1" t="s">
        <v>6</v>
      </c>
      <c r="B487" s="235" t="s">
        <v>502</v>
      </c>
      <c r="C487" s="235"/>
    </row>
    <row r="488" spans="1:3" ht="32" customHeight="1" x14ac:dyDescent="0.2">
      <c r="A488" s="1" t="s">
        <v>6</v>
      </c>
      <c r="B488" s="235" t="s">
        <v>503</v>
      </c>
      <c r="C488" s="235"/>
    </row>
    <row r="489" spans="1:3" ht="32" customHeight="1" x14ac:dyDescent="0.2">
      <c r="A489" s="1" t="s">
        <v>6</v>
      </c>
      <c r="B489" s="235" t="s">
        <v>504</v>
      </c>
      <c r="C489" s="235"/>
    </row>
    <row r="490" spans="1:3" ht="32" customHeight="1" x14ac:dyDescent="0.2">
      <c r="A490" s="1" t="s">
        <v>6</v>
      </c>
      <c r="B490" s="235" t="s">
        <v>505</v>
      </c>
      <c r="C490" s="235"/>
    </row>
    <row r="491" spans="1:3" ht="32" customHeight="1" x14ac:dyDescent="0.2">
      <c r="A491" s="1" t="s">
        <v>6</v>
      </c>
      <c r="B491" s="235" t="s">
        <v>506</v>
      </c>
      <c r="C491" s="235"/>
    </row>
    <row r="492" spans="1:3" ht="32" customHeight="1" x14ac:dyDescent="0.2">
      <c r="A492" s="1" t="s">
        <v>6</v>
      </c>
      <c r="B492" s="235" t="s">
        <v>507</v>
      </c>
      <c r="C492" s="235"/>
    </row>
    <row r="493" spans="1:3" ht="32" customHeight="1" x14ac:dyDescent="0.2">
      <c r="A493" s="1" t="s">
        <v>6</v>
      </c>
      <c r="B493" s="235" t="s">
        <v>508</v>
      </c>
      <c r="C493" s="235"/>
    </row>
    <row r="494" spans="1:3" ht="32" customHeight="1" x14ac:dyDescent="0.2">
      <c r="A494" s="1" t="s">
        <v>6</v>
      </c>
      <c r="B494" s="235" t="s">
        <v>509</v>
      </c>
      <c r="C494" s="235"/>
    </row>
    <row r="495" spans="1:3" ht="32" customHeight="1" x14ac:dyDescent="0.2">
      <c r="A495" s="1" t="s">
        <v>6</v>
      </c>
      <c r="B495" s="235" t="s">
        <v>510</v>
      </c>
      <c r="C495" s="235"/>
    </row>
    <row r="496" spans="1:3" ht="32" customHeight="1" x14ac:dyDescent="0.2">
      <c r="A496" s="1" t="s">
        <v>6</v>
      </c>
      <c r="B496" s="235" t="s">
        <v>511</v>
      </c>
      <c r="C496" s="235"/>
    </row>
    <row r="497" spans="1:3" ht="32" customHeight="1" x14ac:dyDescent="0.2">
      <c r="A497" s="1" t="s">
        <v>6</v>
      </c>
      <c r="B497" s="235" t="s">
        <v>512</v>
      </c>
      <c r="C497" s="235"/>
    </row>
    <row r="498" spans="1:3" ht="32" customHeight="1" x14ac:dyDescent="0.2">
      <c r="A498" s="1" t="s">
        <v>6</v>
      </c>
      <c r="B498" s="235" t="s">
        <v>513</v>
      </c>
      <c r="C498" s="235"/>
    </row>
    <row r="499" spans="1:3" ht="32" customHeight="1" x14ac:dyDescent="0.2">
      <c r="A499" s="1" t="s">
        <v>6</v>
      </c>
      <c r="B499" s="235" t="s">
        <v>514</v>
      </c>
      <c r="C499" s="235"/>
    </row>
    <row r="500" spans="1:3" ht="32" customHeight="1" x14ac:dyDescent="0.2">
      <c r="A500" s="1" t="s">
        <v>6</v>
      </c>
      <c r="B500" s="235" t="s">
        <v>515</v>
      </c>
      <c r="C500" s="235"/>
    </row>
    <row r="501" spans="1:3" ht="32" customHeight="1" x14ac:dyDescent="0.2">
      <c r="A501" s="1" t="s">
        <v>6</v>
      </c>
      <c r="B501" s="235" t="s">
        <v>516</v>
      </c>
      <c r="C501" s="235"/>
    </row>
    <row r="502" spans="1:3" ht="32" customHeight="1" x14ac:dyDescent="0.2">
      <c r="A502" s="1" t="s">
        <v>6</v>
      </c>
      <c r="B502" s="235" t="s">
        <v>517</v>
      </c>
      <c r="C502" s="235"/>
    </row>
    <row r="503" spans="1:3" ht="32" customHeight="1" x14ac:dyDescent="0.2">
      <c r="A503" s="1" t="s">
        <v>6</v>
      </c>
      <c r="B503" s="235" t="s">
        <v>518</v>
      </c>
      <c r="C503" s="235"/>
    </row>
    <row r="504" spans="1:3" ht="32" customHeight="1" x14ac:dyDescent="0.2">
      <c r="A504" s="1" t="s">
        <v>6</v>
      </c>
      <c r="B504" s="235" t="s">
        <v>519</v>
      </c>
      <c r="C504" s="235"/>
    </row>
    <row r="505" spans="1:3" ht="32" customHeight="1" x14ac:dyDescent="0.2">
      <c r="A505" s="1" t="s">
        <v>6</v>
      </c>
      <c r="B505" s="235" t="s">
        <v>520</v>
      </c>
      <c r="C505" s="235"/>
    </row>
    <row r="506" spans="1:3" ht="32" customHeight="1" x14ac:dyDescent="0.2">
      <c r="A506" s="1" t="s">
        <v>6</v>
      </c>
      <c r="B506" s="235" t="s">
        <v>521</v>
      </c>
      <c r="C506" s="235"/>
    </row>
    <row r="507" spans="1:3" ht="32" customHeight="1" x14ac:dyDescent="0.2">
      <c r="A507" s="1" t="s">
        <v>6</v>
      </c>
      <c r="B507" s="235" t="s">
        <v>522</v>
      </c>
      <c r="C507" s="235"/>
    </row>
    <row r="508" spans="1:3" ht="32" customHeight="1" x14ac:dyDescent="0.2">
      <c r="A508" s="1" t="s">
        <v>6</v>
      </c>
      <c r="B508" s="235" t="s">
        <v>523</v>
      </c>
      <c r="C508" s="235"/>
    </row>
    <row r="509" spans="1:3" ht="32" customHeight="1" x14ac:dyDescent="0.2">
      <c r="A509" s="1" t="s">
        <v>6</v>
      </c>
      <c r="B509" s="235" t="s">
        <v>524</v>
      </c>
      <c r="C509" s="235"/>
    </row>
    <row r="510" spans="1:3" ht="32" customHeight="1" x14ac:dyDescent="0.2">
      <c r="A510" s="1" t="s">
        <v>6</v>
      </c>
      <c r="B510" s="235" t="s">
        <v>525</v>
      </c>
      <c r="C510" s="235"/>
    </row>
    <row r="511" spans="1:3" ht="32" customHeight="1" x14ac:dyDescent="0.2">
      <c r="A511" s="1" t="s">
        <v>6</v>
      </c>
      <c r="B511" s="235" t="s">
        <v>526</v>
      </c>
      <c r="C511" s="235"/>
    </row>
    <row r="512" spans="1:3" ht="32" customHeight="1" x14ac:dyDescent="0.2">
      <c r="A512" s="1" t="s">
        <v>6</v>
      </c>
      <c r="B512" s="235" t="s">
        <v>527</v>
      </c>
      <c r="C512" s="235"/>
    </row>
    <row r="513" spans="1:3" ht="32" customHeight="1" x14ac:dyDescent="0.2">
      <c r="A513" s="1" t="s">
        <v>6</v>
      </c>
      <c r="B513" s="235" t="s">
        <v>528</v>
      </c>
      <c r="C513" s="235"/>
    </row>
    <row r="514" spans="1:3" ht="32" customHeight="1" x14ac:dyDescent="0.2">
      <c r="A514" s="1" t="s">
        <v>6</v>
      </c>
      <c r="B514" s="235" t="s">
        <v>529</v>
      </c>
      <c r="C514" s="235"/>
    </row>
    <row r="515" spans="1:3" ht="32" customHeight="1" x14ac:dyDescent="0.2">
      <c r="A515" s="1" t="s">
        <v>6</v>
      </c>
      <c r="B515" s="235" t="s">
        <v>530</v>
      </c>
      <c r="C515" s="235"/>
    </row>
    <row r="516" spans="1:3" ht="32" customHeight="1" x14ac:dyDescent="0.2">
      <c r="A516" s="1" t="s">
        <v>6</v>
      </c>
      <c r="B516" s="235" t="s">
        <v>531</v>
      </c>
      <c r="C516" s="235"/>
    </row>
    <row r="517" spans="1:3" ht="32" customHeight="1" x14ac:dyDescent="0.2">
      <c r="A517" s="1" t="s">
        <v>6</v>
      </c>
      <c r="B517" s="235" t="s">
        <v>532</v>
      </c>
      <c r="C517" s="235"/>
    </row>
    <row r="518" spans="1:3" ht="32" customHeight="1" x14ac:dyDescent="0.2">
      <c r="A518" s="1" t="s">
        <v>6</v>
      </c>
      <c r="B518" s="235" t="s">
        <v>533</v>
      </c>
      <c r="C518" s="235"/>
    </row>
    <row r="519" spans="1:3" ht="32" customHeight="1" x14ac:dyDescent="0.2">
      <c r="A519" s="1" t="s">
        <v>6</v>
      </c>
      <c r="B519" s="235" t="s">
        <v>534</v>
      </c>
      <c r="C519" s="235"/>
    </row>
    <row r="520" spans="1:3" ht="32" customHeight="1" x14ac:dyDescent="0.2">
      <c r="A520" s="1" t="s">
        <v>6</v>
      </c>
      <c r="B520" s="235" t="s">
        <v>535</v>
      </c>
      <c r="C520" s="235"/>
    </row>
    <row r="521" spans="1:3" ht="32" customHeight="1" x14ac:dyDescent="0.2">
      <c r="A521" s="1" t="s">
        <v>6</v>
      </c>
      <c r="B521" s="235" t="s">
        <v>536</v>
      </c>
      <c r="C521" s="235"/>
    </row>
    <row r="522" spans="1:3" ht="32" customHeight="1" x14ac:dyDescent="0.2">
      <c r="A522" s="1" t="s">
        <v>6</v>
      </c>
      <c r="B522" s="235" t="s">
        <v>537</v>
      </c>
      <c r="C522" s="235"/>
    </row>
    <row r="523" spans="1:3" ht="32" customHeight="1" x14ac:dyDescent="0.2">
      <c r="A523" s="1" t="s">
        <v>6</v>
      </c>
      <c r="B523" s="235" t="s">
        <v>538</v>
      </c>
      <c r="C523" s="235"/>
    </row>
    <row r="524" spans="1:3" ht="32" customHeight="1" x14ac:dyDescent="0.2">
      <c r="A524" s="1" t="s">
        <v>6</v>
      </c>
      <c r="B524" s="235" t="s">
        <v>539</v>
      </c>
      <c r="C524" s="235"/>
    </row>
    <row r="525" spans="1:3" ht="32" customHeight="1" x14ac:dyDescent="0.2">
      <c r="A525" s="1" t="s">
        <v>6</v>
      </c>
      <c r="B525" s="235" t="s">
        <v>540</v>
      </c>
      <c r="C525" s="235"/>
    </row>
    <row r="526" spans="1:3" ht="32" customHeight="1" x14ac:dyDescent="0.2">
      <c r="A526" s="1" t="s">
        <v>6</v>
      </c>
      <c r="B526" s="235" t="s">
        <v>541</v>
      </c>
      <c r="C526" s="235"/>
    </row>
    <row r="527" spans="1:3" ht="32" customHeight="1" x14ac:dyDescent="0.2">
      <c r="A527" s="1" t="s">
        <v>6</v>
      </c>
      <c r="B527" s="235" t="s">
        <v>542</v>
      </c>
      <c r="C527" s="235"/>
    </row>
    <row r="528" spans="1:3" ht="32" customHeight="1" x14ac:dyDescent="0.2">
      <c r="A528" s="1" t="s">
        <v>6</v>
      </c>
      <c r="B528" s="235" t="s">
        <v>543</v>
      </c>
      <c r="C528" s="235"/>
    </row>
    <row r="529" spans="1:3" ht="32" customHeight="1" x14ac:dyDescent="0.2">
      <c r="A529" s="1" t="s">
        <v>6</v>
      </c>
      <c r="B529" s="235" t="s">
        <v>544</v>
      </c>
      <c r="C529" s="235"/>
    </row>
    <row r="530" spans="1:3" ht="32" customHeight="1" x14ac:dyDescent="0.2">
      <c r="A530" s="1" t="s">
        <v>6</v>
      </c>
      <c r="B530" s="235" t="s">
        <v>545</v>
      </c>
      <c r="C530" s="235"/>
    </row>
    <row r="531" spans="1:3" ht="32" customHeight="1" x14ac:dyDescent="0.2">
      <c r="A531" s="1" t="s">
        <v>6</v>
      </c>
      <c r="B531" s="235" t="s">
        <v>546</v>
      </c>
      <c r="C531" s="235"/>
    </row>
    <row r="532" spans="1:3" ht="32" customHeight="1" x14ac:dyDescent="0.2">
      <c r="A532" s="1" t="s">
        <v>6</v>
      </c>
      <c r="B532" s="235" t="s">
        <v>547</v>
      </c>
      <c r="C532" s="235"/>
    </row>
    <row r="533" spans="1:3" ht="32" customHeight="1" x14ac:dyDescent="0.2">
      <c r="A533" s="1" t="s">
        <v>6</v>
      </c>
      <c r="B533" s="235" t="s">
        <v>548</v>
      </c>
      <c r="C533" s="235"/>
    </row>
    <row r="534" spans="1:3" ht="32" customHeight="1" x14ac:dyDescent="0.2">
      <c r="A534" s="1" t="s">
        <v>6</v>
      </c>
      <c r="B534" s="235" t="s">
        <v>549</v>
      </c>
      <c r="C534" s="235"/>
    </row>
    <row r="535" spans="1:3" ht="32" customHeight="1" x14ac:dyDescent="0.2">
      <c r="A535" s="1" t="s">
        <v>6</v>
      </c>
      <c r="B535" s="235" t="s">
        <v>550</v>
      </c>
      <c r="C535" s="235"/>
    </row>
    <row r="536" spans="1:3" ht="32" customHeight="1" x14ac:dyDescent="0.2">
      <c r="A536" s="1" t="s">
        <v>6</v>
      </c>
      <c r="B536" s="235" t="s">
        <v>551</v>
      </c>
      <c r="C536" s="235"/>
    </row>
    <row r="537" spans="1:3" ht="32" customHeight="1" x14ac:dyDescent="0.2">
      <c r="A537" s="1" t="s">
        <v>6</v>
      </c>
      <c r="B537" s="235" t="s">
        <v>552</v>
      </c>
      <c r="C537" s="235"/>
    </row>
    <row r="538" spans="1:3" ht="32" customHeight="1" x14ac:dyDescent="0.2">
      <c r="A538" s="1" t="s">
        <v>6</v>
      </c>
      <c r="B538" s="235" t="s">
        <v>553</v>
      </c>
      <c r="C538" s="235"/>
    </row>
    <row r="539" spans="1:3" ht="32" customHeight="1" x14ac:dyDescent="0.2">
      <c r="A539" s="1" t="s">
        <v>6</v>
      </c>
      <c r="B539" s="235" t="s">
        <v>554</v>
      </c>
      <c r="C539" s="235"/>
    </row>
    <row r="540" spans="1:3" ht="32" customHeight="1" x14ac:dyDescent="0.2">
      <c r="A540" s="1" t="s">
        <v>6</v>
      </c>
      <c r="B540" s="235" t="s">
        <v>555</v>
      </c>
      <c r="C540" s="235"/>
    </row>
    <row r="541" spans="1:3" ht="32" customHeight="1" x14ac:dyDescent="0.2">
      <c r="A541" s="1" t="s">
        <v>6</v>
      </c>
      <c r="B541" s="235" t="s">
        <v>556</v>
      </c>
      <c r="C541" s="235"/>
    </row>
    <row r="542" spans="1:3" ht="32" customHeight="1" x14ac:dyDescent="0.2">
      <c r="A542" s="1" t="s">
        <v>6</v>
      </c>
      <c r="B542" s="235" t="s">
        <v>557</v>
      </c>
      <c r="C542" s="235"/>
    </row>
    <row r="543" spans="1:3" ht="32" customHeight="1" x14ac:dyDescent="0.2">
      <c r="A543" s="1" t="s">
        <v>6</v>
      </c>
      <c r="B543" s="235" t="s">
        <v>558</v>
      </c>
      <c r="C543" s="235"/>
    </row>
    <row r="544" spans="1:3" ht="32" customHeight="1" x14ac:dyDescent="0.2">
      <c r="A544" s="1" t="s">
        <v>6</v>
      </c>
      <c r="B544" s="235" t="s">
        <v>559</v>
      </c>
      <c r="C544" s="235"/>
    </row>
    <row r="545" spans="1:3" ht="32" customHeight="1" x14ac:dyDescent="0.2">
      <c r="A545" s="1" t="s">
        <v>6</v>
      </c>
      <c r="B545" s="235" t="s">
        <v>560</v>
      </c>
      <c r="C545" s="235"/>
    </row>
    <row r="546" spans="1:3" ht="32" customHeight="1" x14ac:dyDescent="0.2">
      <c r="A546" s="1" t="s">
        <v>6</v>
      </c>
      <c r="B546" s="235" t="s">
        <v>561</v>
      </c>
      <c r="C546" s="235"/>
    </row>
    <row r="547" spans="1:3" ht="32" customHeight="1" x14ac:dyDescent="0.2">
      <c r="A547" s="1" t="s">
        <v>6</v>
      </c>
      <c r="B547" s="235" t="s">
        <v>562</v>
      </c>
      <c r="C547" s="235"/>
    </row>
    <row r="548" spans="1:3" ht="32" customHeight="1" x14ac:dyDescent="0.2">
      <c r="A548" s="1" t="s">
        <v>6</v>
      </c>
      <c r="B548" s="235" t="s">
        <v>563</v>
      </c>
      <c r="C548" s="235"/>
    </row>
    <row r="549" spans="1:3" ht="32" customHeight="1" x14ac:dyDescent="0.2">
      <c r="A549" s="1" t="s">
        <v>6</v>
      </c>
      <c r="B549" s="235" t="s">
        <v>564</v>
      </c>
      <c r="C549" s="235"/>
    </row>
    <row r="550" spans="1:3" ht="32" customHeight="1" x14ac:dyDescent="0.2">
      <c r="A550" s="1" t="s">
        <v>6</v>
      </c>
      <c r="B550" s="235" t="s">
        <v>565</v>
      </c>
      <c r="C550" s="235"/>
    </row>
    <row r="551" spans="1:3" ht="32" customHeight="1" x14ac:dyDescent="0.2">
      <c r="A551" s="1" t="s">
        <v>6</v>
      </c>
      <c r="B551" s="235" t="s">
        <v>566</v>
      </c>
      <c r="C551" s="235"/>
    </row>
    <row r="552" spans="1:3" ht="32" customHeight="1" x14ac:dyDescent="0.2">
      <c r="A552" s="1" t="s">
        <v>6</v>
      </c>
      <c r="B552" s="235" t="s">
        <v>567</v>
      </c>
      <c r="C552" s="235"/>
    </row>
    <row r="553" spans="1:3" ht="32" customHeight="1" x14ac:dyDescent="0.2">
      <c r="A553" s="1" t="s">
        <v>6</v>
      </c>
      <c r="B553" s="235" t="s">
        <v>568</v>
      </c>
      <c r="C553" s="235"/>
    </row>
    <row r="554" spans="1:3" ht="32" customHeight="1" x14ac:dyDescent="0.2">
      <c r="A554" s="1" t="s">
        <v>6</v>
      </c>
      <c r="B554" s="235" t="s">
        <v>569</v>
      </c>
      <c r="C554" s="235"/>
    </row>
    <row r="555" spans="1:3" ht="32" customHeight="1" x14ac:dyDescent="0.2">
      <c r="A555" s="1" t="s">
        <v>6</v>
      </c>
      <c r="B555" s="235" t="s">
        <v>570</v>
      </c>
      <c r="C555" s="235"/>
    </row>
    <row r="556" spans="1:3" ht="32" customHeight="1" x14ac:dyDescent="0.2">
      <c r="A556" s="1" t="s">
        <v>6</v>
      </c>
      <c r="B556" s="235" t="s">
        <v>571</v>
      </c>
      <c r="C556" s="235"/>
    </row>
    <row r="557" spans="1:3" ht="32" customHeight="1" x14ac:dyDescent="0.2">
      <c r="A557" s="1" t="s">
        <v>6</v>
      </c>
      <c r="B557" s="235" t="s">
        <v>572</v>
      </c>
      <c r="C557" s="235"/>
    </row>
    <row r="558" spans="1:3" ht="32" customHeight="1" x14ac:dyDescent="0.2">
      <c r="A558" s="1" t="s">
        <v>6</v>
      </c>
      <c r="B558" s="235" t="s">
        <v>573</v>
      </c>
      <c r="C558" s="235"/>
    </row>
    <row r="559" spans="1:3" ht="32" customHeight="1" x14ac:dyDescent="0.2">
      <c r="A559" s="1" t="s">
        <v>6</v>
      </c>
      <c r="B559" s="235" t="s">
        <v>574</v>
      </c>
      <c r="C559" s="235"/>
    </row>
    <row r="560" spans="1:3" ht="32" customHeight="1" x14ac:dyDescent="0.2">
      <c r="A560" s="1" t="s">
        <v>6</v>
      </c>
      <c r="B560" s="235" t="s">
        <v>575</v>
      </c>
      <c r="C560" s="235"/>
    </row>
    <row r="561" spans="1:3" ht="32" customHeight="1" x14ac:dyDescent="0.2">
      <c r="A561" s="1" t="s">
        <v>6</v>
      </c>
      <c r="B561" s="235" t="s">
        <v>576</v>
      </c>
      <c r="C561" s="235"/>
    </row>
    <row r="562" spans="1:3" ht="32" customHeight="1" x14ac:dyDescent="0.2">
      <c r="A562" s="1" t="s">
        <v>6</v>
      </c>
      <c r="B562" s="235" t="s">
        <v>577</v>
      </c>
      <c r="C562" s="235"/>
    </row>
    <row r="563" spans="1:3" ht="32" customHeight="1" x14ac:dyDescent="0.2">
      <c r="A563" s="1" t="s">
        <v>6</v>
      </c>
      <c r="B563" s="235" t="s">
        <v>578</v>
      </c>
      <c r="C563" s="235"/>
    </row>
    <row r="564" spans="1:3" ht="32" customHeight="1" x14ac:dyDescent="0.2">
      <c r="A564" s="1" t="s">
        <v>6</v>
      </c>
      <c r="B564" s="235" t="s">
        <v>579</v>
      </c>
      <c r="C564" s="235"/>
    </row>
    <row r="565" spans="1:3" ht="32" customHeight="1" x14ac:dyDescent="0.2">
      <c r="A565" s="1" t="s">
        <v>6</v>
      </c>
      <c r="B565" s="235" t="s">
        <v>580</v>
      </c>
      <c r="C565" s="235"/>
    </row>
    <row r="566" spans="1:3" ht="32" customHeight="1" x14ac:dyDescent="0.2">
      <c r="A566" s="1" t="s">
        <v>6</v>
      </c>
      <c r="B566" s="235" t="s">
        <v>581</v>
      </c>
      <c r="C566" s="235"/>
    </row>
    <row r="567" spans="1:3" ht="32" customHeight="1" x14ac:dyDescent="0.2">
      <c r="A567" s="1" t="s">
        <v>6</v>
      </c>
      <c r="B567" s="235" t="s">
        <v>582</v>
      </c>
      <c r="C567" s="235"/>
    </row>
    <row r="568" spans="1:3" ht="32" customHeight="1" x14ac:dyDescent="0.2">
      <c r="A568" s="1" t="s">
        <v>6</v>
      </c>
      <c r="B568" s="235" t="s">
        <v>583</v>
      </c>
      <c r="C568" s="235"/>
    </row>
    <row r="569" spans="1:3" ht="32" customHeight="1" x14ac:dyDescent="0.2">
      <c r="A569" s="1" t="s">
        <v>6</v>
      </c>
      <c r="B569" s="235" t="s">
        <v>584</v>
      </c>
      <c r="C569" s="235"/>
    </row>
    <row r="570" spans="1:3" ht="32" customHeight="1" x14ac:dyDescent="0.2">
      <c r="A570" s="1" t="s">
        <v>6</v>
      </c>
      <c r="B570" s="235" t="s">
        <v>585</v>
      </c>
      <c r="C570" s="235"/>
    </row>
    <row r="571" spans="1:3" ht="32" customHeight="1" x14ac:dyDescent="0.2">
      <c r="A571" s="1" t="s">
        <v>6</v>
      </c>
      <c r="B571" s="235" t="s">
        <v>586</v>
      </c>
      <c r="C571" s="235"/>
    </row>
    <row r="572" spans="1:3" ht="32" customHeight="1" x14ac:dyDescent="0.2">
      <c r="A572" s="1" t="s">
        <v>6</v>
      </c>
      <c r="B572" s="235" t="s">
        <v>587</v>
      </c>
      <c r="C572" s="235"/>
    </row>
    <row r="573" spans="1:3" ht="32" customHeight="1" x14ac:dyDescent="0.2">
      <c r="A573" s="1" t="s">
        <v>6</v>
      </c>
      <c r="B573" s="235" t="s">
        <v>588</v>
      </c>
      <c r="C573" s="235"/>
    </row>
    <row r="574" spans="1:3" ht="32" customHeight="1" x14ac:dyDescent="0.2">
      <c r="A574" s="1" t="s">
        <v>6</v>
      </c>
      <c r="B574" s="235" t="s">
        <v>589</v>
      </c>
      <c r="C574" s="235"/>
    </row>
    <row r="575" spans="1:3" ht="32" customHeight="1" x14ac:dyDescent="0.2">
      <c r="A575" s="1" t="s">
        <v>6</v>
      </c>
      <c r="B575" s="235" t="s">
        <v>590</v>
      </c>
      <c r="C575" s="235"/>
    </row>
    <row r="576" spans="1:3" ht="32" customHeight="1" x14ac:dyDescent="0.2">
      <c r="A576" s="1" t="s">
        <v>6</v>
      </c>
      <c r="B576" s="235" t="s">
        <v>591</v>
      </c>
      <c r="C576" s="235"/>
    </row>
    <row r="577" spans="1:3" ht="32" customHeight="1" x14ac:dyDescent="0.2">
      <c r="A577" s="1" t="s">
        <v>6</v>
      </c>
      <c r="B577" s="235" t="s">
        <v>592</v>
      </c>
      <c r="C577" s="235"/>
    </row>
    <row r="578" spans="1:3" ht="32" customHeight="1" x14ac:dyDescent="0.2">
      <c r="A578" s="1" t="s">
        <v>6</v>
      </c>
      <c r="B578" s="235" t="s">
        <v>593</v>
      </c>
      <c r="C578" s="235"/>
    </row>
    <row r="579" spans="1:3" ht="32" customHeight="1" x14ac:dyDescent="0.2">
      <c r="A579" s="1" t="s">
        <v>6</v>
      </c>
      <c r="B579" s="235" t="s">
        <v>594</v>
      </c>
      <c r="C579" s="235"/>
    </row>
    <row r="580" spans="1:3" ht="32" customHeight="1" x14ac:dyDescent="0.2">
      <c r="A580" s="1" t="s">
        <v>6</v>
      </c>
      <c r="B580" s="235" t="s">
        <v>595</v>
      </c>
      <c r="C580" s="235"/>
    </row>
    <row r="581" spans="1:3" ht="32" customHeight="1" x14ac:dyDescent="0.2">
      <c r="A581" s="1" t="s">
        <v>6</v>
      </c>
      <c r="B581" s="235" t="s">
        <v>596</v>
      </c>
      <c r="C581" s="235"/>
    </row>
    <row r="582" spans="1:3" ht="32" customHeight="1" x14ac:dyDescent="0.2">
      <c r="A582" s="1" t="s">
        <v>6</v>
      </c>
      <c r="B582" s="235" t="s">
        <v>597</v>
      </c>
      <c r="C582" s="235"/>
    </row>
    <row r="583" spans="1:3" ht="32" customHeight="1" x14ac:dyDescent="0.2">
      <c r="A583" s="1" t="s">
        <v>6</v>
      </c>
      <c r="B583" s="235" t="s">
        <v>598</v>
      </c>
      <c r="C583" s="235"/>
    </row>
    <row r="584" spans="1:3" ht="32" customHeight="1" x14ac:dyDescent="0.2">
      <c r="A584" s="1" t="s">
        <v>6</v>
      </c>
      <c r="B584" s="235" t="s">
        <v>599</v>
      </c>
      <c r="C584" s="235"/>
    </row>
    <row r="585" spans="1:3" ht="32" customHeight="1" x14ac:dyDescent="0.2">
      <c r="A585" s="1" t="s">
        <v>6</v>
      </c>
      <c r="B585" s="235" t="s">
        <v>600</v>
      </c>
      <c r="C585" s="235"/>
    </row>
    <row r="586" spans="1:3" ht="32" customHeight="1" x14ac:dyDescent="0.2">
      <c r="A586" s="1" t="s">
        <v>6</v>
      </c>
      <c r="B586" s="235" t="s">
        <v>601</v>
      </c>
      <c r="C586" s="235"/>
    </row>
    <row r="587" spans="1:3" ht="32" customHeight="1" x14ac:dyDescent="0.2">
      <c r="A587" s="1" t="s">
        <v>6</v>
      </c>
      <c r="B587" s="235" t="s">
        <v>602</v>
      </c>
      <c r="C587" s="235"/>
    </row>
    <row r="588" spans="1:3" ht="32" customHeight="1" x14ac:dyDescent="0.2">
      <c r="A588" s="1" t="s">
        <v>6</v>
      </c>
      <c r="B588" s="235" t="s">
        <v>603</v>
      </c>
      <c r="C588" s="235"/>
    </row>
    <row r="589" spans="1:3" ht="32" customHeight="1" x14ac:dyDescent="0.2">
      <c r="A589" s="1" t="s">
        <v>6</v>
      </c>
      <c r="B589" s="235" t="s">
        <v>604</v>
      </c>
      <c r="C589" s="235"/>
    </row>
    <row r="590" spans="1:3" ht="32" customHeight="1" x14ac:dyDescent="0.2">
      <c r="A590" s="1" t="s">
        <v>6</v>
      </c>
      <c r="B590" s="235" t="s">
        <v>605</v>
      </c>
      <c r="C590" s="235"/>
    </row>
    <row r="591" spans="1:3" ht="32" customHeight="1" x14ac:dyDescent="0.2">
      <c r="A591" s="1" t="s">
        <v>6</v>
      </c>
      <c r="B591" s="235" t="s">
        <v>606</v>
      </c>
      <c r="C591" s="235"/>
    </row>
    <row r="592" spans="1:3" ht="32" customHeight="1" x14ac:dyDescent="0.2">
      <c r="A592" s="1" t="s">
        <v>6</v>
      </c>
      <c r="B592" s="235" t="s">
        <v>607</v>
      </c>
      <c r="C592" s="235"/>
    </row>
    <row r="593" spans="1:3" ht="32" customHeight="1" x14ac:dyDescent="0.2">
      <c r="A593" s="1" t="s">
        <v>6</v>
      </c>
      <c r="B593" s="235" t="s">
        <v>608</v>
      </c>
      <c r="C593" s="235"/>
    </row>
    <row r="594" spans="1:3" ht="32" customHeight="1" x14ac:dyDescent="0.2">
      <c r="A594" s="1" t="s">
        <v>6</v>
      </c>
      <c r="B594" s="235" t="s">
        <v>609</v>
      </c>
      <c r="C594" s="235"/>
    </row>
    <row r="595" spans="1:3" ht="32" customHeight="1" x14ac:dyDescent="0.2">
      <c r="A595" s="1" t="s">
        <v>6</v>
      </c>
      <c r="B595" s="235" t="s">
        <v>610</v>
      </c>
      <c r="C595" s="235"/>
    </row>
    <row r="596" spans="1:3" ht="32" customHeight="1" x14ac:dyDescent="0.2">
      <c r="A596" s="1" t="s">
        <v>6</v>
      </c>
      <c r="B596" s="235" t="s">
        <v>611</v>
      </c>
      <c r="C596" s="235"/>
    </row>
    <row r="597" spans="1:3" ht="32" customHeight="1" x14ac:dyDescent="0.2">
      <c r="A597" s="1" t="s">
        <v>6</v>
      </c>
      <c r="B597" s="235" t="s">
        <v>612</v>
      </c>
      <c r="C597" s="235"/>
    </row>
    <row r="598" spans="1:3" ht="32" customHeight="1" x14ac:dyDescent="0.2">
      <c r="A598" s="1" t="s">
        <v>6</v>
      </c>
      <c r="B598" s="235" t="s">
        <v>613</v>
      </c>
      <c r="C598" s="235"/>
    </row>
    <row r="599" spans="1:3" ht="32" customHeight="1" x14ac:dyDescent="0.2">
      <c r="A599" s="1" t="s">
        <v>6</v>
      </c>
      <c r="B599" s="235" t="s">
        <v>614</v>
      </c>
      <c r="C599" s="235"/>
    </row>
    <row r="600" spans="1:3" ht="32" customHeight="1" x14ac:dyDescent="0.2">
      <c r="A600" s="1" t="s">
        <v>6</v>
      </c>
      <c r="B600" s="235" t="s">
        <v>615</v>
      </c>
      <c r="C600" s="235"/>
    </row>
    <row r="601" spans="1:3" ht="32" customHeight="1" x14ac:dyDescent="0.2">
      <c r="A601" s="1" t="s">
        <v>6</v>
      </c>
      <c r="B601" s="235" t="s">
        <v>616</v>
      </c>
      <c r="C601" s="235"/>
    </row>
    <row r="602" spans="1:3" ht="32" customHeight="1" x14ac:dyDescent="0.2">
      <c r="A602" s="1" t="s">
        <v>6</v>
      </c>
      <c r="B602" s="235" t="s">
        <v>617</v>
      </c>
      <c r="C602" s="235"/>
    </row>
    <row r="603" spans="1:3" ht="32" customHeight="1" x14ac:dyDescent="0.2">
      <c r="A603" s="1" t="s">
        <v>6</v>
      </c>
      <c r="B603" s="235" t="s">
        <v>618</v>
      </c>
      <c r="C603" s="235"/>
    </row>
    <row r="604" spans="1:3" ht="32" customHeight="1" x14ac:dyDescent="0.2">
      <c r="A604" s="1" t="s">
        <v>6</v>
      </c>
      <c r="B604" s="235" t="s">
        <v>619</v>
      </c>
      <c r="C604" s="235"/>
    </row>
    <row r="605" spans="1:3" ht="32" customHeight="1" x14ac:dyDescent="0.2">
      <c r="A605" s="1" t="s">
        <v>6</v>
      </c>
      <c r="B605" s="235" t="s">
        <v>620</v>
      </c>
      <c r="C605" s="235"/>
    </row>
    <row r="606" spans="1:3" ht="32" customHeight="1" x14ac:dyDescent="0.2">
      <c r="A606" s="1" t="s">
        <v>6</v>
      </c>
      <c r="B606" s="235" t="s">
        <v>621</v>
      </c>
      <c r="C606" s="235"/>
    </row>
    <row r="607" spans="1:3" ht="32" customHeight="1" x14ac:dyDescent="0.2">
      <c r="A607" s="1" t="s">
        <v>6</v>
      </c>
      <c r="B607" s="235" t="s">
        <v>622</v>
      </c>
      <c r="C607" s="235"/>
    </row>
    <row r="608" spans="1:3" ht="32" customHeight="1" x14ac:dyDescent="0.2">
      <c r="A608" s="1" t="s">
        <v>6</v>
      </c>
      <c r="B608" s="235" t="s">
        <v>623</v>
      </c>
      <c r="C608" s="235"/>
    </row>
    <row r="609" spans="1:3" ht="32" customHeight="1" x14ac:dyDescent="0.2">
      <c r="A609" s="1" t="s">
        <v>6</v>
      </c>
      <c r="B609" s="235" t="s">
        <v>624</v>
      </c>
      <c r="C609" s="235"/>
    </row>
    <row r="610" spans="1:3" ht="32" customHeight="1" x14ac:dyDescent="0.2">
      <c r="A610" s="1" t="s">
        <v>6</v>
      </c>
      <c r="B610" s="235" t="s">
        <v>625</v>
      </c>
      <c r="C610" s="235"/>
    </row>
    <row r="611" spans="1:3" ht="32" customHeight="1" x14ac:dyDescent="0.2">
      <c r="A611" s="1" t="s">
        <v>6</v>
      </c>
      <c r="B611" s="235" t="s">
        <v>626</v>
      </c>
      <c r="C611" s="235"/>
    </row>
    <row r="612" spans="1:3" ht="32" customHeight="1" x14ac:dyDescent="0.2">
      <c r="A612" s="1" t="s">
        <v>6</v>
      </c>
      <c r="B612" s="235" t="s">
        <v>627</v>
      </c>
      <c r="C612" s="235"/>
    </row>
    <row r="613" spans="1:3" ht="32" customHeight="1" x14ac:dyDescent="0.2">
      <c r="A613" s="1" t="s">
        <v>6</v>
      </c>
      <c r="B613" s="235" t="s">
        <v>628</v>
      </c>
      <c r="C613" s="235"/>
    </row>
    <row r="614" spans="1:3" ht="32" customHeight="1" x14ac:dyDescent="0.2">
      <c r="A614" s="1" t="s">
        <v>6</v>
      </c>
      <c r="B614" s="235" t="s">
        <v>629</v>
      </c>
      <c r="C614" s="235"/>
    </row>
    <row r="615" spans="1:3" ht="32" customHeight="1" x14ac:dyDescent="0.2">
      <c r="A615" s="1" t="s">
        <v>6</v>
      </c>
      <c r="B615" s="235" t="s">
        <v>630</v>
      </c>
      <c r="C615" s="235"/>
    </row>
    <row r="616" spans="1:3" ht="32" customHeight="1" x14ac:dyDescent="0.2">
      <c r="A616" s="1" t="s">
        <v>6</v>
      </c>
      <c r="B616" s="235" t="s">
        <v>631</v>
      </c>
      <c r="C616" s="235"/>
    </row>
    <row r="617" spans="1:3" ht="32" customHeight="1" x14ac:dyDescent="0.2">
      <c r="A617" s="1" t="s">
        <v>6</v>
      </c>
      <c r="B617" s="235" t="s">
        <v>632</v>
      </c>
      <c r="C617" s="235"/>
    </row>
    <row r="618" spans="1:3" ht="32" customHeight="1" x14ac:dyDescent="0.2">
      <c r="A618" s="1" t="s">
        <v>6</v>
      </c>
      <c r="B618" s="235" t="s">
        <v>633</v>
      </c>
      <c r="C618" s="235"/>
    </row>
    <row r="619" spans="1:3" ht="32" customHeight="1" x14ac:dyDescent="0.2">
      <c r="A619" s="1" t="s">
        <v>6</v>
      </c>
      <c r="B619" s="235" t="s">
        <v>634</v>
      </c>
      <c r="C619" s="235"/>
    </row>
    <row r="620" spans="1:3" ht="32" customHeight="1" x14ac:dyDescent="0.2">
      <c r="A620" s="1" t="s">
        <v>6</v>
      </c>
      <c r="B620" s="235" t="s">
        <v>635</v>
      </c>
      <c r="C620" s="235"/>
    </row>
    <row r="621" spans="1:3" ht="32" customHeight="1" x14ac:dyDescent="0.2">
      <c r="A621" s="1" t="s">
        <v>6</v>
      </c>
      <c r="B621" s="235" t="s">
        <v>636</v>
      </c>
      <c r="C621" s="235"/>
    </row>
    <row r="622" spans="1:3" ht="32" customHeight="1" x14ac:dyDescent="0.2">
      <c r="A622" s="1" t="s">
        <v>6</v>
      </c>
      <c r="B622" s="235" t="s">
        <v>637</v>
      </c>
      <c r="C622" s="235"/>
    </row>
    <row r="623" spans="1:3" ht="32" customHeight="1" x14ac:dyDescent="0.2">
      <c r="A623" s="1" t="s">
        <v>6</v>
      </c>
      <c r="B623" s="235" t="s">
        <v>638</v>
      </c>
      <c r="C623" s="235"/>
    </row>
    <row r="624" spans="1:3" ht="32" customHeight="1" x14ac:dyDescent="0.2">
      <c r="A624" s="1" t="s">
        <v>6</v>
      </c>
      <c r="B624" s="235" t="s">
        <v>639</v>
      </c>
      <c r="C624" s="235"/>
    </row>
    <row r="625" spans="1:3" ht="32" customHeight="1" x14ac:dyDescent="0.2">
      <c r="A625" s="1" t="s">
        <v>6</v>
      </c>
      <c r="B625" s="235" t="s">
        <v>640</v>
      </c>
      <c r="C625" s="235"/>
    </row>
    <row r="626" spans="1:3" ht="32" customHeight="1" x14ac:dyDescent="0.2">
      <c r="A626" s="1" t="s">
        <v>6</v>
      </c>
      <c r="B626" s="235" t="s">
        <v>641</v>
      </c>
      <c r="C626" s="235"/>
    </row>
    <row r="627" spans="1:3" ht="32" customHeight="1" x14ac:dyDescent="0.2">
      <c r="A627" s="1" t="s">
        <v>6</v>
      </c>
      <c r="B627" s="235" t="s">
        <v>642</v>
      </c>
      <c r="C627" s="235"/>
    </row>
    <row r="628" spans="1:3" ht="32" customHeight="1" x14ac:dyDescent="0.2">
      <c r="A628" s="1" t="s">
        <v>6</v>
      </c>
      <c r="B628" s="235" t="s">
        <v>643</v>
      </c>
      <c r="C628" s="235"/>
    </row>
    <row r="629" spans="1:3" ht="32" customHeight="1" x14ac:dyDescent="0.2">
      <c r="A629" s="1" t="s">
        <v>6</v>
      </c>
      <c r="B629" s="235" t="s">
        <v>644</v>
      </c>
      <c r="C629" s="235"/>
    </row>
    <row r="630" spans="1:3" ht="32" customHeight="1" x14ac:dyDescent="0.2">
      <c r="A630" s="1" t="s">
        <v>6</v>
      </c>
      <c r="B630" s="235" t="s">
        <v>645</v>
      </c>
      <c r="C630" s="235"/>
    </row>
    <row r="631" spans="1:3" ht="32" customHeight="1" x14ac:dyDescent="0.2">
      <c r="A631" s="1" t="s">
        <v>6</v>
      </c>
      <c r="B631" s="235" t="s">
        <v>646</v>
      </c>
      <c r="C631" s="235"/>
    </row>
    <row r="632" spans="1:3" ht="32" customHeight="1" x14ac:dyDescent="0.2">
      <c r="A632" s="1" t="s">
        <v>6</v>
      </c>
      <c r="B632" s="235" t="s">
        <v>647</v>
      </c>
      <c r="C632" s="235"/>
    </row>
    <row r="633" spans="1:3" ht="32" customHeight="1" x14ac:dyDescent="0.2">
      <c r="A633" s="1" t="s">
        <v>6</v>
      </c>
      <c r="B633" s="235" t="s">
        <v>648</v>
      </c>
      <c r="C633" s="235"/>
    </row>
    <row r="634" spans="1:3" ht="32" customHeight="1" x14ac:dyDescent="0.2">
      <c r="A634" s="1" t="s">
        <v>6</v>
      </c>
      <c r="B634" s="235" t="s">
        <v>649</v>
      </c>
      <c r="C634" s="235"/>
    </row>
    <row r="635" spans="1:3" ht="32" customHeight="1" x14ac:dyDescent="0.2">
      <c r="A635" s="1" t="s">
        <v>6</v>
      </c>
      <c r="B635" s="235" t="s">
        <v>650</v>
      </c>
      <c r="C635" s="235"/>
    </row>
    <row r="636" spans="1:3" ht="32" customHeight="1" x14ac:dyDescent="0.2">
      <c r="A636" s="1" t="s">
        <v>6</v>
      </c>
      <c r="B636" s="235" t="s">
        <v>651</v>
      </c>
      <c r="C636" s="235"/>
    </row>
    <row r="637" spans="1:3" ht="32" customHeight="1" x14ac:dyDescent="0.2">
      <c r="A637" s="1" t="s">
        <v>6</v>
      </c>
      <c r="B637" s="235" t="s">
        <v>652</v>
      </c>
      <c r="C637" s="235"/>
    </row>
    <row r="638" spans="1:3" ht="32" customHeight="1" x14ac:dyDescent="0.2">
      <c r="A638" s="1" t="s">
        <v>6</v>
      </c>
      <c r="B638" s="235" t="s">
        <v>653</v>
      </c>
      <c r="C638" s="235"/>
    </row>
    <row r="639" spans="1:3" ht="32" customHeight="1" x14ac:dyDescent="0.2">
      <c r="A639" s="1" t="s">
        <v>6</v>
      </c>
      <c r="B639" s="235" t="s">
        <v>654</v>
      </c>
      <c r="C639" s="235"/>
    </row>
    <row r="640" spans="1:3" ht="32" customHeight="1" x14ac:dyDescent="0.2">
      <c r="A640" s="1" t="s">
        <v>6</v>
      </c>
      <c r="B640" s="235" t="s">
        <v>655</v>
      </c>
      <c r="C640" s="235"/>
    </row>
    <row r="641" spans="1:3" ht="32" customHeight="1" x14ac:dyDescent="0.2">
      <c r="A641" s="1" t="s">
        <v>6</v>
      </c>
      <c r="B641" s="235" t="s">
        <v>656</v>
      </c>
      <c r="C641" s="235"/>
    </row>
    <row r="642" spans="1:3" ht="32" customHeight="1" x14ac:dyDescent="0.2">
      <c r="A642" s="1" t="s">
        <v>6</v>
      </c>
      <c r="B642" s="235" t="s">
        <v>657</v>
      </c>
      <c r="C642" s="235"/>
    </row>
    <row r="643" spans="1:3" ht="32" customHeight="1" x14ac:dyDescent="0.2">
      <c r="A643" s="1" t="s">
        <v>6</v>
      </c>
      <c r="B643" s="235" t="s">
        <v>658</v>
      </c>
      <c r="C643" s="235"/>
    </row>
    <row r="644" spans="1:3" ht="32" customHeight="1" x14ac:dyDescent="0.2">
      <c r="A644" s="1" t="s">
        <v>6</v>
      </c>
      <c r="B644" s="235" t="s">
        <v>659</v>
      </c>
      <c r="C644" s="235"/>
    </row>
    <row r="645" spans="1:3" ht="32" customHeight="1" x14ac:dyDescent="0.2">
      <c r="A645" s="1" t="s">
        <v>6</v>
      </c>
      <c r="B645" s="235" t="s">
        <v>660</v>
      </c>
      <c r="C645" s="235"/>
    </row>
    <row r="646" spans="1:3" ht="32" customHeight="1" x14ac:dyDescent="0.2">
      <c r="A646" s="1" t="s">
        <v>6</v>
      </c>
      <c r="B646" s="235" t="s">
        <v>661</v>
      </c>
      <c r="C646" s="235"/>
    </row>
    <row r="647" spans="1:3" ht="32" customHeight="1" x14ac:dyDescent="0.2">
      <c r="A647" s="1" t="s">
        <v>6</v>
      </c>
      <c r="B647" s="235" t="s">
        <v>662</v>
      </c>
      <c r="C647" s="235"/>
    </row>
    <row r="648" spans="1:3" ht="32" customHeight="1" x14ac:dyDescent="0.2">
      <c r="A648" s="1" t="s">
        <v>6</v>
      </c>
      <c r="B648" s="235" t="s">
        <v>663</v>
      </c>
      <c r="C648" s="235"/>
    </row>
    <row r="649" spans="1:3" ht="32" customHeight="1" x14ac:dyDescent="0.2">
      <c r="A649" s="1" t="s">
        <v>6</v>
      </c>
      <c r="B649" s="235" t="s">
        <v>664</v>
      </c>
      <c r="C649" s="235"/>
    </row>
    <row r="650" spans="1:3" ht="32" customHeight="1" x14ac:dyDescent="0.2">
      <c r="A650" s="1" t="s">
        <v>6</v>
      </c>
      <c r="B650" s="235" t="s">
        <v>665</v>
      </c>
      <c r="C650" s="235"/>
    </row>
    <row r="651" spans="1:3" ht="32" customHeight="1" x14ac:dyDescent="0.2">
      <c r="A651" s="1" t="s">
        <v>6</v>
      </c>
      <c r="B651" s="235" t="s">
        <v>666</v>
      </c>
      <c r="C651" s="235"/>
    </row>
    <row r="652" spans="1:3" ht="32" customHeight="1" x14ac:dyDescent="0.2">
      <c r="A652" s="1" t="s">
        <v>6</v>
      </c>
      <c r="B652" s="235" t="s">
        <v>667</v>
      </c>
      <c r="C652" s="235"/>
    </row>
    <row r="653" spans="1:3" ht="32" customHeight="1" x14ac:dyDescent="0.2">
      <c r="A653" s="1" t="s">
        <v>6</v>
      </c>
      <c r="B653" s="235" t="s">
        <v>668</v>
      </c>
      <c r="C653" s="235"/>
    </row>
    <row r="654" spans="1:3" ht="32" customHeight="1" x14ac:dyDescent="0.2">
      <c r="A654" s="1" t="s">
        <v>6</v>
      </c>
      <c r="B654" s="235" t="s">
        <v>669</v>
      </c>
      <c r="C654" s="235"/>
    </row>
    <row r="655" spans="1:3" ht="32" customHeight="1" x14ac:dyDescent="0.2">
      <c r="A655" s="1" t="s">
        <v>6</v>
      </c>
      <c r="B655" s="235" t="s">
        <v>670</v>
      </c>
      <c r="C655" s="235"/>
    </row>
    <row r="656" spans="1:3" ht="32" customHeight="1" x14ac:dyDescent="0.2">
      <c r="A656" s="1" t="s">
        <v>6</v>
      </c>
      <c r="B656" s="235" t="s">
        <v>671</v>
      </c>
      <c r="C656" s="235"/>
    </row>
    <row r="657" spans="1:3" ht="32" customHeight="1" x14ac:dyDescent="0.2">
      <c r="A657" s="1" t="s">
        <v>6</v>
      </c>
      <c r="B657" s="235" t="s">
        <v>672</v>
      </c>
      <c r="C657" s="235"/>
    </row>
    <row r="658" spans="1:3" ht="32" customHeight="1" x14ac:dyDescent="0.2">
      <c r="A658" s="1" t="s">
        <v>6</v>
      </c>
      <c r="B658" s="235" t="s">
        <v>673</v>
      </c>
      <c r="C658" s="235"/>
    </row>
    <row r="659" spans="1:3" ht="32" customHeight="1" x14ac:dyDescent="0.2">
      <c r="A659" s="1" t="s">
        <v>6</v>
      </c>
      <c r="B659" s="235" t="s">
        <v>674</v>
      </c>
      <c r="C659" s="235"/>
    </row>
    <row r="660" spans="1:3" ht="32" customHeight="1" x14ac:dyDescent="0.2">
      <c r="A660" s="1" t="s">
        <v>6</v>
      </c>
      <c r="B660" s="235" t="s">
        <v>675</v>
      </c>
      <c r="C660" s="235"/>
    </row>
    <row r="661" spans="1:3" ht="32" customHeight="1" x14ac:dyDescent="0.2">
      <c r="A661" s="1" t="s">
        <v>6</v>
      </c>
      <c r="B661" s="235" t="s">
        <v>676</v>
      </c>
      <c r="C661" s="235"/>
    </row>
    <row r="662" spans="1:3" ht="32" customHeight="1" x14ac:dyDescent="0.2">
      <c r="A662" s="1" t="s">
        <v>6</v>
      </c>
      <c r="B662" s="235" t="s">
        <v>677</v>
      </c>
      <c r="C662" s="235"/>
    </row>
    <row r="663" spans="1:3" ht="32" customHeight="1" x14ac:dyDescent="0.2">
      <c r="A663" s="1" t="s">
        <v>6</v>
      </c>
      <c r="B663" s="235" t="s">
        <v>678</v>
      </c>
      <c r="C663" s="235"/>
    </row>
    <row r="664" spans="1:3" ht="32" customHeight="1" x14ac:dyDescent="0.2">
      <c r="A664" s="1" t="s">
        <v>6</v>
      </c>
      <c r="B664" s="235" t="s">
        <v>679</v>
      </c>
      <c r="C664" s="235"/>
    </row>
    <row r="665" spans="1:3" ht="32" customHeight="1" x14ac:dyDescent="0.2">
      <c r="A665" s="1" t="s">
        <v>6</v>
      </c>
      <c r="B665" s="235" t="s">
        <v>680</v>
      </c>
      <c r="C665" s="235"/>
    </row>
    <row r="666" spans="1:3" ht="32" customHeight="1" x14ac:dyDescent="0.2">
      <c r="A666" s="1" t="s">
        <v>6</v>
      </c>
      <c r="B666" s="235" t="s">
        <v>681</v>
      </c>
      <c r="C666" s="235"/>
    </row>
    <row r="667" spans="1:3" ht="32" customHeight="1" x14ac:dyDescent="0.2">
      <c r="A667" s="1" t="s">
        <v>6</v>
      </c>
      <c r="B667" s="235" t="s">
        <v>682</v>
      </c>
      <c r="C667" s="235"/>
    </row>
    <row r="668" spans="1:3" ht="32" customHeight="1" x14ac:dyDescent="0.2">
      <c r="A668" s="1" t="s">
        <v>6</v>
      </c>
      <c r="B668" s="235" t="s">
        <v>683</v>
      </c>
      <c r="C668" s="235"/>
    </row>
    <row r="669" spans="1:3" ht="32" customHeight="1" x14ac:dyDescent="0.2">
      <c r="A669" s="1" t="s">
        <v>6</v>
      </c>
      <c r="B669" s="235" t="s">
        <v>684</v>
      </c>
      <c r="C669" s="235"/>
    </row>
    <row r="670" spans="1:3" ht="32" customHeight="1" x14ac:dyDescent="0.2">
      <c r="A670" s="1" t="s">
        <v>6</v>
      </c>
      <c r="B670" s="235" t="s">
        <v>685</v>
      </c>
      <c r="C670" s="235"/>
    </row>
    <row r="671" spans="1:3" ht="32" customHeight="1" x14ac:dyDescent="0.2">
      <c r="A671" s="1" t="s">
        <v>6</v>
      </c>
      <c r="B671" s="235" t="s">
        <v>686</v>
      </c>
      <c r="C671" s="235"/>
    </row>
    <row r="672" spans="1:3" ht="32" customHeight="1" x14ac:dyDescent="0.2">
      <c r="A672" s="1" t="s">
        <v>6</v>
      </c>
      <c r="B672" s="235" t="s">
        <v>687</v>
      </c>
      <c r="C672" s="235"/>
    </row>
    <row r="673" spans="1:3" ht="32" customHeight="1" x14ac:dyDescent="0.2">
      <c r="A673" s="1" t="s">
        <v>6</v>
      </c>
      <c r="B673" s="235" t="s">
        <v>688</v>
      </c>
      <c r="C673" s="235"/>
    </row>
    <row r="674" spans="1:3" ht="32" customHeight="1" x14ac:dyDescent="0.2">
      <c r="A674" s="1" t="s">
        <v>6</v>
      </c>
      <c r="B674" s="235" t="s">
        <v>689</v>
      </c>
      <c r="C674" s="235"/>
    </row>
    <row r="675" spans="1:3" ht="32" customHeight="1" x14ac:dyDescent="0.2">
      <c r="A675" s="1" t="s">
        <v>6</v>
      </c>
      <c r="B675" s="235" t="s">
        <v>690</v>
      </c>
      <c r="C675" s="235"/>
    </row>
    <row r="676" spans="1:3" ht="32" customHeight="1" x14ac:dyDescent="0.2">
      <c r="A676" s="1" t="s">
        <v>6</v>
      </c>
      <c r="B676" s="235" t="s">
        <v>691</v>
      </c>
      <c r="C676" s="235"/>
    </row>
    <row r="677" spans="1:3" ht="32" customHeight="1" x14ac:dyDescent="0.2">
      <c r="A677" s="1" t="s">
        <v>6</v>
      </c>
      <c r="B677" s="235" t="s">
        <v>692</v>
      </c>
      <c r="C677" s="235"/>
    </row>
    <row r="678" spans="1:3" ht="32" customHeight="1" x14ac:dyDescent="0.2">
      <c r="A678" s="1" t="s">
        <v>6</v>
      </c>
      <c r="B678" s="235" t="s">
        <v>693</v>
      </c>
      <c r="C678" s="235"/>
    </row>
    <row r="679" spans="1:3" ht="32" customHeight="1" x14ac:dyDescent="0.2">
      <c r="A679" s="1" t="s">
        <v>6</v>
      </c>
      <c r="B679" s="235" t="s">
        <v>694</v>
      </c>
      <c r="C679" s="235"/>
    </row>
    <row r="680" spans="1:3" ht="32" customHeight="1" x14ac:dyDescent="0.2">
      <c r="A680" s="1" t="s">
        <v>6</v>
      </c>
      <c r="B680" s="235" t="s">
        <v>695</v>
      </c>
      <c r="C680" s="235"/>
    </row>
    <row r="681" spans="1:3" ht="32" customHeight="1" x14ac:dyDescent="0.2">
      <c r="A681" s="1" t="s">
        <v>6</v>
      </c>
      <c r="B681" s="235" t="s">
        <v>696</v>
      </c>
      <c r="C681" s="235"/>
    </row>
    <row r="682" spans="1:3" ht="32" customHeight="1" x14ac:dyDescent="0.2">
      <c r="A682" s="1" t="s">
        <v>6</v>
      </c>
      <c r="B682" s="235" t="s">
        <v>697</v>
      </c>
      <c r="C682" s="235"/>
    </row>
    <row r="683" spans="1:3" ht="32" customHeight="1" x14ac:dyDescent="0.2">
      <c r="A683" s="1" t="s">
        <v>6</v>
      </c>
      <c r="B683" s="235" t="s">
        <v>698</v>
      </c>
      <c r="C683" s="235"/>
    </row>
    <row r="684" spans="1:3" ht="32" customHeight="1" x14ac:dyDescent="0.2">
      <c r="A684" s="1" t="s">
        <v>6</v>
      </c>
      <c r="B684" s="235" t="s">
        <v>699</v>
      </c>
      <c r="C684" s="235"/>
    </row>
    <row r="685" spans="1:3" ht="32" customHeight="1" x14ac:dyDescent="0.2">
      <c r="A685" s="1" t="s">
        <v>6</v>
      </c>
      <c r="B685" s="235" t="s">
        <v>700</v>
      </c>
      <c r="C685" s="235"/>
    </row>
    <row r="686" spans="1:3" ht="32" customHeight="1" x14ac:dyDescent="0.2">
      <c r="A686" s="1" t="s">
        <v>6</v>
      </c>
      <c r="B686" s="235" t="s">
        <v>701</v>
      </c>
      <c r="C686" s="235"/>
    </row>
    <row r="687" spans="1:3" ht="32" customHeight="1" x14ac:dyDescent="0.2">
      <c r="A687" s="1" t="s">
        <v>6</v>
      </c>
      <c r="B687" s="235" t="s">
        <v>702</v>
      </c>
      <c r="C687" s="235"/>
    </row>
    <row r="688" spans="1:3" ht="32" customHeight="1" x14ac:dyDescent="0.2">
      <c r="A688" s="1" t="s">
        <v>6</v>
      </c>
      <c r="B688" s="235" t="s">
        <v>703</v>
      </c>
      <c r="C688" s="235"/>
    </row>
    <row r="689" spans="1:3" ht="32" customHeight="1" x14ac:dyDescent="0.2">
      <c r="A689" s="1" t="s">
        <v>6</v>
      </c>
      <c r="B689" s="235" t="s">
        <v>704</v>
      </c>
      <c r="C689" s="235"/>
    </row>
    <row r="690" spans="1:3" ht="32" customHeight="1" x14ac:dyDescent="0.2">
      <c r="A690" s="1" t="s">
        <v>6</v>
      </c>
      <c r="B690" s="235" t="s">
        <v>705</v>
      </c>
      <c r="C690" s="235"/>
    </row>
    <row r="691" spans="1:3" ht="32" customHeight="1" x14ac:dyDescent="0.2">
      <c r="A691" s="1" t="s">
        <v>6</v>
      </c>
      <c r="B691" s="235" t="s">
        <v>706</v>
      </c>
      <c r="C691" s="235"/>
    </row>
    <row r="692" spans="1:3" ht="32" customHeight="1" x14ac:dyDescent="0.2">
      <c r="A692" s="1" t="s">
        <v>6</v>
      </c>
      <c r="B692" s="235" t="s">
        <v>707</v>
      </c>
      <c r="C692" s="235"/>
    </row>
    <row r="693" spans="1:3" ht="32" customHeight="1" x14ac:dyDescent="0.2">
      <c r="A693" s="1" t="s">
        <v>6</v>
      </c>
      <c r="B693" s="235" t="s">
        <v>708</v>
      </c>
      <c r="C693" s="235"/>
    </row>
    <row r="694" spans="1:3" ht="32" customHeight="1" x14ac:dyDescent="0.2">
      <c r="A694" s="1" t="s">
        <v>6</v>
      </c>
      <c r="B694" s="235" t="s">
        <v>709</v>
      </c>
      <c r="C694" s="235"/>
    </row>
    <row r="695" spans="1:3" ht="32" customHeight="1" x14ac:dyDescent="0.2">
      <c r="A695" s="1" t="s">
        <v>6</v>
      </c>
      <c r="B695" s="235" t="s">
        <v>710</v>
      </c>
      <c r="C695" s="235"/>
    </row>
    <row r="696" spans="1:3" ht="32" customHeight="1" x14ac:dyDescent="0.2">
      <c r="A696" s="1" t="s">
        <v>6</v>
      </c>
      <c r="B696" s="235" t="s">
        <v>711</v>
      </c>
      <c r="C696" s="235"/>
    </row>
    <row r="697" spans="1:3" ht="32" customHeight="1" x14ac:dyDescent="0.2">
      <c r="A697" s="1" t="s">
        <v>6</v>
      </c>
      <c r="B697" s="235" t="s">
        <v>712</v>
      </c>
      <c r="C697" s="235"/>
    </row>
    <row r="698" spans="1:3" ht="32" customHeight="1" x14ac:dyDescent="0.2">
      <c r="A698" s="1" t="s">
        <v>6</v>
      </c>
      <c r="B698" s="235" t="s">
        <v>713</v>
      </c>
      <c r="C698" s="235"/>
    </row>
    <row r="699" spans="1:3" ht="32" customHeight="1" x14ac:dyDescent="0.2">
      <c r="A699" s="1" t="s">
        <v>6</v>
      </c>
      <c r="B699" s="235" t="s">
        <v>714</v>
      </c>
      <c r="C699" s="235"/>
    </row>
    <row r="700" spans="1:3" ht="32" customHeight="1" x14ac:dyDescent="0.2">
      <c r="A700" s="1" t="s">
        <v>6</v>
      </c>
      <c r="B700" s="235" t="s">
        <v>715</v>
      </c>
      <c r="C700" s="235"/>
    </row>
    <row r="701" spans="1:3" ht="32" customHeight="1" x14ac:dyDescent="0.2">
      <c r="A701" s="1" t="s">
        <v>6</v>
      </c>
      <c r="B701" s="235" t="s">
        <v>716</v>
      </c>
      <c r="C701" s="235"/>
    </row>
    <row r="702" spans="1:3" ht="32" customHeight="1" x14ac:dyDescent="0.2">
      <c r="A702" s="1" t="s">
        <v>6</v>
      </c>
      <c r="B702" s="235" t="s">
        <v>717</v>
      </c>
      <c r="C702" s="235"/>
    </row>
    <row r="703" spans="1:3" ht="32" customHeight="1" x14ac:dyDescent="0.2">
      <c r="A703" s="1" t="s">
        <v>6</v>
      </c>
      <c r="B703" s="235" t="s">
        <v>718</v>
      </c>
      <c r="C703" s="235"/>
    </row>
    <row r="704" spans="1:3" ht="32" customHeight="1" x14ac:dyDescent="0.2">
      <c r="A704" s="1" t="s">
        <v>6</v>
      </c>
      <c r="B704" s="235" t="s">
        <v>719</v>
      </c>
      <c r="C704" s="235"/>
    </row>
    <row r="705" spans="1:3" ht="32" customHeight="1" x14ac:dyDescent="0.2">
      <c r="A705" s="1" t="s">
        <v>6</v>
      </c>
      <c r="B705" s="235" t="s">
        <v>720</v>
      </c>
      <c r="C705" s="235"/>
    </row>
    <row r="706" spans="1:3" ht="32" customHeight="1" x14ac:dyDescent="0.2">
      <c r="A706" s="1" t="s">
        <v>6</v>
      </c>
      <c r="B706" s="235" t="s">
        <v>721</v>
      </c>
      <c r="C706" s="235"/>
    </row>
    <row r="707" spans="1:3" ht="32" customHeight="1" x14ac:dyDescent="0.2">
      <c r="A707" s="1" t="s">
        <v>6</v>
      </c>
      <c r="B707" s="235" t="s">
        <v>722</v>
      </c>
      <c r="C707" s="235"/>
    </row>
    <row r="708" spans="1:3" ht="32" customHeight="1" x14ac:dyDescent="0.2">
      <c r="A708" s="1" t="s">
        <v>6</v>
      </c>
      <c r="B708" s="235" t="s">
        <v>723</v>
      </c>
      <c r="C708" s="235"/>
    </row>
    <row r="709" spans="1:3" ht="32" customHeight="1" x14ac:dyDescent="0.2">
      <c r="A709" s="1" t="s">
        <v>6</v>
      </c>
      <c r="B709" s="235" t="s">
        <v>724</v>
      </c>
      <c r="C709" s="235"/>
    </row>
    <row r="710" spans="1:3" ht="32" customHeight="1" x14ac:dyDescent="0.2">
      <c r="A710" s="1" t="s">
        <v>6</v>
      </c>
      <c r="B710" s="235" t="s">
        <v>725</v>
      </c>
      <c r="C710" s="235"/>
    </row>
    <row r="711" spans="1:3" ht="32" customHeight="1" x14ac:dyDescent="0.2">
      <c r="A711" s="1" t="s">
        <v>6</v>
      </c>
      <c r="B711" s="235" t="s">
        <v>726</v>
      </c>
      <c r="C711" s="235"/>
    </row>
    <row r="712" spans="1:3" ht="32" customHeight="1" x14ac:dyDescent="0.2">
      <c r="A712" s="1" t="s">
        <v>6</v>
      </c>
      <c r="B712" s="235" t="s">
        <v>727</v>
      </c>
      <c r="C712" s="235"/>
    </row>
    <row r="713" spans="1:3" ht="32" customHeight="1" x14ac:dyDescent="0.2">
      <c r="A713" s="1" t="s">
        <v>6</v>
      </c>
      <c r="B713" s="235" t="s">
        <v>728</v>
      </c>
      <c r="C713" s="235"/>
    </row>
    <row r="714" spans="1:3" ht="32" customHeight="1" x14ac:dyDescent="0.2">
      <c r="A714" s="1" t="s">
        <v>6</v>
      </c>
      <c r="B714" s="235" t="s">
        <v>729</v>
      </c>
      <c r="C714" s="235"/>
    </row>
    <row r="715" spans="1:3" ht="32" customHeight="1" x14ac:dyDescent="0.2">
      <c r="A715" s="1" t="s">
        <v>6</v>
      </c>
      <c r="B715" s="235" t="s">
        <v>730</v>
      </c>
      <c r="C715" s="235"/>
    </row>
    <row r="716" spans="1:3" ht="32" customHeight="1" x14ac:dyDescent="0.2">
      <c r="A716" s="1" t="s">
        <v>6</v>
      </c>
      <c r="B716" s="235" t="s">
        <v>731</v>
      </c>
      <c r="C716" s="235"/>
    </row>
    <row r="717" spans="1:3" ht="32" customHeight="1" x14ac:dyDescent="0.2">
      <c r="A717" s="1" t="s">
        <v>6</v>
      </c>
      <c r="B717" s="235" t="s">
        <v>732</v>
      </c>
      <c r="C717" s="235"/>
    </row>
    <row r="718" spans="1:3" ht="32" customHeight="1" x14ac:dyDescent="0.2">
      <c r="A718" s="1" t="s">
        <v>6</v>
      </c>
      <c r="B718" s="235" t="s">
        <v>733</v>
      </c>
      <c r="C718" s="235"/>
    </row>
    <row r="719" spans="1:3" ht="32" customHeight="1" x14ac:dyDescent="0.2">
      <c r="A719" s="1" t="s">
        <v>6</v>
      </c>
      <c r="B719" s="235" t="s">
        <v>734</v>
      </c>
      <c r="C719" s="235"/>
    </row>
    <row r="720" spans="1:3" ht="32" customHeight="1" x14ac:dyDescent="0.2">
      <c r="A720" s="1" t="s">
        <v>6</v>
      </c>
      <c r="B720" s="235" t="s">
        <v>735</v>
      </c>
      <c r="C720" s="235"/>
    </row>
    <row r="721" spans="1:3" ht="32" customHeight="1" x14ac:dyDescent="0.2">
      <c r="A721" s="1" t="s">
        <v>6</v>
      </c>
      <c r="B721" s="235" t="s">
        <v>736</v>
      </c>
      <c r="C721" s="235"/>
    </row>
    <row r="722" spans="1:3" ht="32" customHeight="1" x14ac:dyDescent="0.2">
      <c r="A722" s="1" t="s">
        <v>6</v>
      </c>
      <c r="B722" s="235" t="s">
        <v>737</v>
      </c>
      <c r="C722" s="235"/>
    </row>
    <row r="723" spans="1:3" ht="32" customHeight="1" x14ac:dyDescent="0.2">
      <c r="A723" s="1" t="s">
        <v>6</v>
      </c>
      <c r="B723" s="235" t="s">
        <v>738</v>
      </c>
      <c r="C723" s="235"/>
    </row>
    <row r="724" spans="1:3" ht="32" customHeight="1" x14ac:dyDescent="0.2">
      <c r="A724" s="1" t="s">
        <v>6</v>
      </c>
      <c r="B724" s="235" t="s">
        <v>739</v>
      </c>
      <c r="C724" s="235"/>
    </row>
    <row r="725" spans="1:3" ht="32" customHeight="1" x14ac:dyDescent="0.2">
      <c r="A725" s="1" t="s">
        <v>6</v>
      </c>
      <c r="B725" s="235" t="s">
        <v>740</v>
      </c>
      <c r="C725" s="235"/>
    </row>
    <row r="726" spans="1:3" ht="32" customHeight="1" x14ac:dyDescent="0.2">
      <c r="A726" s="1" t="s">
        <v>6</v>
      </c>
      <c r="B726" s="235" t="s">
        <v>741</v>
      </c>
      <c r="C726" s="235"/>
    </row>
    <row r="727" spans="1:3" ht="32" customHeight="1" x14ac:dyDescent="0.2">
      <c r="A727" s="1" t="s">
        <v>6</v>
      </c>
      <c r="B727" s="235" t="s">
        <v>742</v>
      </c>
      <c r="C727" s="235"/>
    </row>
    <row r="728" spans="1:3" ht="32" customHeight="1" x14ac:dyDescent="0.2">
      <c r="A728" s="1" t="s">
        <v>6</v>
      </c>
      <c r="B728" s="235" t="s">
        <v>743</v>
      </c>
      <c r="C728" s="235"/>
    </row>
    <row r="729" spans="1:3" ht="32" customHeight="1" x14ac:dyDescent="0.2">
      <c r="A729" s="1" t="s">
        <v>6</v>
      </c>
      <c r="B729" s="235" t="s">
        <v>744</v>
      </c>
      <c r="C729" s="235"/>
    </row>
    <row r="730" spans="1:3" ht="32" customHeight="1" x14ac:dyDescent="0.2">
      <c r="A730" s="1" t="s">
        <v>6</v>
      </c>
      <c r="B730" s="235" t="s">
        <v>745</v>
      </c>
      <c r="C730" s="235"/>
    </row>
    <row r="731" spans="1:3" ht="32" customHeight="1" x14ac:dyDescent="0.2">
      <c r="A731" s="1" t="s">
        <v>6</v>
      </c>
      <c r="B731" s="235" t="s">
        <v>746</v>
      </c>
      <c r="C731" s="235"/>
    </row>
    <row r="732" spans="1:3" ht="32" customHeight="1" x14ac:dyDescent="0.2">
      <c r="A732" s="1" t="s">
        <v>6</v>
      </c>
      <c r="B732" s="235" t="s">
        <v>747</v>
      </c>
      <c r="C732" s="235"/>
    </row>
    <row r="733" spans="1:3" ht="32" customHeight="1" x14ac:dyDescent="0.2">
      <c r="A733" s="1" t="s">
        <v>6</v>
      </c>
      <c r="B733" s="235" t="s">
        <v>748</v>
      </c>
      <c r="C733" s="235"/>
    </row>
    <row r="734" spans="1:3" ht="32" customHeight="1" x14ac:dyDescent="0.2">
      <c r="A734" s="1" t="s">
        <v>6</v>
      </c>
      <c r="B734" s="235" t="s">
        <v>749</v>
      </c>
      <c r="C734" s="235"/>
    </row>
    <row r="735" spans="1:3" ht="32" customHeight="1" x14ac:dyDescent="0.2">
      <c r="A735" s="1" t="s">
        <v>6</v>
      </c>
      <c r="B735" s="235" t="s">
        <v>750</v>
      </c>
      <c r="C735" s="235"/>
    </row>
    <row r="736" spans="1:3" ht="32" customHeight="1" x14ac:dyDescent="0.2">
      <c r="A736" s="1" t="s">
        <v>6</v>
      </c>
      <c r="B736" s="235" t="s">
        <v>751</v>
      </c>
      <c r="C736" s="235"/>
    </row>
    <row r="737" spans="1:3" ht="32" customHeight="1" x14ac:dyDescent="0.2">
      <c r="A737" s="1" t="s">
        <v>6</v>
      </c>
      <c r="B737" s="235" t="s">
        <v>752</v>
      </c>
      <c r="C737" s="235"/>
    </row>
    <row r="738" spans="1:3" ht="32" customHeight="1" x14ac:dyDescent="0.2">
      <c r="A738" s="1" t="s">
        <v>6</v>
      </c>
      <c r="B738" s="235" t="s">
        <v>753</v>
      </c>
      <c r="C738" s="235"/>
    </row>
    <row r="739" spans="1:3" ht="32" customHeight="1" x14ac:dyDescent="0.2">
      <c r="A739" s="1" t="s">
        <v>6</v>
      </c>
      <c r="B739" s="235" t="s">
        <v>754</v>
      </c>
      <c r="C739" s="235"/>
    </row>
    <row r="740" spans="1:3" ht="32" customHeight="1" x14ac:dyDescent="0.2">
      <c r="A740" s="1" t="s">
        <v>6</v>
      </c>
      <c r="B740" s="235" t="s">
        <v>755</v>
      </c>
      <c r="C740" s="235"/>
    </row>
    <row r="741" spans="1:3" ht="32" customHeight="1" x14ac:dyDescent="0.2">
      <c r="A741" s="1" t="s">
        <v>6</v>
      </c>
      <c r="B741" s="235" t="s">
        <v>756</v>
      </c>
      <c r="C741" s="235"/>
    </row>
    <row r="742" spans="1:3" ht="32" customHeight="1" x14ac:dyDescent="0.2">
      <c r="A742" s="1" t="s">
        <v>6</v>
      </c>
      <c r="B742" s="235" t="s">
        <v>757</v>
      </c>
      <c r="C742" s="235"/>
    </row>
    <row r="743" spans="1:3" ht="32" customHeight="1" x14ac:dyDescent="0.2">
      <c r="A743" s="1" t="s">
        <v>6</v>
      </c>
      <c r="B743" s="235" t="s">
        <v>758</v>
      </c>
      <c r="C743" s="235"/>
    </row>
    <row r="744" spans="1:3" ht="32" customHeight="1" x14ac:dyDescent="0.2">
      <c r="A744" s="1" t="s">
        <v>6</v>
      </c>
      <c r="B744" s="235" t="s">
        <v>759</v>
      </c>
      <c r="C744" s="235"/>
    </row>
    <row r="745" spans="1:3" ht="32" customHeight="1" x14ac:dyDescent="0.2">
      <c r="A745" s="1" t="s">
        <v>6</v>
      </c>
      <c r="B745" s="235" t="s">
        <v>760</v>
      </c>
      <c r="C745" s="235"/>
    </row>
    <row r="746" spans="1:3" ht="32" customHeight="1" x14ac:dyDescent="0.2">
      <c r="A746" s="1" t="s">
        <v>6</v>
      </c>
      <c r="B746" s="235" t="s">
        <v>761</v>
      </c>
      <c r="C746" s="235"/>
    </row>
    <row r="747" spans="1:3" ht="32" customHeight="1" x14ac:dyDescent="0.2">
      <c r="A747" s="1" t="s">
        <v>6</v>
      </c>
      <c r="B747" s="235" t="s">
        <v>762</v>
      </c>
      <c r="C747" s="235"/>
    </row>
    <row r="748" spans="1:3" ht="32" customHeight="1" x14ac:dyDescent="0.2">
      <c r="A748" s="1" t="s">
        <v>6</v>
      </c>
      <c r="B748" s="235" t="s">
        <v>763</v>
      </c>
      <c r="C748" s="235"/>
    </row>
    <row r="749" spans="1:3" ht="32" customHeight="1" x14ac:dyDescent="0.2">
      <c r="A749" s="1" t="s">
        <v>6</v>
      </c>
      <c r="B749" s="235" t="s">
        <v>764</v>
      </c>
      <c r="C749" s="235"/>
    </row>
    <row r="750" spans="1:3" ht="32" customHeight="1" x14ac:dyDescent="0.2">
      <c r="A750" s="1" t="s">
        <v>6</v>
      </c>
      <c r="B750" s="235" t="s">
        <v>765</v>
      </c>
      <c r="C750" s="235"/>
    </row>
    <row r="751" spans="1:3" ht="32" customHeight="1" x14ac:dyDescent="0.2">
      <c r="A751" s="1" t="s">
        <v>6</v>
      </c>
      <c r="B751" s="235" t="s">
        <v>766</v>
      </c>
      <c r="C751" s="235"/>
    </row>
    <row r="752" spans="1:3" ht="32" customHeight="1" x14ac:dyDescent="0.2">
      <c r="A752" s="1" t="s">
        <v>6</v>
      </c>
      <c r="B752" s="235" t="s">
        <v>767</v>
      </c>
      <c r="C752" s="235"/>
    </row>
    <row r="753" spans="1:3" ht="32" customHeight="1" x14ac:dyDescent="0.2">
      <c r="A753" s="1" t="s">
        <v>6</v>
      </c>
      <c r="B753" s="235" t="s">
        <v>768</v>
      </c>
      <c r="C753" s="235"/>
    </row>
    <row r="754" spans="1:3" ht="32" customHeight="1" x14ac:dyDescent="0.2">
      <c r="A754" s="1" t="s">
        <v>6</v>
      </c>
      <c r="B754" s="235" t="s">
        <v>769</v>
      </c>
      <c r="C754" s="235"/>
    </row>
    <row r="755" spans="1:3" ht="32" customHeight="1" x14ac:dyDescent="0.2">
      <c r="A755" s="1" t="s">
        <v>6</v>
      </c>
      <c r="B755" s="235" t="s">
        <v>770</v>
      </c>
      <c r="C755" s="235"/>
    </row>
    <row r="756" spans="1:3" ht="32" customHeight="1" x14ac:dyDescent="0.2">
      <c r="A756" s="1" t="s">
        <v>6</v>
      </c>
      <c r="B756" s="235" t="s">
        <v>771</v>
      </c>
      <c r="C756" s="235"/>
    </row>
    <row r="757" spans="1:3" ht="32" customHeight="1" x14ac:dyDescent="0.2">
      <c r="A757" s="1" t="s">
        <v>6</v>
      </c>
      <c r="B757" s="235" t="s">
        <v>772</v>
      </c>
      <c r="C757" s="235"/>
    </row>
    <row r="758" spans="1:3" ht="32" customHeight="1" x14ac:dyDescent="0.2">
      <c r="A758" s="1" t="s">
        <v>6</v>
      </c>
      <c r="B758" s="235" t="s">
        <v>773</v>
      </c>
      <c r="C758" s="235"/>
    </row>
    <row r="759" spans="1:3" ht="32" customHeight="1" x14ac:dyDescent="0.2">
      <c r="A759" s="1" t="s">
        <v>6</v>
      </c>
      <c r="B759" s="235" t="s">
        <v>774</v>
      </c>
      <c r="C759" s="235"/>
    </row>
    <row r="760" spans="1:3" ht="32" customHeight="1" x14ac:dyDescent="0.2">
      <c r="A760" s="1" t="s">
        <v>6</v>
      </c>
      <c r="B760" s="235" t="s">
        <v>775</v>
      </c>
      <c r="C760" s="235"/>
    </row>
    <row r="761" spans="1:3" ht="32" customHeight="1" x14ac:dyDescent="0.2">
      <c r="A761" s="1" t="s">
        <v>6</v>
      </c>
      <c r="B761" s="235" t="s">
        <v>776</v>
      </c>
      <c r="C761" s="235"/>
    </row>
    <row r="762" spans="1:3" ht="32" customHeight="1" x14ac:dyDescent="0.2">
      <c r="A762" s="1" t="s">
        <v>6</v>
      </c>
      <c r="B762" s="235" t="s">
        <v>777</v>
      </c>
      <c r="C762" s="235"/>
    </row>
    <row r="763" spans="1:3" ht="32" customHeight="1" x14ac:dyDescent="0.2">
      <c r="A763" s="1" t="s">
        <v>6</v>
      </c>
      <c r="B763" s="235" t="s">
        <v>778</v>
      </c>
      <c r="C763" s="235"/>
    </row>
    <row r="764" spans="1:3" ht="32" customHeight="1" x14ac:dyDescent="0.2">
      <c r="A764" s="1" t="s">
        <v>6</v>
      </c>
      <c r="B764" s="235" t="s">
        <v>779</v>
      </c>
      <c r="C764" s="235"/>
    </row>
    <row r="765" spans="1:3" ht="32" customHeight="1" x14ac:dyDescent="0.2">
      <c r="A765" s="1" t="s">
        <v>6</v>
      </c>
      <c r="B765" s="235" t="s">
        <v>780</v>
      </c>
      <c r="C765" s="235"/>
    </row>
    <row r="766" spans="1:3" ht="32" customHeight="1" x14ac:dyDescent="0.2">
      <c r="A766" s="1" t="s">
        <v>6</v>
      </c>
      <c r="B766" s="235" t="s">
        <v>781</v>
      </c>
      <c r="C766" s="235"/>
    </row>
    <row r="767" spans="1:3" ht="32" customHeight="1" x14ac:dyDescent="0.2">
      <c r="A767" s="1" t="s">
        <v>6</v>
      </c>
      <c r="B767" s="235" t="s">
        <v>782</v>
      </c>
      <c r="C767" s="235"/>
    </row>
    <row r="768" spans="1:3" ht="32" customHeight="1" x14ac:dyDescent="0.2">
      <c r="A768" s="1" t="s">
        <v>6</v>
      </c>
      <c r="B768" s="235" t="s">
        <v>783</v>
      </c>
      <c r="C768" s="235"/>
    </row>
    <row r="769" spans="1:3" ht="32" customHeight="1" x14ac:dyDescent="0.2">
      <c r="A769" s="1" t="s">
        <v>6</v>
      </c>
      <c r="B769" s="235" t="s">
        <v>784</v>
      </c>
      <c r="C769" s="235"/>
    </row>
    <row r="770" spans="1:3" ht="32" customHeight="1" x14ac:dyDescent="0.2">
      <c r="A770" s="1" t="s">
        <v>6</v>
      </c>
      <c r="B770" s="235" t="s">
        <v>785</v>
      </c>
      <c r="C770" s="235"/>
    </row>
    <row r="771" spans="1:3" ht="32" customHeight="1" x14ac:dyDescent="0.2">
      <c r="A771" s="1" t="s">
        <v>6</v>
      </c>
      <c r="B771" s="235" t="s">
        <v>786</v>
      </c>
      <c r="C771" s="235"/>
    </row>
    <row r="772" spans="1:3" ht="32" customHeight="1" x14ac:dyDescent="0.2">
      <c r="A772" s="1" t="s">
        <v>6</v>
      </c>
      <c r="B772" s="235" t="s">
        <v>787</v>
      </c>
      <c r="C772" s="235"/>
    </row>
    <row r="773" spans="1:3" ht="32" customHeight="1" x14ac:dyDescent="0.2">
      <c r="A773" s="1" t="s">
        <v>6</v>
      </c>
      <c r="B773" s="235" t="s">
        <v>788</v>
      </c>
      <c r="C773" s="235"/>
    </row>
    <row r="774" spans="1:3" ht="32" customHeight="1" x14ac:dyDescent="0.2">
      <c r="A774" s="1" t="s">
        <v>6</v>
      </c>
      <c r="B774" s="235" t="s">
        <v>789</v>
      </c>
      <c r="C774" s="235"/>
    </row>
    <row r="775" spans="1:3" ht="32" customHeight="1" x14ac:dyDescent="0.2">
      <c r="A775" s="1" t="s">
        <v>6</v>
      </c>
      <c r="B775" s="235" t="s">
        <v>790</v>
      </c>
      <c r="C775" s="235"/>
    </row>
    <row r="776" spans="1:3" ht="32" customHeight="1" x14ac:dyDescent="0.2">
      <c r="A776" s="1" t="s">
        <v>6</v>
      </c>
      <c r="B776" s="235" t="s">
        <v>791</v>
      </c>
      <c r="C776" s="235"/>
    </row>
    <row r="777" spans="1:3" ht="32" customHeight="1" x14ac:dyDescent="0.2">
      <c r="A777" s="1" t="s">
        <v>6</v>
      </c>
      <c r="B777" s="235" t="s">
        <v>792</v>
      </c>
      <c r="C777" s="235"/>
    </row>
    <row r="778" spans="1:3" ht="32" customHeight="1" x14ac:dyDescent="0.2">
      <c r="A778" s="1" t="s">
        <v>6</v>
      </c>
      <c r="B778" s="235" t="s">
        <v>793</v>
      </c>
      <c r="C778" s="235"/>
    </row>
    <row r="779" spans="1:3" ht="32" customHeight="1" x14ac:dyDescent="0.2">
      <c r="A779" s="1" t="s">
        <v>6</v>
      </c>
      <c r="B779" s="235" t="s">
        <v>794</v>
      </c>
      <c r="C779" s="235"/>
    </row>
    <row r="780" spans="1:3" ht="32" customHeight="1" x14ac:dyDescent="0.2">
      <c r="A780" s="1" t="s">
        <v>6</v>
      </c>
      <c r="B780" s="235" t="s">
        <v>795</v>
      </c>
      <c r="C780" s="235"/>
    </row>
    <row r="781" spans="1:3" ht="32" customHeight="1" x14ac:dyDescent="0.2">
      <c r="A781" s="1" t="s">
        <v>6</v>
      </c>
      <c r="B781" s="235" t="s">
        <v>796</v>
      </c>
      <c r="C781" s="235"/>
    </row>
    <row r="782" spans="1:3" ht="32" customHeight="1" x14ac:dyDescent="0.2">
      <c r="A782" s="1" t="s">
        <v>6</v>
      </c>
      <c r="B782" s="235" t="s">
        <v>797</v>
      </c>
      <c r="C782" s="235"/>
    </row>
    <row r="783" spans="1:3" ht="32" customHeight="1" x14ac:dyDescent="0.2">
      <c r="A783" s="1" t="s">
        <v>6</v>
      </c>
      <c r="B783" s="235" t="s">
        <v>798</v>
      </c>
      <c r="C783" s="235"/>
    </row>
    <row r="784" spans="1:3" ht="32" customHeight="1" x14ac:dyDescent="0.2">
      <c r="A784" s="1" t="s">
        <v>6</v>
      </c>
      <c r="B784" s="235" t="s">
        <v>799</v>
      </c>
      <c r="C784" s="235"/>
    </row>
    <row r="785" spans="1:3" ht="32" customHeight="1" x14ac:dyDescent="0.2">
      <c r="A785" s="1" t="s">
        <v>6</v>
      </c>
      <c r="B785" s="235" t="s">
        <v>800</v>
      </c>
      <c r="C785" s="235"/>
    </row>
    <row r="786" spans="1:3" ht="32" customHeight="1" x14ac:dyDescent="0.2">
      <c r="A786" s="1" t="s">
        <v>6</v>
      </c>
      <c r="B786" s="235" t="s">
        <v>801</v>
      </c>
      <c r="C786" s="235"/>
    </row>
    <row r="787" spans="1:3" ht="32" customHeight="1" x14ac:dyDescent="0.2">
      <c r="A787" s="1" t="s">
        <v>6</v>
      </c>
      <c r="B787" s="235" t="s">
        <v>802</v>
      </c>
      <c r="C787" s="235"/>
    </row>
    <row r="788" spans="1:3" ht="32" customHeight="1" x14ac:dyDescent="0.2">
      <c r="A788" s="1" t="s">
        <v>6</v>
      </c>
      <c r="B788" s="235" t="s">
        <v>803</v>
      </c>
      <c r="C788" s="235"/>
    </row>
    <row r="789" spans="1:3" ht="32" customHeight="1" x14ac:dyDescent="0.2">
      <c r="A789" s="1" t="s">
        <v>6</v>
      </c>
      <c r="B789" s="235" t="s">
        <v>804</v>
      </c>
      <c r="C789" s="235"/>
    </row>
    <row r="790" spans="1:3" ht="32" customHeight="1" x14ac:dyDescent="0.2">
      <c r="A790" s="1" t="s">
        <v>6</v>
      </c>
      <c r="B790" s="235" t="s">
        <v>805</v>
      </c>
      <c r="C790" s="235"/>
    </row>
    <row r="791" spans="1:3" ht="32" customHeight="1" x14ac:dyDescent="0.2">
      <c r="A791" s="1" t="s">
        <v>6</v>
      </c>
      <c r="B791" s="235" t="s">
        <v>806</v>
      </c>
      <c r="C791" s="235"/>
    </row>
    <row r="792" spans="1:3" ht="32" customHeight="1" x14ac:dyDescent="0.2">
      <c r="A792" s="1" t="s">
        <v>6</v>
      </c>
      <c r="B792" s="235" t="s">
        <v>807</v>
      </c>
      <c r="C792" s="235"/>
    </row>
    <row r="793" spans="1:3" ht="32" customHeight="1" x14ac:dyDescent="0.2">
      <c r="A793" s="1" t="s">
        <v>6</v>
      </c>
      <c r="B793" s="235" t="s">
        <v>808</v>
      </c>
      <c r="C793" s="235"/>
    </row>
    <row r="794" spans="1:3" ht="32" customHeight="1" x14ac:dyDescent="0.2">
      <c r="A794" s="1" t="s">
        <v>6</v>
      </c>
      <c r="B794" s="235" t="s">
        <v>809</v>
      </c>
      <c r="C794" s="235"/>
    </row>
    <row r="795" spans="1:3" ht="32" customHeight="1" x14ac:dyDescent="0.2">
      <c r="A795" s="1" t="s">
        <v>6</v>
      </c>
      <c r="B795" s="235" t="s">
        <v>810</v>
      </c>
      <c r="C795" s="235"/>
    </row>
    <row r="796" spans="1:3" ht="32" customHeight="1" x14ac:dyDescent="0.2">
      <c r="A796" s="1" t="s">
        <v>6</v>
      </c>
      <c r="B796" s="235" t="s">
        <v>811</v>
      </c>
      <c r="C796" s="235"/>
    </row>
    <row r="797" spans="1:3" ht="32" customHeight="1" x14ac:dyDescent="0.2">
      <c r="A797" s="1" t="s">
        <v>6</v>
      </c>
      <c r="B797" s="235" t="s">
        <v>812</v>
      </c>
      <c r="C797" s="235"/>
    </row>
    <row r="798" spans="1:3" ht="32" customHeight="1" x14ac:dyDescent="0.2">
      <c r="A798" s="1" t="s">
        <v>6</v>
      </c>
      <c r="B798" s="235" t="s">
        <v>813</v>
      </c>
      <c r="C798" s="235"/>
    </row>
    <row r="799" spans="1:3" ht="32" customHeight="1" x14ac:dyDescent="0.2">
      <c r="A799" s="1" t="s">
        <v>6</v>
      </c>
      <c r="B799" s="235" t="s">
        <v>814</v>
      </c>
      <c r="C799" s="235"/>
    </row>
    <row r="800" spans="1:3" ht="32" customHeight="1" x14ac:dyDescent="0.2">
      <c r="A800" s="1" t="s">
        <v>6</v>
      </c>
      <c r="B800" s="235" t="s">
        <v>815</v>
      </c>
      <c r="C800" s="235"/>
    </row>
    <row r="801" spans="1:3" ht="32" customHeight="1" x14ac:dyDescent="0.2">
      <c r="A801" s="1" t="s">
        <v>6</v>
      </c>
      <c r="B801" s="235" t="s">
        <v>816</v>
      </c>
      <c r="C801" s="235"/>
    </row>
    <row r="802" spans="1:3" ht="32" customHeight="1" x14ac:dyDescent="0.2">
      <c r="A802" s="1" t="s">
        <v>6</v>
      </c>
      <c r="B802" s="235" t="s">
        <v>817</v>
      </c>
      <c r="C802" s="235"/>
    </row>
    <row r="803" spans="1:3" ht="32" customHeight="1" x14ac:dyDescent="0.2">
      <c r="A803" s="1" t="s">
        <v>6</v>
      </c>
      <c r="B803" s="235" t="s">
        <v>818</v>
      </c>
      <c r="C803" s="235"/>
    </row>
    <row r="804" spans="1:3" ht="32" customHeight="1" x14ac:dyDescent="0.2">
      <c r="A804" s="1" t="s">
        <v>6</v>
      </c>
      <c r="B804" s="235" t="s">
        <v>819</v>
      </c>
      <c r="C804" s="235"/>
    </row>
    <row r="805" spans="1:3" ht="32" customHeight="1" x14ac:dyDescent="0.2">
      <c r="A805" s="1" t="s">
        <v>6</v>
      </c>
      <c r="B805" s="235" t="s">
        <v>820</v>
      </c>
      <c r="C805" s="235"/>
    </row>
    <row r="806" spans="1:3" ht="32" customHeight="1" x14ac:dyDescent="0.2">
      <c r="A806" s="1" t="s">
        <v>6</v>
      </c>
      <c r="B806" s="235" t="s">
        <v>821</v>
      </c>
      <c r="C806" s="235"/>
    </row>
    <row r="807" spans="1:3" ht="32" customHeight="1" x14ac:dyDescent="0.2">
      <c r="A807" s="1" t="s">
        <v>6</v>
      </c>
      <c r="B807" s="235" t="s">
        <v>822</v>
      </c>
      <c r="C807" s="235"/>
    </row>
    <row r="808" spans="1:3" ht="32" customHeight="1" x14ac:dyDescent="0.2">
      <c r="A808" s="1" t="s">
        <v>6</v>
      </c>
      <c r="B808" s="235" t="s">
        <v>823</v>
      </c>
      <c r="C808" s="235"/>
    </row>
    <row r="809" spans="1:3" ht="32" customHeight="1" x14ac:dyDescent="0.2">
      <c r="A809" s="1" t="s">
        <v>6</v>
      </c>
      <c r="B809" s="235" t="s">
        <v>824</v>
      </c>
      <c r="C809" s="235"/>
    </row>
    <row r="810" spans="1:3" ht="32" customHeight="1" x14ac:dyDescent="0.2">
      <c r="A810" s="1" t="s">
        <v>6</v>
      </c>
      <c r="B810" s="235" t="s">
        <v>825</v>
      </c>
      <c r="C810" s="235"/>
    </row>
    <row r="811" spans="1:3" ht="32" customHeight="1" x14ac:dyDescent="0.2">
      <c r="A811" s="1" t="s">
        <v>6</v>
      </c>
      <c r="B811" s="235" t="s">
        <v>826</v>
      </c>
      <c r="C811" s="235"/>
    </row>
    <row r="812" spans="1:3" ht="32" customHeight="1" x14ac:dyDescent="0.2">
      <c r="A812" s="1" t="s">
        <v>6</v>
      </c>
      <c r="B812" s="235" t="s">
        <v>827</v>
      </c>
      <c r="C812" s="235"/>
    </row>
    <row r="813" spans="1:3" ht="32" customHeight="1" x14ac:dyDescent="0.2">
      <c r="A813" s="1" t="s">
        <v>6</v>
      </c>
      <c r="B813" s="235" t="s">
        <v>828</v>
      </c>
      <c r="C813" s="235"/>
    </row>
    <row r="814" spans="1:3" ht="32" customHeight="1" x14ac:dyDescent="0.2">
      <c r="A814" s="1" t="s">
        <v>6</v>
      </c>
      <c r="B814" s="235" t="s">
        <v>829</v>
      </c>
      <c r="C814" s="235"/>
    </row>
    <row r="815" spans="1:3" ht="32" customHeight="1" x14ac:dyDescent="0.2">
      <c r="A815" s="1" t="s">
        <v>6</v>
      </c>
      <c r="B815" s="235" t="s">
        <v>830</v>
      </c>
      <c r="C815" s="235"/>
    </row>
    <row r="816" spans="1:3" ht="32" customHeight="1" x14ac:dyDescent="0.2">
      <c r="A816" s="1" t="s">
        <v>6</v>
      </c>
      <c r="B816" s="235" t="s">
        <v>831</v>
      </c>
      <c r="C816" s="235"/>
    </row>
    <row r="817" spans="1:3" ht="32" customHeight="1" x14ac:dyDescent="0.2">
      <c r="A817" s="1" t="s">
        <v>6</v>
      </c>
      <c r="B817" s="235" t="s">
        <v>832</v>
      </c>
      <c r="C817" s="235"/>
    </row>
    <row r="818" spans="1:3" ht="32" customHeight="1" x14ac:dyDescent="0.2">
      <c r="A818" s="1" t="s">
        <v>6</v>
      </c>
      <c r="B818" s="235" t="s">
        <v>833</v>
      </c>
      <c r="C818" s="235"/>
    </row>
    <row r="819" spans="1:3" ht="32" customHeight="1" x14ac:dyDescent="0.2">
      <c r="A819" s="1" t="s">
        <v>6</v>
      </c>
      <c r="B819" s="235" t="s">
        <v>834</v>
      </c>
      <c r="C819" s="235"/>
    </row>
    <row r="820" spans="1:3" ht="32" customHeight="1" x14ac:dyDescent="0.2">
      <c r="A820" s="1" t="s">
        <v>6</v>
      </c>
      <c r="B820" s="235" t="s">
        <v>835</v>
      </c>
      <c r="C820" s="235"/>
    </row>
    <row r="821" spans="1:3" ht="32" customHeight="1" x14ac:dyDescent="0.2">
      <c r="A821" s="1" t="s">
        <v>6</v>
      </c>
      <c r="B821" s="235" t="s">
        <v>836</v>
      </c>
      <c r="C821" s="235"/>
    </row>
    <row r="822" spans="1:3" ht="32" customHeight="1" x14ac:dyDescent="0.2">
      <c r="A822" s="1" t="s">
        <v>6</v>
      </c>
      <c r="B822" s="235" t="s">
        <v>837</v>
      </c>
      <c r="C822" s="235"/>
    </row>
    <row r="823" spans="1:3" ht="32" customHeight="1" x14ac:dyDescent="0.2">
      <c r="A823" s="1" t="s">
        <v>6</v>
      </c>
      <c r="B823" s="235" t="s">
        <v>838</v>
      </c>
      <c r="C823" s="235"/>
    </row>
    <row r="824" spans="1:3" ht="32" customHeight="1" x14ac:dyDescent="0.2">
      <c r="A824" s="1" t="s">
        <v>6</v>
      </c>
      <c r="B824" s="235" t="s">
        <v>839</v>
      </c>
      <c r="C824" s="235"/>
    </row>
    <row r="825" spans="1:3" ht="32" customHeight="1" x14ac:dyDescent="0.2">
      <c r="A825" s="1" t="s">
        <v>6</v>
      </c>
      <c r="B825" s="235" t="s">
        <v>840</v>
      </c>
      <c r="C825" s="235"/>
    </row>
    <row r="826" spans="1:3" ht="32" customHeight="1" x14ac:dyDescent="0.2">
      <c r="A826" s="1" t="s">
        <v>6</v>
      </c>
      <c r="B826" s="235" t="s">
        <v>841</v>
      </c>
      <c r="C826" s="235"/>
    </row>
    <row r="827" spans="1:3" ht="32" customHeight="1" x14ac:dyDescent="0.2">
      <c r="A827" s="1" t="s">
        <v>6</v>
      </c>
      <c r="B827" s="235" t="s">
        <v>842</v>
      </c>
      <c r="C827" s="235"/>
    </row>
    <row r="828" spans="1:3" ht="32" customHeight="1" x14ac:dyDescent="0.2">
      <c r="A828" s="1" t="s">
        <v>6</v>
      </c>
      <c r="B828" s="235" t="s">
        <v>843</v>
      </c>
      <c r="C828" s="235"/>
    </row>
    <row r="829" spans="1:3" ht="32" customHeight="1" x14ac:dyDescent="0.2">
      <c r="A829" s="1" t="s">
        <v>6</v>
      </c>
      <c r="B829" s="235" t="s">
        <v>844</v>
      </c>
      <c r="C829" s="235"/>
    </row>
    <row r="830" spans="1:3" ht="32" customHeight="1" x14ac:dyDescent="0.2">
      <c r="A830" s="1" t="s">
        <v>6</v>
      </c>
      <c r="B830" s="235" t="s">
        <v>845</v>
      </c>
      <c r="C830" s="235"/>
    </row>
    <row r="831" spans="1:3" ht="32" customHeight="1" x14ac:dyDescent="0.2">
      <c r="A831" s="1" t="s">
        <v>6</v>
      </c>
      <c r="B831" s="235" t="s">
        <v>846</v>
      </c>
      <c r="C831" s="235"/>
    </row>
    <row r="832" spans="1:3" ht="32" customHeight="1" x14ac:dyDescent="0.2">
      <c r="A832" s="1" t="s">
        <v>6</v>
      </c>
      <c r="B832" s="235" t="s">
        <v>847</v>
      </c>
      <c r="C832" s="235"/>
    </row>
    <row r="833" spans="1:3" ht="32" customHeight="1" x14ac:dyDescent="0.2">
      <c r="A833" s="1" t="s">
        <v>6</v>
      </c>
      <c r="B833" s="235" t="s">
        <v>848</v>
      </c>
      <c r="C833" s="235"/>
    </row>
    <row r="834" spans="1:3" ht="32" customHeight="1" x14ac:dyDescent="0.2">
      <c r="A834" s="1" t="s">
        <v>6</v>
      </c>
      <c r="B834" s="235" t="s">
        <v>849</v>
      </c>
      <c r="C834" s="235"/>
    </row>
    <row r="835" spans="1:3" ht="32" customHeight="1" x14ac:dyDescent="0.2">
      <c r="A835" s="1" t="s">
        <v>6</v>
      </c>
      <c r="B835" s="235" t="s">
        <v>850</v>
      </c>
      <c r="C835" s="235"/>
    </row>
    <row r="836" spans="1:3" ht="32" customHeight="1" x14ac:dyDescent="0.2">
      <c r="A836" s="1" t="s">
        <v>6</v>
      </c>
      <c r="B836" s="235" t="s">
        <v>851</v>
      </c>
      <c r="C836" s="235"/>
    </row>
    <row r="837" spans="1:3" ht="32" customHeight="1" x14ac:dyDescent="0.2">
      <c r="A837" s="1" t="s">
        <v>6</v>
      </c>
      <c r="B837" s="235" t="s">
        <v>852</v>
      </c>
      <c r="C837" s="235"/>
    </row>
    <row r="838" spans="1:3" ht="32" customHeight="1" x14ac:dyDescent="0.2">
      <c r="A838" s="1" t="s">
        <v>6</v>
      </c>
      <c r="B838" s="235" t="s">
        <v>853</v>
      </c>
      <c r="C838" s="235"/>
    </row>
    <row r="839" spans="1:3" ht="32" customHeight="1" x14ac:dyDescent="0.2">
      <c r="A839" s="1" t="s">
        <v>6</v>
      </c>
      <c r="B839" s="235" t="s">
        <v>854</v>
      </c>
      <c r="C839" s="235"/>
    </row>
    <row r="840" spans="1:3" ht="32" customHeight="1" x14ac:dyDescent="0.2">
      <c r="A840" s="1" t="s">
        <v>6</v>
      </c>
      <c r="B840" s="235" t="s">
        <v>855</v>
      </c>
      <c r="C840" s="235"/>
    </row>
    <row r="841" spans="1:3" ht="32" customHeight="1" x14ac:dyDescent="0.2">
      <c r="A841" s="1" t="s">
        <v>6</v>
      </c>
      <c r="B841" s="235" t="s">
        <v>856</v>
      </c>
      <c r="C841" s="235"/>
    </row>
    <row r="842" spans="1:3" ht="32" customHeight="1" x14ac:dyDescent="0.2">
      <c r="A842" s="1" t="s">
        <v>6</v>
      </c>
      <c r="B842" s="235" t="s">
        <v>857</v>
      </c>
      <c r="C842" s="235"/>
    </row>
    <row r="843" spans="1:3" ht="32" customHeight="1" x14ac:dyDescent="0.2">
      <c r="A843" s="1" t="s">
        <v>6</v>
      </c>
      <c r="B843" s="235" t="s">
        <v>858</v>
      </c>
      <c r="C843" s="235"/>
    </row>
    <row r="844" spans="1:3" ht="32" customHeight="1" x14ac:dyDescent="0.2">
      <c r="A844" s="1" t="s">
        <v>6</v>
      </c>
      <c r="B844" s="235" t="s">
        <v>859</v>
      </c>
      <c r="C844" s="235"/>
    </row>
    <row r="845" spans="1:3" ht="32" customHeight="1" x14ac:dyDescent="0.2">
      <c r="A845" s="1" t="s">
        <v>6</v>
      </c>
      <c r="B845" s="235" t="s">
        <v>860</v>
      </c>
      <c r="C845" s="235"/>
    </row>
    <row r="846" spans="1:3" ht="32" customHeight="1" x14ac:dyDescent="0.2">
      <c r="A846" s="1" t="s">
        <v>6</v>
      </c>
      <c r="B846" s="235" t="s">
        <v>861</v>
      </c>
      <c r="C846" s="235"/>
    </row>
    <row r="847" spans="1:3" ht="32" customHeight="1" x14ac:dyDescent="0.2">
      <c r="A847" s="1" t="s">
        <v>6</v>
      </c>
      <c r="B847" s="235" t="s">
        <v>862</v>
      </c>
      <c r="C847" s="235"/>
    </row>
    <row r="848" spans="1:3" ht="32" customHeight="1" x14ac:dyDescent="0.2">
      <c r="A848" s="1" t="s">
        <v>6</v>
      </c>
      <c r="B848" s="235" t="s">
        <v>863</v>
      </c>
      <c r="C848" s="235"/>
    </row>
    <row r="849" spans="1:3" ht="32" customHeight="1" x14ac:dyDescent="0.2">
      <c r="A849" s="1" t="s">
        <v>6</v>
      </c>
      <c r="B849" s="235" t="s">
        <v>864</v>
      </c>
      <c r="C849" s="235"/>
    </row>
    <row r="850" spans="1:3" ht="32" customHeight="1" x14ac:dyDescent="0.2">
      <c r="A850" s="1" t="s">
        <v>6</v>
      </c>
      <c r="B850" s="235" t="s">
        <v>865</v>
      </c>
      <c r="C850" s="235"/>
    </row>
    <row r="851" spans="1:3" ht="32" customHeight="1" x14ac:dyDescent="0.2">
      <c r="A851" s="1" t="s">
        <v>6</v>
      </c>
      <c r="B851" s="235" t="s">
        <v>866</v>
      </c>
      <c r="C851" s="235"/>
    </row>
    <row r="852" spans="1:3" x14ac:dyDescent="0.2">
      <c r="A852" s="235"/>
      <c r="B852" s="235"/>
      <c r="C852" s="235"/>
    </row>
    <row r="853" spans="1:3" ht="16" customHeight="1" x14ac:dyDescent="0.2">
      <c r="A853" s="3" t="s">
        <v>867</v>
      </c>
      <c r="B853" s="235" t="s">
        <v>25</v>
      </c>
      <c r="C853" s="235"/>
    </row>
    <row r="854" spans="1:3" x14ac:dyDescent="0.2">
      <c r="A854" s="235"/>
      <c r="B854" s="235"/>
      <c r="C854" s="235"/>
    </row>
    <row r="855" spans="1:3" ht="16" customHeight="1" x14ac:dyDescent="0.2">
      <c r="A855" s="3" t="s">
        <v>868</v>
      </c>
      <c r="B855" s="235" t="s">
        <v>25</v>
      </c>
      <c r="C855" s="235"/>
    </row>
    <row r="856" spans="1:3" x14ac:dyDescent="0.2">
      <c r="A856" s="235"/>
      <c r="B856" s="235"/>
      <c r="C856" s="235"/>
    </row>
    <row r="857" spans="1:3" ht="16" customHeight="1" x14ac:dyDescent="0.2">
      <c r="A857" s="3" t="s">
        <v>869</v>
      </c>
      <c r="B857" s="235" t="s">
        <v>25</v>
      </c>
      <c r="C857" s="235"/>
    </row>
    <row r="858" spans="1:3" x14ac:dyDescent="0.2">
      <c r="A858" s="235"/>
      <c r="B858" s="235"/>
      <c r="C858" s="235"/>
    </row>
    <row r="859" spans="1:3" ht="32" customHeight="1" x14ac:dyDescent="0.2">
      <c r="A859" s="3" t="s">
        <v>870</v>
      </c>
      <c r="B859" s="235" t="s">
        <v>871</v>
      </c>
      <c r="C859" s="235"/>
    </row>
    <row r="860" spans="1:3" x14ac:dyDescent="0.2">
      <c r="A860" s="235"/>
      <c r="B860" s="235"/>
      <c r="C860" s="235"/>
    </row>
    <row r="861" spans="1:3" ht="64" customHeight="1" x14ac:dyDescent="0.2">
      <c r="A861" s="3" t="s">
        <v>872</v>
      </c>
      <c r="B861" s="235" t="s">
        <v>873</v>
      </c>
      <c r="C861" s="235"/>
    </row>
    <row r="862" spans="1:3" ht="112" customHeight="1" x14ac:dyDescent="0.2">
      <c r="A862" s="1" t="s">
        <v>6</v>
      </c>
      <c r="B862" s="235" t="s">
        <v>874</v>
      </c>
      <c r="C862" s="235"/>
    </row>
    <row r="863" spans="1:3" ht="32" customHeight="1" x14ac:dyDescent="0.2">
      <c r="A863" s="1" t="s">
        <v>6</v>
      </c>
      <c r="B863" s="235" t="s">
        <v>875</v>
      </c>
      <c r="C863" s="235"/>
    </row>
    <row r="864" spans="1:3" ht="112" customHeight="1" x14ac:dyDescent="0.2">
      <c r="A864" s="1" t="s">
        <v>6</v>
      </c>
      <c r="B864" s="235" t="s">
        <v>876</v>
      </c>
      <c r="C864" s="235"/>
    </row>
    <row r="865" spans="1:3" ht="64" customHeight="1" x14ac:dyDescent="0.2">
      <c r="A865" s="1" t="s">
        <v>6</v>
      </c>
      <c r="B865" s="235" t="s">
        <v>877</v>
      </c>
      <c r="C865" s="235"/>
    </row>
    <row r="866" spans="1:3" ht="64" customHeight="1" x14ac:dyDescent="0.2">
      <c r="A866" s="1" t="s">
        <v>6</v>
      </c>
      <c r="B866" s="235" t="s">
        <v>878</v>
      </c>
      <c r="C866" s="235"/>
    </row>
    <row r="867" spans="1:3" ht="48" customHeight="1" x14ac:dyDescent="0.2">
      <c r="A867" s="1" t="s">
        <v>6</v>
      </c>
      <c r="B867" s="235" t="s">
        <v>879</v>
      </c>
      <c r="C867" s="235"/>
    </row>
    <row r="868" spans="1:3" ht="320" customHeight="1" x14ac:dyDescent="0.2">
      <c r="A868" s="1" t="s">
        <v>6</v>
      </c>
      <c r="B868" s="235" t="s">
        <v>880</v>
      </c>
      <c r="C868" s="235"/>
    </row>
    <row r="869" spans="1:3" x14ac:dyDescent="0.2">
      <c r="A869" s="235"/>
      <c r="B869" s="235"/>
      <c r="C869" s="235"/>
    </row>
    <row r="870" spans="1:3" ht="16" customHeight="1" x14ac:dyDescent="0.2">
      <c r="A870" s="3" t="s">
        <v>881</v>
      </c>
      <c r="B870" s="235" t="s">
        <v>25</v>
      </c>
      <c r="C870" s="235"/>
    </row>
    <row r="871" spans="1:3" x14ac:dyDescent="0.2">
      <c r="A871" s="235"/>
      <c r="B871" s="235"/>
      <c r="C871" s="235"/>
    </row>
  </sheetData>
  <mergeCells count="871">
    <mergeCell ref="B865:C865"/>
    <mergeCell ref="B866:C866"/>
    <mergeCell ref="B867:C867"/>
    <mergeCell ref="B868:C868"/>
    <mergeCell ref="A869:C869"/>
    <mergeCell ref="B870:C870"/>
    <mergeCell ref="A871:C871"/>
    <mergeCell ref="A856:C856"/>
    <mergeCell ref="B857:C857"/>
    <mergeCell ref="A858:C858"/>
    <mergeCell ref="B859:C859"/>
    <mergeCell ref="A860:C860"/>
    <mergeCell ref="B861:C861"/>
    <mergeCell ref="B862:C862"/>
    <mergeCell ref="B863:C863"/>
    <mergeCell ref="B864:C864"/>
    <mergeCell ref="B847:C847"/>
    <mergeCell ref="B848:C848"/>
    <mergeCell ref="B849:C849"/>
    <mergeCell ref="B850:C850"/>
    <mergeCell ref="B851:C851"/>
    <mergeCell ref="A852:C852"/>
    <mergeCell ref="B853:C853"/>
    <mergeCell ref="A854:C854"/>
    <mergeCell ref="B855:C855"/>
    <mergeCell ref="B838:C838"/>
    <mergeCell ref="B839:C839"/>
    <mergeCell ref="B840:C840"/>
    <mergeCell ref="B841:C841"/>
    <mergeCell ref="B842:C842"/>
    <mergeCell ref="B843:C843"/>
    <mergeCell ref="B844:C844"/>
    <mergeCell ref="B845:C845"/>
    <mergeCell ref="B846:C846"/>
    <mergeCell ref="B829:C829"/>
    <mergeCell ref="B830:C830"/>
    <mergeCell ref="B831:C831"/>
    <mergeCell ref="B832:C832"/>
    <mergeCell ref="B833:C833"/>
    <mergeCell ref="B834:C834"/>
    <mergeCell ref="B835:C835"/>
    <mergeCell ref="B836:C836"/>
    <mergeCell ref="B837:C837"/>
    <mergeCell ref="B820:C820"/>
    <mergeCell ref="B821:C821"/>
    <mergeCell ref="B822:C822"/>
    <mergeCell ref="B823:C823"/>
    <mergeCell ref="B824:C824"/>
    <mergeCell ref="B825:C825"/>
    <mergeCell ref="B826:C826"/>
    <mergeCell ref="B827:C827"/>
    <mergeCell ref="B828:C828"/>
    <mergeCell ref="B811:C811"/>
    <mergeCell ref="B812:C812"/>
    <mergeCell ref="B813:C813"/>
    <mergeCell ref="B814:C814"/>
    <mergeCell ref="B815:C815"/>
    <mergeCell ref="B816:C816"/>
    <mergeCell ref="B817:C817"/>
    <mergeCell ref="B818:C818"/>
    <mergeCell ref="B819:C819"/>
    <mergeCell ref="B802:C802"/>
    <mergeCell ref="B803:C803"/>
    <mergeCell ref="B804:C804"/>
    <mergeCell ref="B805:C805"/>
    <mergeCell ref="B806:C806"/>
    <mergeCell ref="B807:C807"/>
    <mergeCell ref="B808:C808"/>
    <mergeCell ref="B809:C809"/>
    <mergeCell ref="B810:C810"/>
    <mergeCell ref="B793:C793"/>
    <mergeCell ref="B794:C794"/>
    <mergeCell ref="B795:C795"/>
    <mergeCell ref="B796:C796"/>
    <mergeCell ref="B797:C797"/>
    <mergeCell ref="B798:C798"/>
    <mergeCell ref="B799:C799"/>
    <mergeCell ref="B800:C800"/>
    <mergeCell ref="B801:C801"/>
    <mergeCell ref="B784:C784"/>
    <mergeCell ref="B785:C785"/>
    <mergeCell ref="B786:C786"/>
    <mergeCell ref="B787:C787"/>
    <mergeCell ref="B788:C788"/>
    <mergeCell ref="B789:C789"/>
    <mergeCell ref="B790:C790"/>
    <mergeCell ref="B791:C791"/>
    <mergeCell ref="B792:C792"/>
    <mergeCell ref="B775:C775"/>
    <mergeCell ref="B776:C776"/>
    <mergeCell ref="B777:C777"/>
    <mergeCell ref="B778:C778"/>
    <mergeCell ref="B779:C779"/>
    <mergeCell ref="B780:C780"/>
    <mergeCell ref="B781:C781"/>
    <mergeCell ref="B782:C782"/>
    <mergeCell ref="B783:C783"/>
    <mergeCell ref="B766:C766"/>
    <mergeCell ref="B767:C767"/>
    <mergeCell ref="B768:C768"/>
    <mergeCell ref="B769:C769"/>
    <mergeCell ref="B770:C770"/>
    <mergeCell ref="B771:C771"/>
    <mergeCell ref="B772:C772"/>
    <mergeCell ref="B773:C773"/>
    <mergeCell ref="B774:C774"/>
    <mergeCell ref="B757:C757"/>
    <mergeCell ref="B758:C758"/>
    <mergeCell ref="B759:C759"/>
    <mergeCell ref="B760:C760"/>
    <mergeCell ref="B761:C761"/>
    <mergeCell ref="B762:C762"/>
    <mergeCell ref="B763:C763"/>
    <mergeCell ref="B764:C764"/>
    <mergeCell ref="B765:C765"/>
    <mergeCell ref="B748:C748"/>
    <mergeCell ref="B749:C749"/>
    <mergeCell ref="B750:C750"/>
    <mergeCell ref="B751:C751"/>
    <mergeCell ref="B752:C752"/>
    <mergeCell ref="B753:C753"/>
    <mergeCell ref="B754:C754"/>
    <mergeCell ref="B755:C755"/>
    <mergeCell ref="B756:C756"/>
    <mergeCell ref="B739:C739"/>
    <mergeCell ref="B740:C740"/>
    <mergeCell ref="B741:C741"/>
    <mergeCell ref="B742:C742"/>
    <mergeCell ref="B743:C743"/>
    <mergeCell ref="B744:C744"/>
    <mergeCell ref="B745:C745"/>
    <mergeCell ref="B746:C746"/>
    <mergeCell ref="B747:C747"/>
    <mergeCell ref="B730:C730"/>
    <mergeCell ref="B731:C731"/>
    <mergeCell ref="B732:C732"/>
    <mergeCell ref="B733:C733"/>
    <mergeCell ref="B734:C734"/>
    <mergeCell ref="B735:C735"/>
    <mergeCell ref="B736:C736"/>
    <mergeCell ref="B737:C737"/>
    <mergeCell ref="B738:C738"/>
    <mergeCell ref="B721:C721"/>
    <mergeCell ref="B722:C722"/>
    <mergeCell ref="B723:C723"/>
    <mergeCell ref="B724:C724"/>
    <mergeCell ref="B725:C725"/>
    <mergeCell ref="B726:C726"/>
    <mergeCell ref="B727:C727"/>
    <mergeCell ref="B728:C728"/>
    <mergeCell ref="B729:C729"/>
    <mergeCell ref="B712:C712"/>
    <mergeCell ref="B713:C713"/>
    <mergeCell ref="B714:C714"/>
    <mergeCell ref="B715:C715"/>
    <mergeCell ref="B716:C716"/>
    <mergeCell ref="B717:C717"/>
    <mergeCell ref="B718:C718"/>
    <mergeCell ref="B719:C719"/>
    <mergeCell ref="B720:C720"/>
    <mergeCell ref="B703:C703"/>
    <mergeCell ref="B704:C704"/>
    <mergeCell ref="B705:C705"/>
    <mergeCell ref="B706:C706"/>
    <mergeCell ref="B707:C707"/>
    <mergeCell ref="B708:C708"/>
    <mergeCell ref="B709:C709"/>
    <mergeCell ref="B710:C710"/>
    <mergeCell ref="B711:C711"/>
    <mergeCell ref="B694:C694"/>
    <mergeCell ref="B695:C695"/>
    <mergeCell ref="B696:C696"/>
    <mergeCell ref="B697:C697"/>
    <mergeCell ref="B698:C698"/>
    <mergeCell ref="B699:C699"/>
    <mergeCell ref="B700:C700"/>
    <mergeCell ref="B701:C701"/>
    <mergeCell ref="B702:C702"/>
    <mergeCell ref="B685:C685"/>
    <mergeCell ref="B686:C686"/>
    <mergeCell ref="B687:C687"/>
    <mergeCell ref="B688:C688"/>
    <mergeCell ref="B689:C689"/>
    <mergeCell ref="B690:C690"/>
    <mergeCell ref="B691:C691"/>
    <mergeCell ref="B692:C692"/>
    <mergeCell ref="B693:C693"/>
    <mergeCell ref="B676:C676"/>
    <mergeCell ref="B677:C677"/>
    <mergeCell ref="B678:C678"/>
    <mergeCell ref="B679:C679"/>
    <mergeCell ref="B680:C680"/>
    <mergeCell ref="B681:C681"/>
    <mergeCell ref="B682:C682"/>
    <mergeCell ref="B683:C683"/>
    <mergeCell ref="B684:C684"/>
    <mergeCell ref="B667:C667"/>
    <mergeCell ref="B668:C668"/>
    <mergeCell ref="B669:C669"/>
    <mergeCell ref="B670:C670"/>
    <mergeCell ref="B671:C671"/>
    <mergeCell ref="B672:C672"/>
    <mergeCell ref="B673:C673"/>
    <mergeCell ref="B674:C674"/>
    <mergeCell ref="B675:C675"/>
    <mergeCell ref="B658:C658"/>
    <mergeCell ref="B659:C659"/>
    <mergeCell ref="B660:C660"/>
    <mergeCell ref="B661:C661"/>
    <mergeCell ref="B662:C662"/>
    <mergeCell ref="B663:C663"/>
    <mergeCell ref="B664:C664"/>
    <mergeCell ref="B665:C665"/>
    <mergeCell ref="B666:C666"/>
    <mergeCell ref="B649:C649"/>
    <mergeCell ref="B650:C650"/>
    <mergeCell ref="B651:C651"/>
    <mergeCell ref="B652:C652"/>
    <mergeCell ref="B653:C653"/>
    <mergeCell ref="B654:C654"/>
    <mergeCell ref="B655:C655"/>
    <mergeCell ref="B656:C656"/>
    <mergeCell ref="B657:C657"/>
    <mergeCell ref="B640:C640"/>
    <mergeCell ref="B641:C641"/>
    <mergeCell ref="B642:C642"/>
    <mergeCell ref="B643:C643"/>
    <mergeCell ref="B644:C644"/>
    <mergeCell ref="B645:C645"/>
    <mergeCell ref="B646:C646"/>
    <mergeCell ref="B647:C647"/>
    <mergeCell ref="B648:C648"/>
    <mergeCell ref="B631:C631"/>
    <mergeCell ref="B632:C632"/>
    <mergeCell ref="B633:C633"/>
    <mergeCell ref="B634:C634"/>
    <mergeCell ref="B635:C635"/>
    <mergeCell ref="B636:C636"/>
    <mergeCell ref="B637:C637"/>
    <mergeCell ref="B638:C638"/>
    <mergeCell ref="B639:C639"/>
    <mergeCell ref="B622:C622"/>
    <mergeCell ref="B623:C623"/>
    <mergeCell ref="B624:C624"/>
    <mergeCell ref="B625:C625"/>
    <mergeCell ref="B626:C626"/>
    <mergeCell ref="B627:C627"/>
    <mergeCell ref="B628:C628"/>
    <mergeCell ref="B629:C629"/>
    <mergeCell ref="B630:C630"/>
    <mergeCell ref="B613:C613"/>
    <mergeCell ref="B614:C614"/>
    <mergeCell ref="B615:C615"/>
    <mergeCell ref="B616:C616"/>
    <mergeCell ref="B617:C617"/>
    <mergeCell ref="B618:C618"/>
    <mergeCell ref="B619:C619"/>
    <mergeCell ref="B620:C620"/>
    <mergeCell ref="B621:C621"/>
    <mergeCell ref="B604:C604"/>
    <mergeCell ref="B605:C605"/>
    <mergeCell ref="B606:C606"/>
    <mergeCell ref="B607:C607"/>
    <mergeCell ref="B608:C608"/>
    <mergeCell ref="B609:C609"/>
    <mergeCell ref="B610:C610"/>
    <mergeCell ref="B611:C611"/>
    <mergeCell ref="B612:C612"/>
    <mergeCell ref="B595:C595"/>
    <mergeCell ref="B596:C596"/>
    <mergeCell ref="B597:C597"/>
    <mergeCell ref="B598:C598"/>
    <mergeCell ref="B599:C599"/>
    <mergeCell ref="B600:C600"/>
    <mergeCell ref="B601:C601"/>
    <mergeCell ref="B602:C602"/>
    <mergeCell ref="B603:C603"/>
    <mergeCell ref="B586:C586"/>
    <mergeCell ref="B587:C587"/>
    <mergeCell ref="B588:C588"/>
    <mergeCell ref="B589:C589"/>
    <mergeCell ref="B590:C590"/>
    <mergeCell ref="B591:C591"/>
    <mergeCell ref="B592:C592"/>
    <mergeCell ref="B593:C593"/>
    <mergeCell ref="B594:C594"/>
    <mergeCell ref="B577:C577"/>
    <mergeCell ref="B578:C578"/>
    <mergeCell ref="B579:C579"/>
    <mergeCell ref="B580:C580"/>
    <mergeCell ref="B581:C581"/>
    <mergeCell ref="B582:C582"/>
    <mergeCell ref="B583:C583"/>
    <mergeCell ref="B584:C584"/>
    <mergeCell ref="B585:C585"/>
    <mergeCell ref="B568:C568"/>
    <mergeCell ref="B569:C569"/>
    <mergeCell ref="B570:C570"/>
    <mergeCell ref="B571:C571"/>
    <mergeCell ref="B572:C572"/>
    <mergeCell ref="B573:C573"/>
    <mergeCell ref="B574:C574"/>
    <mergeCell ref="B575:C575"/>
    <mergeCell ref="B576:C576"/>
    <mergeCell ref="B559:C559"/>
    <mergeCell ref="B560:C560"/>
    <mergeCell ref="B561:C561"/>
    <mergeCell ref="B562:C562"/>
    <mergeCell ref="B563:C563"/>
    <mergeCell ref="B564:C564"/>
    <mergeCell ref="B565:C565"/>
    <mergeCell ref="B566:C566"/>
    <mergeCell ref="B567:C567"/>
    <mergeCell ref="B550:C550"/>
    <mergeCell ref="B551:C551"/>
    <mergeCell ref="B552:C552"/>
    <mergeCell ref="B553:C553"/>
    <mergeCell ref="B554:C554"/>
    <mergeCell ref="B555:C555"/>
    <mergeCell ref="B556:C556"/>
    <mergeCell ref="B557:C557"/>
    <mergeCell ref="B558:C558"/>
    <mergeCell ref="B541:C541"/>
    <mergeCell ref="B542:C542"/>
    <mergeCell ref="B543:C543"/>
    <mergeCell ref="B544:C544"/>
    <mergeCell ref="B545:C545"/>
    <mergeCell ref="B546:C546"/>
    <mergeCell ref="B547:C547"/>
    <mergeCell ref="B548:C548"/>
    <mergeCell ref="B549:C549"/>
    <mergeCell ref="B532:C532"/>
    <mergeCell ref="B533:C533"/>
    <mergeCell ref="B534:C534"/>
    <mergeCell ref="B535:C535"/>
    <mergeCell ref="B536:C536"/>
    <mergeCell ref="B537:C537"/>
    <mergeCell ref="B538:C538"/>
    <mergeCell ref="B539:C539"/>
    <mergeCell ref="B540:C540"/>
    <mergeCell ref="B523:C523"/>
    <mergeCell ref="B524:C524"/>
    <mergeCell ref="B525:C525"/>
    <mergeCell ref="B526:C526"/>
    <mergeCell ref="B527:C527"/>
    <mergeCell ref="B528:C528"/>
    <mergeCell ref="B529:C529"/>
    <mergeCell ref="B530:C530"/>
    <mergeCell ref="B531:C531"/>
    <mergeCell ref="B514:C514"/>
    <mergeCell ref="B515:C515"/>
    <mergeCell ref="B516:C516"/>
    <mergeCell ref="B517:C517"/>
    <mergeCell ref="B518:C518"/>
    <mergeCell ref="B519:C519"/>
    <mergeCell ref="B520:C520"/>
    <mergeCell ref="B521:C521"/>
    <mergeCell ref="B522:C522"/>
    <mergeCell ref="B505:C505"/>
    <mergeCell ref="B506:C506"/>
    <mergeCell ref="B507:C507"/>
    <mergeCell ref="B508:C508"/>
    <mergeCell ref="B509:C509"/>
    <mergeCell ref="B510:C510"/>
    <mergeCell ref="B511:C511"/>
    <mergeCell ref="B512:C512"/>
    <mergeCell ref="B513:C513"/>
    <mergeCell ref="B496:C496"/>
    <mergeCell ref="B497:C497"/>
    <mergeCell ref="B498:C498"/>
    <mergeCell ref="B499:C499"/>
    <mergeCell ref="B500:C500"/>
    <mergeCell ref="B501:C501"/>
    <mergeCell ref="B502:C502"/>
    <mergeCell ref="B503:C503"/>
    <mergeCell ref="B504:C504"/>
    <mergeCell ref="B487:C487"/>
    <mergeCell ref="B488:C488"/>
    <mergeCell ref="B489:C489"/>
    <mergeCell ref="B490:C490"/>
    <mergeCell ref="B491:C491"/>
    <mergeCell ref="B492:C492"/>
    <mergeCell ref="B493:C493"/>
    <mergeCell ref="B494:C494"/>
    <mergeCell ref="B495:C495"/>
    <mergeCell ref="B478:C478"/>
    <mergeCell ref="B479:C479"/>
    <mergeCell ref="B480:C480"/>
    <mergeCell ref="B481:C481"/>
    <mergeCell ref="B482:C482"/>
    <mergeCell ref="B483:C483"/>
    <mergeCell ref="B484:C484"/>
    <mergeCell ref="B485:C485"/>
    <mergeCell ref="B486:C486"/>
    <mergeCell ref="B469:C469"/>
    <mergeCell ref="B470:C470"/>
    <mergeCell ref="B471:C471"/>
    <mergeCell ref="B472:C472"/>
    <mergeCell ref="B473:C473"/>
    <mergeCell ref="B474:C474"/>
    <mergeCell ref="B475:C475"/>
    <mergeCell ref="B476:C476"/>
    <mergeCell ref="B477:C477"/>
    <mergeCell ref="B460:C460"/>
    <mergeCell ref="B461:C461"/>
    <mergeCell ref="B462:C462"/>
    <mergeCell ref="B463:C463"/>
    <mergeCell ref="B464:C464"/>
    <mergeCell ref="B465:C465"/>
    <mergeCell ref="B466:C466"/>
    <mergeCell ref="B467:C467"/>
    <mergeCell ref="B468:C468"/>
    <mergeCell ref="B451:C451"/>
    <mergeCell ref="B452:C452"/>
    <mergeCell ref="B453:C453"/>
    <mergeCell ref="B454:C454"/>
    <mergeCell ref="B455:C455"/>
    <mergeCell ref="B456:C456"/>
    <mergeCell ref="B457:C457"/>
    <mergeCell ref="B458:C458"/>
    <mergeCell ref="B459:C459"/>
    <mergeCell ref="B442:C442"/>
    <mergeCell ref="B443:C443"/>
    <mergeCell ref="B444:C444"/>
    <mergeCell ref="B445:C445"/>
    <mergeCell ref="B446:C446"/>
    <mergeCell ref="B447:C447"/>
    <mergeCell ref="B448:C448"/>
    <mergeCell ref="B449:C449"/>
    <mergeCell ref="B450:C450"/>
    <mergeCell ref="B433:C433"/>
    <mergeCell ref="B434:C434"/>
    <mergeCell ref="B435:C435"/>
    <mergeCell ref="B436:C436"/>
    <mergeCell ref="B437:C437"/>
    <mergeCell ref="B438:C438"/>
    <mergeCell ref="B439:C439"/>
    <mergeCell ref="B440:C440"/>
    <mergeCell ref="B441:C441"/>
    <mergeCell ref="B424:C424"/>
    <mergeCell ref="B425:C425"/>
    <mergeCell ref="B426:C426"/>
    <mergeCell ref="B427:C427"/>
    <mergeCell ref="B428:C428"/>
    <mergeCell ref="B429:C429"/>
    <mergeCell ref="B430:C430"/>
    <mergeCell ref="B431:C431"/>
    <mergeCell ref="B432:C432"/>
    <mergeCell ref="B415:C415"/>
    <mergeCell ref="B416:C416"/>
    <mergeCell ref="B417:C417"/>
    <mergeCell ref="B418:C418"/>
    <mergeCell ref="B419:C419"/>
    <mergeCell ref="B420:C420"/>
    <mergeCell ref="B421:C421"/>
    <mergeCell ref="B422:C422"/>
    <mergeCell ref="B423:C423"/>
    <mergeCell ref="B406:C406"/>
    <mergeCell ref="B407:C407"/>
    <mergeCell ref="B408:C408"/>
    <mergeCell ref="B409:C409"/>
    <mergeCell ref="B410:C410"/>
    <mergeCell ref="B411:C411"/>
    <mergeCell ref="B412:C412"/>
    <mergeCell ref="B413:C413"/>
    <mergeCell ref="B414:C414"/>
    <mergeCell ref="B397:C397"/>
    <mergeCell ref="B398:C398"/>
    <mergeCell ref="B399:C399"/>
    <mergeCell ref="B400:C400"/>
    <mergeCell ref="B401:C401"/>
    <mergeCell ref="B402:C402"/>
    <mergeCell ref="B403:C403"/>
    <mergeCell ref="B404:C404"/>
    <mergeCell ref="B405:C405"/>
    <mergeCell ref="B388:C388"/>
    <mergeCell ref="B389:C389"/>
    <mergeCell ref="B390:C390"/>
    <mergeCell ref="B391:C391"/>
    <mergeCell ref="B392:C392"/>
    <mergeCell ref="B393:C393"/>
    <mergeCell ref="B394:C394"/>
    <mergeCell ref="B395:C395"/>
    <mergeCell ref="B396:C396"/>
    <mergeCell ref="B379:C379"/>
    <mergeCell ref="B380:C380"/>
    <mergeCell ref="B381:C381"/>
    <mergeCell ref="B382:C382"/>
    <mergeCell ref="B383:C383"/>
    <mergeCell ref="B384:C384"/>
    <mergeCell ref="B385:C385"/>
    <mergeCell ref="B386:C386"/>
    <mergeCell ref="B387:C387"/>
    <mergeCell ref="B370:C370"/>
    <mergeCell ref="B371:C371"/>
    <mergeCell ref="B372:C372"/>
    <mergeCell ref="B373:C373"/>
    <mergeCell ref="B374:C374"/>
    <mergeCell ref="B375:C375"/>
    <mergeCell ref="B376:C376"/>
    <mergeCell ref="B377:C377"/>
    <mergeCell ref="B378:C378"/>
    <mergeCell ref="B361:C361"/>
    <mergeCell ref="B362:C362"/>
    <mergeCell ref="B363:C363"/>
    <mergeCell ref="B364:C364"/>
    <mergeCell ref="B365:C365"/>
    <mergeCell ref="B366:C366"/>
    <mergeCell ref="B367:C367"/>
    <mergeCell ref="B368:C368"/>
    <mergeCell ref="B369:C369"/>
    <mergeCell ref="B352:C352"/>
    <mergeCell ref="B353:C353"/>
    <mergeCell ref="B354:C354"/>
    <mergeCell ref="B355:C355"/>
    <mergeCell ref="B356:C356"/>
    <mergeCell ref="B357:C357"/>
    <mergeCell ref="B358:C358"/>
    <mergeCell ref="B359:C359"/>
    <mergeCell ref="B360:C360"/>
    <mergeCell ref="B343:C343"/>
    <mergeCell ref="B344:C344"/>
    <mergeCell ref="B345:C345"/>
    <mergeCell ref="B346:C346"/>
    <mergeCell ref="B347:C347"/>
    <mergeCell ref="B348:C348"/>
    <mergeCell ref="B349:C349"/>
    <mergeCell ref="B350:C350"/>
    <mergeCell ref="B351:C351"/>
    <mergeCell ref="B334:C334"/>
    <mergeCell ref="B335:C335"/>
    <mergeCell ref="B336:C336"/>
    <mergeCell ref="B337:C337"/>
    <mergeCell ref="B338:C338"/>
    <mergeCell ref="B339:C339"/>
    <mergeCell ref="B340:C340"/>
    <mergeCell ref="B341:C341"/>
    <mergeCell ref="B342:C342"/>
    <mergeCell ref="B325:C325"/>
    <mergeCell ref="B326:C326"/>
    <mergeCell ref="B327:C327"/>
    <mergeCell ref="B328:C328"/>
    <mergeCell ref="B329:C329"/>
    <mergeCell ref="B330:C330"/>
    <mergeCell ref="B331:C331"/>
    <mergeCell ref="B332:C332"/>
    <mergeCell ref="B333:C333"/>
    <mergeCell ref="B316:C316"/>
    <mergeCell ref="B317:C317"/>
    <mergeCell ref="B318:C318"/>
    <mergeCell ref="B319:C319"/>
    <mergeCell ref="B320:C320"/>
    <mergeCell ref="B321:C321"/>
    <mergeCell ref="B322:C322"/>
    <mergeCell ref="B323:C323"/>
    <mergeCell ref="B324:C324"/>
    <mergeCell ref="B307:C307"/>
    <mergeCell ref="B308:C308"/>
    <mergeCell ref="B309:C309"/>
    <mergeCell ref="B310:C310"/>
    <mergeCell ref="B311:C311"/>
    <mergeCell ref="B312:C312"/>
    <mergeCell ref="B313:C313"/>
    <mergeCell ref="B314:C314"/>
    <mergeCell ref="B315:C315"/>
    <mergeCell ref="B298:C298"/>
    <mergeCell ref="B299:C299"/>
    <mergeCell ref="B300:C300"/>
    <mergeCell ref="B301:C301"/>
    <mergeCell ref="B302:C302"/>
    <mergeCell ref="B303:C303"/>
    <mergeCell ref="B304:C304"/>
    <mergeCell ref="B305:C305"/>
    <mergeCell ref="B306:C306"/>
    <mergeCell ref="B289:C289"/>
    <mergeCell ref="B290:C290"/>
    <mergeCell ref="B291:C291"/>
    <mergeCell ref="B292:C292"/>
    <mergeCell ref="B293:C293"/>
    <mergeCell ref="B294:C294"/>
    <mergeCell ref="B295:C295"/>
    <mergeCell ref="B296:C296"/>
    <mergeCell ref="B297:C297"/>
    <mergeCell ref="B280:C280"/>
    <mergeCell ref="B281:C281"/>
    <mergeCell ref="B282:C282"/>
    <mergeCell ref="B283:C283"/>
    <mergeCell ref="B284:C284"/>
    <mergeCell ref="B285:C285"/>
    <mergeCell ref="B286:C286"/>
    <mergeCell ref="B287:C287"/>
    <mergeCell ref="B288:C288"/>
    <mergeCell ref="B271:C271"/>
    <mergeCell ref="B272:C272"/>
    <mergeCell ref="B273:C273"/>
    <mergeCell ref="B274:C274"/>
    <mergeCell ref="B275:C275"/>
    <mergeCell ref="B276:C276"/>
    <mergeCell ref="B277:C277"/>
    <mergeCell ref="B278:C278"/>
    <mergeCell ref="B279:C279"/>
    <mergeCell ref="B262:C262"/>
    <mergeCell ref="B263:C263"/>
    <mergeCell ref="B264:C264"/>
    <mergeCell ref="B265:C265"/>
    <mergeCell ref="B266:C266"/>
    <mergeCell ref="B267:C267"/>
    <mergeCell ref="B268:C268"/>
    <mergeCell ref="B269:C269"/>
    <mergeCell ref="B270:C270"/>
    <mergeCell ref="B253:C253"/>
    <mergeCell ref="B254:C254"/>
    <mergeCell ref="B255:C255"/>
    <mergeCell ref="B256:C256"/>
    <mergeCell ref="B257:C257"/>
    <mergeCell ref="B258:C258"/>
    <mergeCell ref="B259:C259"/>
    <mergeCell ref="B260:C260"/>
    <mergeCell ref="B261:C261"/>
    <mergeCell ref="B244:C244"/>
    <mergeCell ref="B245:C245"/>
    <mergeCell ref="B246:C246"/>
    <mergeCell ref="B247:C247"/>
    <mergeCell ref="B248:C248"/>
    <mergeCell ref="B249:C249"/>
    <mergeCell ref="B250:C250"/>
    <mergeCell ref="B251:C251"/>
    <mergeCell ref="B252:C252"/>
    <mergeCell ref="B235:C235"/>
    <mergeCell ref="B236:C236"/>
    <mergeCell ref="B237:C237"/>
    <mergeCell ref="B238:C238"/>
    <mergeCell ref="B239:C239"/>
    <mergeCell ref="B240:C240"/>
    <mergeCell ref="B241:C241"/>
    <mergeCell ref="B242:C242"/>
    <mergeCell ref="B243:C243"/>
    <mergeCell ref="B226:C226"/>
    <mergeCell ref="B227:C227"/>
    <mergeCell ref="B228:C228"/>
    <mergeCell ref="B229:C229"/>
    <mergeCell ref="B230:C230"/>
    <mergeCell ref="B231:C231"/>
    <mergeCell ref="B232:C232"/>
    <mergeCell ref="B233:C233"/>
    <mergeCell ref="B234:C234"/>
    <mergeCell ref="B217:C217"/>
    <mergeCell ref="B218:C218"/>
    <mergeCell ref="B219:C219"/>
    <mergeCell ref="B220:C220"/>
    <mergeCell ref="B221:C221"/>
    <mergeCell ref="B222:C222"/>
    <mergeCell ref="B223:C223"/>
    <mergeCell ref="B224:C224"/>
    <mergeCell ref="B225:C225"/>
    <mergeCell ref="B208:C208"/>
    <mergeCell ref="B209:C209"/>
    <mergeCell ref="B210:C210"/>
    <mergeCell ref="B211:C211"/>
    <mergeCell ref="B212:C212"/>
    <mergeCell ref="B213:C213"/>
    <mergeCell ref="B214:C214"/>
    <mergeCell ref="B215:C215"/>
    <mergeCell ref="B216:C216"/>
    <mergeCell ref="B199:C199"/>
    <mergeCell ref="B200:C200"/>
    <mergeCell ref="B201:C201"/>
    <mergeCell ref="B202:C202"/>
    <mergeCell ref="B203:C203"/>
    <mergeCell ref="B204:C204"/>
    <mergeCell ref="B205:C205"/>
    <mergeCell ref="B206:C206"/>
    <mergeCell ref="B207:C207"/>
    <mergeCell ref="B190:C190"/>
    <mergeCell ref="B191:C191"/>
    <mergeCell ref="B192:C192"/>
    <mergeCell ref="B193:C193"/>
    <mergeCell ref="B194:C194"/>
    <mergeCell ref="B195:C195"/>
    <mergeCell ref="B196:C196"/>
    <mergeCell ref="B197:C197"/>
    <mergeCell ref="B198:C198"/>
    <mergeCell ref="B181:C181"/>
    <mergeCell ref="B182:C182"/>
    <mergeCell ref="B183:C183"/>
    <mergeCell ref="B184:C184"/>
    <mergeCell ref="B185:C185"/>
    <mergeCell ref="B186:C186"/>
    <mergeCell ref="B187:C187"/>
    <mergeCell ref="B188:C188"/>
    <mergeCell ref="B189:C189"/>
    <mergeCell ref="B172:C172"/>
    <mergeCell ref="B173:C173"/>
    <mergeCell ref="B174:C174"/>
    <mergeCell ref="B175:C175"/>
    <mergeCell ref="B176:C176"/>
    <mergeCell ref="B177:C177"/>
    <mergeCell ref="B178:C178"/>
    <mergeCell ref="B179:C179"/>
    <mergeCell ref="B180:C180"/>
    <mergeCell ref="B163:C163"/>
    <mergeCell ref="B164:C164"/>
    <mergeCell ref="B165:C165"/>
    <mergeCell ref="B166:C166"/>
    <mergeCell ref="B167:C167"/>
    <mergeCell ref="B168:C168"/>
    <mergeCell ref="B169:C169"/>
    <mergeCell ref="B170:C170"/>
    <mergeCell ref="B171:C171"/>
    <mergeCell ref="B154:C154"/>
    <mergeCell ref="B155:C155"/>
    <mergeCell ref="B156:C156"/>
    <mergeCell ref="B157:C157"/>
    <mergeCell ref="B158:C158"/>
    <mergeCell ref="B159:C159"/>
    <mergeCell ref="B160:C160"/>
    <mergeCell ref="B161:C161"/>
    <mergeCell ref="B162:C162"/>
    <mergeCell ref="B145:C145"/>
    <mergeCell ref="B146:C146"/>
    <mergeCell ref="B147:C147"/>
    <mergeCell ref="B148:C148"/>
    <mergeCell ref="B149:C149"/>
    <mergeCell ref="B150:C150"/>
    <mergeCell ref="B151:C151"/>
    <mergeCell ref="B152:C152"/>
    <mergeCell ref="B153:C153"/>
    <mergeCell ref="B136:C136"/>
    <mergeCell ref="B137:C137"/>
    <mergeCell ref="B138:C138"/>
    <mergeCell ref="B139:C139"/>
    <mergeCell ref="B140:C140"/>
    <mergeCell ref="B141:C141"/>
    <mergeCell ref="B142:C142"/>
    <mergeCell ref="B143:C143"/>
    <mergeCell ref="B144:C144"/>
    <mergeCell ref="B127:C127"/>
    <mergeCell ref="B128:C128"/>
    <mergeCell ref="B129:C129"/>
    <mergeCell ref="B130:C130"/>
    <mergeCell ref="B131:C131"/>
    <mergeCell ref="B132:C132"/>
    <mergeCell ref="B133:C133"/>
    <mergeCell ref="B134:C134"/>
    <mergeCell ref="B135:C135"/>
    <mergeCell ref="B118:C118"/>
    <mergeCell ref="B119:C119"/>
    <mergeCell ref="B120:C120"/>
    <mergeCell ref="B121:C121"/>
    <mergeCell ref="B122:C122"/>
    <mergeCell ref="B123:C123"/>
    <mergeCell ref="B124:C124"/>
    <mergeCell ref="B125:C125"/>
    <mergeCell ref="B126:C126"/>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A14:C14"/>
    <mergeCell ref="B15:C15"/>
    <mergeCell ref="B16:C16"/>
    <mergeCell ref="B17:C17"/>
    <mergeCell ref="A18:C18"/>
    <mergeCell ref="A1:B1"/>
    <mergeCell ref="A2:C2"/>
    <mergeCell ref="A3:C3"/>
    <mergeCell ref="A4:C4"/>
    <mergeCell ref="B5:C5"/>
    <mergeCell ref="B6:C6"/>
    <mergeCell ref="B7:C7"/>
    <mergeCell ref="B8:C8"/>
    <mergeCell ref="B9:C9"/>
  </mergeCells>
  <printOptions gridLines="1"/>
  <pageMargins left="0.7" right="0.7" top="0.75" bottom="0.75" header="0.3" footer="0.3"/>
  <pageSetup fitToHeight="0" orientation="landscape" r:id="rId1"/>
  <headerFooter>
    <oddHeader>&amp;LTable: ACSDT5Y2019.B19013</oddHeader>
    <oddFooter>&amp;L&amp;Bdata.census.gov&amp;B | Measuring America's People, Places, and Economy &amp;R&amp;P</oddFooter>
    <evenHeader>&amp;LTable: ACSDT5Y2019.B19013</evenHeader>
    <evenFooter>&amp;L&amp;Bdata.census.gov&amp;B | Measuring America's People, Places, and Economy &amp;R&amp;P</even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4A6D-0597-4B71-8EA5-CB218458741C}">
  <sheetPr>
    <tabColor rgb="FFFFFF00"/>
  </sheetPr>
  <dimension ref="B1:BG58"/>
  <sheetViews>
    <sheetView tabSelected="1" zoomScale="95" zoomScaleNormal="95" workbookViewId="0">
      <selection activeCell="N13" sqref="N13"/>
    </sheetView>
  </sheetViews>
  <sheetFormatPr baseColWidth="10" defaultColWidth="8.83203125" defaultRowHeight="15" x14ac:dyDescent="0.2"/>
  <cols>
    <col min="2" max="2" width="10.6640625" customWidth="1"/>
    <col min="3" max="3" width="16.5" customWidth="1"/>
    <col min="4" max="4" width="9.83203125" style="5" customWidth="1"/>
    <col min="5" max="5" width="12.5" style="48" bestFit="1" customWidth="1"/>
    <col min="6" max="6" width="15" style="48" customWidth="1"/>
    <col min="7" max="7" width="7.83203125" style="48" bestFit="1" customWidth="1"/>
    <col min="8" max="8" width="9.1640625" bestFit="1" customWidth="1"/>
    <col min="9" max="9" width="13.33203125" customWidth="1"/>
    <col min="10" max="10" width="14.6640625" customWidth="1"/>
    <col min="11" max="11" width="15.83203125" customWidth="1"/>
    <col min="12" max="12" width="10.83203125" customWidth="1"/>
    <col min="13" max="13" width="12.5" style="48" bestFit="1" customWidth="1"/>
    <col min="14" max="14" width="14.1640625" style="48" customWidth="1"/>
    <col min="15" max="15" width="9.1640625" style="48"/>
    <col min="17" max="17" width="12.83203125" bestFit="1" customWidth="1"/>
    <col min="18" max="18" width="21.5" bestFit="1" customWidth="1"/>
    <col min="19" max="19" width="16.5" bestFit="1" customWidth="1"/>
    <col min="20" max="20" width="11.1640625" bestFit="1" customWidth="1"/>
    <col min="21" max="21" width="13.33203125" bestFit="1" customWidth="1"/>
    <col min="22" max="22" width="11.83203125" customWidth="1"/>
    <col min="23" max="23" width="7.6640625" bestFit="1" customWidth="1"/>
    <col min="28" max="28" width="14.5" bestFit="1" customWidth="1"/>
    <col min="29" max="29" width="14.5" customWidth="1"/>
    <col min="30" max="30" width="13.5" bestFit="1" customWidth="1"/>
    <col min="31" max="31" width="13.5" customWidth="1"/>
    <col min="32" max="32" width="14.1640625" customWidth="1"/>
    <col min="33" max="33" width="13.5" customWidth="1"/>
    <col min="34" max="34" width="13.5" bestFit="1" customWidth="1"/>
    <col min="35" max="35" width="13.5" customWidth="1"/>
    <col min="36" max="36" width="20" customWidth="1"/>
    <col min="43" max="43" width="20.5" customWidth="1"/>
    <col min="44" max="44" width="20.83203125" bestFit="1" customWidth="1"/>
    <col min="45" max="46" width="15.5" customWidth="1"/>
    <col min="47" max="47" width="14.5" bestFit="1" customWidth="1"/>
    <col min="51" max="51" width="11" customWidth="1"/>
    <col min="52" max="53" width="10.1640625" customWidth="1"/>
    <col min="54" max="57" width="13.5" bestFit="1" customWidth="1"/>
  </cols>
  <sheetData>
    <row r="1" spans="2:59" ht="21" x14ac:dyDescent="0.25">
      <c r="C1" s="247" t="s">
        <v>882</v>
      </c>
      <c r="D1" s="247"/>
      <c r="E1" s="247"/>
      <c r="K1" s="237" t="s">
        <v>883</v>
      </c>
      <c r="L1" s="237"/>
      <c r="M1" s="237"/>
      <c r="R1" s="237" t="s">
        <v>884</v>
      </c>
      <c r="S1" s="237"/>
      <c r="T1" s="237"/>
      <c r="U1" s="237"/>
      <c r="V1" s="237"/>
      <c r="W1" s="237"/>
      <c r="AA1" s="237" t="s">
        <v>885</v>
      </c>
      <c r="AB1" s="237"/>
      <c r="AC1" s="237"/>
      <c r="AD1" s="237"/>
      <c r="AE1" s="237"/>
      <c r="AF1" s="237"/>
      <c r="AG1" s="237"/>
      <c r="AH1" s="237"/>
      <c r="AI1" s="237"/>
      <c r="AP1" s="237" t="s">
        <v>886</v>
      </c>
      <c r="AQ1" s="237"/>
      <c r="AR1" s="237"/>
      <c r="AS1" s="237"/>
      <c r="AT1" s="237"/>
      <c r="AU1" s="237"/>
      <c r="AZ1" t="s">
        <v>887</v>
      </c>
    </row>
    <row r="2" spans="2:59" x14ac:dyDescent="0.2">
      <c r="Z2" s="57"/>
    </row>
    <row r="3" spans="2:59" ht="16" x14ac:dyDescent="0.2">
      <c r="B3" s="10" t="s">
        <v>888</v>
      </c>
      <c r="C3" s="10" t="s">
        <v>889</v>
      </c>
      <c r="J3" s="10" t="s">
        <v>890</v>
      </c>
      <c r="K3" s="10" t="s">
        <v>891</v>
      </c>
      <c r="L3" s="5"/>
      <c r="Z3" s="57"/>
      <c r="AA3" s="10" t="s">
        <v>892</v>
      </c>
      <c r="AB3" s="10" t="s">
        <v>893</v>
      </c>
      <c r="AC3" s="10"/>
      <c r="AP3" t="s">
        <v>894</v>
      </c>
      <c r="AQ3" s="62" t="s">
        <v>895</v>
      </c>
      <c r="AY3" t="s">
        <v>894</v>
      </c>
      <c r="AZ3" t="s">
        <v>896</v>
      </c>
    </row>
    <row r="4" spans="2:59" x14ac:dyDescent="0.2">
      <c r="L4" s="5"/>
      <c r="R4" s="10" t="s">
        <v>897</v>
      </c>
      <c r="S4" s="10" t="s">
        <v>898</v>
      </c>
      <c r="Z4" s="70" t="s">
        <v>899</v>
      </c>
      <c r="AA4" t="s">
        <v>900</v>
      </c>
    </row>
    <row r="5" spans="2:59" ht="48" x14ac:dyDescent="0.2">
      <c r="B5" s="240" t="s">
        <v>901</v>
      </c>
      <c r="C5" s="240"/>
      <c r="D5" s="240"/>
      <c r="E5" s="73" t="s">
        <v>902</v>
      </c>
      <c r="F5" s="74" t="s">
        <v>903</v>
      </c>
      <c r="G5" s="75" t="s">
        <v>904</v>
      </c>
      <c r="H5" s="83" t="s">
        <v>905</v>
      </c>
      <c r="J5" s="240" t="s">
        <v>906</v>
      </c>
      <c r="K5" s="240"/>
      <c r="L5" s="240"/>
      <c r="M5" s="73" t="s">
        <v>902</v>
      </c>
      <c r="N5" s="76" t="s">
        <v>903</v>
      </c>
      <c r="O5" s="75" t="s">
        <v>907</v>
      </c>
      <c r="P5" s="83" t="s">
        <v>905</v>
      </c>
      <c r="R5" s="83" t="s">
        <v>908</v>
      </c>
      <c r="S5" s="83" t="s">
        <v>909</v>
      </c>
      <c r="T5" s="83" t="s">
        <v>910</v>
      </c>
      <c r="U5" s="83" t="s">
        <v>911</v>
      </c>
      <c r="V5" s="83" t="s">
        <v>912</v>
      </c>
      <c r="W5" s="83" t="s">
        <v>913</v>
      </c>
      <c r="Z5" s="57"/>
      <c r="AA5" s="77" t="s">
        <v>914</v>
      </c>
      <c r="AB5" s="77" t="s">
        <v>915</v>
      </c>
      <c r="AC5" s="77" t="s">
        <v>916</v>
      </c>
      <c r="AD5" s="77" t="s">
        <v>917</v>
      </c>
      <c r="AE5" s="77" t="s">
        <v>916</v>
      </c>
      <c r="AF5" s="77" t="s">
        <v>907</v>
      </c>
      <c r="AG5" s="77" t="s">
        <v>918</v>
      </c>
      <c r="AH5" s="77" t="s">
        <v>919</v>
      </c>
      <c r="AI5" s="77" t="s">
        <v>920</v>
      </c>
      <c r="AJ5" s="77" t="s">
        <v>921</v>
      </c>
      <c r="AQ5" s="240" t="s">
        <v>922</v>
      </c>
      <c r="AR5" s="240"/>
      <c r="AS5" s="240"/>
      <c r="AT5" s="73" t="s">
        <v>902</v>
      </c>
      <c r="AU5" s="74" t="s">
        <v>903</v>
      </c>
      <c r="AZ5" s="239" t="s">
        <v>923</v>
      </c>
      <c r="BA5" s="239"/>
      <c r="BB5" s="85" t="s">
        <v>924</v>
      </c>
      <c r="BC5" s="86" t="s">
        <v>925</v>
      </c>
      <c r="BD5" s="85" t="s">
        <v>926</v>
      </c>
      <c r="BE5" s="86" t="s">
        <v>907</v>
      </c>
      <c r="BF5" s="86" t="s">
        <v>905</v>
      </c>
    </row>
    <row r="6" spans="2:59" x14ac:dyDescent="0.2">
      <c r="B6" s="241" t="s">
        <v>927</v>
      </c>
      <c r="C6" s="242" t="s">
        <v>928</v>
      </c>
      <c r="D6" s="5" t="s">
        <v>929</v>
      </c>
      <c r="E6" s="48">
        <f>SUMIFS(Table8[CLM $ Collected ],Table8[Distressed Tract1],"Yes")</f>
        <v>2851710.2616770379</v>
      </c>
      <c r="F6" s="48">
        <f>SUMIFS(Table8[Incentive Disbursements],Table8[Distressed Tract1],"Yes")</f>
        <v>4543044.38</v>
      </c>
      <c r="G6" s="48">
        <f>(F6/E6)*100</f>
        <v>159.30946565827904</v>
      </c>
      <c r="H6" t="str">
        <f>IF($G$16&lt;=G6, "Yes","No")</f>
        <v>Yes</v>
      </c>
      <c r="J6" s="241" t="s">
        <v>927</v>
      </c>
      <c r="K6" s="242" t="s">
        <v>928</v>
      </c>
      <c r="L6" s="5" t="s">
        <v>929</v>
      </c>
      <c r="M6" s="48">
        <f>SUMIFS(Table325[CLM $ Collected ],Table325[Distressed Tract1],"Yes")</f>
        <v>2666397.0895279669</v>
      </c>
      <c r="N6" s="48">
        <f>SUMIFS(Table325[Incentive Disbursements],Table325[Distressed Tract1],"Yes")</f>
        <v>2868480.1</v>
      </c>
      <c r="O6" s="48">
        <f>(N6/M6)*100</f>
        <v>107.5788790523998</v>
      </c>
      <c r="P6" t="str">
        <f>IF($O$15&lt;=O6, "Yes","No")</f>
        <v>No</v>
      </c>
      <c r="R6" s="241" t="s">
        <v>930</v>
      </c>
      <c r="S6" s="5" t="s">
        <v>931</v>
      </c>
      <c r="T6" s="5">
        <f>SUMIFS(Table3236[Total Units],Table3236[Distressed Tract1],"Yes")</f>
        <v>369</v>
      </c>
      <c r="U6" s="5">
        <f>SUMIFS(Table3236[Single Family],Table3236[Distressed Tract1],"Yes")</f>
        <v>265</v>
      </c>
      <c r="V6" s="5">
        <f>SUMIFS(Table3236[2-4 Units],Table3236[Distressed Tract1],"Yes")</f>
        <v>102</v>
      </c>
      <c r="W6" s="5">
        <f>SUMIFS(Table3236[&gt;4 Units],Table3236[Distressed Tract1],"No")</f>
        <v>20</v>
      </c>
      <c r="Z6" s="57" t="s">
        <v>932</v>
      </c>
      <c r="AA6" s="57">
        <v>1</v>
      </c>
      <c r="AB6" s="61">
        <f>SUMIFS(Table3[CLM $ Collected ],Table3[BIPOC Index],AA6)+SUMIFS('3.) Large Load'!$D$6:$D$239,'3.) Large Load'!$P$6:$P$239,AA6)+SUMIFS(Table8[CLM $ Collected ],Table8[BIPOC Index],AA6)+SUMIFS(Table325[CLM $ Collected ],Table325[BIPOC Index],AA6)</f>
        <v>14312097.726437114</v>
      </c>
      <c r="AC6" s="61">
        <f>(AB6/$AB$11)*100</f>
        <v>13.064389696674866</v>
      </c>
      <c r="AD6" s="61">
        <f>SUMIFS(Table3[Incentive Disbursements],Table3[BIPOC Index],AA6)+SUMIFS('3.) Large Load'!$F$6:$F$239,'3.) Large Load'!$P$6:$P$239,AA6)+SUMIFS(Table8[Incentive Disbursements],Table8[BIPOC Index],AA6)+SUMIFS(Table325[Incentive Disbursements],Table325[BIPOC Index],AA6)</f>
        <v>17796465.581</v>
      </c>
      <c r="AE6" s="61">
        <f>(AD6/$AD$11)*100</f>
        <v>11.782670380848357</v>
      </c>
      <c r="AF6" s="61">
        <f>AE6/AC6</f>
        <v>0.90189213996328277</v>
      </c>
      <c r="AG6" s="61">
        <f>SUMIFS(Table3[Residential CLM $ Collected],Table3[BIPOC Index],AA6)+SUMIFS('3.) Large Load'!$H$6:$H$239,'3.) Large Load'!$P$6:$P$239,AA6)+SUMIFS(Table8[Residential CLM $ Collected],Table8[BIPOC Index],AA6)+SUMIFS(Table325[Residential CLM $ Collected],Table325[BIPOC Index],AA6)</f>
        <v>8680625.8996283244</v>
      </c>
      <c r="AH6" s="61">
        <f>SUMIFS(Table3[Residential Incentive Disbursements],Table3[BIPOC Index],AA6)+SUMIFS('3.) Large Load'!$J$6:$J$239,'3.) Large Load'!$P$6:$P$239,AA6)+SUMIFS(Table8[Residential Incentive Disbursements],Table8[BIPOC Index],AA6)+SUMIFS(Table325[Residential Incentive Disbursements],Table325[BIPOC Index],AA6)</f>
        <v>11134066.184999989</v>
      </c>
      <c r="AI6" s="61">
        <f>SUMIFS(Table3[C&amp;I CLM $ Collected],Table3[BIPOC Index],AA6)+SUMIFS('3.) Large Load'!$L$6:$L$239,'3.) Large Load'!$P$6:$P$239,AA6)+SUMIFS(Table8[C&amp;I CLM $ Collected],Table8[BIPOC Index],AA6)+SUMIFS(Table325[C&amp;I CLM $ Collected],Table325[BIPOC Index],AA6)</f>
        <v>5631471.826808786</v>
      </c>
      <c r="AJ6" s="61">
        <f>SUMIFS(Table3[C&amp;I Incentive Disbursements],Table3[BIPOC Index],AA6)+SUMIFS('3.) Large Load'!$N$6:$N$239,'3.) Large Load'!$P$6:$P$239,AA6)+SUMIFS(Table8[C&amp;I Incentive Disbursements],Table8[BIPOC Index],AA6)+SUMIFS(Table325[C&amp;I Incentive Disbursements],Table325[BIPOC Index],AA6)</f>
        <v>6662399.3959999997</v>
      </c>
      <c r="AQ6" s="241" t="s">
        <v>927</v>
      </c>
      <c r="AR6" s="242" t="s">
        <v>933</v>
      </c>
      <c r="AS6" s="5" t="s">
        <v>929</v>
      </c>
      <c r="AT6" s="32">
        <f>SUMIFS(Table8[CLM $ Collected ],Table8[Energy Burdened?],"Yes")+SUMIFS(Table325[CLM $ Collected ],Table325[Energy Burdened?],"Yes")</f>
        <v>3833953.9105346529</v>
      </c>
      <c r="AU6" s="32">
        <f>SUMIFS(Table8[Incentive Disbursements],Table8[Energy Burdened?],"Yes")+SUMIFS(Table325[Incentive Disbursements],Table325[Energy Burdened?],"Yes")</f>
        <v>5339168.8500000006</v>
      </c>
      <c r="AZ6" t="s">
        <v>934</v>
      </c>
      <c r="BA6" t="s">
        <v>935</v>
      </c>
      <c r="BB6">
        <v>16799</v>
      </c>
      <c r="BC6" s="32">
        <f>SUMIFS(Table3236[CLM $ Collected ],Table3236[Town],"Bridgeport")</f>
        <v>1512544.829056927</v>
      </c>
      <c r="BD6" s="32">
        <f>SUMIFS(Table3236[Incentive Disbursements],Table3236[Town],"Bridgeport")</f>
        <v>1067660.4799999997</v>
      </c>
      <c r="BE6">
        <f>(BD6/BC6)*100</f>
        <v>70.587030512390626</v>
      </c>
      <c r="BF6" t="s">
        <v>936</v>
      </c>
    </row>
    <row r="7" spans="2:59" x14ac:dyDescent="0.2">
      <c r="B7" s="241"/>
      <c r="C7" s="242"/>
      <c r="D7" s="5" t="s">
        <v>937</v>
      </c>
      <c r="E7" s="48">
        <f>E6/(E6+E8)*100</f>
        <v>20.546533503743692</v>
      </c>
      <c r="F7" s="48">
        <f>F6/(F6+F8)*100</f>
        <v>20.082926993041365</v>
      </c>
      <c r="J7" s="241"/>
      <c r="K7" s="242"/>
      <c r="L7" s="5" t="s">
        <v>937</v>
      </c>
      <c r="M7" s="48">
        <f>M6/(M6+M8)*100</f>
        <v>30.804580287900627</v>
      </c>
      <c r="N7" s="48">
        <f>N6/(N6+N8)*100</f>
        <v>29.362633548973051</v>
      </c>
      <c r="R7" s="241"/>
      <c r="S7" s="5" t="s">
        <v>938</v>
      </c>
      <c r="T7" s="5">
        <f>SUMIFS(Table3236[Total Units],Table3236[Distressed Tract1],"No")</f>
        <v>3598</v>
      </c>
      <c r="U7" s="5">
        <f>SUMIFS(Table3236[Single Family],Table3236[Distressed Tract1],"No")</f>
        <v>3456</v>
      </c>
      <c r="V7" s="5">
        <f>SUMIFS(Table3236[2-4 Units],Table3236[Distressed Tract1],"No")</f>
        <v>122</v>
      </c>
      <c r="W7" s="5">
        <f>SUMIFS(Table3236[&gt;4 Units],Table3236[Distressed Tract1],"Yes")</f>
        <v>2</v>
      </c>
      <c r="Z7" s="57"/>
      <c r="AA7" s="57">
        <v>2</v>
      </c>
      <c r="AB7" s="61">
        <f>SUMIFS(Table3[CLM $ Collected ],Table3[BIPOC Index],AA7)+SUMIFS('3.) Large Load'!$D$6:$D$239,'3.) Large Load'!$P$6:$P$239,AA7)+SUMIFS(Table8[CLM $ Collected ],Table8[BIPOC Index],AA7)+SUMIFS(Table325[CLM $ Collected ],Table325[BIPOC Index],AA7)</f>
        <v>16867356.031851359</v>
      </c>
      <c r="AC7" s="61">
        <f t="shared" ref="AC7:AC10" si="0">(AB7/$AB$11)*100</f>
        <v>15.39688426984511</v>
      </c>
      <c r="AD7" s="61">
        <f>SUMIFS(Table3[Incentive Disbursements],Table3[BIPOC Index],AA7)+SUMIFS('3.) Large Load'!$F$6:$F$239,'3.) Large Load'!$P$6:$P$239,AA7)+SUMIFS(Table8[Incentive Disbursements],Table8[BIPOC Index],AA7)+SUMIFS(Table325[Incentive Disbursements],Table325[BIPOC Index],AA7)</f>
        <v>33400869.15969998</v>
      </c>
      <c r="AE7" s="61">
        <f t="shared" ref="AE7:AE10" si="1">(AD7/$AD$11)*100</f>
        <v>22.114022020347385</v>
      </c>
      <c r="AF7" s="61">
        <f t="shared" ref="AF7:AF10" si="2">AE7/AC7</f>
        <v>1.4362660414131858</v>
      </c>
      <c r="AG7" s="61">
        <f>SUMIFS(Table3[Residential CLM $ Collected],Table3[BIPOC Index],AA7)+SUMIFS('3.) Large Load'!$H$6:$H$239,'3.) Large Load'!$P$6:$P$239,AA7)+SUMIFS(Table8[Residential CLM $ Collected],Table8[BIPOC Index],AA7)+SUMIFS(Table325[Residential CLM $ Collected],Table325[BIPOC Index],AA7)</f>
        <v>10436566.031490346</v>
      </c>
      <c r="AH7" s="61">
        <f>SUMIFS(Table3[Residential Incentive Disbursements],Table3[BIPOC Index],AA7)+SUMIFS('3.) Large Load'!$J$6:$J$239,'3.) Large Load'!$P$6:$P$239,AA7)+SUMIFS(Table8[Residential Incentive Disbursements],Table8[BIPOC Index],AA7)+SUMIFS(Table325[Residential Incentive Disbursements],Table325[BIPOC Index],AA7)</f>
        <v>22499884.652499981</v>
      </c>
      <c r="AI7" s="61">
        <f>SUMIFS(Table3[C&amp;I CLM $ Collected],Table3[BIPOC Index],AA7)+SUMIFS('3.) Large Load'!$L$6:$L$239,'3.) Large Load'!$P$6:$P$239,AA7)+SUMIFS(Table8[C&amp;I CLM $ Collected],Table8[BIPOC Index],AA7)+SUMIFS(Table325[C&amp;I CLM $ Collected],Table325[BIPOC Index],AA7)</f>
        <v>6430790.0003610123</v>
      </c>
      <c r="AJ7" s="61">
        <f>SUMIFS(Table3[C&amp;I Incentive Disbursements],Table3[BIPOC Index],AA7)+SUMIFS('3.) Large Load'!$N$6:$N$239,'3.) Large Load'!$P$6:$P$239,AA7)+SUMIFS(Table8[C&amp;I Incentive Disbursements],Table8[BIPOC Index],AA7)+SUMIFS(Table325[C&amp;I Incentive Disbursements],Table325[BIPOC Index],AA7)</f>
        <v>10900984.507199997</v>
      </c>
      <c r="AQ7" s="241"/>
      <c r="AR7" s="242"/>
      <c r="AS7" s="5" t="s">
        <v>937</v>
      </c>
      <c r="AT7" s="48">
        <f>(AT6/(AT6+AT8))*100</f>
        <v>17.013237109170987</v>
      </c>
      <c r="AU7" s="48">
        <f>(AU6/(AU6+AU8))*100</f>
        <v>17.137890840680601</v>
      </c>
      <c r="BA7" t="s">
        <v>939</v>
      </c>
      <c r="BB7" s="48">
        <f>(BB6/53713)*100</f>
        <v>31.275482657829574</v>
      </c>
      <c r="BC7" s="48">
        <f>(BC6/12129793)*100</f>
        <v>12.46966728168343</v>
      </c>
      <c r="BD7" s="48">
        <f>(BD6/8494544.29)*100</f>
        <v>12.568778777890156</v>
      </c>
      <c r="BE7">
        <f>BC7/BB7</f>
        <v>0.39870423162156204</v>
      </c>
    </row>
    <row r="8" spans="2:59" x14ac:dyDescent="0.2">
      <c r="B8" s="241"/>
      <c r="C8" s="242" t="s">
        <v>940</v>
      </c>
      <c r="D8" s="5" t="s">
        <v>929</v>
      </c>
      <c r="E8" s="48">
        <f>SUMIFS(Table8[CLM $ Collected ],Table8[Distressed Tract1],"No")</f>
        <v>11027566.557244463</v>
      </c>
      <c r="F8" s="48">
        <f>SUMIFS(Table8[Incentive Disbursements],Table8[Distressed Tract1],"No")</f>
        <v>18078381.180000003</v>
      </c>
      <c r="G8" s="48">
        <f t="shared" ref="G8:G15" si="3">(F8/E8)*100</f>
        <v>163.93808267811877</v>
      </c>
      <c r="H8" t="str">
        <f>IF($G$16&lt;=G8, "Yes","No")</f>
        <v>Yes</v>
      </c>
      <c r="J8" s="241"/>
      <c r="K8" s="242" t="s">
        <v>940</v>
      </c>
      <c r="L8" s="5" t="s">
        <v>929</v>
      </c>
      <c r="M8" s="48">
        <f>SUMIFS(Table325[CLM $ Collected ],Table325[Distressed Tract1],"No")</f>
        <v>5989449.10155054</v>
      </c>
      <c r="N8" s="48">
        <f>SUMIFS(Table325[Incentive Disbursements],Table325[Distressed Tract1],"No")</f>
        <v>6900671.2100000009</v>
      </c>
      <c r="O8" s="48">
        <f t="shared" ref="O8:O14" si="4">(N8/M8)*100</f>
        <v>115.21378833010812</v>
      </c>
      <c r="P8" t="str">
        <f t="shared" ref="P8:P12" si="5">IF($O$15&lt;=O8, "Yes","No")</f>
        <v>No</v>
      </c>
      <c r="R8" s="246" t="s">
        <v>941</v>
      </c>
      <c r="S8" s="5" t="s">
        <v>931</v>
      </c>
      <c r="T8" s="5">
        <f>SUMIFS(Table323[Total Units],Table323[Distressed Tract1],"Yes")</f>
        <v>702</v>
      </c>
      <c r="U8" s="5">
        <f>SUMIFS(Table323[Single Family],Table323[Distressed Tract1],"Yes")</f>
        <v>178</v>
      </c>
      <c r="V8" s="5">
        <f>SUMIFS(Table323[2-4 Units],Table323[Distressed Tract1],"Yes")</f>
        <v>4</v>
      </c>
      <c r="W8" s="5">
        <f>SUMIFS(Table323[&gt;4 Units],Table323[Distressed Tract1],"Yes")</f>
        <v>520</v>
      </c>
      <c r="Z8" s="57"/>
      <c r="AA8" s="57">
        <v>3</v>
      </c>
      <c r="AB8" s="61">
        <f>SUMIFS(Table3[CLM $ Collected ],Table3[BIPOC Index],AA8)+SUMIFS('3.) Large Load'!$D$6:$D$239,'3.) Large Load'!$P$6:$P$239,AA8)+SUMIFS(Table8[CLM $ Collected ],Table8[BIPOC Index],AA8)+SUMIFS(Table325[CLM $ Collected ],Table325[BIPOC Index],AA8)</f>
        <v>24757096.88846932</v>
      </c>
      <c r="AC8" s="61">
        <f t="shared" si="0"/>
        <v>22.598808902195568</v>
      </c>
      <c r="AD8" s="61">
        <f>SUMIFS(Table3[Incentive Disbursements],Table3[BIPOC Index],AA8)+SUMIFS('3.) Large Load'!$F$6:$F$239,'3.) Large Load'!$P$6:$P$239,AA8)+SUMIFS(Table8[Incentive Disbursements],Table8[BIPOC Index],AA8)+SUMIFS(Table325[Incentive Disbursements],Table325[BIPOC Index],AA8)</f>
        <v>30120731.099500012</v>
      </c>
      <c r="AE8" s="61">
        <f t="shared" si="1"/>
        <v>19.942310711093146</v>
      </c>
      <c r="AF8" s="61">
        <f t="shared" si="2"/>
        <v>0.8824496369432846</v>
      </c>
      <c r="AG8" s="61">
        <f>SUMIFS(Table3[Residential CLM $ Collected],Table3[BIPOC Index],AA8)+SUMIFS('3.) Large Load'!$H$6:$H$239,'3.) Large Load'!$P$6:$P$239,AA8)+SUMIFS(Table8[Residential CLM $ Collected],Table8[BIPOC Index],AA8)+SUMIFS(Table325[Residential CLM $ Collected],Table325[BIPOC Index],AA8)</f>
        <v>12314230.606338196</v>
      </c>
      <c r="AH8" s="61">
        <f>SUMIFS(Table3[Residential Incentive Disbursements],Table3[BIPOC Index],AA8)+SUMIFS('3.) Large Load'!$J$6:$J$239,'3.) Large Load'!$P$6:$P$239,AA8)+SUMIFS(Table8[Residential Incentive Disbursements],Table8[BIPOC Index],AA8)+SUMIFS(Table325[Residential Incentive Disbursements],Table325[BIPOC Index],AA8)</f>
        <v>16216479.38750001</v>
      </c>
      <c r="AI8" s="61">
        <f>SUMIFS(Table3[C&amp;I CLM $ Collected],Table3[BIPOC Index],AA8)+SUMIFS('3.) Large Load'!$L$6:$L$239,'3.) Large Load'!$P$6:$P$239,AA8)+SUMIFS(Table8[C&amp;I CLM $ Collected],Table8[BIPOC Index],AA8)+SUMIFS(Table325[C&amp;I CLM $ Collected],Table325[BIPOC Index],AA8)</f>
        <v>12442866.282131126</v>
      </c>
      <c r="AJ8" s="61">
        <f>SUMIFS(Table3[C&amp;I Incentive Disbursements],Table3[BIPOC Index],AA8)+SUMIFS('3.) Large Load'!$N$6:$N$239,'3.) Large Load'!$P$6:$P$239,AA8)+SUMIFS(Table8[C&amp;I Incentive Disbursements],Table8[BIPOC Index],AA8)+SUMIFS(Table325[C&amp;I Incentive Disbursements],Table325[BIPOC Index],AA8)</f>
        <v>13904251.711999999</v>
      </c>
      <c r="AQ8" s="241"/>
      <c r="AR8" s="242" t="s">
        <v>942</v>
      </c>
      <c r="AS8" s="5" t="s">
        <v>929</v>
      </c>
      <c r="AT8" s="32">
        <f>SUMIFS(Table8[CLM $ Collected ],Table8[Energy Burdened?],"No")+SUMIFS(Table325[CLM $ Collected ],Table325[Energy Burdened?],"No")</f>
        <v>18701169.099465363</v>
      </c>
      <c r="AU8" s="32">
        <f>SUMIFS(Table8[Incentive Disbursements],Table8[Energy Burdened?],"No")+SUMIFS(Table325[Incentive Disbursements],Table325[Energy Burdened?],"No")</f>
        <v>25815008.170000002</v>
      </c>
      <c r="AZ8" t="s">
        <v>943</v>
      </c>
      <c r="BA8" t="s">
        <v>935</v>
      </c>
      <c r="BB8">
        <v>11218</v>
      </c>
      <c r="BC8" s="32">
        <f>SUMIFS(Table3236[CLM $ Collected ],Table3236[Town],"New Haven")</f>
        <v>1393136.4968591058</v>
      </c>
      <c r="BD8" s="32">
        <f>SUMIFS(Table3236[Incentive Disbursements],Table3236[Town],"New Haven")</f>
        <v>1610000.8300000005</v>
      </c>
      <c r="BE8">
        <f t="shared" ref="BE8:BE10" si="6">(BD8/BC8)*100</f>
        <v>115.56662492367589</v>
      </c>
      <c r="BF8" s="32" t="s">
        <v>944</v>
      </c>
    </row>
    <row r="9" spans="2:59" x14ac:dyDescent="0.2">
      <c r="B9" s="241"/>
      <c r="C9" s="242"/>
      <c r="D9" s="5" t="s">
        <v>937</v>
      </c>
      <c r="E9" s="48">
        <f>E8/(E8+E6)*100</f>
        <v>79.453466496256311</v>
      </c>
      <c r="F9" s="48">
        <f>F8/(F8+F6)*100</f>
        <v>79.917073006958645</v>
      </c>
      <c r="J9" s="241"/>
      <c r="K9" s="242"/>
      <c r="L9" s="5" t="s">
        <v>937</v>
      </c>
      <c r="M9" s="48">
        <f>M8/(M8+M6)*100</f>
        <v>69.19541971209938</v>
      </c>
      <c r="N9" s="48">
        <f>N8/(N8+N6)*100</f>
        <v>70.637366451026963</v>
      </c>
      <c r="R9" s="246"/>
      <c r="S9" s="5" t="s">
        <v>938</v>
      </c>
      <c r="T9" s="5">
        <f>SUMIFS(Table323[Total Units],Table323[Distressed Tract1],"No")</f>
        <v>21127</v>
      </c>
      <c r="U9" s="5">
        <f>SUMIFS(Table323[Single Family],Table323[Distressed Tract1],"No")</f>
        <v>15601</v>
      </c>
      <c r="V9" s="5">
        <f>SUMIFS(Table323[2-4 Units],Table323[Distressed Tract1],"No")</f>
        <v>322</v>
      </c>
      <c r="W9" s="5">
        <f>SUMIFS(Table323[&gt;4 Units],Table323[Distressed Tract1],"No")</f>
        <v>5204</v>
      </c>
      <c r="Z9" s="57"/>
      <c r="AA9" s="57">
        <v>4</v>
      </c>
      <c r="AB9" s="61">
        <f>SUMIFS(Table3[CLM $ Collected ],Table3[BIPOC Index],AA9)+SUMIFS('3.) Large Load'!$D$6:$D$239,'3.) Large Load'!$P$6:$P$239,AA9)+SUMIFS(Table8[CLM $ Collected ],Table8[BIPOC Index],AA9)+SUMIFS(Table325[CLM $ Collected ],Table325[BIPOC Index],AA9)</f>
        <v>31880740.973719127</v>
      </c>
      <c r="AC9" s="61">
        <f t="shared" si="0"/>
        <v>29.101423974352748</v>
      </c>
      <c r="AD9" s="61">
        <f>SUMIFS(Table3[Incentive Disbursements],Table3[BIPOC Index],AA9)+SUMIFS('3.) Large Load'!$F$6:$F$239,'3.) Large Load'!$P$6:$P$239,AA9)+SUMIFS(Table8[Incentive Disbursements],Table8[BIPOC Index],AA9)+SUMIFS(Table325[Incentive Disbursements],Table325[BIPOC Index],AA9)</f>
        <v>41381132.3226</v>
      </c>
      <c r="AE9" s="61">
        <f t="shared" si="1"/>
        <v>27.397588578713055</v>
      </c>
      <c r="AF9" s="61">
        <f t="shared" si="2"/>
        <v>0.94145182046276177</v>
      </c>
      <c r="AG9" s="61">
        <f>SUMIFS(Table3[Residential CLM $ Collected],Table3[BIPOC Index],AA9)+SUMIFS('3.) Large Load'!$H$6:$H$239,'3.) Large Load'!$P$6:$P$239,AA9)+SUMIFS(Table8[Residential CLM $ Collected],Table8[BIPOC Index],AA9)+SUMIFS(Table325[Residential CLM $ Collected],Table325[BIPOC Index],AA9)</f>
        <v>13754369.131790357</v>
      </c>
      <c r="AH9" s="61">
        <f>SUMIFS(Table3[Residential Incentive Disbursements],Table3[BIPOC Index],AA9)+SUMIFS('3.) Large Load'!$J$6:$J$239,'3.) Large Load'!$P$6:$P$239,AA9)+SUMIFS(Table8[Residential Incentive Disbursements],Table8[BIPOC Index],AA9)+SUMIFS(Table325[Residential Incentive Disbursements],Table325[BIPOC Index],AA9)</f>
        <v>18807811.695</v>
      </c>
      <c r="AI9" s="61">
        <f>SUMIFS(Table3[C&amp;I CLM $ Collected],Table3[BIPOC Index],AA9)+SUMIFS('3.) Large Load'!$L$6:$L$239,'3.) Large Load'!$P$6:$P$239,AA9)+SUMIFS(Table8[C&amp;I CLM $ Collected],Table8[BIPOC Index],AA9)+SUMIFS(Table325[C&amp;I CLM $ Collected],Table325[BIPOC Index],AA9)</f>
        <v>18126371.841928776</v>
      </c>
      <c r="AJ9" s="61">
        <f>SUMIFS(Table3[C&amp;I Incentive Disbursements],Table3[BIPOC Index],AA9)+SUMIFS('3.) Large Load'!$N$6:$N$239,'3.) Large Load'!$P$6:$P$239,AA9)+SUMIFS(Table8[C&amp;I Incentive Disbursements],Table8[BIPOC Index],AA9)+SUMIFS(Table325[C&amp;I Incentive Disbursements],Table325[BIPOC Index],AA9)</f>
        <v>22573320.627599999</v>
      </c>
      <c r="AQ9" s="241"/>
      <c r="AR9" s="242"/>
      <c r="AS9" s="5" t="s">
        <v>937</v>
      </c>
      <c r="AT9" s="48">
        <f>(AT8/(AT8+AT6))*100</f>
        <v>82.986762890829013</v>
      </c>
      <c r="AU9" s="48">
        <f>(AU8/(AU8+AU6))*100</f>
        <v>82.862109159319402</v>
      </c>
      <c r="BA9" t="s">
        <v>939</v>
      </c>
      <c r="BB9" s="48">
        <f>(BB8/53713)*100</f>
        <v>20.885074376780295</v>
      </c>
      <c r="BC9" s="48">
        <f>(BC8/12129793)*100</f>
        <v>11.485245435425863</v>
      </c>
      <c r="BD9" s="48">
        <f>(BD8/8494544.29)*100</f>
        <v>18.95335141044983</v>
      </c>
      <c r="BE9">
        <f>BC9/BB9</f>
        <v>0.54992600113480961</v>
      </c>
      <c r="BG9" s="12" t="s">
        <v>945</v>
      </c>
    </row>
    <row r="10" spans="2:59" x14ac:dyDescent="0.2">
      <c r="B10" s="5" t="s">
        <v>947</v>
      </c>
      <c r="C10" s="5" t="s">
        <v>948</v>
      </c>
      <c r="E10" s="48">
        <f>SUM(E6,E8)</f>
        <v>13879276.818921501</v>
      </c>
      <c r="F10" s="48">
        <f>SUM(F6,F8)</f>
        <v>22621425.560000002</v>
      </c>
      <c r="G10" s="64">
        <f t="shared" ref="G10" si="7">(F10/E10)*100</f>
        <v>162.98706233137742</v>
      </c>
      <c r="J10" s="246" t="s">
        <v>946</v>
      </c>
      <c r="K10" s="242" t="s">
        <v>928</v>
      </c>
      <c r="L10" s="5" t="s">
        <v>929</v>
      </c>
      <c r="M10" s="48">
        <f>SUMIFS(Table2[CLM $ Collected ],Table2[Distressed Tract1],"Yes")</f>
        <v>398296.21320300002</v>
      </c>
      <c r="N10" s="48">
        <f>SUMIFS(Table2[Incentive Disbursements],Table2[Distressed Tract1],"Yes")</f>
        <v>1798768.466</v>
      </c>
      <c r="O10" s="48">
        <f t="shared" si="4"/>
        <v>451.61575891840579</v>
      </c>
      <c r="P10" t="str">
        <f t="shared" si="5"/>
        <v>Yes</v>
      </c>
      <c r="R10" s="5" t="s">
        <v>947</v>
      </c>
      <c r="S10" s="5" t="s">
        <v>948</v>
      </c>
      <c r="T10" s="5">
        <f>SUM(T6:T9)</f>
        <v>25796</v>
      </c>
      <c r="U10" s="5">
        <f t="shared" ref="U10:W10" si="8">SUM(U6:U9)</f>
        <v>19500</v>
      </c>
      <c r="V10" s="5">
        <f t="shared" si="8"/>
        <v>550</v>
      </c>
      <c r="W10" s="5">
        <f t="shared" si="8"/>
        <v>5746</v>
      </c>
      <c r="Z10" s="57" t="s">
        <v>949</v>
      </c>
      <c r="AA10" s="57">
        <v>5</v>
      </c>
      <c r="AB10" s="61">
        <f>SUMIFS(Table3[CLM $ Collected ],Table3[BIPOC Index],AA10)+SUMIFS('3.) Large Load'!$D$6:$D$239,'3.) Large Load'!$P$6:$P$239,AA10)+SUMIFS(Table8[CLM $ Collected ],Table8[BIPOC Index],AA10)+SUMIFS(Table325[CLM $ Collected ],Table325[BIPOC Index],AA10)</f>
        <v>21733158.563046087</v>
      </c>
      <c r="AC10" s="61">
        <f t="shared" si="0"/>
        <v>19.838493156931701</v>
      </c>
      <c r="AD10" s="61">
        <f>SUMIFS(Table3[Incentive Disbursements],Table3[BIPOC Index],AA10)+SUMIFS('3.) Large Load'!$F$6:$F$239,'3.) Large Load'!$P$6:$P$239,AA10)+SUMIFS(Table8[Incentive Disbursements],Table8[BIPOC Index],AA10)+SUMIFS(Table325[Incentive Disbursements],Table325[BIPOC Index],AA10)</f>
        <v>28340124.891900003</v>
      </c>
      <c r="AE10" s="61">
        <f t="shared" si="1"/>
        <v>18.763408308998063</v>
      </c>
      <c r="AF10" s="61">
        <f t="shared" si="2"/>
        <v>0.94580813979019385</v>
      </c>
      <c r="AG10" s="61">
        <f>SUMIFS(Table3[Residential CLM $ Collected],Table3[BIPOC Index],AA10)+SUMIFS('3.) Large Load'!$H$6:$H$239,'3.) Large Load'!$P$6:$P$239,AA10)+SUMIFS(Table8[Residential CLM $ Collected],Table8[BIPOC Index],AA10)+SUMIFS(Table325[Residential CLM $ Collected],Table325[BIPOC Index],AA10)</f>
        <v>9090507.0469938405</v>
      </c>
      <c r="AH10" s="61">
        <f>SUMIFS(Table3[Residential Incentive Disbursements],Table3[BIPOC Index],AA10)+SUMIFS('3.) Large Load'!$J$6:$J$239,'3.) Large Load'!$P$6:$P$239,AA10)+SUMIFS(Table8[Residential Incentive Disbursements],Table8[BIPOC Index],AA10)+SUMIFS(Table325[Residential Incentive Disbursements],Table325[BIPOC Index],AA10)</f>
        <v>9812939.3375000022</v>
      </c>
      <c r="AI10" s="61">
        <f>SUMIFS(Table3[C&amp;I CLM $ Collected],Table3[BIPOC Index],AA10)+SUMIFS('3.) Large Load'!$L$6:$L$239,'3.) Large Load'!$P$6:$P$239,AA10)+SUMIFS(Table8[C&amp;I CLM $ Collected],Table8[BIPOC Index],AA10)+SUMIFS(Table325[C&amp;I CLM $ Collected],Table325[BIPOC Index],AA10)</f>
        <v>12642651.516052239</v>
      </c>
      <c r="AJ10" s="61">
        <f>SUMIFS(Table3[C&amp;I Incentive Disbursements],Table3[BIPOC Index],AA10)+SUMIFS('3.) Large Load'!$N$6:$N$239,'3.) Large Load'!$P$6:$P$239,AA10)+SUMIFS(Table8[C&amp;I Incentive Disbursements],Table8[BIPOC Index],AA10)+SUMIFS(Table325[C&amp;I Incentive Disbursements],Table325[BIPOC Index],AA10)</f>
        <v>18527185.554400001</v>
      </c>
      <c r="AQ10" s="105" t="s">
        <v>946</v>
      </c>
      <c r="AR10" s="242" t="s">
        <v>933</v>
      </c>
      <c r="AS10" s="5" t="s">
        <v>929</v>
      </c>
      <c r="AT10" s="32">
        <f>SUMIFS(Table3[CLM $ Collected ],Table3[Energy Burdened?],"Yes")+SUMIFS('3.) Large Load'!$D$6:$D$239,'3.) Large Load'!$Q$6:$Q$239,"Yes")</f>
        <v>6697154.8475580001</v>
      </c>
      <c r="AU10" s="32">
        <f>SUMIFS(Table3[Incentive Disbursements],Table3[Energy Burdened?],"Yes")+SUMIFS('3.) Large Load'!$F$6:$F$239,'3.) Large Load'!$Q$6:$Q$239,"Yes")</f>
        <v>9665823.696200002</v>
      </c>
      <c r="AW10" s="32"/>
      <c r="AZ10" t="s">
        <v>950</v>
      </c>
      <c r="BA10" t="s">
        <v>935</v>
      </c>
      <c r="BB10">
        <v>4133</v>
      </c>
      <c r="BC10" s="32">
        <f>SUMIFS(Table3236[CLM $ Collected ],Table3236[Town],"West Haven")</f>
        <v>689401.49426874646</v>
      </c>
      <c r="BD10" s="32">
        <f>SUMIFS(Table3236[Incentive Disbursements],Table3236[Town],"West Haven")</f>
        <v>1021538.46</v>
      </c>
      <c r="BE10">
        <f t="shared" si="6"/>
        <v>148.1775813502629</v>
      </c>
      <c r="BF10" s="32" t="s">
        <v>944</v>
      </c>
    </row>
    <row r="11" spans="2:59" x14ac:dyDescent="0.2">
      <c r="B11" s="246" t="s">
        <v>946</v>
      </c>
      <c r="C11" s="242" t="s">
        <v>928</v>
      </c>
      <c r="D11" s="5" t="s">
        <v>929</v>
      </c>
      <c r="E11" s="48">
        <f>SUMIFS(Table3[CLM $ Collected ],Table3[Distressed Tract1],"Yes")</f>
        <v>1732773.1897560006</v>
      </c>
      <c r="F11" s="48">
        <f>SUMIFS(Table3[Incentive Disbursements],Table3[Distressed Tract1],"Yes")</f>
        <v>1851437.4600000007</v>
      </c>
      <c r="G11" s="48">
        <f t="shared" si="3"/>
        <v>106.8482286629048</v>
      </c>
      <c r="H11" t="str">
        <f>IF($G$16&lt;=G11, "Yes","No")</f>
        <v>Yes</v>
      </c>
      <c r="J11" s="246"/>
      <c r="K11" s="242"/>
      <c r="L11" s="5" t="s">
        <v>937</v>
      </c>
      <c r="M11" s="48">
        <f>M10/(M10+M12)*100</f>
        <v>1.157184744421301</v>
      </c>
      <c r="N11" s="48">
        <f>N10/(N10+N12)*100</f>
        <v>4.1173347922152415</v>
      </c>
      <c r="Z11" s="57"/>
      <c r="AA11" s="57" t="s">
        <v>951</v>
      </c>
      <c r="AB11" s="61">
        <f>SUM(AB6:AB10)</f>
        <v>109550450.18352301</v>
      </c>
      <c r="AC11" s="61"/>
      <c r="AD11" s="61">
        <f t="shared" ref="AD11:AJ11" si="9">SUM(AD6:AD10)</f>
        <v>151039323.05469999</v>
      </c>
      <c r="AE11" s="61"/>
      <c r="AF11" s="61"/>
      <c r="AG11" s="61">
        <f t="shared" si="9"/>
        <v>54276298.716241062</v>
      </c>
      <c r="AH11" s="61">
        <f t="shared" si="9"/>
        <v>78471181.257499993</v>
      </c>
      <c r="AI11" s="61">
        <f t="shared" si="9"/>
        <v>55274151.467281945</v>
      </c>
      <c r="AJ11" s="61">
        <f t="shared" si="9"/>
        <v>72568141.797199994</v>
      </c>
      <c r="AQ11" s="105"/>
      <c r="AR11" s="242"/>
      <c r="AS11" s="5" t="s">
        <v>937</v>
      </c>
      <c r="AT11" s="48">
        <f>(AT10/(AT10+AT12))*100</f>
        <v>7.7574394287038366</v>
      </c>
      <c r="AU11" s="48">
        <f>(AU10/(AU10+AU12))*100</f>
        <v>8.1715787362470973</v>
      </c>
      <c r="BA11" t="s">
        <v>939</v>
      </c>
      <c r="BB11" s="48">
        <f>(BB10/53713)*100</f>
        <v>7.6945990728501474</v>
      </c>
      <c r="BC11" s="48">
        <f>(BC10/12129793)*100</f>
        <v>5.6835388227049419</v>
      </c>
      <c r="BD11" s="48">
        <f>(BD10/8494544.29)*100</f>
        <v>12.025818279652528</v>
      </c>
      <c r="BE11">
        <f>BC11/BB11</f>
        <v>0.73864002125320727</v>
      </c>
      <c r="BG11" s="12" t="s">
        <v>952</v>
      </c>
    </row>
    <row r="12" spans="2:59" x14ac:dyDescent="0.2">
      <c r="B12" s="246"/>
      <c r="C12" s="242"/>
      <c r="D12" s="5" t="s">
        <v>937</v>
      </c>
      <c r="E12" s="48">
        <f>E11/(E11+E13)*100</f>
        <v>2.9634740178885424</v>
      </c>
      <c r="F12" s="48">
        <f>F11/(F11+F13)*100</f>
        <v>2.2897215615932986</v>
      </c>
      <c r="J12" s="246"/>
      <c r="K12" s="242" t="s">
        <v>940</v>
      </c>
      <c r="L12" s="5" t="s">
        <v>929</v>
      </c>
      <c r="M12" s="48">
        <f>SUMIFS(Table2[CLM $ Collected ],Table2[Distressed Tract1],"No")</f>
        <v>34021118.242713012</v>
      </c>
      <c r="N12" s="48">
        <f>SUMIFS(Table2[Incentive Disbursements],Table2[Distressed Tract1],"No")</f>
        <v>41888921.672800012</v>
      </c>
      <c r="O12" s="48">
        <f t="shared" si="4"/>
        <v>123.12623404661957</v>
      </c>
      <c r="P12" t="str">
        <f t="shared" si="5"/>
        <v>Yes</v>
      </c>
      <c r="Z12" s="57"/>
      <c r="AA12" s="57"/>
      <c r="AB12" s="57"/>
      <c r="AC12" s="57"/>
      <c r="AD12" s="57"/>
      <c r="AE12" s="57"/>
      <c r="AF12" s="57"/>
      <c r="AG12" s="57"/>
      <c r="AH12" s="57"/>
      <c r="AI12" s="57"/>
      <c r="AQ12" s="105"/>
      <c r="AR12" s="5" t="s">
        <v>942</v>
      </c>
      <c r="AS12" s="5" t="s">
        <v>929</v>
      </c>
      <c r="AT12" s="32">
        <f>SUMIFS(Table3[CLM $ Collected ],Table3[Energy Burdened?],"No")+SUMIFS('3.) Large Load'!$D$6:$D$239,'3.) Large Load'!$Q$6:$Q$239,"No")</f>
        <v>79634874.027555034</v>
      </c>
      <c r="AU12" s="32">
        <f>SUMIFS(Table3[Incentive Disbursements],Table3[Energy Burdened?],"No")+SUMIFS('3.) Large Load'!$F$6:$F$239,'3.) Large Load'!$Q$6:$Q$239,"No")</f>
        <v>108620054.81249999</v>
      </c>
      <c r="AZ12" t="s">
        <v>953</v>
      </c>
      <c r="BA12" t="s">
        <v>935</v>
      </c>
      <c r="BB12">
        <v>3468</v>
      </c>
      <c r="BC12" s="32">
        <f>SUMIFS(Table3236[CLM $ Collected ],Table3236[Town],"Hamden")</f>
        <v>796844.67123010359</v>
      </c>
      <c r="BD12" s="32">
        <f>SUMIFS(Table3236[Incentive Disbursements],Table3236[Town],"Hamden")</f>
        <v>957434.62999999989</v>
      </c>
      <c r="BE12">
        <f>(BD12/BC12)*100</f>
        <v>120.15323243888807</v>
      </c>
      <c r="BF12" s="32" t="s">
        <v>936</v>
      </c>
    </row>
    <row r="13" spans="2:59" x14ac:dyDescent="0.2">
      <c r="B13" s="246"/>
      <c r="C13" s="242" t="s">
        <v>940</v>
      </c>
      <c r="D13" s="5" t="s">
        <v>929</v>
      </c>
      <c r="E13" s="48">
        <f>SUMIFS(Table3[CLM $ Collected ],Table3[Distressed Tract1],"No")</f>
        <v>56738236.82404501</v>
      </c>
      <c r="F13" s="48">
        <f>SUMIFS(Table3[Incentive Disbursements],Table3[Distressed Tract1],"No")</f>
        <v>79007191.425500005</v>
      </c>
      <c r="G13" s="48">
        <f t="shared" si="3"/>
        <v>139.24858410830572</v>
      </c>
      <c r="H13" t="str">
        <f>IF($G$16&lt;=G13, "Yes","No")</f>
        <v>Yes</v>
      </c>
      <c r="J13" s="246"/>
      <c r="K13" s="242"/>
      <c r="L13" s="5" t="s">
        <v>937</v>
      </c>
      <c r="M13" s="48">
        <f>M12/(M10+M12)*100</f>
        <v>98.842815255578714</v>
      </c>
      <c r="N13" s="48">
        <f>N12/(N10+N12)*100</f>
        <v>95.882665207784768</v>
      </c>
      <c r="Z13" s="57"/>
      <c r="AQ13" s="105"/>
      <c r="AR13" s="5"/>
      <c r="AS13" s="5" t="s">
        <v>937</v>
      </c>
      <c r="AT13" s="48">
        <f>(AT12/(AT12+AT10))*100</f>
        <v>92.242560571296153</v>
      </c>
      <c r="AU13" s="48">
        <f>(AU12/(AU12+AU10))*100</f>
        <v>91.828421263752901</v>
      </c>
      <c r="BA13" t="s">
        <v>939</v>
      </c>
      <c r="BB13" s="48">
        <f>(BB12/53713)*100</f>
        <v>6.4565375235045517</v>
      </c>
      <c r="BC13" s="48">
        <f>(BC12/12129793)*100</f>
        <v>6.5693179696479866</v>
      </c>
      <c r="BD13" s="48">
        <f>(BD12/8494544.29)*100</f>
        <v>11.271171204876959</v>
      </c>
      <c r="BE13">
        <f>BD13/BC13</f>
        <v>1.7157292822409871</v>
      </c>
    </row>
    <row r="14" spans="2:59" x14ac:dyDescent="0.2">
      <c r="B14" s="246"/>
      <c r="C14" s="242"/>
      <c r="D14" s="5" t="s">
        <v>937</v>
      </c>
      <c r="E14" s="48">
        <f>E13/(E11+E13)*100</f>
        <v>97.036525982111471</v>
      </c>
      <c r="F14" s="48">
        <f>F13/(F11+F13)*100</f>
        <v>97.710278438406704</v>
      </c>
      <c r="J14" s="5" t="s">
        <v>947</v>
      </c>
      <c r="K14" s="5" t="s">
        <v>948</v>
      </c>
      <c r="L14" s="5"/>
      <c r="M14" s="48">
        <f>SUM(M6,M8,M10,M12)</f>
        <v>43075260.646994516</v>
      </c>
      <c r="N14" s="48">
        <f>SUM(N6,N8,N10,N12)</f>
        <v>53456841.448800012</v>
      </c>
      <c r="O14" s="48">
        <f t="shared" si="4"/>
        <v>124.10102839976629</v>
      </c>
      <c r="R14" s="10" t="s">
        <v>954</v>
      </c>
      <c r="S14" s="10" t="s">
        <v>955</v>
      </c>
      <c r="Z14" s="57"/>
      <c r="AQ14" s="242" t="s">
        <v>948</v>
      </c>
      <c r="AR14" s="5" t="s">
        <v>933</v>
      </c>
      <c r="AS14" s="5" t="s">
        <v>929</v>
      </c>
      <c r="AT14" s="32">
        <f>AT6+AT10</f>
        <v>10531108.758092653</v>
      </c>
      <c r="AU14" s="32">
        <f>AU6+AU10</f>
        <v>15004992.546200003</v>
      </c>
      <c r="AZ14" t="s">
        <v>956</v>
      </c>
      <c r="BA14" t="s">
        <v>935</v>
      </c>
      <c r="BB14">
        <v>3207</v>
      </c>
      <c r="BC14" s="32">
        <f>SUMIFS(Table3236[CLM $ Collected ],Table3236[Town],"Stratford")</f>
        <v>651403.76663749572</v>
      </c>
      <c r="BD14" s="32">
        <f>SUMIFS(Table3236[Incentive Disbursements],Table3236[Town],"Stratford")</f>
        <v>803050.28000000014</v>
      </c>
      <c r="BE14">
        <f>(BD14/BC14)*100</f>
        <v>123.27995647696267</v>
      </c>
      <c r="BF14" s="32" t="s">
        <v>944</v>
      </c>
    </row>
    <row r="15" spans="2:59" x14ac:dyDescent="0.2">
      <c r="B15" s="5" t="s">
        <v>947</v>
      </c>
      <c r="C15" s="5" t="s">
        <v>948</v>
      </c>
      <c r="E15" s="48">
        <f>SUM(E11,E13)</f>
        <v>58471010.013801008</v>
      </c>
      <c r="F15" s="48">
        <f>SUM(F11,F13)</f>
        <v>80858628.885499999</v>
      </c>
      <c r="G15" s="64">
        <f t="shared" si="3"/>
        <v>138.28840799297774</v>
      </c>
      <c r="J15" t="s">
        <v>957</v>
      </c>
      <c r="O15" s="48">
        <f>O14-(O14*0.05)</f>
        <v>117.89597697977797</v>
      </c>
      <c r="R15" s="83" t="s">
        <v>908</v>
      </c>
      <c r="S15" s="83" t="s">
        <v>909</v>
      </c>
      <c r="T15" s="83" t="s">
        <v>958</v>
      </c>
      <c r="U15" s="83" t="s">
        <v>959</v>
      </c>
      <c r="V15" s="83" t="s">
        <v>907</v>
      </c>
      <c r="W15" s="83" t="s">
        <v>905</v>
      </c>
      <c r="Z15" s="57"/>
      <c r="AQ15" s="242"/>
      <c r="AR15" s="5"/>
      <c r="AS15" s="5" t="s">
        <v>937</v>
      </c>
      <c r="AT15" s="48">
        <f>(AT14/AT18)*100</f>
        <v>9.6733574597469758</v>
      </c>
      <c r="AU15" s="48">
        <f>(AU14/AU18)*100</f>
        <v>10.040810339044803</v>
      </c>
      <c r="AV15" s="32"/>
      <c r="BA15" t="s">
        <v>939</v>
      </c>
      <c r="BB15" s="48">
        <f>(BB14/53713)*100</f>
        <v>5.9706216372200398</v>
      </c>
      <c r="BC15" s="48">
        <f>(BC14/12129793)*100</f>
        <v>5.3702793331880914</v>
      </c>
      <c r="BD15" s="48">
        <f>(BD14/8494544.29)*100</f>
        <v>9.4537182052882116</v>
      </c>
      <c r="BE15">
        <f>BD15/BC15</f>
        <v>1.7603773693604068</v>
      </c>
    </row>
    <row r="16" spans="2:59" ht="15" customHeight="1" x14ac:dyDescent="0.2">
      <c r="L16" s="5"/>
      <c r="R16" s="241" t="s">
        <v>930</v>
      </c>
      <c r="S16" s="5" t="s">
        <v>931</v>
      </c>
      <c r="T16" s="5">
        <f>SUMIFS(Table3236[CLM $ Collected ],Table3236[Distressed Tract1],"Yes")</f>
        <v>1852679.8785021065</v>
      </c>
      <c r="U16" s="5">
        <f>SUMIFS(Table3236[Incentives],Table3236[Distressed Tract1],"Yes")</f>
        <v>316987.41000000009</v>
      </c>
      <c r="V16" s="48">
        <f t="shared" ref="V16:V24" si="10">(U16/T16)*100</f>
        <v>17.10966981820328</v>
      </c>
      <c r="W16" t="str">
        <f>IF($V$25&lt;=V16, "Yes","No")</f>
        <v>No</v>
      </c>
      <c r="AA16" t="s">
        <v>960</v>
      </c>
      <c r="AB16" t="s">
        <v>961</v>
      </c>
      <c r="AJ16" s="12" t="s">
        <v>962</v>
      </c>
      <c r="AQ16" s="242"/>
      <c r="AR16" s="82" t="s">
        <v>942</v>
      </c>
      <c r="AS16" s="5" t="s">
        <v>929</v>
      </c>
      <c r="AT16" s="32">
        <f>AT8+AT12</f>
        <v>98336043.127020389</v>
      </c>
      <c r="AU16" s="32">
        <f>AU8+AU12</f>
        <v>134435062.98249999</v>
      </c>
    </row>
    <row r="17" spans="2:57" x14ac:dyDescent="0.2">
      <c r="B17" s="10" t="s">
        <v>963</v>
      </c>
      <c r="C17" s="10" t="s">
        <v>964</v>
      </c>
      <c r="J17" s="10" t="s">
        <v>965</v>
      </c>
      <c r="K17" s="10" t="s">
        <v>966</v>
      </c>
      <c r="L17" s="5"/>
      <c r="R17" s="241"/>
      <c r="S17" s="5" t="s">
        <v>3877</v>
      </c>
      <c r="T17" s="5">
        <f>T16/(T16+T18)*100</f>
        <v>18.457404839799839</v>
      </c>
      <c r="U17" s="5">
        <f>U16/(U16+U18)*100</f>
        <v>5.0645426100607409</v>
      </c>
      <c r="V17" s="48"/>
      <c r="AB17" s="238" t="s">
        <v>967</v>
      </c>
      <c r="AC17" s="238"/>
      <c r="AD17" s="238"/>
      <c r="AE17" s="238"/>
      <c r="AF17" s="244" t="s">
        <v>968</v>
      </c>
      <c r="AG17" s="244"/>
      <c r="AH17" s="244"/>
      <c r="AI17" s="243" t="s">
        <v>969</v>
      </c>
      <c r="AJ17" s="243"/>
      <c r="AK17" s="243"/>
      <c r="AL17" s="118" t="s">
        <v>970</v>
      </c>
      <c r="AM17" s="118"/>
      <c r="AQ17" s="242"/>
      <c r="AR17" s="82"/>
      <c r="AS17" s="5" t="s">
        <v>937</v>
      </c>
      <c r="AT17" s="48">
        <f>(AT16/AT18)*100</f>
        <v>90.326642540253019</v>
      </c>
      <c r="AU17" s="48">
        <f>(AU16/AU18)*100</f>
        <v>89.95918966095519</v>
      </c>
    </row>
    <row r="18" spans="2:57" ht="48" x14ac:dyDescent="0.2">
      <c r="B18" s="240" t="s">
        <v>971</v>
      </c>
      <c r="C18" s="240"/>
      <c r="D18" s="240"/>
      <c r="E18" s="73" t="s">
        <v>902</v>
      </c>
      <c r="F18" s="76" t="s">
        <v>903</v>
      </c>
      <c r="G18" s="75" t="s">
        <v>907</v>
      </c>
      <c r="H18" s="83" t="s">
        <v>905</v>
      </c>
      <c r="J18" s="240" t="s">
        <v>972</v>
      </c>
      <c r="K18" s="240"/>
      <c r="L18" s="240"/>
      <c r="M18" s="73" t="s">
        <v>902</v>
      </c>
      <c r="N18" s="76" t="s">
        <v>903</v>
      </c>
      <c r="O18" s="75" t="s">
        <v>907</v>
      </c>
      <c r="P18" s="83" t="s">
        <v>905</v>
      </c>
      <c r="R18" s="104"/>
      <c r="S18" s="5" t="s">
        <v>938</v>
      </c>
      <c r="T18" s="5">
        <f>SUMIFS(Table3236[CLM $ Collected ],Table3236[Distressed Tract1],"No")</f>
        <v>8184916.9265869763</v>
      </c>
      <c r="U18" s="5">
        <f>SUMIFS(Table3236[Incentives],Table3236[Distressed Tract1],"No")</f>
        <v>5941966.9399999967</v>
      </c>
      <c r="V18" s="48">
        <f t="shared" si="10"/>
        <v>72.596545490874448</v>
      </c>
      <c r="W18" t="str">
        <f>IF($V$25&lt;=V18, "Yes","No")</f>
        <v>Yes</v>
      </c>
      <c r="AA18" s="77" t="s">
        <v>914</v>
      </c>
      <c r="AB18" s="77" t="s">
        <v>915</v>
      </c>
      <c r="AC18" s="77" t="s">
        <v>973</v>
      </c>
      <c r="AD18" s="77" t="s">
        <v>917</v>
      </c>
      <c r="AE18" s="77" t="s">
        <v>973</v>
      </c>
      <c r="AF18" s="78" t="s">
        <v>974</v>
      </c>
      <c r="AG18" s="78" t="s">
        <v>973</v>
      </c>
      <c r="AH18" s="77" t="s">
        <v>907</v>
      </c>
      <c r="AI18" s="78" t="s">
        <v>975</v>
      </c>
      <c r="AJ18" s="78" t="s">
        <v>973</v>
      </c>
      <c r="AK18" s="78" t="s">
        <v>907</v>
      </c>
      <c r="AL18" s="78" t="s">
        <v>970</v>
      </c>
      <c r="AM18" s="78" t="s">
        <v>976</v>
      </c>
      <c r="AQ18" s="5" t="s">
        <v>947</v>
      </c>
      <c r="AR18" s="5" t="s">
        <v>977</v>
      </c>
      <c r="AS18" s="5" t="s">
        <v>929</v>
      </c>
      <c r="AT18" s="89">
        <f>AT14+AT16</f>
        <v>108867151.88511305</v>
      </c>
      <c r="AU18" s="89">
        <f>AU14+AU16</f>
        <v>149440055.52869999</v>
      </c>
      <c r="AY18" s="239" t="s">
        <v>978</v>
      </c>
      <c r="AZ18" s="239"/>
      <c r="BA18" s="85" t="s">
        <v>924</v>
      </c>
      <c r="BB18" s="86" t="s">
        <v>925</v>
      </c>
      <c r="BC18" s="85" t="s">
        <v>926</v>
      </c>
      <c r="BD18" s="86" t="s">
        <v>907</v>
      </c>
      <c r="BE18" s="86" t="s">
        <v>905</v>
      </c>
    </row>
    <row r="19" spans="2:57" x14ac:dyDescent="0.2">
      <c r="B19" s="241" t="s">
        <v>927</v>
      </c>
      <c r="C19" s="242" t="s">
        <v>928</v>
      </c>
      <c r="D19" s="5" t="s">
        <v>929</v>
      </c>
      <c r="E19" s="48">
        <f>SUMIFS(Table8[Residential CLM $ Collected],Table8[Distressed Tract1],"Yes")</f>
        <v>1782875.879904933</v>
      </c>
      <c r="F19" s="48">
        <f>SUMIFS(Table8[Residential Incentive Disbursements],Table8[Distressed Tract1],"Yes")</f>
        <v>1601022.9200000002</v>
      </c>
      <c r="G19" s="48">
        <f>(F19/E19)*100</f>
        <v>89.800021305205519</v>
      </c>
      <c r="H19" t="str">
        <f>IF($G$28&lt;=G19, "Yes","No")</f>
        <v>No</v>
      </c>
      <c r="J19" s="241" t="s">
        <v>927</v>
      </c>
      <c r="K19" s="242" t="s">
        <v>928</v>
      </c>
      <c r="L19" s="5" t="s">
        <v>929</v>
      </c>
      <c r="M19" s="48">
        <f>SUMIFS(Table325[Residential CLM $ Collected],Table325[Distressed Tract1],"Yes")</f>
        <v>69803.998597171783</v>
      </c>
      <c r="N19" s="48">
        <f>SUMIFS(Table325[Residential Incentive Disbursements],Table325[Distressed Tract1],"Yes")</f>
        <v>349696.49</v>
      </c>
      <c r="O19" s="48">
        <f>(N19/M19)*100</f>
        <v>500.9691379114899</v>
      </c>
      <c r="P19" t="str">
        <f>IF($O$28&lt;=O19, "Yes","No")</f>
        <v>Yes</v>
      </c>
      <c r="R19" s="104"/>
      <c r="S19" s="5" t="s">
        <v>3877</v>
      </c>
      <c r="T19" s="5">
        <f>T18/(T18+T16)*100</f>
        <v>81.542595160200165</v>
      </c>
      <c r="U19" s="5">
        <f>U18/(U18+U16)*100</f>
        <v>94.935457389939259</v>
      </c>
      <c r="V19" s="48"/>
      <c r="AA19" s="57">
        <v>1</v>
      </c>
      <c r="AB19" s="71">
        <f>SUMIFS(Table323[CLM $ Collected ],Table323[BIPOC Index],AA19)+SUMIFS(Table3236[CLM $ Collected ],Table3236[BIPOC Index],AA19)</f>
        <v>8680625.8996283244</v>
      </c>
      <c r="AC19" s="71">
        <f>(AB19/$AB$24)*100</f>
        <v>15.991858629111569</v>
      </c>
      <c r="AD19" s="71">
        <f>SUMIFS(Table323[Incentive Disbursements],Table323[BIPOC Index],AA19)+SUMIFS(Table3236[Incentive Disbursements],Table3236[BIPOC Index],AA19)</f>
        <v>11134066.184999989</v>
      </c>
      <c r="AE19" s="71">
        <f>(AD19/$AD$24)*100</f>
        <v>14.18873273802774</v>
      </c>
      <c r="AF19" s="71">
        <f>SUMIFS(Table323[Incentives],Table323[BIPOC Index],AA19)+SUMIFS(Table3236[Incentives],Table3236[BIPOC Index],AA19)</f>
        <v>7631654.8699999982</v>
      </c>
      <c r="AG19" s="71">
        <f>(AF19/$AF$24)*100</f>
        <v>21.727086048295654</v>
      </c>
      <c r="AH19">
        <f>AG19/AC19</f>
        <v>1.3586341995760067</v>
      </c>
      <c r="AI19" s="71">
        <f>SUMIFS(Table323[[Incentives ]],Table323[BIPOC Index],AA19)+SUMIFS(Table3236[[Incentives ]],Table3236[BIPOC Index],AA19)</f>
        <v>3635818.8099999991</v>
      </c>
      <c r="AJ19" s="71">
        <f>(AI19/$AI$24)*100</f>
        <v>16.626969658052875</v>
      </c>
      <c r="AK19">
        <f>AJ19/AC19</f>
        <v>1.0397146475385388</v>
      </c>
      <c r="AL19" s="13">
        <f>SUMIFS(Table323[Total Units],Table323[BIPOC Index],AA19)+SUMIFS(Table3236[Total Units],Table3236[BIPOC Index],AA19)</f>
        <v>4562</v>
      </c>
      <c r="AM19" s="48">
        <f>(AL19/$AL$24)*100</f>
        <v>17.6938292673467</v>
      </c>
      <c r="AY19" t="s">
        <v>979</v>
      </c>
      <c r="AZ19" t="s">
        <v>935</v>
      </c>
      <c r="BA19">
        <v>10445</v>
      </c>
      <c r="BB19" s="32">
        <f>SUMIFS(Table323[CLM $ Collected ],Table323[Town],"HARTFORD")</f>
        <v>1129109.6317830002</v>
      </c>
      <c r="BC19" s="32">
        <f>SUMIFS(Table323[Incentive Disbursements],Table323[Town],"Hartford")</f>
        <v>1449080.3149999995</v>
      </c>
      <c r="BD19">
        <f>(BC19/BB19)*100</f>
        <v>128.33831845998222</v>
      </c>
      <c r="BE19" t="s">
        <v>936</v>
      </c>
    </row>
    <row r="20" spans="2:57" ht="16" x14ac:dyDescent="0.2">
      <c r="B20" s="241"/>
      <c r="C20" s="242"/>
      <c r="D20" s="5" t="s">
        <v>937</v>
      </c>
      <c r="E20" s="48">
        <f>E19/(E19+E21)*100</f>
        <v>17.971021137967096</v>
      </c>
      <c r="F20" s="48">
        <f>F19/(F19+F21)*100</f>
        <v>13.898539518362258</v>
      </c>
      <c r="J20" s="241"/>
      <c r="K20" s="242"/>
      <c r="L20" s="5" t="s">
        <v>937</v>
      </c>
      <c r="M20" s="48">
        <f>M19/(M19+M21)*100</f>
        <v>59.7847430082995</v>
      </c>
      <c r="N20" s="48">
        <f>N19/(N19+N21)*100</f>
        <v>60.744636313765163</v>
      </c>
      <c r="R20" s="246" t="s">
        <v>941</v>
      </c>
      <c r="S20" s="5" t="s">
        <v>931</v>
      </c>
      <c r="T20" s="5">
        <f>SUMIFS(Table323[CLM $ Collected ],Table323[Distressed Tract1],"Yes")</f>
        <v>1509027.4534860004</v>
      </c>
      <c r="U20" s="5">
        <f>SUMIFS(Table323[Incentives],Table323[Distressed Tract1],"Yes")</f>
        <v>392862.14000000007</v>
      </c>
      <c r="V20" s="48">
        <f t="shared" si="10"/>
        <v>26.03412807980731</v>
      </c>
      <c r="W20" t="str">
        <f>IF($V$25&lt;=V20, "Yes","No")</f>
        <v>No</v>
      </c>
      <c r="AA20" s="57">
        <v>2</v>
      </c>
      <c r="AB20" s="71">
        <f>SUMIFS(Table323[CLM $ Collected ],Table323[BIPOC Index],AA20)+SUMIFS(Table3236[CLM $ Collected ],Table3236[BIPOC Index],AA20)</f>
        <v>10436566.031490346</v>
      </c>
      <c r="AC20" s="71">
        <f t="shared" ref="AC20:AC23" si="11">(AB20/$AB$24)*100</f>
        <v>19.226734394362932</v>
      </c>
      <c r="AD20" s="71">
        <f>SUMIFS(Table323[Incentive Disbursements],Table323[BIPOC Index],AA20)+SUMIFS(Table3236[Incentive Disbursements],Table3236[BIPOC Index],AA20)</f>
        <v>22499884.652499981</v>
      </c>
      <c r="AE20" s="71">
        <f t="shared" ref="AE20:AE23" si="12">(AD20/$AD$24)*100</f>
        <v>28.672799736080844</v>
      </c>
      <c r="AF20" s="71">
        <f>SUMIFS(Table323[Incentives],Table323[BIPOC Index],AA20)+SUMIFS(Table3236[Incentives],Table3236[BIPOC Index],AA20)</f>
        <v>8056852.6599999964</v>
      </c>
      <c r="AG20" s="71">
        <f t="shared" ref="AG20:AG23" si="13">(AF20/$AF$24)*100</f>
        <v>22.937611042971557</v>
      </c>
      <c r="AH20">
        <f t="shared" ref="AH20:AH23" si="14">AG20/AC20</f>
        <v>1.1930060806216065</v>
      </c>
      <c r="AI20" s="71">
        <f>SUMIFS(Table323[[Incentives ]],Table323[BIPOC Index],AA20)+SUMIFS(Table3236[[Incentives ]],Table3236[BIPOC Index],AA20)</f>
        <v>4833073.67</v>
      </c>
      <c r="AJ20" s="71">
        <f>(AI20/$AI$24)*100</f>
        <v>22.102138050774943</v>
      </c>
      <c r="AK20">
        <f t="shared" ref="AK20:AK23" si="15">AJ20/AC20</f>
        <v>1.1495523679390427</v>
      </c>
      <c r="AL20" s="13">
        <f>SUMIFS(Table323[Total Units],Table323[BIPOC Index],AA20)+SUMIFS(Table3236[Total Units],Table3236[BIPOC Index],AA20)</f>
        <v>4544</v>
      </c>
      <c r="AM20" s="48">
        <f>(AL20/$AL$24)*100</f>
        <v>17.624015824380407</v>
      </c>
      <c r="AP20" t="s">
        <v>894</v>
      </c>
      <c r="AQ20" s="62" t="s">
        <v>980</v>
      </c>
      <c r="AZ20" t="s">
        <v>939</v>
      </c>
      <c r="BA20" s="48">
        <f>(BA19/77814)*100</f>
        <v>13.423034415400828</v>
      </c>
      <c r="BB20" s="96">
        <f>(BB19/52682522.8472697)*100</f>
        <v>2.1432337913208288</v>
      </c>
      <c r="BC20" s="96">
        <f>(BC19/36999853.3169)*100</f>
        <v>3.9164488101852002</v>
      </c>
      <c r="BD20">
        <f>BC20/BB20</f>
        <v>1.8273549185558413</v>
      </c>
    </row>
    <row r="21" spans="2:57" x14ac:dyDescent="0.2">
      <c r="B21" s="241"/>
      <c r="C21" s="242" t="s">
        <v>940</v>
      </c>
      <c r="D21" s="5" t="s">
        <v>929</v>
      </c>
      <c r="E21" s="48">
        <f>SUMIFS(Table8[Residential CLM $ Collected],Table8[Distressed Tract1],"No")</f>
        <v>8137962.0414209692</v>
      </c>
      <c r="F21" s="48">
        <f>SUMIFS(Table8[Residential Incentive Disbursements],Table8[Distressed Tract1],"No")</f>
        <v>9918337.9299999978</v>
      </c>
      <c r="G21" s="48">
        <f t="shared" ref="G21:G27" si="16">(F21/E21)*100</f>
        <v>121.87741696898058</v>
      </c>
      <c r="H21" t="str">
        <f>IF($G$28&lt;=G21, "Yes","No")</f>
        <v>No</v>
      </c>
      <c r="J21" s="241"/>
      <c r="K21" s="242" t="s">
        <v>940</v>
      </c>
      <c r="L21" s="5" t="s">
        <v>929</v>
      </c>
      <c r="M21" s="48">
        <f>SUMIFS(Table325[Residential CLM $ Collected],Table325[Distressed Tract1],"No")</f>
        <v>46954.885166000684</v>
      </c>
      <c r="N21" s="48">
        <f>SUMIFS(Table325[Residential Incentive Disbursements],Table325[Distressed Tract1],"No")</f>
        <v>225986.41999999998</v>
      </c>
      <c r="O21" s="48">
        <f t="shared" ref="O21:O27" si="17">(N21/M21)*100</f>
        <v>481.28415009655549</v>
      </c>
      <c r="P21" t="str">
        <f t="shared" ref="P21:P25" si="18">IF($O$28&lt;=O21, "Yes","No")</f>
        <v>Yes</v>
      </c>
      <c r="R21" s="246"/>
      <c r="S21" s="5" t="s">
        <v>3877</v>
      </c>
      <c r="T21" s="5">
        <f>T20/(T20+T22)*100</f>
        <v>3.4056847057458586</v>
      </c>
      <c r="U21" s="5">
        <f>U20/(U20+U22)*100</f>
        <v>1.3601284466650632</v>
      </c>
      <c r="V21" s="48"/>
      <c r="AA21" s="57">
        <v>3</v>
      </c>
      <c r="AB21" s="71">
        <f>SUMIFS(Table323[CLM $ Collected ],Table323[BIPOC Index],AA21)+SUMIFS(Table3236[CLM $ Collected ],Table3236[BIPOC Index],AA21)</f>
        <v>12317549.009538196</v>
      </c>
      <c r="AC21" s="71">
        <f t="shared" si="11"/>
        <v>22.691969991025889</v>
      </c>
      <c r="AD21" s="71">
        <f>SUMIFS(Table323[Incentive Disbursements],Table323[BIPOC Index],AA21)+SUMIFS(Table3236[Incentive Disbursements],Table3236[BIPOC Index],AA21)</f>
        <v>16216479.38750001</v>
      </c>
      <c r="AE21" s="71">
        <f t="shared" si="12"/>
        <v>20.665522205261944</v>
      </c>
      <c r="AF21" s="71">
        <f>SUMIFS(Table323[Incentives],Table323[BIPOC Index],AA21)+SUMIFS(Table3236[Incentives],Table3236[BIPOC Index],AA21)</f>
        <v>8651554.6999999993</v>
      </c>
      <c r="AG21" s="71">
        <f t="shared" si="13"/>
        <v>24.630709409745187</v>
      </c>
      <c r="AH21">
        <f t="shared" si="14"/>
        <v>1.0854372458400932</v>
      </c>
      <c r="AI21" s="71">
        <f>SUMIFS(Table323[[Incentives ]],Table323[BIPOC Index],AA21)+SUMIFS(Table3236[[Incentives ]],Table3236[BIPOC Index],AA21)</f>
        <v>4813759.0900000008</v>
      </c>
      <c r="AJ21" s="71">
        <f>(AI21/$AI$24)*100</f>
        <v>22.013810509607396</v>
      </c>
      <c r="AK21">
        <f t="shared" si="15"/>
        <v>0.97011456115592043</v>
      </c>
      <c r="AL21" s="13">
        <f>SUMIFS(Table323[Total Units],Table323[BIPOC Index],AA21)+SUMIFS(Table3236[Total Units],Table3236[BIPOC Index],AA21)</f>
        <v>6185</v>
      </c>
      <c r="AM21" s="48">
        <f>(AL21/$AL$24)*100</f>
        <v>23.988674708141023</v>
      </c>
      <c r="AY21" t="s">
        <v>982</v>
      </c>
      <c r="AZ21" t="s">
        <v>935</v>
      </c>
      <c r="BA21">
        <v>8219</v>
      </c>
      <c r="BB21" s="32">
        <f>SUMIFS(Table323[CLM $ Collected ],Table323[Town],"Waterbury")</f>
        <v>1570338.320082</v>
      </c>
      <c r="BC21" s="32">
        <f>SUMIFS(Table323[Incentive Disbursements],Table323[Town],"Waterbury")</f>
        <v>3012852.2275</v>
      </c>
      <c r="BD21">
        <f t="shared" ref="BD21:BD27" si="19">(BC21/BB21)*100</f>
        <v>191.86007174190814</v>
      </c>
      <c r="BE21" t="s">
        <v>936</v>
      </c>
    </row>
    <row r="22" spans="2:57" x14ac:dyDescent="0.2">
      <c r="B22" s="241"/>
      <c r="C22" s="242"/>
      <c r="D22" s="5" t="s">
        <v>937</v>
      </c>
      <c r="E22" s="48">
        <f>E21/(E21+E19)*100</f>
        <v>82.028978862032915</v>
      </c>
      <c r="F22" s="48">
        <f>F21/(F21+F19)*100</f>
        <v>86.101460481637744</v>
      </c>
      <c r="J22" s="241"/>
      <c r="K22" s="242"/>
      <c r="L22" s="5" t="s">
        <v>937</v>
      </c>
      <c r="M22" s="48">
        <f>M21/(M21+M19)*100</f>
        <v>40.215256991700507</v>
      </c>
      <c r="N22" s="48">
        <f>N21/(N21+N19)*100</f>
        <v>39.255363686234844</v>
      </c>
      <c r="R22" s="105"/>
      <c r="S22" s="5" t="s">
        <v>938</v>
      </c>
      <c r="T22" s="5">
        <f>SUMIFS(Table323[CLM $ Collected ],Table323[Distressed Tract1],"No")</f>
        <v>42800049.394998044</v>
      </c>
      <c r="U22" s="5">
        <f>SUMIFS(Table323[Incentives],Table323[Distressed Tract1],"No")</f>
        <v>28491331.919999972</v>
      </c>
      <c r="V22" s="48">
        <f t="shared" si="10"/>
        <v>66.568455697459299</v>
      </c>
      <c r="W22" t="str">
        <f>IF($V$25&lt;=V22, "Yes","No")</f>
        <v>Yes</v>
      </c>
      <c r="AA22" s="57">
        <v>4</v>
      </c>
      <c r="AB22" s="71">
        <f>SUMIFS(Table323[CLM $ Collected ],Table323[BIPOC Index],AA22)+SUMIFS(Table3236[CLM $ Collected ],Table3236[BIPOC Index],AA22)</f>
        <v>13756284.265430359</v>
      </c>
      <c r="AC22" s="71">
        <f t="shared" si="11"/>
        <v>25.342475966399309</v>
      </c>
      <c r="AD22" s="71">
        <f>SUMIFS(Table323[Incentive Disbursements],Table323[BIPOC Index],AA22)+SUMIFS(Table3236[Incentive Disbursements],Table3236[BIPOC Index],AA22)</f>
        <v>18807811.695</v>
      </c>
      <c r="AE22" s="71">
        <f t="shared" si="12"/>
        <v>23.967794792438426</v>
      </c>
      <c r="AF22" s="71">
        <f>SUMIFS(Table323[Incentives],Table323[BIPOC Index],AA22)+SUMIFS(Table3236[Incentives],Table3236[BIPOC Index],AA22)</f>
        <v>7109262.1799999988</v>
      </c>
      <c r="AG22" s="71">
        <f t="shared" si="13"/>
        <v>20.239850170891433</v>
      </c>
      <c r="AH22">
        <f t="shared" si="14"/>
        <v>0.79865322542780481</v>
      </c>
      <c r="AI22" s="71">
        <f>SUMIFS(Table323[[Incentives ]],Table323[BIPOC Index],AA22)+SUMIFS(Table3236[[Incentives ]],Table3236[BIPOC Index],AA22)</f>
        <v>5018053.5499999989</v>
      </c>
      <c r="AJ22" s="71">
        <f>(AI22/$AI$24)*100</f>
        <v>22.948069878744732</v>
      </c>
      <c r="AK22">
        <f t="shared" si="15"/>
        <v>0.90551806813078428</v>
      </c>
      <c r="AL22" s="13">
        <f>SUMIFS(Table323[Total Units],Table323[BIPOC Index],AA22)+SUMIFS(Table3236[Total Units],Table3236[BIPOC Index],AA22)</f>
        <v>6193</v>
      </c>
      <c r="AM22" s="48">
        <f>(AL22/$AL$24)*100</f>
        <v>24.019702905014935</v>
      </c>
      <c r="AZ22" t="s">
        <v>939</v>
      </c>
      <c r="BA22" s="48">
        <f>(BA21/77814)*100</f>
        <v>10.562366669236898</v>
      </c>
      <c r="BB22" s="96">
        <f>(BB21/52682522.8472697)*100</f>
        <v>2.9807576312063113</v>
      </c>
      <c r="BC22" s="96">
        <f>(BC21/36999853.3169)*100</f>
        <v>8.1428761397922997</v>
      </c>
      <c r="BD22">
        <f>BC22/BB22</f>
        <v>2.7318142389513507</v>
      </c>
    </row>
    <row r="23" spans="2:57" ht="48" x14ac:dyDescent="0.2">
      <c r="B23" s="246" t="s">
        <v>946</v>
      </c>
      <c r="C23" s="242" t="s">
        <v>928</v>
      </c>
      <c r="D23" s="5" t="s">
        <v>929</v>
      </c>
      <c r="E23" s="48">
        <f>SUMIFS(Table3[Residential CLM $ Collected],Table3[Distressed Tract1],"Yes")</f>
        <v>1499938.5526860007</v>
      </c>
      <c r="F23" s="48">
        <f>SUMIFS(Table3[Residential Incentive Disbursements],Table3[Distressed Tract1],"Yes")</f>
        <v>1617690.0600000003</v>
      </c>
      <c r="G23" s="48">
        <f t="shared" si="16"/>
        <v>107.850422079167</v>
      </c>
      <c r="H23" t="str">
        <f>IF($G$28&lt;=G23, "Yes","No")</f>
        <v>No</v>
      </c>
      <c r="J23" s="246" t="s">
        <v>946</v>
      </c>
      <c r="K23" s="242" t="s">
        <v>928</v>
      </c>
      <c r="L23" s="5" t="s">
        <v>929</v>
      </c>
      <c r="M23" s="48">
        <f>SUMIFS('3.) Large Load'!$H$6:$H$239,'3.) Large Load'!$C$6:$C$239,"Yes")</f>
        <v>9088.9007999999994</v>
      </c>
      <c r="N23" s="48">
        <f>SUMIFS('3.) Large Load'!$J$6:$J$239,'3.) Large Load'!$C$6:$C$239,"Yes")</f>
        <v>0</v>
      </c>
      <c r="O23" s="48">
        <f t="shared" si="17"/>
        <v>0</v>
      </c>
      <c r="P23" t="str">
        <f t="shared" si="18"/>
        <v>No</v>
      </c>
      <c r="R23" s="105"/>
      <c r="S23" s="5" t="s">
        <v>3877</v>
      </c>
      <c r="T23" s="5">
        <f>T22/(T22+T20)*100</f>
        <v>96.594315294254145</v>
      </c>
      <c r="U23" s="5">
        <f>U22/(U22+U20)*100</f>
        <v>98.639871553334928</v>
      </c>
      <c r="V23" s="48"/>
      <c r="AA23" s="57">
        <v>5</v>
      </c>
      <c r="AB23" s="71">
        <f>SUMIFS(Table323[CLM $ Collected ],Table323[BIPOC Index],AA23)+SUMIFS(Table3236[CLM $ Collected ],Table3236[BIPOC Index],AA23)</f>
        <v>9090507.0469938423</v>
      </c>
      <c r="AC23" s="71">
        <f t="shared" si="11"/>
        <v>16.746961019100297</v>
      </c>
      <c r="AD23" s="71">
        <f>SUMIFS(Table323[Incentive Disbursements],Table323[BIPOC Index],AA23)+SUMIFS(Table3236[Incentive Disbursements],Table3236[BIPOC Index],AA23)</f>
        <v>9812939.3375000022</v>
      </c>
      <c r="AE23" s="71">
        <f t="shared" si="12"/>
        <v>12.505150528191031</v>
      </c>
      <c r="AF23" s="71">
        <f>SUMIFS(Table323[Incentives],Table323[BIPOC Index],AA23)+SUMIFS(Table3236[Incentives],Table3236[BIPOC Index],AA23)</f>
        <v>3675748.7499999972</v>
      </c>
      <c r="AG23" s="71">
        <f t="shared" si="13"/>
        <v>10.464743328096169</v>
      </c>
      <c r="AH23">
        <f t="shared" si="14"/>
        <v>0.62487416768695447</v>
      </c>
      <c r="AI23" s="71">
        <f>SUMIFS(Table323[[Incentives ]],Table323[BIPOC Index],AA23)+SUMIFS(Table3236[[Incentives ]],Table3236[BIPOC Index],AA23)</f>
        <v>3566291</v>
      </c>
      <c r="AJ23" s="71">
        <f>(AI23/$AI$24)*100</f>
        <v>16.30901190282006</v>
      </c>
      <c r="AK23">
        <f t="shared" si="15"/>
        <v>0.97384903948956791</v>
      </c>
      <c r="AL23" s="13">
        <f>SUMIFS(Table323[Total Units],Table323[BIPOC Index],AA23)+SUMIFS(Table3236[Total Units],Table3236[BIPOC Index],AA23)</f>
        <v>4299</v>
      </c>
      <c r="AM23" s="48">
        <f>(AL23/$AL$24)*100</f>
        <v>16.673777295116938</v>
      </c>
      <c r="AP23" s="81" t="s">
        <v>983</v>
      </c>
      <c r="AQ23" s="79"/>
      <c r="AR23" s="79"/>
      <c r="AS23" s="73" t="s">
        <v>902</v>
      </c>
      <c r="AT23" s="74" t="s">
        <v>903</v>
      </c>
      <c r="AU23" s="80" t="s">
        <v>984</v>
      </c>
      <c r="AY23" t="s">
        <v>985</v>
      </c>
      <c r="AZ23" t="s">
        <v>935</v>
      </c>
      <c r="BA23">
        <v>4786</v>
      </c>
      <c r="BB23" s="32">
        <f>SUMIFS(Table323[CLM $ Collected ],Table323[Town],"New Britain")</f>
        <v>774281.75754299981</v>
      </c>
      <c r="BC23" s="32">
        <f>SUMIFS(Table323[Incentive Disbursements],Table323[Town],"New Britain")</f>
        <v>855338.125</v>
      </c>
      <c r="BD23">
        <f t="shared" si="19"/>
        <v>110.46858803883141</v>
      </c>
      <c r="BE23" t="s">
        <v>936</v>
      </c>
    </row>
    <row r="24" spans="2:57" x14ac:dyDescent="0.2">
      <c r="B24" s="246"/>
      <c r="C24" s="242"/>
      <c r="D24" s="5" t="s">
        <v>937</v>
      </c>
      <c r="E24" s="48">
        <f>E23/(E23+E25)*100</f>
        <v>3.3894274410714393</v>
      </c>
      <c r="F24" s="48">
        <f>F23/(F23+F25)*100</f>
        <v>2.3925741884034553</v>
      </c>
      <c r="J24" s="246"/>
      <c r="K24" s="242"/>
      <c r="L24" s="5" t="s">
        <v>937</v>
      </c>
      <c r="M24" s="48">
        <f>M23/(M23+M25)*100</f>
        <v>18.035660338875967</v>
      </c>
      <c r="N24" s="48" t="e">
        <f>N23/(N23+N25)*100</f>
        <v>#DIV/0!</v>
      </c>
      <c r="R24" t="s">
        <v>947</v>
      </c>
      <c r="S24" s="5" t="s">
        <v>948</v>
      </c>
      <c r="T24">
        <f>SUM(T16,T18,T20,T22)</f>
        <v>54346673.653573126</v>
      </c>
      <c r="U24">
        <f>SUM(U16,U18,U20,U22)</f>
        <v>35143148.409999967</v>
      </c>
      <c r="V24" s="48">
        <f t="shared" si="10"/>
        <v>64.664764276128636</v>
      </c>
      <c r="AA24" t="s">
        <v>951</v>
      </c>
      <c r="AB24" s="48">
        <f>SUM(AB19:AB23)</f>
        <v>54281532.253081068</v>
      </c>
      <c r="AC24" s="48"/>
      <c r="AD24" s="48">
        <f t="shared" ref="AD24:AI24" si="20">SUM(AD19:AD23)</f>
        <v>78471181.257499993</v>
      </c>
      <c r="AE24" s="48"/>
      <c r="AF24" s="48">
        <f t="shared" si="20"/>
        <v>35125073.159999989</v>
      </c>
      <c r="AG24" s="48"/>
      <c r="AI24" s="48">
        <f t="shared" si="20"/>
        <v>21866996.119999997</v>
      </c>
      <c r="AJ24" s="48"/>
      <c r="AL24" s="48">
        <f t="shared" ref="AL24" si="21">SUM(AL19:AL23)</f>
        <v>25783</v>
      </c>
      <c r="AP24" s="104" t="s">
        <v>927</v>
      </c>
      <c r="AQ24" s="72" t="s">
        <v>933</v>
      </c>
      <c r="AR24" s="5" t="s">
        <v>929</v>
      </c>
      <c r="AS24" s="48">
        <f>SUMIFS(Table3236[CLM $ Collected ],Table3236[Energy Burdened?],"Yes")</f>
        <v>1304986.4134966535</v>
      </c>
      <c r="AT24" s="48">
        <f>SUMIFS(Table3236[Incentives],Table3236[Energy Burdened?],"Yes")</f>
        <v>186517.81</v>
      </c>
      <c r="AU24">
        <f>SUMIFS(Table3236[Total Units],Table3236[Energy Burdened?],"Yes")</f>
        <v>234</v>
      </c>
      <c r="AZ24" t="s">
        <v>939</v>
      </c>
      <c r="BA24" s="48">
        <f>(BA23/77814)*100</f>
        <v>6.1505641658313417</v>
      </c>
      <c r="BB24" s="96">
        <f>(BB23/52682522.8472697)*100</f>
        <v>1.4697127542424202</v>
      </c>
      <c r="BC24" s="96">
        <f>(BC23/36999853.3169)*100</f>
        <v>2.311733826818489</v>
      </c>
      <c r="BD24">
        <f>BC24/BB24</f>
        <v>1.5729154014248845</v>
      </c>
    </row>
    <row r="25" spans="2:57" x14ac:dyDescent="0.2">
      <c r="B25" s="246"/>
      <c r="C25" s="242" t="s">
        <v>940</v>
      </c>
      <c r="D25" s="5" t="s">
        <v>929</v>
      </c>
      <c r="E25" s="48">
        <f>SUMIFS(Table3[Residential CLM $ Collected],Table3[Distressed Tract1],"No")</f>
        <v>42753510.702798046</v>
      </c>
      <c r="F25" s="48">
        <f>SUMIFS(Table3[Residential Incentive Disbursements],Table3[Distressed Tract1],"No")</f>
        <v>65995262.87749999</v>
      </c>
      <c r="G25" s="48">
        <f t="shared" si="16"/>
        <v>154.36220743664185</v>
      </c>
      <c r="H25" t="str">
        <f>IF($G$28&lt;=G25, "Yes","No")</f>
        <v>Yes</v>
      </c>
      <c r="J25" s="246"/>
      <c r="K25" s="242" t="s">
        <v>940</v>
      </c>
      <c r="L25" s="5" t="s">
        <v>929</v>
      </c>
      <c r="M25" s="48">
        <f>SUMIFS('3.) Large Load'!$H$6:$H$239,'3.) Large Load'!$C$6:$C$239,"No")</f>
        <v>41305.155359999997</v>
      </c>
      <c r="N25" s="48">
        <f>SUMIFS('3.) Large Load'!$J$6:$J$239,'3.) Large Load'!$C$6:$C$239,"No")</f>
        <v>0</v>
      </c>
      <c r="O25" s="48">
        <f t="shared" si="17"/>
        <v>0</v>
      </c>
      <c r="P25" t="str">
        <f t="shared" si="18"/>
        <v>No</v>
      </c>
      <c r="R25" t="s">
        <v>981</v>
      </c>
      <c r="V25" s="48">
        <f>V24-(V24*0.05)</f>
        <v>61.431526062322206</v>
      </c>
      <c r="AP25" s="104"/>
      <c r="AQ25" s="72"/>
      <c r="AR25" s="5" t="s">
        <v>937</v>
      </c>
      <c r="AS25" s="48">
        <f>(AS24/(AS24+AS26))*100</f>
        <v>13.000984586619605</v>
      </c>
      <c r="AT25" s="48">
        <f>(AT24/(AT24+AT26))*100</f>
        <v>2.980015503707901</v>
      </c>
      <c r="AU25" s="48">
        <f>(AU24/(AU24+AU26))*100</f>
        <v>5.89866397781699</v>
      </c>
      <c r="AY25" t="s">
        <v>988</v>
      </c>
      <c r="AZ25" t="s">
        <v>935</v>
      </c>
      <c r="BA25">
        <v>3603</v>
      </c>
      <c r="BB25" s="32">
        <f>SUMIFS(Table323[CLM $ Collected ],Table323[Town],"Stamford")</f>
        <v>2158793.3411729997</v>
      </c>
      <c r="BC25" s="32">
        <f>SUMIFS(Table323[Incentive Disbursements],Table323[Town],"Stamford")</f>
        <v>1517567.5525000002</v>
      </c>
      <c r="BD25">
        <f t="shared" si="19"/>
        <v>70.29702767544282</v>
      </c>
      <c r="BE25" t="s">
        <v>944</v>
      </c>
    </row>
    <row r="26" spans="2:57" x14ac:dyDescent="0.2">
      <c r="B26" s="246"/>
      <c r="C26" s="242"/>
      <c r="D26" s="5" t="s">
        <v>937</v>
      </c>
      <c r="E26" s="48">
        <f>E25/(E23+E25)*100</f>
        <v>96.610572558928567</v>
      </c>
      <c r="F26" s="48">
        <f>F25/(F23+F25)*100</f>
        <v>97.607425811596542</v>
      </c>
      <c r="J26" s="246"/>
      <c r="K26" s="242"/>
      <c r="L26" s="5" t="s">
        <v>937</v>
      </c>
      <c r="M26" s="48">
        <f>M25/(M23+M25)*100</f>
        <v>81.964339661124043</v>
      </c>
      <c r="N26" s="48" t="e">
        <f>N25/(N23+N25)*100</f>
        <v>#DIV/0!</v>
      </c>
      <c r="AB26" t="s">
        <v>989</v>
      </c>
      <c r="AP26" s="104"/>
      <c r="AQ26" s="72" t="s">
        <v>942</v>
      </c>
      <c r="AR26" s="5" t="s">
        <v>929</v>
      </c>
      <c r="AS26" s="48">
        <f>SUMIFS(Table3236[CLM $ Collected ],Table3236[Energy Burdened?],"No")</f>
        <v>8732610.3915924281</v>
      </c>
      <c r="AT26" s="48">
        <f>SUMIFS(Table3236[Incentives],Table3236[Energy Burdened?],"No")</f>
        <v>6072436.5399999972</v>
      </c>
      <c r="AU26">
        <f>SUMIFS(Table3236[Total Units],Table3236[Energy Burdened?],"No")</f>
        <v>3733</v>
      </c>
      <c r="AZ26" t="s">
        <v>939</v>
      </c>
      <c r="BA26" s="48">
        <f>(BA25/77814)*100</f>
        <v>4.6302721875240964</v>
      </c>
      <c r="BB26" s="96">
        <f>(BB25/52682522.8472697)*100</f>
        <v>4.0977410049846927</v>
      </c>
      <c r="BC26" s="96">
        <f>(BC25/36999853.3169)*100</f>
        <v>4.1015501858944887</v>
      </c>
      <c r="BD26">
        <f>BC26/BB26</f>
        <v>1.0009295806897416</v>
      </c>
    </row>
    <row r="27" spans="2:57" x14ac:dyDescent="0.2">
      <c r="B27" s="5" t="s">
        <v>947</v>
      </c>
      <c r="C27" s="5" t="s">
        <v>948</v>
      </c>
      <c r="E27" s="48">
        <f>SUM(E19,E21,E23,E25)</f>
        <v>54174287.176809952</v>
      </c>
      <c r="F27" s="48">
        <f>SUM(F19,F21,F23,F25)</f>
        <v>79132313.787499994</v>
      </c>
      <c r="G27" s="64">
        <f t="shared" si="16"/>
        <v>146.06987541752773</v>
      </c>
      <c r="J27" s="5" t="s">
        <v>947</v>
      </c>
      <c r="K27" s="5" t="s">
        <v>948</v>
      </c>
      <c r="L27" s="5"/>
      <c r="M27" s="48">
        <f>SUM(M19,M21,M23,M25)</f>
        <v>167152.93992317247</v>
      </c>
      <c r="N27" s="48">
        <f>SUM(N19,N21,N23,N25)</f>
        <v>575682.90999999992</v>
      </c>
      <c r="O27" s="48">
        <f t="shared" si="17"/>
        <v>344.40489665607896</v>
      </c>
      <c r="AB27" t="s">
        <v>990</v>
      </c>
      <c r="AP27" s="104"/>
      <c r="AQ27" s="72"/>
      <c r="AR27" s="5" t="s">
        <v>937</v>
      </c>
      <c r="AS27" s="48">
        <f>(AS26/(AS26+AS24))*100</f>
        <v>86.999015413380391</v>
      </c>
      <c r="AT27" s="48">
        <f>(AT26/(AT26+AT24))*100</f>
        <v>97.019984496292096</v>
      </c>
      <c r="AU27" s="48">
        <f>(AU26/(AU26+AU24))*100</f>
        <v>94.10133602218302</v>
      </c>
      <c r="AY27" t="s">
        <v>991</v>
      </c>
      <c r="AZ27" t="s">
        <v>935</v>
      </c>
      <c r="BA27">
        <v>3174</v>
      </c>
      <c r="BB27" s="32">
        <f>SUMIFS(Table323[CLM $ Collected ],Table323[Town],"Meriden")</f>
        <v>803951.04780899989</v>
      </c>
      <c r="BC27" s="32">
        <f>SUMIFS(Table323[Incentive Disbursements],Table323[Town],"Meriden")</f>
        <v>1637496.0150000001</v>
      </c>
      <c r="BD27">
        <f t="shared" si="19"/>
        <v>203.68105986834055</v>
      </c>
      <c r="BE27" t="s">
        <v>936</v>
      </c>
    </row>
    <row r="28" spans="2:57" x14ac:dyDescent="0.2">
      <c r="B28" t="s">
        <v>957</v>
      </c>
      <c r="G28" s="48">
        <f>G27-(G27*0.05)</f>
        <v>138.76638164665133</v>
      </c>
      <c r="J28" t="s">
        <v>957</v>
      </c>
      <c r="O28" s="48">
        <f>O27-(O27*0.05)</f>
        <v>327.18465182327503</v>
      </c>
      <c r="R28" s="10" t="s">
        <v>986</v>
      </c>
      <c r="S28" s="10" t="s">
        <v>987</v>
      </c>
      <c r="AC28" s="12" t="s">
        <v>992</v>
      </c>
      <c r="AP28" s="246" t="s">
        <v>946</v>
      </c>
      <c r="AQ28" s="72" t="s">
        <v>933</v>
      </c>
      <c r="AR28" s="5" t="s">
        <v>929</v>
      </c>
      <c r="AS28" s="48">
        <f>SUMIFS(Table323[CLM $ Collected ],Table323[Energy Burdened?],"Yes")</f>
        <v>2193191.4550140002</v>
      </c>
      <c r="AT28" s="48">
        <f>SUMIFS(Table323[Incentives],Table323[Energy Burdened?],"Yes")</f>
        <v>346464.08999999997</v>
      </c>
      <c r="AU28" s="48">
        <f>SUMIFS(Table323[Total Units],Table323[Energy Burdened?],"Yes")</f>
        <v>1214</v>
      </c>
      <c r="AZ28" t="s">
        <v>939</v>
      </c>
      <c r="BA28" s="48">
        <f>(BA27/77814)*100</f>
        <v>4.0789575140720178</v>
      </c>
      <c r="BB28" s="96">
        <f>(BB27/52682522.8472697)*100</f>
        <v>1.5260298944674877</v>
      </c>
      <c r="BC28" s="96">
        <f>(BC27/36999853.3169)*100</f>
        <v>4.4256824506167973</v>
      </c>
      <c r="BD28">
        <f>BC28/BB28</f>
        <v>2.9001282783920503</v>
      </c>
    </row>
    <row r="29" spans="2:57" x14ac:dyDescent="0.2">
      <c r="L29" s="5"/>
      <c r="R29" s="83" t="s">
        <v>908</v>
      </c>
      <c r="S29" s="83" t="s">
        <v>909</v>
      </c>
      <c r="T29" s="83" t="s">
        <v>910</v>
      </c>
      <c r="U29" s="83" t="s">
        <v>911</v>
      </c>
      <c r="V29" s="83" t="s">
        <v>912</v>
      </c>
      <c r="W29" s="83" t="s">
        <v>913</v>
      </c>
      <c r="AC29" s="12" t="s">
        <v>993</v>
      </c>
      <c r="AP29" s="246"/>
      <c r="AQ29" s="72"/>
      <c r="AR29" s="5" t="s">
        <v>937</v>
      </c>
      <c r="AS29" s="48">
        <f>(AS28/(AS28+AS30))*100</f>
        <v>5.0020460800826791</v>
      </c>
      <c r="AT29" s="48">
        <f>(AT28/(AT28+AT30))*100</f>
        <v>1.2003909780331909</v>
      </c>
      <c r="AU29" s="48">
        <f>(AU28/(AU28+AU30))*100</f>
        <v>5.5647231389805647</v>
      </c>
    </row>
    <row r="30" spans="2:57" x14ac:dyDescent="0.2">
      <c r="B30" s="10" t="s">
        <v>994</v>
      </c>
      <c r="C30" s="10" t="s">
        <v>995</v>
      </c>
      <c r="J30" s="10" t="s">
        <v>996</v>
      </c>
      <c r="K30" s="10" t="s">
        <v>997</v>
      </c>
      <c r="L30" s="5"/>
      <c r="R30" s="241" t="s">
        <v>930</v>
      </c>
      <c r="S30" s="5" t="s">
        <v>931</v>
      </c>
      <c r="T30" s="5">
        <f>SUMIFS(Table3236[Total Units2],Table3236[Distressed Tract1],"Yes")</f>
        <v>473</v>
      </c>
      <c r="U30" s="5">
        <f>SUMIFS(Table3236[[Single Family ]],Table3236[Distressed Tract1],"Yes")</f>
        <v>155</v>
      </c>
      <c r="V30" s="5">
        <f>SUMIFS(Table3236[2-4 Units2],Table3236[Distressed Tract1],"Yes")</f>
        <v>300</v>
      </c>
      <c r="W30" s="5">
        <f>SUMIFS(Table3236[&gt;4 Units ],Table3236[Distressed Tract1],"Yes")</f>
        <v>18</v>
      </c>
      <c r="AC30" s="12" t="s">
        <v>998</v>
      </c>
      <c r="AP30" s="246"/>
      <c r="AQ30" s="72" t="s">
        <v>942</v>
      </c>
      <c r="AR30" s="5" t="s">
        <v>929</v>
      </c>
      <c r="AS30" s="48">
        <f>SUMIFS(Table323[CLM $ Collected ],Table323[Energy Burdened?],"No")</f>
        <v>41652695.206185028</v>
      </c>
      <c r="AT30" s="48">
        <f>SUMIFS(Table323[Incentives],Table323[Energy Burdened?],"No")</f>
        <v>28516139.539999973</v>
      </c>
      <c r="AU30" s="48">
        <f>SUMIFS(Table323[Total Units],Table323[Energy Burdened?],"No")</f>
        <v>20602</v>
      </c>
    </row>
    <row r="31" spans="2:57" ht="32" x14ac:dyDescent="0.2">
      <c r="B31" s="240" t="s">
        <v>999</v>
      </c>
      <c r="C31" s="240"/>
      <c r="D31" s="240"/>
      <c r="E31" s="73" t="s">
        <v>902</v>
      </c>
      <c r="F31" s="76" t="s">
        <v>903</v>
      </c>
      <c r="G31" s="75" t="s">
        <v>907</v>
      </c>
      <c r="H31" s="83" t="s">
        <v>905</v>
      </c>
      <c r="J31" s="240" t="s">
        <v>1000</v>
      </c>
      <c r="K31" s="240"/>
      <c r="L31" s="240"/>
      <c r="M31" s="73" t="s">
        <v>902</v>
      </c>
      <c r="N31" s="76" t="s">
        <v>903</v>
      </c>
      <c r="O31" s="75" t="s">
        <v>907</v>
      </c>
      <c r="P31" s="83" t="s">
        <v>905</v>
      </c>
      <c r="R31" s="241"/>
      <c r="S31" s="5" t="s">
        <v>938</v>
      </c>
      <c r="T31" s="5">
        <f>SUMIFS(Table3236[Total Units2],Table3236[Distressed Tract1],"No")</f>
        <v>994</v>
      </c>
      <c r="U31" s="5">
        <f>SUMIFS(Table3236[[Single Family ]],Table3236[Distressed Tract1],"No")</f>
        <v>709</v>
      </c>
      <c r="V31" s="5">
        <f>SUMIFS(Table3236[2-4 Units2],Table3236[Distressed Tract1],"No")</f>
        <v>265</v>
      </c>
      <c r="W31" s="5">
        <f>SUMIFS(Table3236[&gt;4 Units ],Table3236[Distressed Tract1],"No")</f>
        <v>20</v>
      </c>
      <c r="AC31" s="12" t="s">
        <v>1001</v>
      </c>
      <c r="AP31" s="246"/>
      <c r="AQ31" s="72"/>
      <c r="AR31" s="5" t="s">
        <v>937</v>
      </c>
      <c r="AS31" s="48">
        <f>(AS30/(AS30+AS28))*100</f>
        <v>94.997953919917322</v>
      </c>
      <c r="AT31" s="48">
        <f>(AT30/(AT30+AT28))*100</f>
        <v>98.799609021966802</v>
      </c>
      <c r="AU31" s="48">
        <f>(AU30/(AU30+AU28))*100</f>
        <v>94.435276861019432</v>
      </c>
      <c r="AY31" t="s">
        <v>1002</v>
      </c>
      <c r="BB31" s="95"/>
      <c r="BC31" s="94"/>
    </row>
    <row r="32" spans="2:57" x14ac:dyDescent="0.2">
      <c r="B32" s="241" t="s">
        <v>927</v>
      </c>
      <c r="C32" s="242" t="s">
        <v>928</v>
      </c>
      <c r="D32" s="5" t="s">
        <v>929</v>
      </c>
      <c r="E32" s="48">
        <f>SUMIFS(Table8[C&amp;I CLM $ Collected],Table8[Distressed Tract1],"Yes")</f>
        <v>1068834.3817721047</v>
      </c>
      <c r="F32" s="48">
        <f>SUMIFS(Table8[C&amp;I Incentive Disbursements],Table8[Distressed Tract1],"Yes")</f>
        <v>2942021.46</v>
      </c>
      <c r="G32" s="48">
        <f>(F32/E32)*100</f>
        <v>275.2551293421335</v>
      </c>
      <c r="H32" t="str">
        <f>IF($G$41&lt;=G32, "Yes","No")</f>
        <v>Yes</v>
      </c>
      <c r="J32" s="241" t="s">
        <v>927</v>
      </c>
      <c r="K32" s="242" t="s">
        <v>928</v>
      </c>
      <c r="L32" s="5" t="s">
        <v>929</v>
      </c>
      <c r="M32" s="48">
        <f>SUMIFS(Table325[C&amp;I CLM $ Collected],Table325[Distressed Tract1],"Yes")</f>
        <v>2596593.0909307953</v>
      </c>
      <c r="N32" s="48">
        <f>SUMIFS(Table325[C&amp;I Incentive Disbursements],Table325[Distressed Tract1],"Yes")</f>
        <v>2518783.6100000003</v>
      </c>
      <c r="O32" s="48">
        <f>(N32/M32)*100</f>
        <v>97.003401064165089</v>
      </c>
      <c r="P32" t="str">
        <f>IF($O$41&lt;=O32, "Yes","No")</f>
        <v>No</v>
      </c>
      <c r="R32" s="246" t="s">
        <v>941</v>
      </c>
      <c r="S32" s="5" t="s">
        <v>931</v>
      </c>
      <c r="T32" s="5">
        <f>SUMIFS(Table323[Total Units2],Table323[Distressed Tract1],"Yes")</f>
        <v>1384</v>
      </c>
      <c r="U32" s="5">
        <f>SUMIFS(Table323[[Single Family ]],Table323[Distressed Tract1],"Yes")</f>
        <v>237</v>
      </c>
      <c r="V32" s="5" t="e">
        <f>SUMIFS(Table323 #REF!,Table323[Distressed Tract1],"Yes")</f>
        <v>#NAME?</v>
      </c>
      <c r="W32" s="5">
        <f>SUMIFS(Table323[&gt;4 Units ],Table323[Distressed Tract1],"Yes")</f>
        <v>1018</v>
      </c>
      <c r="AP32" s="242" t="s">
        <v>948</v>
      </c>
      <c r="AQ32" s="242" t="s">
        <v>933</v>
      </c>
      <c r="AR32" s="5" t="s">
        <v>929</v>
      </c>
      <c r="AS32" s="48">
        <f>AS24+AS28</f>
        <v>3498177.8685106537</v>
      </c>
      <c r="AT32" s="48">
        <f>AT24+AT28</f>
        <v>532981.89999999991</v>
      </c>
      <c r="AU32" s="48">
        <f>AU24+AU28</f>
        <v>1448</v>
      </c>
      <c r="BB32" t="s">
        <v>1003</v>
      </c>
      <c r="BC32" t="s">
        <v>959</v>
      </c>
      <c r="BD32" t="s">
        <v>907</v>
      </c>
    </row>
    <row r="33" spans="2:56" x14ac:dyDescent="0.2">
      <c r="B33" s="241"/>
      <c r="C33" s="242"/>
      <c r="D33" s="5" t="s">
        <v>937</v>
      </c>
      <c r="E33" s="48">
        <f>E32/(E32+E34)*100</f>
        <v>27.001411652995966</v>
      </c>
      <c r="F33" s="48">
        <f>F32/(F32+F34)*100</f>
        <v>26.499768618264525</v>
      </c>
      <c r="J33" s="241"/>
      <c r="K33" s="242"/>
      <c r="L33" s="5" t="s">
        <v>937</v>
      </c>
      <c r="M33" s="48">
        <f>M32/(M32+M34)*100</f>
        <v>30.408321141140281</v>
      </c>
      <c r="N33" s="48">
        <f>N32/(N32+N34)*100</f>
        <v>27.397533775174558</v>
      </c>
      <c r="R33" s="246"/>
      <c r="S33" s="5" t="s">
        <v>938</v>
      </c>
      <c r="T33" s="5">
        <f>SUMIFS(Table323[Total Units2],Table323[Distressed Tract1],"No")</f>
        <v>12979</v>
      </c>
      <c r="U33" s="5">
        <f>SUMIFS(Table323[[Single Family ]],Table323[Distressed Tract1],"No")</f>
        <v>3369</v>
      </c>
      <c r="V33" s="5" t="e">
        <f>SUMIFS(Table323 #REF!,Table323[Distressed Tract1],"No")</f>
        <v>#NAME?</v>
      </c>
      <c r="W33" s="5">
        <f>SUMIFS(Table323[&gt;4 Units ],Table323[Distressed Tract1],"No")</f>
        <v>8559</v>
      </c>
      <c r="AP33" s="242"/>
      <c r="AQ33" s="242"/>
      <c r="AR33" s="5" t="s">
        <v>937</v>
      </c>
      <c r="AS33" s="48">
        <f>(AS32/AS36)*100</f>
        <v>6.4921152892783347</v>
      </c>
      <c r="AT33" s="48">
        <f>(AT32/AT36)*100</f>
        <v>1.5175349006542005</v>
      </c>
      <c r="AU33" s="48">
        <f>(AU32/AU36)*100</f>
        <v>5.6161036341775592</v>
      </c>
      <c r="BA33" t="s">
        <v>1004</v>
      </c>
      <c r="BB33">
        <v>52682522.847269721</v>
      </c>
      <c r="BC33">
        <v>36999853.3169</v>
      </c>
    </row>
    <row r="34" spans="2:56" ht="30" customHeight="1" x14ac:dyDescent="0.2">
      <c r="B34" s="241"/>
      <c r="C34" s="242" t="s">
        <v>940</v>
      </c>
      <c r="D34" s="5" t="s">
        <v>929</v>
      </c>
      <c r="E34" s="48">
        <f>SUMIFS(Table8[C&amp;I CLM $ Collected],Table8[Distressed Tract1],"No")</f>
        <v>2889604.5158235002</v>
      </c>
      <c r="F34" s="48">
        <f>SUMIFS(Table8[C&amp;I Incentive Disbursements],Table8[Distressed Tract1],"No")</f>
        <v>8160043.2499999991</v>
      </c>
      <c r="G34" s="48">
        <f t="shared" ref="G34:G40" si="22">(F34/E34)*100</f>
        <v>282.39308200535851</v>
      </c>
      <c r="H34" t="str">
        <f>IF($G$41&lt;=G34, "Yes","No")</f>
        <v>Yes</v>
      </c>
      <c r="J34" s="241"/>
      <c r="K34" s="242" t="s">
        <v>940</v>
      </c>
      <c r="L34" s="5" t="s">
        <v>929</v>
      </c>
      <c r="M34" s="48">
        <f>SUMIFS(Table325[C&amp;I CLM $ Collected],Table325[Distressed Tract1],"No")</f>
        <v>5942494.2163845403</v>
      </c>
      <c r="N34" s="48">
        <f>SUMIFS(Table325[C&amp;I Incentive Disbursements],Table325[Distressed Tract1],"No")</f>
        <v>6674684.79</v>
      </c>
      <c r="O34" s="48">
        <f t="shared" ref="O34:O40" si="23">(N34/M34)*100</f>
        <v>112.32126691174014</v>
      </c>
      <c r="P34" t="str">
        <f t="shared" ref="P34:P38" si="24">IF($O$41&lt;=O34, "Yes","No")</f>
        <v>No</v>
      </c>
      <c r="R34" s="5" t="s">
        <v>947</v>
      </c>
      <c r="S34" s="5" t="s">
        <v>948</v>
      </c>
      <c r="T34" s="5">
        <f>SUM(T30:T33)</f>
        <v>15830</v>
      </c>
      <c r="U34" s="5">
        <f t="shared" ref="U34:W34" si="25">SUM(U30:U33)</f>
        <v>4470</v>
      </c>
      <c r="V34" s="5" t="e">
        <f t="shared" si="25"/>
        <v>#NAME?</v>
      </c>
      <c r="W34" s="5">
        <f t="shared" si="25"/>
        <v>9615</v>
      </c>
      <c r="AP34" s="242"/>
      <c r="AQ34" s="245" t="s">
        <v>942</v>
      </c>
      <c r="AR34" s="5" t="s">
        <v>929</v>
      </c>
      <c r="AS34" s="48">
        <f>AS26+AS30</f>
        <v>50385305.597777456</v>
      </c>
      <c r="AT34" s="48">
        <f>AT26+AT30</f>
        <v>34588576.079999968</v>
      </c>
      <c r="AU34" s="48">
        <f>AU26+AU30</f>
        <v>24335</v>
      </c>
      <c r="BA34" t="s">
        <v>927</v>
      </c>
      <c r="BB34">
        <v>12129792.9309</v>
      </c>
      <c r="BC34">
        <v>8494544.290000001</v>
      </c>
    </row>
    <row r="35" spans="2:56" ht="15" customHeight="1" x14ac:dyDescent="0.2">
      <c r="B35" s="241"/>
      <c r="C35" s="242"/>
      <c r="D35" s="5" t="s">
        <v>937</v>
      </c>
      <c r="E35" s="48">
        <f>E34/(E34+E32)*100</f>
        <v>72.998588347004031</v>
      </c>
      <c r="F35" s="48">
        <f>F34/(F34+F32)*100</f>
        <v>73.500231381735475</v>
      </c>
      <c r="J35" s="241"/>
      <c r="K35" s="242"/>
      <c r="L35" s="5" t="s">
        <v>937</v>
      </c>
      <c r="M35" s="48">
        <f>M34/(M34+M32)*100</f>
        <v>69.591678858859723</v>
      </c>
      <c r="N35" s="48">
        <f>N34/(N34+N32)*100</f>
        <v>72.602466224825434</v>
      </c>
      <c r="AP35" s="242"/>
      <c r="AQ35" s="245"/>
      <c r="AR35" s="5" t="s">
        <v>937</v>
      </c>
      <c r="AS35" s="48">
        <f>(AS34/AS36)*100</f>
        <v>93.507884710721669</v>
      </c>
      <c r="AT35" s="48">
        <f>(AT34/AT36)*100</f>
        <v>98.482465099345802</v>
      </c>
      <c r="AU35" s="48">
        <f>(AU34/AU36)*100</f>
        <v>94.383896365822437</v>
      </c>
      <c r="BA35" t="s">
        <v>1007</v>
      </c>
      <c r="BB35">
        <f>SUM(BB33:BB34)</f>
        <v>64812315.778169721</v>
      </c>
      <c r="BC35">
        <f>SUM(BC33:BC34)</f>
        <v>45494397.606899999</v>
      </c>
      <c r="BD35">
        <f>(BC35/BB35)*100</f>
        <v>70.194062749758373</v>
      </c>
    </row>
    <row r="36" spans="2:56" x14ac:dyDescent="0.2">
      <c r="B36" s="246" t="s">
        <v>946</v>
      </c>
      <c r="C36" s="242" t="s">
        <v>928</v>
      </c>
      <c r="D36" s="5" t="s">
        <v>929</v>
      </c>
      <c r="E36" s="48">
        <f>SUMIFS(Table3[C&amp;I CLM $ Collected],Table3[Distressed Tract1],"Yes")</f>
        <v>232834.63707</v>
      </c>
      <c r="F36" s="48">
        <f>SUMIFS(Table3[C&amp;I Incentive Disbursements],Table3[Distressed Tract1],"Yes")</f>
        <v>233747.40000000002</v>
      </c>
      <c r="G36" s="48">
        <f t="shared" si="22"/>
        <v>100.39202196953438</v>
      </c>
      <c r="H36" t="str">
        <f>IF($G$41&lt;=G36, "Yes","No")</f>
        <v>No</v>
      </c>
      <c r="J36" s="246" t="s">
        <v>946</v>
      </c>
      <c r="K36" s="242" t="s">
        <v>928</v>
      </c>
      <c r="L36" s="5" t="s">
        <v>929</v>
      </c>
      <c r="M36" s="48">
        <f>SUMIFS('3.) Large Load'!$L$6:$L$239,'3.) Large Load'!$C$6:$C$239,"Yes")</f>
        <v>389199.16177800001</v>
      </c>
      <c r="N36" s="48">
        <f>SUMIFS('3.) Large Load'!$N$6:$N$239,'3.) Large Load'!$C$6:$C$239,"Yes")</f>
        <v>1798768.466</v>
      </c>
      <c r="O36" s="48">
        <f t="shared" si="23"/>
        <v>462.17172148639446</v>
      </c>
      <c r="P36" t="str">
        <f t="shared" si="24"/>
        <v>Yes</v>
      </c>
      <c r="AP36" s="5" t="s">
        <v>947</v>
      </c>
      <c r="AQ36" s="5" t="s">
        <v>977</v>
      </c>
      <c r="AR36" s="5" t="s">
        <v>929</v>
      </c>
      <c r="AS36" s="48">
        <f>AS32+AS34</f>
        <v>53883483.466288112</v>
      </c>
      <c r="AT36" s="48">
        <f>AT32+AT34</f>
        <v>35121557.979999967</v>
      </c>
      <c r="AU36" s="48">
        <f>AU32+AU34</f>
        <v>25783</v>
      </c>
    </row>
    <row r="37" spans="2:56" x14ac:dyDescent="0.2">
      <c r="B37" s="246"/>
      <c r="C37" s="242"/>
      <c r="D37" s="5" t="s">
        <v>937</v>
      </c>
      <c r="E37" s="48">
        <f>E36/(E36+E38)*100</f>
        <v>1.637655298457551</v>
      </c>
      <c r="F37" s="48">
        <f>F36/(F36+F38)*100</f>
        <v>1.7647072215691204</v>
      </c>
      <c r="J37" s="246"/>
      <c r="K37" s="242"/>
      <c r="L37" s="5" t="s">
        <v>937</v>
      </c>
      <c r="M37" s="48">
        <f>M36/(M36+M38)*100</f>
        <v>1.3622428397825197</v>
      </c>
      <c r="N37" s="48">
        <f>N36/(N36+N38)*100</f>
        <v>4.5994397636793094</v>
      </c>
      <c r="AT37" s="48"/>
    </row>
    <row r="38" spans="2:56" x14ac:dyDescent="0.2">
      <c r="B38" s="246"/>
      <c r="C38" s="242" t="s">
        <v>940</v>
      </c>
      <c r="D38" s="5" t="s">
        <v>929</v>
      </c>
      <c r="E38" s="48">
        <f>SUMIFS(Table3[C&amp;I CLM $ Collected],Table3[Distressed Tract1],"No")</f>
        <v>13984726.121247005</v>
      </c>
      <c r="F38" s="48">
        <f>SUMIFS(Table3[C&amp;I Incentive Disbursements],Table3[Distressed Tract1],"No")</f>
        <v>13011928.547999999</v>
      </c>
      <c r="G38" s="48">
        <f t="shared" si="22"/>
        <v>93.04385681340564</v>
      </c>
      <c r="H38" t="str">
        <f>IF($G$41&lt;=G38, "Yes","No")</f>
        <v>No</v>
      </c>
      <c r="J38" s="246"/>
      <c r="K38" s="242" t="s">
        <v>940</v>
      </c>
      <c r="L38" s="5" t="s">
        <v>929</v>
      </c>
      <c r="M38" s="48">
        <f>SUMIFS('3.) Large Load'!$L$6:$L$239,'3.) Large Load'!$C$6:$C$239,"No")</f>
        <v>28181269.363506019</v>
      </c>
      <c r="N38" s="48">
        <f>SUMIFS('3.) Large Load'!$N$6:$N$239,'3.) Large Load'!$C$6:$C$239,"No")</f>
        <v>37309656.873200014</v>
      </c>
      <c r="O38" s="48">
        <f t="shared" si="23"/>
        <v>132.39168325581178</v>
      </c>
      <c r="P38" t="str">
        <f t="shared" si="24"/>
        <v>Yes</v>
      </c>
      <c r="R38" s="10" t="s">
        <v>1005</v>
      </c>
      <c r="S38" s="10" t="s">
        <v>1006</v>
      </c>
    </row>
    <row r="39" spans="2:56" ht="48" x14ac:dyDescent="0.2">
      <c r="B39" s="246"/>
      <c r="C39" s="242"/>
      <c r="D39" s="5" t="s">
        <v>937</v>
      </c>
      <c r="E39" s="48">
        <f>E38/(E36+E38)*100</f>
        <v>98.362344701542455</v>
      </c>
      <c r="F39" s="48">
        <f>F38/(F36+F38)*100</f>
        <v>98.235292778430875</v>
      </c>
      <c r="J39" s="246"/>
      <c r="K39" s="242"/>
      <c r="L39" s="5" t="s">
        <v>937</v>
      </c>
      <c r="M39" s="48">
        <f>M38/(M36+M38)*100</f>
        <v>98.63775716021749</v>
      </c>
      <c r="N39" s="48">
        <f>N38/(N36+N38)*100</f>
        <v>95.4005602363207</v>
      </c>
      <c r="R39" s="83" t="s">
        <v>908</v>
      </c>
      <c r="S39" s="83" t="s">
        <v>909</v>
      </c>
      <c r="T39" s="83" t="s">
        <v>958</v>
      </c>
      <c r="U39" s="83" t="s">
        <v>959</v>
      </c>
      <c r="V39" s="83" t="s">
        <v>907</v>
      </c>
      <c r="W39" s="83" t="s">
        <v>905</v>
      </c>
      <c r="AP39" s="81" t="s">
        <v>1008</v>
      </c>
      <c r="AQ39" s="79"/>
      <c r="AR39" s="79"/>
      <c r="AS39" s="73" t="s">
        <v>902</v>
      </c>
      <c r="AT39" s="74" t="s">
        <v>903</v>
      </c>
      <c r="AU39" s="80" t="s">
        <v>984</v>
      </c>
    </row>
    <row r="40" spans="2:56" x14ac:dyDescent="0.2">
      <c r="B40" s="5" t="s">
        <v>947</v>
      </c>
      <c r="C40" s="5" t="s">
        <v>948</v>
      </c>
      <c r="E40" s="48">
        <f>SUM(E32,E34,E36,E38)</f>
        <v>18175999.655912608</v>
      </c>
      <c r="F40" s="48">
        <f>SUM(F32,F34,F36,F38)</f>
        <v>24347740.658</v>
      </c>
      <c r="G40" s="48">
        <f t="shared" si="22"/>
        <v>133.95544189548738</v>
      </c>
      <c r="J40" s="5" t="s">
        <v>947</v>
      </c>
      <c r="K40" s="5" t="s">
        <v>948</v>
      </c>
      <c r="M40" s="48">
        <f>SUM(M32,M34,M36,M38)</f>
        <v>37109555.832599357</v>
      </c>
      <c r="N40" s="48">
        <f>SUM(N32,N34,N36,N38)</f>
        <v>48301893.739200011</v>
      </c>
      <c r="O40" s="48">
        <f t="shared" si="23"/>
        <v>130.16025833639486</v>
      </c>
      <c r="R40" s="241" t="s">
        <v>930</v>
      </c>
      <c r="S40" s="5" t="s">
        <v>931</v>
      </c>
      <c r="T40" s="5">
        <f>SUMIFS(Table3236[CLM $ Collected ],Table3236[Distressed Tract1],"Yes")</f>
        <v>1852679.8785021065</v>
      </c>
      <c r="U40" s="5">
        <f>SUMIFS(Table3236[[Incentives ]],Table3236[Distressed Tract1],"Yes")</f>
        <v>1611732</v>
      </c>
      <c r="V40" s="48">
        <f>(U40/T40)*100</f>
        <v>86.994629709212731</v>
      </c>
      <c r="W40" t="str">
        <f>IF($V$49&lt;=V40, "Yes","No")</f>
        <v>Yes</v>
      </c>
      <c r="AP40" s="241" t="s">
        <v>927</v>
      </c>
      <c r="AQ40" s="72" t="s">
        <v>933</v>
      </c>
      <c r="AR40" s="5" t="s">
        <v>929</v>
      </c>
      <c r="AS40" s="48">
        <f>SUMIFS(Table3236[CLM $ Collected ],Table3236[Energy Burdened?],"Yes")</f>
        <v>1304986.4134966535</v>
      </c>
      <c r="AT40" s="48">
        <f>SUMIFS(Table3236[[Incentives ]],Table3236[Energy Burdened?],"Yes")</f>
        <v>726058.17999999993</v>
      </c>
      <c r="AU40">
        <f>SUMIFS(Table3236[Total Units2],Table3236[Energy Burdened?],"Yes")</f>
        <v>396</v>
      </c>
    </row>
    <row r="41" spans="2:56" x14ac:dyDescent="0.2">
      <c r="B41" t="s">
        <v>957</v>
      </c>
      <c r="G41" s="48">
        <f>G40-(G40*0.05)</f>
        <v>127.25766980071302</v>
      </c>
      <c r="J41" t="s">
        <v>957</v>
      </c>
      <c r="O41" s="48">
        <f>O40-(O40*0.05)</f>
        <v>123.65224541957512</v>
      </c>
      <c r="R41" s="241"/>
      <c r="S41" s="5" t="s">
        <v>3877</v>
      </c>
      <c r="T41" s="5">
        <f>T40/(T40+T42)*100</f>
        <v>18.457404839799839</v>
      </c>
      <c r="U41" s="5">
        <f>U40/(U40+U42)*100</f>
        <v>35.179655157867835</v>
      </c>
      <c r="V41" s="48"/>
      <c r="AP41" s="241"/>
      <c r="AQ41" s="72"/>
      <c r="AR41" s="5" t="s">
        <v>937</v>
      </c>
      <c r="AS41" s="48">
        <f>(AS40/(AS40+AS42))*100</f>
        <v>13.000984586619605</v>
      </c>
      <c r="AT41" s="48">
        <f t="shared" ref="AT41:AU41" si="26">(AT40/(AT40+AT42))*100</f>
        <v>15.847843436098023</v>
      </c>
      <c r="AU41" s="48">
        <f t="shared" si="26"/>
        <v>26.993865030674847</v>
      </c>
    </row>
    <row r="42" spans="2:56" x14ac:dyDescent="0.2">
      <c r="R42" s="241"/>
      <c r="S42" s="5" t="s">
        <v>938</v>
      </c>
      <c r="T42" s="5">
        <f>SUMIFS(Table3236[CLM $ Collected ],Table3236[Distressed Tract1],"No")</f>
        <v>8184916.9265869763</v>
      </c>
      <c r="U42" s="5">
        <f>SUMIFS(Table3236[[Incentives ]],Table3236[Distressed Tract1],"No")</f>
        <v>2969700.0599999987</v>
      </c>
      <c r="V42" s="48">
        <f t="shared" ref="V42:V48" si="27">(U42/T42)*100</f>
        <v>36.282592561856731</v>
      </c>
      <c r="W42" t="str">
        <f>IF($V$49&lt;=V42, "Yes","No")</f>
        <v>No</v>
      </c>
      <c r="AP42" s="241"/>
      <c r="AQ42" s="72" t="s">
        <v>942</v>
      </c>
      <c r="AR42" s="5" t="s">
        <v>929</v>
      </c>
      <c r="AS42" s="48">
        <f>SUMIFS(Table3236[CLM $ Collected ],Table3236[Energy Burdened?],"No")</f>
        <v>8732610.3915924281</v>
      </c>
      <c r="AT42" s="48">
        <f>SUMIFS(Table3236[[Incentives ]],Table3236[Energy Burdened?],"No")</f>
        <v>3855373.8799999971</v>
      </c>
      <c r="AU42">
        <f>SUMIFS(Table3236[Total Units2],Table3236[Energy Burdened?],"No")</f>
        <v>1071</v>
      </c>
    </row>
    <row r="43" spans="2:56" x14ac:dyDescent="0.2">
      <c r="R43" s="241"/>
      <c r="S43" s="5" t="s">
        <v>3877</v>
      </c>
      <c r="T43" s="5">
        <f>T42/(T42+T40)*100</f>
        <v>81.542595160200165</v>
      </c>
      <c r="U43" s="5">
        <f>U42/(U42+U40)*100</f>
        <v>64.820344842132172</v>
      </c>
      <c r="V43" s="48"/>
      <c r="AP43" s="241"/>
      <c r="AQ43" s="72"/>
      <c r="AR43" s="5" t="s">
        <v>937</v>
      </c>
      <c r="AS43" s="48">
        <f>(AS42/(AS42+AS40))*100</f>
        <v>86.999015413380391</v>
      </c>
      <c r="AT43" s="48">
        <f t="shared" ref="AT43:AU43" si="28">(AT42/(AT42+AT40))*100</f>
        <v>84.152156563901983</v>
      </c>
      <c r="AU43" s="48">
        <f t="shared" si="28"/>
        <v>73.00613496932516</v>
      </c>
    </row>
    <row r="44" spans="2:56" x14ac:dyDescent="0.2">
      <c r="R44" s="246" t="s">
        <v>941</v>
      </c>
      <c r="S44" s="5" t="s">
        <v>931</v>
      </c>
      <c r="T44" s="5">
        <f>SUMIFS(Table323[CLM $ Collected ],Table323[Distressed Tract1],"Yes")</f>
        <v>1509027.4534860004</v>
      </c>
      <c r="U44" s="5">
        <f>SUMIFS(Table323[[Incentives ]],Table323[Distressed Tract1],"Yes")</f>
        <v>777766.09999999963</v>
      </c>
      <c r="V44" s="48">
        <f t="shared" si="27"/>
        <v>51.540884707119417</v>
      </c>
      <c r="W44" t="str">
        <f>IF($V$49&lt;=V44, "Yes","No")</f>
        <v>Yes</v>
      </c>
      <c r="AP44" s="246" t="s">
        <v>946</v>
      </c>
      <c r="AQ44" s="72" t="s">
        <v>933</v>
      </c>
      <c r="AR44" s="5" t="s">
        <v>929</v>
      </c>
      <c r="AS44" s="48">
        <f>SUMIFS(Table323[CLM $ Collected ],Table323[Energy Burdened?],"Yes")</f>
        <v>2193191.4550140002</v>
      </c>
      <c r="AT44" s="48">
        <f>SUMIFS(Table323[[Incentives ]],Table323[Energy Burdened?],"Yes")</f>
        <v>989163.60999999987</v>
      </c>
      <c r="AU44" s="48">
        <f>SUMIFS(Table323[Total Units2],Table323[Energy Burdened?],"Yes")</f>
        <v>2128</v>
      </c>
    </row>
    <row r="45" spans="2:56" x14ac:dyDescent="0.2">
      <c r="R45" s="246"/>
      <c r="S45" s="5" t="s">
        <v>3877</v>
      </c>
      <c r="T45" s="5">
        <f>T44/(T44+T46)*100</f>
        <v>3.4056847057458586</v>
      </c>
      <c r="U45" s="5">
        <f>U44/(U44+U46)*100</f>
        <v>4.4965601067537957</v>
      </c>
      <c r="V45" s="48"/>
      <c r="AP45" s="246"/>
      <c r="AQ45" s="72"/>
      <c r="AR45" s="5" t="s">
        <v>937</v>
      </c>
      <c r="AS45" s="48">
        <f>(AS44/(AS44+AS46))*100</f>
        <v>5.0020460800826791</v>
      </c>
      <c r="AT45" s="48">
        <f t="shared" ref="AT45:AU45" si="29">(AT44/(AT44+AT46))*100</f>
        <v>5.7535365993617891</v>
      </c>
      <c r="AU45" s="48">
        <f t="shared" si="29"/>
        <v>15.164255683032851</v>
      </c>
    </row>
    <row r="46" spans="2:56" x14ac:dyDescent="0.2">
      <c r="R46" s="246"/>
      <c r="S46" s="5" t="s">
        <v>938</v>
      </c>
      <c r="T46" s="5">
        <f>SUMIFS(Table323[CLM $ Collected ],Table323[Distressed Tract1],"No")</f>
        <v>42800049.394998044</v>
      </c>
      <c r="U46" s="5">
        <f>SUMIFS(Table323[[Incentives ]],Table323[Distressed Tract1],"No")</f>
        <v>16519147.130000005</v>
      </c>
      <c r="V46" s="48">
        <f t="shared" si="27"/>
        <v>38.596093610888602</v>
      </c>
      <c r="W46" t="str">
        <f>IF($V$49&lt;=V46, "Yes","No")</f>
        <v>Yes</v>
      </c>
      <c r="AP46" s="246"/>
      <c r="AQ46" s="72" t="s">
        <v>942</v>
      </c>
      <c r="AR46" s="5" t="s">
        <v>929</v>
      </c>
      <c r="AS46" s="48">
        <f>SUMIFS(Table323[CLM $ Collected ],Table323[Energy Burdened?],"No")</f>
        <v>41652695.206185028</v>
      </c>
      <c r="AT46" s="48">
        <f>SUMIFS(Table323[[Incentives ]],Table323[Energy Burdened?],"No")</f>
        <v>16203107.490000004</v>
      </c>
      <c r="AU46" s="48">
        <f>SUMIFS(Table323[Total Units2],Table323[Energy Burdened?],"No")</f>
        <v>11905</v>
      </c>
    </row>
    <row r="47" spans="2:56" x14ac:dyDescent="0.2">
      <c r="R47" s="246"/>
      <c r="S47" s="5" t="s">
        <v>3877</v>
      </c>
      <c r="T47" s="5">
        <f>T46/(T44+T46)*100</f>
        <v>96.594315294254145</v>
      </c>
      <c r="U47" s="5">
        <f>U46/(U44+U46)*100</f>
        <v>95.503439893246195</v>
      </c>
      <c r="V47" s="48"/>
      <c r="AP47" s="246"/>
      <c r="AQ47" s="72"/>
      <c r="AR47" s="5" t="s">
        <v>937</v>
      </c>
      <c r="AS47" s="48">
        <f>(AS46/(AS46+AS44))*100</f>
        <v>94.997953919917322</v>
      </c>
      <c r="AT47" s="48">
        <f t="shared" ref="AT47:AU47" si="30">(AT46/(AT46+AT44))*100</f>
        <v>94.246463400638206</v>
      </c>
      <c r="AU47" s="48">
        <f t="shared" si="30"/>
        <v>84.835744316967151</v>
      </c>
    </row>
    <row r="48" spans="2:56" x14ac:dyDescent="0.2">
      <c r="R48" t="s">
        <v>947</v>
      </c>
      <c r="S48" s="5" t="s">
        <v>948</v>
      </c>
      <c r="T48">
        <f>SUM(T40:T46)</f>
        <v>54346777.059257835</v>
      </c>
      <c r="U48">
        <f>SUM(U40:U46)</f>
        <v>21878449.786560111</v>
      </c>
      <c r="V48" s="48">
        <f t="shared" si="27"/>
        <v>40.257124654705116</v>
      </c>
      <c r="AP48" s="242" t="s">
        <v>948</v>
      </c>
      <c r="AQ48" s="242" t="s">
        <v>933</v>
      </c>
      <c r="AR48" s="5" t="s">
        <v>929</v>
      </c>
      <c r="AS48" s="48">
        <f>AS40+AS44</f>
        <v>3498177.8685106537</v>
      </c>
      <c r="AT48" s="48">
        <f t="shared" ref="AT48:AU48" si="31">AT40+AT44</f>
        <v>1715221.7899999998</v>
      </c>
      <c r="AU48" s="48">
        <f t="shared" si="31"/>
        <v>2524</v>
      </c>
    </row>
    <row r="49" spans="18:47" x14ac:dyDescent="0.2">
      <c r="R49" t="s">
        <v>981</v>
      </c>
      <c r="V49" s="48">
        <f>V48-(V48*0.05)</f>
        <v>38.244268421969863</v>
      </c>
      <c r="AP49" s="242"/>
      <c r="AQ49" s="242"/>
      <c r="AR49" s="5" t="s">
        <v>937</v>
      </c>
      <c r="AS49" s="48">
        <f>(AS48/AS52)*100</f>
        <v>6.4921152892783347</v>
      </c>
      <c r="AT49" s="48">
        <f>(AT48/AT52)*100</f>
        <v>7.8774923006711903</v>
      </c>
      <c r="AU49" s="48">
        <f>(AU48/AU52)*100</f>
        <v>16.283870967741933</v>
      </c>
    </row>
    <row r="50" spans="18:47" ht="30" customHeight="1" x14ac:dyDescent="0.2">
      <c r="AP50" s="242"/>
      <c r="AQ50" s="245" t="s">
        <v>942</v>
      </c>
      <c r="AR50" s="5" t="s">
        <v>929</v>
      </c>
      <c r="AS50" s="48">
        <f>AS42+AS46</f>
        <v>50385305.597777456</v>
      </c>
      <c r="AT50" s="48">
        <f t="shared" ref="AT50:AU50" si="32">AT42+AT46</f>
        <v>20058481.370000001</v>
      </c>
      <c r="AU50" s="48">
        <f t="shared" si="32"/>
        <v>12976</v>
      </c>
    </row>
    <row r="51" spans="18:47" ht="15" customHeight="1" x14ac:dyDescent="0.2">
      <c r="AP51" s="242"/>
      <c r="AQ51" s="245"/>
      <c r="AR51" s="5" t="s">
        <v>937</v>
      </c>
      <c r="AS51" s="48">
        <f>(AS50/AS52)*100</f>
        <v>93.507884710721669</v>
      </c>
      <c r="AT51" s="48">
        <f t="shared" ref="AT51:AU51" si="33">(AT50/AT52)*100</f>
        <v>92.122507699328821</v>
      </c>
      <c r="AU51" s="48">
        <f t="shared" si="33"/>
        <v>83.716129032258067</v>
      </c>
    </row>
    <row r="52" spans="18:47" x14ac:dyDescent="0.2">
      <c r="AP52" s="5" t="s">
        <v>947</v>
      </c>
      <c r="AQ52" s="5" t="s">
        <v>977</v>
      </c>
      <c r="AR52" s="5" t="s">
        <v>929</v>
      </c>
      <c r="AS52" s="48">
        <f>AS48+AS50</f>
        <v>53883483.466288112</v>
      </c>
      <c r="AT52" s="48">
        <f>AT48+AT50</f>
        <v>21773703.16</v>
      </c>
      <c r="AU52" s="48">
        <f>AU48+AU50</f>
        <v>15500</v>
      </c>
    </row>
    <row r="56" spans="18:47" x14ac:dyDescent="0.2">
      <c r="AP56" t="s">
        <v>1009</v>
      </c>
    </row>
    <row r="58" spans="18:47" x14ac:dyDescent="0.2">
      <c r="AP58" t="s">
        <v>1010</v>
      </c>
    </row>
  </sheetData>
  <mergeCells count="75">
    <mergeCell ref="AQ48:AQ49"/>
    <mergeCell ref="AQ50:AQ51"/>
    <mergeCell ref="AP48:AP51"/>
    <mergeCell ref="AP44:AP47"/>
    <mergeCell ref="AP40:AP43"/>
    <mergeCell ref="R1:W1"/>
    <mergeCell ref="R30:R31"/>
    <mergeCell ref="R16:R17"/>
    <mergeCell ref="R20:R21"/>
    <mergeCell ref="R32:R33"/>
    <mergeCell ref="R44:R47"/>
    <mergeCell ref="R40:R43"/>
    <mergeCell ref="C1:E1"/>
    <mergeCell ref="K1:M1"/>
    <mergeCell ref="R6:R7"/>
    <mergeCell ref="R8:R9"/>
    <mergeCell ref="B5:D5"/>
    <mergeCell ref="B6:B9"/>
    <mergeCell ref="J5:L5"/>
    <mergeCell ref="J6:J9"/>
    <mergeCell ref="K6:K7"/>
    <mergeCell ref="K8:K9"/>
    <mergeCell ref="B11:B14"/>
    <mergeCell ref="C6:C7"/>
    <mergeCell ref="C8:C9"/>
    <mergeCell ref="C11:C12"/>
    <mergeCell ref="C13:C14"/>
    <mergeCell ref="B18:D18"/>
    <mergeCell ref="B19:B22"/>
    <mergeCell ref="C19:C20"/>
    <mergeCell ref="C21:C22"/>
    <mergeCell ref="B23:B26"/>
    <mergeCell ref="C23:C24"/>
    <mergeCell ref="C25:C26"/>
    <mergeCell ref="B31:D31"/>
    <mergeCell ref="B32:B35"/>
    <mergeCell ref="C32:C33"/>
    <mergeCell ref="C34:C35"/>
    <mergeCell ref="B36:B39"/>
    <mergeCell ref="C36:C37"/>
    <mergeCell ref="C38:C39"/>
    <mergeCell ref="J10:J13"/>
    <mergeCell ref="K10:K11"/>
    <mergeCell ref="K12:K13"/>
    <mergeCell ref="J18:L18"/>
    <mergeCell ref="J19:J22"/>
    <mergeCell ref="K19:K20"/>
    <mergeCell ref="K21:K22"/>
    <mergeCell ref="J36:J39"/>
    <mergeCell ref="K36:K37"/>
    <mergeCell ref="K38:K39"/>
    <mergeCell ref="J23:J26"/>
    <mergeCell ref="K23:K24"/>
    <mergeCell ref="K25:K26"/>
    <mergeCell ref="J31:L31"/>
    <mergeCell ref="J32:J35"/>
    <mergeCell ref="K32:K33"/>
    <mergeCell ref="K34:K35"/>
    <mergeCell ref="AY18:AZ18"/>
    <mergeCell ref="AQ34:AQ35"/>
    <mergeCell ref="AP32:AP35"/>
    <mergeCell ref="AP28:AP31"/>
    <mergeCell ref="AQ32:AQ33"/>
    <mergeCell ref="AA1:AI1"/>
    <mergeCell ref="AB17:AE17"/>
    <mergeCell ref="AZ5:BA5"/>
    <mergeCell ref="AP1:AU1"/>
    <mergeCell ref="AQ5:AS5"/>
    <mergeCell ref="AQ6:AQ9"/>
    <mergeCell ref="AR6:AR7"/>
    <mergeCell ref="AR8:AR9"/>
    <mergeCell ref="AR10:AR11"/>
    <mergeCell ref="AQ14:AQ17"/>
    <mergeCell ref="AI17:AK17"/>
    <mergeCell ref="AF17:A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AAED-7449-462D-B7BD-0A02DB2D96BE}">
  <sheetPr>
    <tabColor theme="8" tint="0.59999389629810485"/>
  </sheetPr>
  <dimension ref="A1:X823"/>
  <sheetViews>
    <sheetView workbookViewId="0">
      <selection activeCell="G2" sqref="G2"/>
    </sheetView>
  </sheetViews>
  <sheetFormatPr baseColWidth="10" defaultColWidth="8.83203125" defaultRowHeight="15" x14ac:dyDescent="0.2"/>
  <cols>
    <col min="1" max="1" width="21.6640625" bestFit="1" customWidth="1"/>
    <col min="2" max="2" width="11" bestFit="1" customWidth="1"/>
    <col min="3" max="3" width="50.83203125" bestFit="1" customWidth="1"/>
    <col min="4" max="4" width="22.5" customWidth="1"/>
    <col min="5" max="5" width="15.83203125" customWidth="1"/>
    <col min="6" max="6" width="18.1640625" customWidth="1"/>
    <col min="7" max="7" width="15.5" customWidth="1"/>
    <col min="8" max="8" width="10.6640625" customWidth="1"/>
    <col min="10" max="10" width="16.1640625" customWidth="1"/>
    <col min="11" max="11" width="18.6640625" customWidth="1"/>
    <col min="12" max="12" width="18.5" customWidth="1"/>
    <col min="13" max="14" width="18.1640625" customWidth="1"/>
    <col min="15" max="15" width="18.5" customWidth="1"/>
    <col min="16" max="16" width="14.33203125" customWidth="1"/>
  </cols>
  <sheetData>
    <row r="1" spans="1:24" ht="78" customHeight="1" x14ac:dyDescent="0.2">
      <c r="A1" t="s">
        <v>1011</v>
      </c>
      <c r="B1" t="s">
        <v>1012</v>
      </c>
      <c r="C1" t="s">
        <v>1013</v>
      </c>
      <c r="D1" s="51" t="s">
        <v>1014</v>
      </c>
      <c r="E1" s="51" t="s">
        <v>1015</v>
      </c>
      <c r="F1" s="51" t="s">
        <v>1016</v>
      </c>
      <c r="G1" s="51" t="s">
        <v>1017</v>
      </c>
      <c r="H1" s="51" t="s">
        <v>1018</v>
      </c>
      <c r="I1" s="51" t="s">
        <v>1019</v>
      </c>
      <c r="J1" s="52" t="s">
        <v>1020</v>
      </c>
      <c r="K1" s="52" t="s">
        <v>1021</v>
      </c>
      <c r="L1" s="52" t="s">
        <v>1022</v>
      </c>
      <c r="M1" s="53" t="s">
        <v>1023</v>
      </c>
      <c r="N1" s="52" t="s">
        <v>1024</v>
      </c>
      <c r="O1" s="52" t="s">
        <v>1025</v>
      </c>
      <c r="P1" s="54" t="s">
        <v>1026</v>
      </c>
      <c r="R1" s="1" t="s">
        <v>1027</v>
      </c>
      <c r="S1" s="1" t="s">
        <v>1028</v>
      </c>
      <c r="T1" s="1" t="s">
        <v>1029</v>
      </c>
    </row>
    <row r="2" spans="1:24" x14ac:dyDescent="0.2">
      <c r="A2" t="s">
        <v>1030</v>
      </c>
      <c r="B2">
        <v>9001010101</v>
      </c>
      <c r="C2" t="s">
        <v>1031</v>
      </c>
      <c r="D2">
        <v>176875</v>
      </c>
      <c r="E2">
        <v>2.93</v>
      </c>
      <c r="F2">
        <v>103331.4783</v>
      </c>
      <c r="G2">
        <v>103.331</v>
      </c>
      <c r="H2">
        <v>0.95</v>
      </c>
      <c r="I2">
        <v>5</v>
      </c>
      <c r="J2">
        <v>3267</v>
      </c>
      <c r="K2">
        <v>0.37940035900000002</v>
      </c>
      <c r="L2">
        <v>0.63</v>
      </c>
      <c r="M2">
        <v>4</v>
      </c>
      <c r="N2">
        <v>3.5999999999999997E-2</v>
      </c>
      <c r="O2">
        <v>1</v>
      </c>
      <c r="P2">
        <v>1</v>
      </c>
      <c r="S2" s="58"/>
      <c r="U2" t="s">
        <v>1032</v>
      </c>
      <c r="X2">
        <f>65045*0.6</f>
        <v>39027</v>
      </c>
    </row>
    <row r="3" spans="1:24" x14ac:dyDescent="0.2">
      <c r="A3" t="s">
        <v>1033</v>
      </c>
      <c r="B3">
        <v>9001010102</v>
      </c>
      <c r="C3" t="s">
        <v>1034</v>
      </c>
      <c r="D3">
        <v>250000</v>
      </c>
      <c r="E3">
        <v>3.16</v>
      </c>
      <c r="F3">
        <v>140635.98759999999</v>
      </c>
      <c r="G3">
        <v>140.636</v>
      </c>
      <c r="H3">
        <v>0.98699999999999999</v>
      </c>
      <c r="I3">
        <v>5</v>
      </c>
      <c r="J3">
        <v>4000</v>
      </c>
      <c r="K3">
        <v>0.34130666599999998</v>
      </c>
      <c r="L3">
        <v>0.42699999999999999</v>
      </c>
      <c r="M3">
        <v>3</v>
      </c>
      <c r="N3">
        <v>1.0999999999999999E-2</v>
      </c>
      <c r="O3">
        <v>1</v>
      </c>
      <c r="P3">
        <v>1</v>
      </c>
      <c r="S3" s="57" t="s">
        <v>944</v>
      </c>
    </row>
    <row r="4" spans="1:24" x14ac:dyDescent="0.2">
      <c r="A4" t="s">
        <v>1035</v>
      </c>
      <c r="B4">
        <v>9001010201</v>
      </c>
      <c r="C4" t="s">
        <v>1036</v>
      </c>
      <c r="D4">
        <v>250000</v>
      </c>
      <c r="E4">
        <v>3.16</v>
      </c>
      <c r="F4">
        <v>140635.98759999999</v>
      </c>
      <c r="G4">
        <v>140.636</v>
      </c>
      <c r="H4">
        <v>0.98699999999999999</v>
      </c>
      <c r="I4">
        <v>5</v>
      </c>
      <c r="J4">
        <v>3523</v>
      </c>
      <c r="K4">
        <v>0.30060584600000001</v>
      </c>
      <c r="L4">
        <v>0.17299999999999999</v>
      </c>
      <c r="M4">
        <v>1</v>
      </c>
      <c r="N4">
        <v>2.5000000000000001E-2</v>
      </c>
      <c r="O4">
        <v>1</v>
      </c>
      <c r="P4">
        <v>1</v>
      </c>
      <c r="S4" s="59" t="s">
        <v>944</v>
      </c>
    </row>
    <row r="5" spans="1:24" x14ac:dyDescent="0.2">
      <c r="A5" t="s">
        <v>1037</v>
      </c>
      <c r="B5">
        <v>9001010202</v>
      </c>
      <c r="C5" t="s">
        <v>1038</v>
      </c>
      <c r="D5">
        <v>222839</v>
      </c>
      <c r="E5">
        <v>2.91</v>
      </c>
      <c r="F5">
        <v>130630.5353</v>
      </c>
      <c r="G5">
        <v>130.631</v>
      </c>
      <c r="H5">
        <v>0.97599999999999998</v>
      </c>
      <c r="I5">
        <v>5</v>
      </c>
      <c r="J5">
        <v>3250</v>
      </c>
      <c r="K5">
        <v>0.29855194200000001</v>
      </c>
      <c r="L5">
        <v>0.16400000000000001</v>
      </c>
      <c r="M5">
        <v>1</v>
      </c>
      <c r="N5">
        <v>3.6999999999999998E-2</v>
      </c>
      <c r="O5">
        <v>1</v>
      </c>
      <c r="P5">
        <v>1</v>
      </c>
      <c r="S5" s="57" t="s">
        <v>944</v>
      </c>
    </row>
    <row r="6" spans="1:24" x14ac:dyDescent="0.2">
      <c r="A6" t="s">
        <v>1039</v>
      </c>
      <c r="B6">
        <v>9001010300</v>
      </c>
      <c r="C6" t="s">
        <v>1040</v>
      </c>
      <c r="D6">
        <v>238750</v>
      </c>
      <c r="E6">
        <v>2.72</v>
      </c>
      <c r="F6">
        <v>144763.45120000001</v>
      </c>
      <c r="G6">
        <v>144.76300000000001</v>
      </c>
      <c r="H6">
        <v>0.998</v>
      </c>
      <c r="I6">
        <v>5</v>
      </c>
      <c r="J6">
        <v>3541</v>
      </c>
      <c r="K6">
        <v>0.29352712800000003</v>
      </c>
      <c r="L6">
        <v>0.13800000000000001</v>
      </c>
      <c r="M6">
        <v>1</v>
      </c>
      <c r="N6">
        <v>2.4E-2</v>
      </c>
      <c r="O6">
        <v>1</v>
      </c>
      <c r="P6">
        <v>1</v>
      </c>
      <c r="S6" s="59" t="s">
        <v>944</v>
      </c>
    </row>
    <row r="7" spans="1:24" x14ac:dyDescent="0.2">
      <c r="A7" t="s">
        <v>1041</v>
      </c>
      <c r="B7">
        <v>9001010400</v>
      </c>
      <c r="C7" t="s">
        <v>1042</v>
      </c>
      <c r="D7">
        <v>116222</v>
      </c>
      <c r="E7">
        <v>2.77</v>
      </c>
      <c r="F7">
        <v>69831.03198</v>
      </c>
      <c r="G7">
        <v>69.831000000000003</v>
      </c>
      <c r="H7">
        <v>0.80100000000000005</v>
      </c>
      <c r="I7">
        <v>5</v>
      </c>
      <c r="J7">
        <v>1923</v>
      </c>
      <c r="K7">
        <v>0.33045480399999999</v>
      </c>
      <c r="L7">
        <v>0.36199999999999999</v>
      </c>
      <c r="M7">
        <v>2</v>
      </c>
      <c r="N7">
        <v>0.19800000000000001</v>
      </c>
      <c r="O7">
        <v>1</v>
      </c>
      <c r="P7">
        <v>1</v>
      </c>
      <c r="S7" s="57" t="s">
        <v>944</v>
      </c>
    </row>
    <row r="8" spans="1:24" x14ac:dyDescent="0.2">
      <c r="A8" t="s">
        <v>1043</v>
      </c>
      <c r="B8">
        <v>9001010500</v>
      </c>
      <c r="C8" t="s">
        <v>1044</v>
      </c>
      <c r="D8">
        <v>91556</v>
      </c>
      <c r="E8">
        <v>2.5499999999999998</v>
      </c>
      <c r="F8">
        <v>57334.591189999999</v>
      </c>
      <c r="G8">
        <v>57.335000000000001</v>
      </c>
      <c r="H8">
        <v>0.6</v>
      </c>
      <c r="I8">
        <v>3</v>
      </c>
      <c r="J8">
        <v>1979</v>
      </c>
      <c r="K8">
        <v>0.41420021499999998</v>
      </c>
      <c r="L8">
        <v>0.71</v>
      </c>
      <c r="M8">
        <v>4</v>
      </c>
      <c r="N8">
        <v>0.17100000000000001</v>
      </c>
      <c r="O8">
        <v>1</v>
      </c>
      <c r="P8">
        <v>2</v>
      </c>
      <c r="S8" s="59" t="s">
        <v>944</v>
      </c>
    </row>
    <row r="9" spans="1:24" x14ac:dyDescent="0.2">
      <c r="A9" t="s">
        <v>1045</v>
      </c>
      <c r="B9">
        <v>9001010600</v>
      </c>
      <c r="C9" t="s">
        <v>1046</v>
      </c>
      <c r="D9">
        <v>104868</v>
      </c>
      <c r="E9">
        <v>1.94</v>
      </c>
      <c r="F9">
        <v>75290.836179999998</v>
      </c>
      <c r="G9">
        <v>75.290999999999997</v>
      </c>
      <c r="H9">
        <v>0.85199999999999998</v>
      </c>
      <c r="I9">
        <v>5</v>
      </c>
      <c r="J9">
        <v>2018</v>
      </c>
      <c r="K9">
        <v>0.32163276699999999</v>
      </c>
      <c r="L9">
        <v>0.311</v>
      </c>
      <c r="M9">
        <v>2</v>
      </c>
      <c r="N9">
        <v>0.16</v>
      </c>
      <c r="O9">
        <v>1</v>
      </c>
      <c r="P9">
        <v>1</v>
      </c>
      <c r="S9" s="57" t="s">
        <v>944</v>
      </c>
    </row>
    <row r="10" spans="1:24" x14ac:dyDescent="0.2">
      <c r="A10" t="s">
        <v>1047</v>
      </c>
      <c r="B10">
        <v>9001010700</v>
      </c>
      <c r="C10" t="s">
        <v>1048</v>
      </c>
      <c r="D10">
        <v>61667</v>
      </c>
      <c r="E10">
        <v>2.13</v>
      </c>
      <c r="F10">
        <v>42253.532169999999</v>
      </c>
      <c r="G10">
        <v>42.253999999999998</v>
      </c>
      <c r="H10">
        <v>0.32500000000000001</v>
      </c>
      <c r="I10">
        <v>2</v>
      </c>
      <c r="J10">
        <v>1586</v>
      </c>
      <c r="K10">
        <v>0.450423882</v>
      </c>
      <c r="L10">
        <v>0.78500000000000003</v>
      </c>
      <c r="M10">
        <v>4</v>
      </c>
      <c r="N10">
        <v>0.40100000000000002</v>
      </c>
      <c r="O10">
        <v>3</v>
      </c>
      <c r="P10">
        <v>4</v>
      </c>
      <c r="S10" s="59" t="s">
        <v>944</v>
      </c>
    </row>
    <row r="11" spans="1:24" x14ac:dyDescent="0.2">
      <c r="A11" t="s">
        <v>1049</v>
      </c>
      <c r="B11">
        <v>9001010800</v>
      </c>
      <c r="C11" t="s">
        <v>1050</v>
      </c>
      <c r="D11">
        <v>136495</v>
      </c>
      <c r="E11">
        <v>2.6</v>
      </c>
      <c r="F11">
        <v>84650.605490000002</v>
      </c>
      <c r="G11">
        <v>84.650999999999996</v>
      </c>
      <c r="H11">
        <v>0.90500000000000003</v>
      </c>
      <c r="I11">
        <v>5</v>
      </c>
      <c r="J11">
        <v>2403</v>
      </c>
      <c r="K11">
        <v>0.34064729799999999</v>
      </c>
      <c r="L11">
        <v>0.41899999999999998</v>
      </c>
      <c r="M11">
        <v>3</v>
      </c>
      <c r="N11">
        <v>8.8999999999999996E-2</v>
      </c>
      <c r="O11">
        <v>1</v>
      </c>
      <c r="P11">
        <v>1</v>
      </c>
      <c r="S11" s="57" t="s">
        <v>944</v>
      </c>
    </row>
    <row r="12" spans="1:24" x14ac:dyDescent="0.2">
      <c r="A12" t="s">
        <v>1051</v>
      </c>
      <c r="B12">
        <v>9001010900</v>
      </c>
      <c r="C12" t="s">
        <v>1052</v>
      </c>
      <c r="D12">
        <v>164063</v>
      </c>
      <c r="E12">
        <v>2.89</v>
      </c>
      <c r="F12">
        <v>96507.647060000003</v>
      </c>
      <c r="G12">
        <v>96.507999999999996</v>
      </c>
      <c r="H12">
        <v>0.93899999999999995</v>
      </c>
      <c r="I12">
        <v>5</v>
      </c>
      <c r="J12">
        <v>2436</v>
      </c>
      <c r="K12">
        <v>0.30289827699999999</v>
      </c>
      <c r="L12">
        <v>0.19</v>
      </c>
      <c r="M12">
        <v>1</v>
      </c>
      <c r="N12">
        <v>8.4000000000000005E-2</v>
      </c>
      <c r="O12">
        <v>1</v>
      </c>
      <c r="P12">
        <v>1</v>
      </c>
      <c r="S12" s="59" t="s">
        <v>944</v>
      </c>
    </row>
    <row r="13" spans="1:24" x14ac:dyDescent="0.2">
      <c r="A13" t="s">
        <v>1053</v>
      </c>
      <c r="B13">
        <v>9001011000</v>
      </c>
      <c r="C13" t="s">
        <v>1054</v>
      </c>
      <c r="D13">
        <v>236000</v>
      </c>
      <c r="E13">
        <v>3.19</v>
      </c>
      <c r="F13">
        <v>132134.63260000001</v>
      </c>
      <c r="G13">
        <v>132.13499999999999</v>
      </c>
      <c r="H13">
        <v>0.97799999999999998</v>
      </c>
      <c r="I13">
        <v>5</v>
      </c>
      <c r="J13">
        <v>3348</v>
      </c>
      <c r="K13">
        <v>0.30405351899999999</v>
      </c>
      <c r="L13">
        <v>0.19500000000000001</v>
      </c>
      <c r="M13">
        <v>1</v>
      </c>
      <c r="N13">
        <v>2.8000000000000001E-2</v>
      </c>
      <c r="O13">
        <v>1</v>
      </c>
      <c r="P13">
        <v>1</v>
      </c>
      <c r="S13" s="57" t="s">
        <v>944</v>
      </c>
    </row>
    <row r="14" spans="1:24" x14ac:dyDescent="0.2">
      <c r="A14" t="s">
        <v>1055</v>
      </c>
      <c r="B14">
        <v>9001011100</v>
      </c>
      <c r="C14" t="s">
        <v>1056</v>
      </c>
      <c r="D14">
        <v>250000</v>
      </c>
      <c r="E14">
        <v>3.2</v>
      </c>
      <c r="F14">
        <v>139754.24859999999</v>
      </c>
      <c r="G14">
        <v>139.75399999999999</v>
      </c>
      <c r="H14">
        <v>0.98599999999999999</v>
      </c>
      <c r="I14">
        <v>5</v>
      </c>
      <c r="J14">
        <v>4000</v>
      </c>
      <c r="K14">
        <v>0.34346004099999999</v>
      </c>
      <c r="L14">
        <v>0.439</v>
      </c>
      <c r="M14">
        <v>3</v>
      </c>
      <c r="N14">
        <v>1.0999999999999999E-2</v>
      </c>
      <c r="O14">
        <v>1</v>
      </c>
      <c r="P14">
        <v>1</v>
      </c>
      <c r="S14" s="59" t="s">
        <v>944</v>
      </c>
    </row>
    <row r="15" spans="1:24" x14ac:dyDescent="0.2">
      <c r="A15" t="s">
        <v>1057</v>
      </c>
      <c r="B15">
        <v>9001011200</v>
      </c>
      <c r="C15" t="s">
        <v>1058</v>
      </c>
      <c r="D15">
        <v>238068</v>
      </c>
      <c r="E15">
        <v>2.76</v>
      </c>
      <c r="F15">
        <v>143300.09640000001</v>
      </c>
      <c r="G15">
        <v>143.30000000000001</v>
      </c>
      <c r="H15">
        <v>0.997</v>
      </c>
      <c r="I15">
        <v>5</v>
      </c>
      <c r="J15">
        <v>3293</v>
      </c>
      <c r="K15">
        <v>0.27575696700000002</v>
      </c>
      <c r="L15">
        <v>7.3999999999999996E-2</v>
      </c>
      <c r="M15">
        <v>1</v>
      </c>
      <c r="N15">
        <v>3.3000000000000002E-2</v>
      </c>
      <c r="O15">
        <v>1</v>
      </c>
      <c r="P15">
        <v>1</v>
      </c>
      <c r="S15" s="57" t="s">
        <v>944</v>
      </c>
    </row>
    <row r="16" spans="1:24" x14ac:dyDescent="0.2">
      <c r="A16" t="s">
        <v>1059</v>
      </c>
      <c r="B16">
        <v>9001011300</v>
      </c>
      <c r="C16" t="s">
        <v>1060</v>
      </c>
      <c r="D16">
        <v>80882</v>
      </c>
      <c r="E16">
        <v>2.72</v>
      </c>
      <c r="F16">
        <v>49041.916060000003</v>
      </c>
      <c r="G16">
        <v>49.042000000000002</v>
      </c>
      <c r="H16">
        <v>0.45200000000000001</v>
      </c>
      <c r="I16">
        <v>3</v>
      </c>
      <c r="J16">
        <v>1944</v>
      </c>
      <c r="K16">
        <v>0.47567472599999999</v>
      </c>
      <c r="L16">
        <v>0.81799999999999995</v>
      </c>
      <c r="M16">
        <v>5</v>
      </c>
      <c r="N16">
        <v>0.188</v>
      </c>
      <c r="O16">
        <v>1</v>
      </c>
      <c r="P16">
        <v>2</v>
      </c>
      <c r="S16" s="59" t="s">
        <v>944</v>
      </c>
    </row>
    <row r="17" spans="1:19" x14ac:dyDescent="0.2">
      <c r="A17" t="s">
        <v>1061</v>
      </c>
      <c r="B17">
        <v>9001020100</v>
      </c>
      <c r="C17" t="s">
        <v>1062</v>
      </c>
      <c r="D17">
        <v>63514</v>
      </c>
      <c r="E17">
        <v>1.77</v>
      </c>
      <c r="F17">
        <v>47740.045819999999</v>
      </c>
      <c r="G17">
        <v>47.74</v>
      </c>
      <c r="H17">
        <v>0.41899999999999998</v>
      </c>
      <c r="I17">
        <v>3</v>
      </c>
      <c r="J17">
        <v>1542</v>
      </c>
      <c r="K17">
        <v>0.38759912499999999</v>
      </c>
      <c r="L17">
        <v>0.65300000000000002</v>
      </c>
      <c r="M17">
        <v>4</v>
      </c>
      <c r="N17">
        <v>0.432</v>
      </c>
      <c r="O17">
        <v>3</v>
      </c>
      <c r="P17">
        <v>3</v>
      </c>
      <c r="S17" s="57" t="s">
        <v>944</v>
      </c>
    </row>
    <row r="18" spans="1:19" x14ac:dyDescent="0.2">
      <c r="A18" t="s">
        <v>1063</v>
      </c>
      <c r="B18">
        <v>9001020200</v>
      </c>
      <c r="C18" t="s">
        <v>1064</v>
      </c>
      <c r="D18">
        <v>233750</v>
      </c>
      <c r="E18">
        <v>2.88</v>
      </c>
      <c r="F18">
        <v>137738.50839999999</v>
      </c>
      <c r="G18">
        <v>137.739</v>
      </c>
      <c r="H18">
        <v>0.98499999999999999</v>
      </c>
      <c r="I18">
        <v>5</v>
      </c>
      <c r="J18">
        <v>3644</v>
      </c>
      <c r="K18">
        <v>0.31747113100000002</v>
      </c>
      <c r="L18">
        <v>0.26800000000000002</v>
      </c>
      <c r="M18">
        <v>2</v>
      </c>
      <c r="N18">
        <v>0.02</v>
      </c>
      <c r="O18">
        <v>1</v>
      </c>
      <c r="P18">
        <v>1</v>
      </c>
      <c r="S18" s="59" t="s">
        <v>944</v>
      </c>
    </row>
    <row r="19" spans="1:19" x14ac:dyDescent="0.2">
      <c r="A19" t="s">
        <v>1065</v>
      </c>
      <c r="B19">
        <v>9001020300</v>
      </c>
      <c r="C19" t="s">
        <v>1066</v>
      </c>
      <c r="D19">
        <v>196250</v>
      </c>
      <c r="E19">
        <v>2.86</v>
      </c>
      <c r="F19">
        <v>116045.0577</v>
      </c>
      <c r="G19">
        <v>116.045</v>
      </c>
      <c r="H19">
        <v>0.96799999999999997</v>
      </c>
      <c r="I19">
        <v>5</v>
      </c>
      <c r="J19">
        <v>3331</v>
      </c>
      <c r="K19">
        <v>0.34445241199999999</v>
      </c>
      <c r="L19">
        <v>0.44700000000000001</v>
      </c>
      <c r="M19">
        <v>3</v>
      </c>
      <c r="N19">
        <v>3.1E-2</v>
      </c>
      <c r="O19">
        <v>1</v>
      </c>
      <c r="P19">
        <v>1</v>
      </c>
      <c r="S19" s="57" t="s">
        <v>944</v>
      </c>
    </row>
    <row r="20" spans="1:19" x14ac:dyDescent="0.2">
      <c r="A20" t="s">
        <v>1067</v>
      </c>
      <c r="B20">
        <v>9001020400</v>
      </c>
      <c r="C20" t="s">
        <v>1068</v>
      </c>
      <c r="D20">
        <v>170972</v>
      </c>
      <c r="E20">
        <v>2.98</v>
      </c>
      <c r="F20">
        <v>99041.420360000004</v>
      </c>
      <c r="G20">
        <v>99.040999999999997</v>
      </c>
      <c r="H20">
        <v>0.94399999999999995</v>
      </c>
      <c r="I20">
        <v>5</v>
      </c>
      <c r="J20">
        <v>3328</v>
      </c>
      <c r="K20">
        <v>0.40322523500000002</v>
      </c>
      <c r="L20">
        <v>0.68400000000000005</v>
      </c>
      <c r="M20">
        <v>4</v>
      </c>
      <c r="N20">
        <v>3.2000000000000001E-2</v>
      </c>
      <c r="O20">
        <v>1</v>
      </c>
      <c r="P20">
        <v>1</v>
      </c>
      <c r="S20" s="59" t="s">
        <v>944</v>
      </c>
    </row>
    <row r="21" spans="1:19" x14ac:dyDescent="0.2">
      <c r="A21" t="s">
        <v>1069</v>
      </c>
      <c r="B21">
        <v>9001020500</v>
      </c>
      <c r="C21" t="s">
        <v>1070</v>
      </c>
      <c r="D21">
        <v>186324</v>
      </c>
      <c r="E21">
        <v>2.77</v>
      </c>
      <c r="F21">
        <v>111951.24159999999</v>
      </c>
      <c r="G21">
        <v>111.95099999999999</v>
      </c>
      <c r="H21">
        <v>0.96399999999999997</v>
      </c>
      <c r="I21">
        <v>5</v>
      </c>
      <c r="J21">
        <v>2959</v>
      </c>
      <c r="K21">
        <v>0.31717379400000001</v>
      </c>
      <c r="L21">
        <v>0.26600000000000001</v>
      </c>
      <c r="M21">
        <v>2</v>
      </c>
      <c r="N21">
        <v>4.5999999999999999E-2</v>
      </c>
      <c r="O21">
        <v>1</v>
      </c>
      <c r="P21">
        <v>1</v>
      </c>
      <c r="S21" s="57" t="s">
        <v>944</v>
      </c>
    </row>
    <row r="22" spans="1:19" x14ac:dyDescent="0.2">
      <c r="A22" t="s">
        <v>1071</v>
      </c>
      <c r="B22">
        <v>9001020600</v>
      </c>
      <c r="C22" t="s">
        <v>1072</v>
      </c>
      <c r="D22">
        <v>144519</v>
      </c>
      <c r="E22">
        <v>3.07</v>
      </c>
      <c r="F22">
        <v>82481.349900000001</v>
      </c>
      <c r="G22">
        <v>82.480999999999995</v>
      </c>
      <c r="H22">
        <v>0.89400000000000002</v>
      </c>
      <c r="I22">
        <v>5</v>
      </c>
      <c r="J22">
        <v>2570</v>
      </c>
      <c r="K22">
        <v>0.373902707</v>
      </c>
      <c r="L22">
        <v>0.60899999999999999</v>
      </c>
      <c r="M22">
        <v>4</v>
      </c>
      <c r="N22">
        <v>7.0000000000000007E-2</v>
      </c>
      <c r="O22">
        <v>1</v>
      </c>
      <c r="P22">
        <v>1</v>
      </c>
      <c r="S22" s="59" t="s">
        <v>944</v>
      </c>
    </row>
    <row r="23" spans="1:19" x14ac:dyDescent="0.2">
      <c r="A23" t="s">
        <v>1073</v>
      </c>
      <c r="B23">
        <v>9001020700</v>
      </c>
      <c r="C23" t="s">
        <v>1074</v>
      </c>
      <c r="D23">
        <v>131897</v>
      </c>
      <c r="E23">
        <v>2.65</v>
      </c>
      <c r="F23">
        <v>81023.68303</v>
      </c>
      <c r="G23">
        <v>81.024000000000001</v>
      </c>
      <c r="H23">
        <v>0.88800000000000001</v>
      </c>
      <c r="I23">
        <v>5</v>
      </c>
      <c r="J23">
        <v>2349</v>
      </c>
      <c r="K23">
        <v>0.34789828</v>
      </c>
      <c r="L23">
        <v>0.46899999999999997</v>
      </c>
      <c r="M23">
        <v>3</v>
      </c>
      <c r="N23">
        <v>0.1</v>
      </c>
      <c r="O23">
        <v>1</v>
      </c>
      <c r="P23">
        <v>1</v>
      </c>
      <c r="S23" s="57" t="s">
        <v>944</v>
      </c>
    </row>
    <row r="24" spans="1:19" x14ac:dyDescent="0.2">
      <c r="A24" t="s">
        <v>1075</v>
      </c>
      <c r="B24">
        <v>9001020800</v>
      </c>
      <c r="C24" t="s">
        <v>1076</v>
      </c>
      <c r="D24">
        <v>168846</v>
      </c>
      <c r="E24">
        <v>2.8</v>
      </c>
      <c r="F24">
        <v>100904.7849</v>
      </c>
      <c r="G24">
        <v>100.905</v>
      </c>
      <c r="H24">
        <v>0.94499999999999995</v>
      </c>
      <c r="I24">
        <v>5</v>
      </c>
      <c r="J24">
        <v>2638</v>
      </c>
      <c r="K24">
        <v>0.31372149500000002</v>
      </c>
      <c r="L24">
        <v>0.246</v>
      </c>
      <c r="M24">
        <v>2</v>
      </c>
      <c r="N24">
        <v>6.5000000000000002E-2</v>
      </c>
      <c r="O24">
        <v>1</v>
      </c>
      <c r="P24">
        <v>1</v>
      </c>
      <c r="S24" s="59" t="s">
        <v>944</v>
      </c>
    </row>
    <row r="25" spans="1:19" x14ac:dyDescent="0.2">
      <c r="A25" t="s">
        <v>1077</v>
      </c>
      <c r="B25">
        <v>9001020900</v>
      </c>
      <c r="C25" t="s">
        <v>1078</v>
      </c>
      <c r="D25">
        <v>64044</v>
      </c>
      <c r="E25">
        <v>2.38</v>
      </c>
      <c r="F25">
        <v>41513.559269999998</v>
      </c>
      <c r="G25">
        <v>41.514000000000003</v>
      </c>
      <c r="H25">
        <v>0.309</v>
      </c>
      <c r="I25">
        <v>2</v>
      </c>
      <c r="J25">
        <v>1852</v>
      </c>
      <c r="K25">
        <v>0.53534316000000004</v>
      </c>
      <c r="L25">
        <v>0.878</v>
      </c>
      <c r="M25">
        <v>5</v>
      </c>
      <c r="N25">
        <v>0.23200000000000001</v>
      </c>
      <c r="O25">
        <v>2</v>
      </c>
      <c r="P25">
        <v>3</v>
      </c>
      <c r="S25" s="57" t="s">
        <v>944</v>
      </c>
    </row>
    <row r="26" spans="1:19" x14ac:dyDescent="0.2">
      <c r="A26" t="s">
        <v>1079</v>
      </c>
      <c r="B26">
        <v>9001021000</v>
      </c>
      <c r="C26" t="s">
        <v>1080</v>
      </c>
      <c r="D26">
        <v>133988</v>
      </c>
      <c r="E26">
        <v>2.82</v>
      </c>
      <c r="F26">
        <v>79788.692880000002</v>
      </c>
      <c r="G26">
        <v>79.789000000000001</v>
      </c>
      <c r="H26">
        <v>0.874</v>
      </c>
      <c r="I26">
        <v>5</v>
      </c>
      <c r="J26">
        <v>2313</v>
      </c>
      <c r="K26">
        <v>0.34786884000000001</v>
      </c>
      <c r="L26">
        <v>0.46700000000000003</v>
      </c>
      <c r="M26">
        <v>3</v>
      </c>
      <c r="N26">
        <v>0.111</v>
      </c>
      <c r="O26">
        <v>1</v>
      </c>
      <c r="P26">
        <v>1</v>
      </c>
      <c r="S26" s="59" t="s">
        <v>944</v>
      </c>
    </row>
    <row r="27" spans="1:19" x14ac:dyDescent="0.2">
      <c r="A27" t="s">
        <v>1081</v>
      </c>
      <c r="B27">
        <v>9001021100</v>
      </c>
      <c r="C27" t="s">
        <v>1082</v>
      </c>
      <c r="D27">
        <v>103810</v>
      </c>
      <c r="E27">
        <v>2.74</v>
      </c>
      <c r="F27">
        <v>62713.914510000002</v>
      </c>
      <c r="G27">
        <v>62.713999999999999</v>
      </c>
      <c r="H27">
        <v>0.70399999999999996</v>
      </c>
      <c r="I27">
        <v>4</v>
      </c>
      <c r="J27">
        <v>1898</v>
      </c>
      <c r="K27">
        <v>0.36317299199999997</v>
      </c>
      <c r="L27">
        <v>0.55400000000000005</v>
      </c>
      <c r="M27">
        <v>3</v>
      </c>
      <c r="N27">
        <v>0.21099999999999999</v>
      </c>
      <c r="O27">
        <v>2</v>
      </c>
      <c r="P27">
        <v>2</v>
      </c>
      <c r="S27" s="57" t="s">
        <v>944</v>
      </c>
    </row>
    <row r="28" spans="1:19" x14ac:dyDescent="0.2">
      <c r="A28" t="s">
        <v>1083</v>
      </c>
      <c r="B28">
        <v>9001021200</v>
      </c>
      <c r="C28" t="s">
        <v>1084</v>
      </c>
      <c r="D28">
        <v>138686</v>
      </c>
      <c r="E28">
        <v>2.61</v>
      </c>
      <c r="F28">
        <v>85844.478900000002</v>
      </c>
      <c r="G28">
        <v>85.843999999999994</v>
      </c>
      <c r="H28">
        <v>0.91100000000000003</v>
      </c>
      <c r="I28">
        <v>5</v>
      </c>
      <c r="J28">
        <v>2581</v>
      </c>
      <c r="K28">
        <v>0.36079198600000001</v>
      </c>
      <c r="L28">
        <v>0.54300000000000004</v>
      </c>
      <c r="M28">
        <v>3</v>
      </c>
      <c r="N28">
        <v>6.9000000000000006E-2</v>
      </c>
      <c r="O28">
        <v>1</v>
      </c>
      <c r="P28">
        <v>1</v>
      </c>
      <c r="S28" s="59" t="s">
        <v>944</v>
      </c>
    </row>
    <row r="29" spans="1:19" x14ac:dyDescent="0.2">
      <c r="A29" t="s">
        <v>1085</v>
      </c>
      <c r="B29">
        <v>9001021300</v>
      </c>
      <c r="C29" t="s">
        <v>1086</v>
      </c>
      <c r="D29">
        <v>112188</v>
      </c>
      <c r="E29">
        <v>2.7</v>
      </c>
      <c r="F29">
        <v>68275.44253</v>
      </c>
      <c r="G29">
        <v>68.275000000000006</v>
      </c>
      <c r="H29">
        <v>0.77800000000000002</v>
      </c>
      <c r="I29">
        <v>4</v>
      </c>
      <c r="J29">
        <v>2357</v>
      </c>
      <c r="K29">
        <v>0.41426315200000002</v>
      </c>
      <c r="L29">
        <v>0.71099999999999997</v>
      </c>
      <c r="M29">
        <v>4</v>
      </c>
      <c r="N29">
        <v>9.9000000000000005E-2</v>
      </c>
      <c r="O29">
        <v>1</v>
      </c>
      <c r="P29">
        <v>2</v>
      </c>
      <c r="S29" s="57" t="s">
        <v>944</v>
      </c>
    </row>
    <row r="30" spans="1:19" x14ac:dyDescent="0.2">
      <c r="A30" t="s">
        <v>1087</v>
      </c>
      <c r="B30">
        <v>9001021400</v>
      </c>
      <c r="C30" t="s">
        <v>1088</v>
      </c>
      <c r="D30">
        <v>46566</v>
      </c>
      <c r="E30">
        <v>2.98</v>
      </c>
      <c r="F30">
        <v>26974.95953</v>
      </c>
      <c r="G30">
        <v>26.975000000000001</v>
      </c>
      <c r="H30">
        <v>0.13400000000000001</v>
      </c>
      <c r="I30">
        <v>1</v>
      </c>
      <c r="J30">
        <v>1793</v>
      </c>
      <c r="K30">
        <v>0.79762862899999998</v>
      </c>
      <c r="L30">
        <v>0.98399999999999999</v>
      </c>
      <c r="M30">
        <v>5</v>
      </c>
      <c r="N30">
        <v>0.25600000000000001</v>
      </c>
      <c r="O30">
        <v>2</v>
      </c>
      <c r="P30">
        <v>4</v>
      </c>
      <c r="S30" s="59" t="s">
        <v>936</v>
      </c>
    </row>
    <row r="31" spans="1:19" x14ac:dyDescent="0.2">
      <c r="A31" t="s">
        <v>1089</v>
      </c>
      <c r="B31">
        <v>9001021500</v>
      </c>
      <c r="C31" t="s">
        <v>1090</v>
      </c>
      <c r="D31">
        <v>43357</v>
      </c>
      <c r="E31">
        <v>3.08</v>
      </c>
      <c r="F31">
        <v>24704.943569999999</v>
      </c>
      <c r="G31">
        <v>24.704999999999998</v>
      </c>
      <c r="H31">
        <v>0.109</v>
      </c>
      <c r="I31">
        <v>1</v>
      </c>
      <c r="J31">
        <v>1564</v>
      </c>
      <c r="K31">
        <v>0.75968601000000002</v>
      </c>
      <c r="L31">
        <v>0.97899999999999998</v>
      </c>
      <c r="M31">
        <v>5</v>
      </c>
      <c r="N31">
        <v>0.41899999999999998</v>
      </c>
      <c r="O31">
        <v>3</v>
      </c>
      <c r="P31">
        <v>4</v>
      </c>
      <c r="S31" s="57" t="s">
        <v>936</v>
      </c>
    </row>
    <row r="32" spans="1:19" x14ac:dyDescent="0.2">
      <c r="A32" t="s">
        <v>1091</v>
      </c>
      <c r="B32">
        <v>9001021600</v>
      </c>
      <c r="C32" t="s">
        <v>1092</v>
      </c>
      <c r="D32">
        <v>85420</v>
      </c>
      <c r="E32">
        <v>2.29</v>
      </c>
      <c r="F32">
        <v>56447.12485</v>
      </c>
      <c r="G32">
        <v>56.447000000000003</v>
      </c>
      <c r="H32">
        <v>0.58599999999999997</v>
      </c>
      <c r="I32">
        <v>3</v>
      </c>
      <c r="J32">
        <v>2014</v>
      </c>
      <c r="K32">
        <v>0.42815289600000001</v>
      </c>
      <c r="L32">
        <v>0.746</v>
      </c>
      <c r="M32">
        <v>4</v>
      </c>
      <c r="N32">
        <v>0.161</v>
      </c>
      <c r="O32">
        <v>1</v>
      </c>
      <c r="P32">
        <v>2</v>
      </c>
      <c r="S32" s="59" t="s">
        <v>944</v>
      </c>
    </row>
    <row r="33" spans="1:19" x14ac:dyDescent="0.2">
      <c r="A33" t="s">
        <v>1093</v>
      </c>
      <c r="B33">
        <v>9001021700</v>
      </c>
      <c r="C33" t="s">
        <v>1094</v>
      </c>
      <c r="D33">
        <v>86705</v>
      </c>
      <c r="E33">
        <v>2.06</v>
      </c>
      <c r="F33">
        <v>60410.235999999997</v>
      </c>
      <c r="G33">
        <v>60.41</v>
      </c>
      <c r="H33">
        <v>0.66</v>
      </c>
      <c r="I33">
        <v>4</v>
      </c>
      <c r="J33">
        <v>1908</v>
      </c>
      <c r="K33">
        <v>0.37900861699999999</v>
      </c>
      <c r="L33">
        <v>0.628</v>
      </c>
      <c r="M33">
        <v>4</v>
      </c>
      <c r="N33">
        <v>0.20699999999999999</v>
      </c>
      <c r="O33">
        <v>2</v>
      </c>
      <c r="P33">
        <v>2</v>
      </c>
      <c r="S33" s="57" t="s">
        <v>944</v>
      </c>
    </row>
    <row r="34" spans="1:19" x14ac:dyDescent="0.2">
      <c r="A34" t="s">
        <v>1095</v>
      </c>
      <c r="B34">
        <v>9001021801</v>
      </c>
      <c r="C34" t="s">
        <v>1096</v>
      </c>
      <c r="D34">
        <v>99112</v>
      </c>
      <c r="E34">
        <v>2.4900000000000002</v>
      </c>
      <c r="F34">
        <v>62809.677920000002</v>
      </c>
      <c r="G34">
        <v>62.81</v>
      </c>
      <c r="H34">
        <v>0.70499999999999996</v>
      </c>
      <c r="I34">
        <v>4</v>
      </c>
      <c r="J34">
        <v>1969</v>
      </c>
      <c r="K34">
        <v>0.37618406599999998</v>
      </c>
      <c r="L34">
        <v>0.61899999999999999</v>
      </c>
      <c r="M34">
        <v>4</v>
      </c>
      <c r="N34">
        <v>0.17399999999999999</v>
      </c>
      <c r="O34">
        <v>1</v>
      </c>
      <c r="P34">
        <v>2</v>
      </c>
      <c r="S34" s="59" t="s">
        <v>944</v>
      </c>
    </row>
    <row r="35" spans="1:19" x14ac:dyDescent="0.2">
      <c r="A35" t="s">
        <v>1097</v>
      </c>
      <c r="B35">
        <v>9001021802</v>
      </c>
      <c r="C35" t="s">
        <v>1098</v>
      </c>
      <c r="D35">
        <v>68599</v>
      </c>
      <c r="E35">
        <v>2.77</v>
      </c>
      <c r="F35">
        <v>41217.14445</v>
      </c>
      <c r="G35">
        <v>41.216999999999999</v>
      </c>
      <c r="H35">
        <v>0.30599999999999999</v>
      </c>
      <c r="I35">
        <v>2</v>
      </c>
      <c r="J35">
        <v>1630</v>
      </c>
      <c r="K35">
        <v>0.47455980399999997</v>
      </c>
      <c r="L35">
        <v>0.81599999999999995</v>
      </c>
      <c r="M35">
        <v>5</v>
      </c>
      <c r="N35">
        <v>0.36099999999999999</v>
      </c>
      <c r="O35">
        <v>2</v>
      </c>
      <c r="P35">
        <v>3</v>
      </c>
      <c r="S35" s="57" t="s">
        <v>944</v>
      </c>
    </row>
    <row r="36" spans="1:19" x14ac:dyDescent="0.2">
      <c r="A36" t="s">
        <v>1099</v>
      </c>
      <c r="B36">
        <v>9001021900</v>
      </c>
      <c r="C36" t="s">
        <v>1100</v>
      </c>
      <c r="D36">
        <v>66250</v>
      </c>
      <c r="E36">
        <v>2.81</v>
      </c>
      <c r="F36">
        <v>39521.436589999998</v>
      </c>
      <c r="G36">
        <v>39.521000000000001</v>
      </c>
      <c r="H36">
        <v>0.28699999999999998</v>
      </c>
      <c r="I36">
        <v>2</v>
      </c>
      <c r="J36">
        <v>2096</v>
      </c>
      <c r="K36">
        <v>0.63641411299999995</v>
      </c>
      <c r="L36">
        <v>0.94199999999999995</v>
      </c>
      <c r="M36">
        <v>5</v>
      </c>
      <c r="N36">
        <v>0.14399999999999999</v>
      </c>
      <c r="O36">
        <v>1</v>
      </c>
      <c r="P36">
        <v>3</v>
      </c>
      <c r="S36" s="59" t="s">
        <v>944</v>
      </c>
    </row>
    <row r="37" spans="1:19" x14ac:dyDescent="0.2">
      <c r="A37" t="s">
        <v>1101</v>
      </c>
      <c r="B37">
        <v>9001022000</v>
      </c>
      <c r="C37" t="s">
        <v>1102</v>
      </c>
      <c r="D37">
        <v>82753</v>
      </c>
      <c r="E37">
        <v>2.86</v>
      </c>
      <c r="F37">
        <v>48932.874709999996</v>
      </c>
      <c r="G37">
        <v>48.933</v>
      </c>
      <c r="H37">
        <v>0.44800000000000001</v>
      </c>
      <c r="I37">
        <v>3</v>
      </c>
      <c r="J37">
        <v>1441</v>
      </c>
      <c r="K37">
        <v>0.35338205900000003</v>
      </c>
      <c r="L37">
        <v>0.497</v>
      </c>
      <c r="M37">
        <v>3</v>
      </c>
      <c r="N37">
        <v>0.53800000000000003</v>
      </c>
      <c r="O37">
        <v>3</v>
      </c>
      <c r="P37">
        <v>3</v>
      </c>
      <c r="S37" s="57" t="s">
        <v>944</v>
      </c>
    </row>
    <row r="38" spans="1:19" x14ac:dyDescent="0.2">
      <c r="A38" t="s">
        <v>1103</v>
      </c>
      <c r="B38">
        <v>9001022100</v>
      </c>
      <c r="C38" t="s">
        <v>1104</v>
      </c>
      <c r="D38">
        <v>58273</v>
      </c>
      <c r="E38">
        <v>3.07</v>
      </c>
      <c r="F38">
        <v>33258.157769999998</v>
      </c>
      <c r="G38">
        <v>33.258000000000003</v>
      </c>
      <c r="H38">
        <v>0.216</v>
      </c>
      <c r="I38">
        <v>2</v>
      </c>
      <c r="J38">
        <v>1834</v>
      </c>
      <c r="K38">
        <v>0.66173238300000004</v>
      </c>
      <c r="L38">
        <v>0.95</v>
      </c>
      <c r="M38">
        <v>5</v>
      </c>
      <c r="N38">
        <v>0.24</v>
      </c>
      <c r="O38">
        <v>2</v>
      </c>
      <c r="P38">
        <v>3</v>
      </c>
      <c r="S38" s="59" t="s">
        <v>944</v>
      </c>
    </row>
    <row r="39" spans="1:19" x14ac:dyDescent="0.2">
      <c r="A39" t="s">
        <v>1105</v>
      </c>
      <c r="B39">
        <v>9001022200</v>
      </c>
      <c r="C39" t="s">
        <v>1106</v>
      </c>
      <c r="D39">
        <v>91996</v>
      </c>
      <c r="E39">
        <v>2.16</v>
      </c>
      <c r="F39">
        <v>62595.349549999999</v>
      </c>
      <c r="G39">
        <v>62.594999999999999</v>
      </c>
      <c r="H39">
        <v>0.70199999999999996</v>
      </c>
      <c r="I39">
        <v>4</v>
      </c>
      <c r="J39">
        <v>2280</v>
      </c>
      <c r="K39">
        <v>0.43709317399999997</v>
      </c>
      <c r="L39">
        <v>0.76300000000000001</v>
      </c>
      <c r="M39">
        <v>4</v>
      </c>
      <c r="N39">
        <v>0.11600000000000001</v>
      </c>
      <c r="O39">
        <v>1</v>
      </c>
      <c r="P39">
        <v>2</v>
      </c>
      <c r="S39" s="57" t="s">
        <v>944</v>
      </c>
    </row>
    <row r="40" spans="1:19" x14ac:dyDescent="0.2">
      <c r="A40" t="s">
        <v>1107</v>
      </c>
      <c r="B40">
        <v>9001022300</v>
      </c>
      <c r="C40" t="s">
        <v>1108</v>
      </c>
      <c r="D40">
        <v>80816</v>
      </c>
      <c r="E40">
        <v>2.58</v>
      </c>
      <c r="F40">
        <v>50313.843919999999</v>
      </c>
      <c r="G40">
        <v>50.314</v>
      </c>
      <c r="H40">
        <v>0.47499999999999998</v>
      </c>
      <c r="I40">
        <v>3</v>
      </c>
      <c r="J40">
        <v>2170</v>
      </c>
      <c r="K40">
        <v>0.51755139299999997</v>
      </c>
      <c r="L40">
        <v>0.86399999999999999</v>
      </c>
      <c r="M40">
        <v>5</v>
      </c>
      <c r="N40">
        <v>0.13400000000000001</v>
      </c>
      <c r="O40">
        <v>1</v>
      </c>
      <c r="P40">
        <v>2</v>
      </c>
      <c r="S40" s="59" t="s">
        <v>944</v>
      </c>
    </row>
    <row r="41" spans="1:19" x14ac:dyDescent="0.2">
      <c r="A41" t="s">
        <v>1109</v>
      </c>
      <c r="B41">
        <v>9001022400</v>
      </c>
      <c r="C41" t="s">
        <v>1110</v>
      </c>
      <c r="D41">
        <v>189712</v>
      </c>
      <c r="E41">
        <v>2.71</v>
      </c>
      <c r="F41">
        <v>115241.83289999999</v>
      </c>
      <c r="G41">
        <v>115.242</v>
      </c>
      <c r="H41">
        <v>0.96699999999999997</v>
      </c>
      <c r="I41">
        <v>5</v>
      </c>
      <c r="J41">
        <v>4000</v>
      </c>
      <c r="K41">
        <v>0.41651541600000003</v>
      </c>
      <c r="L41">
        <v>0.71499999999999997</v>
      </c>
      <c r="M41">
        <v>4</v>
      </c>
      <c r="N41">
        <v>1.0999999999999999E-2</v>
      </c>
      <c r="O41">
        <v>1</v>
      </c>
      <c r="P41">
        <v>1</v>
      </c>
      <c r="S41" s="57" t="s">
        <v>944</v>
      </c>
    </row>
    <row r="42" spans="1:19" x14ac:dyDescent="0.2">
      <c r="A42" t="s">
        <v>1111</v>
      </c>
      <c r="B42">
        <v>9001030100</v>
      </c>
      <c r="C42" t="s">
        <v>1112</v>
      </c>
      <c r="D42">
        <v>250000</v>
      </c>
      <c r="E42">
        <v>3.39</v>
      </c>
      <c r="F42">
        <v>135781.3616</v>
      </c>
      <c r="G42">
        <v>135.78100000000001</v>
      </c>
      <c r="H42">
        <v>0.97899999999999998</v>
      </c>
      <c r="I42">
        <v>5</v>
      </c>
      <c r="J42">
        <v>4000</v>
      </c>
      <c r="K42">
        <v>0.35350949100000001</v>
      </c>
      <c r="L42">
        <v>0.498</v>
      </c>
      <c r="M42">
        <v>3</v>
      </c>
      <c r="N42">
        <v>1.0999999999999999E-2</v>
      </c>
      <c r="O42">
        <v>1</v>
      </c>
      <c r="P42">
        <v>1</v>
      </c>
      <c r="S42" s="59" t="s">
        <v>944</v>
      </c>
    </row>
    <row r="43" spans="1:19" x14ac:dyDescent="0.2">
      <c r="A43" t="s">
        <v>1113</v>
      </c>
      <c r="B43">
        <v>9001030200</v>
      </c>
      <c r="C43" t="s">
        <v>1114</v>
      </c>
      <c r="D43">
        <v>250000</v>
      </c>
      <c r="E43">
        <v>3.16</v>
      </c>
      <c r="F43">
        <v>140635.98759999999</v>
      </c>
      <c r="G43">
        <v>140.636</v>
      </c>
      <c r="H43">
        <v>0.98699999999999999</v>
      </c>
      <c r="I43">
        <v>5</v>
      </c>
      <c r="J43">
        <v>3565</v>
      </c>
      <c r="K43">
        <v>0.30418956600000002</v>
      </c>
      <c r="L43">
        <v>0.19700000000000001</v>
      </c>
      <c r="M43">
        <v>1</v>
      </c>
      <c r="N43">
        <v>2.1999999999999999E-2</v>
      </c>
      <c r="O43">
        <v>1</v>
      </c>
      <c r="P43">
        <v>1</v>
      </c>
      <c r="S43" s="57" t="s">
        <v>944</v>
      </c>
    </row>
    <row r="44" spans="1:19" x14ac:dyDescent="0.2">
      <c r="A44" t="s">
        <v>1115</v>
      </c>
      <c r="B44">
        <v>9001030300</v>
      </c>
      <c r="C44" t="s">
        <v>1116</v>
      </c>
      <c r="D44">
        <v>250000</v>
      </c>
      <c r="E44">
        <v>3.1</v>
      </c>
      <c r="F44">
        <v>141990.45860000001</v>
      </c>
      <c r="G44">
        <v>141.99</v>
      </c>
      <c r="H44">
        <v>0.995</v>
      </c>
      <c r="I44">
        <v>5</v>
      </c>
      <c r="J44">
        <v>4000</v>
      </c>
      <c r="K44">
        <v>0.338050884</v>
      </c>
      <c r="L44">
        <v>0.41099999999999998</v>
      </c>
      <c r="M44">
        <v>3</v>
      </c>
      <c r="N44">
        <v>1.0999999999999999E-2</v>
      </c>
      <c r="O44">
        <v>1</v>
      </c>
      <c r="P44">
        <v>1</v>
      </c>
      <c r="S44" s="59" t="s">
        <v>944</v>
      </c>
    </row>
    <row r="45" spans="1:19" x14ac:dyDescent="0.2">
      <c r="A45" t="s">
        <v>1117</v>
      </c>
      <c r="B45">
        <v>9001030400</v>
      </c>
      <c r="C45" t="s">
        <v>1118</v>
      </c>
      <c r="D45">
        <v>145625</v>
      </c>
      <c r="E45">
        <v>2.95</v>
      </c>
      <c r="F45">
        <v>84786.152979999999</v>
      </c>
      <c r="G45">
        <v>84.786000000000001</v>
      </c>
      <c r="H45">
        <v>0.90700000000000003</v>
      </c>
      <c r="I45">
        <v>5</v>
      </c>
      <c r="J45">
        <v>3144</v>
      </c>
      <c r="K45">
        <v>0.44497832100000001</v>
      </c>
      <c r="L45">
        <v>0.77900000000000003</v>
      </c>
      <c r="M45">
        <v>4</v>
      </c>
      <c r="N45">
        <v>4.1000000000000002E-2</v>
      </c>
      <c r="O45">
        <v>1</v>
      </c>
      <c r="P45">
        <v>1</v>
      </c>
      <c r="S45" s="57" t="s">
        <v>944</v>
      </c>
    </row>
    <row r="46" spans="1:19" x14ac:dyDescent="0.2">
      <c r="A46" t="s">
        <v>1119</v>
      </c>
      <c r="B46">
        <v>9001030500</v>
      </c>
      <c r="C46" t="s">
        <v>1120</v>
      </c>
      <c r="D46">
        <v>192222</v>
      </c>
      <c r="E46">
        <v>3.19</v>
      </c>
      <c r="F46">
        <v>107623.65820000001</v>
      </c>
      <c r="G46">
        <v>107.624</v>
      </c>
      <c r="H46">
        <v>0.95799999999999996</v>
      </c>
      <c r="I46">
        <v>5</v>
      </c>
      <c r="J46">
        <v>3654</v>
      </c>
      <c r="K46">
        <v>0.40741971399999999</v>
      </c>
      <c r="L46">
        <v>0.69799999999999995</v>
      </c>
      <c r="M46">
        <v>4</v>
      </c>
      <c r="N46">
        <v>1.9E-2</v>
      </c>
      <c r="O46">
        <v>1</v>
      </c>
      <c r="P46">
        <v>1</v>
      </c>
      <c r="S46" s="59" t="s">
        <v>944</v>
      </c>
    </row>
    <row r="47" spans="1:19" x14ac:dyDescent="0.2">
      <c r="A47" t="s">
        <v>1121</v>
      </c>
      <c r="B47">
        <v>9001035100</v>
      </c>
      <c r="C47" t="s">
        <v>1122</v>
      </c>
      <c r="D47">
        <v>128623</v>
      </c>
      <c r="E47">
        <v>2.35</v>
      </c>
      <c r="F47">
        <v>83904.39374</v>
      </c>
      <c r="G47">
        <v>83.903999999999996</v>
      </c>
      <c r="H47">
        <v>0.9</v>
      </c>
      <c r="I47">
        <v>5</v>
      </c>
      <c r="J47">
        <v>2425</v>
      </c>
      <c r="K47">
        <v>0.34682331500000002</v>
      </c>
      <c r="L47">
        <v>0.46300000000000002</v>
      </c>
      <c r="M47">
        <v>3</v>
      </c>
      <c r="N47">
        <v>8.6999999999999994E-2</v>
      </c>
      <c r="O47">
        <v>1</v>
      </c>
      <c r="P47">
        <v>1</v>
      </c>
      <c r="S47" s="57" t="s">
        <v>944</v>
      </c>
    </row>
    <row r="48" spans="1:19" x14ac:dyDescent="0.2">
      <c r="A48" t="s">
        <v>1123</v>
      </c>
      <c r="B48">
        <v>9001035200</v>
      </c>
      <c r="C48" t="s">
        <v>1124</v>
      </c>
      <c r="D48">
        <v>250000</v>
      </c>
      <c r="E48">
        <v>3.05</v>
      </c>
      <c r="F48">
        <v>143149.58360000001</v>
      </c>
      <c r="G48">
        <v>143.15</v>
      </c>
      <c r="H48">
        <v>0.996</v>
      </c>
      <c r="I48">
        <v>5</v>
      </c>
      <c r="J48">
        <v>4000</v>
      </c>
      <c r="K48">
        <v>0.33531358500000003</v>
      </c>
      <c r="L48">
        <v>0.4</v>
      </c>
      <c r="M48">
        <v>2</v>
      </c>
      <c r="N48">
        <v>1.0999999999999999E-2</v>
      </c>
      <c r="O48">
        <v>1</v>
      </c>
      <c r="P48">
        <v>1</v>
      </c>
      <c r="S48" s="59" t="s">
        <v>944</v>
      </c>
    </row>
    <row r="49" spans="1:19" x14ac:dyDescent="0.2">
      <c r="A49" t="s">
        <v>1125</v>
      </c>
      <c r="B49">
        <v>9001035300</v>
      </c>
      <c r="C49" t="s">
        <v>1126</v>
      </c>
      <c r="D49">
        <v>250000</v>
      </c>
      <c r="E49">
        <v>3.3</v>
      </c>
      <c r="F49">
        <v>137620.4706</v>
      </c>
      <c r="G49">
        <v>137.62</v>
      </c>
      <c r="H49">
        <v>0.98399999999999999</v>
      </c>
      <c r="I49">
        <v>5</v>
      </c>
      <c r="J49">
        <v>4000</v>
      </c>
      <c r="K49">
        <v>0.34878532099999998</v>
      </c>
      <c r="L49">
        <v>0.47199999999999998</v>
      </c>
      <c r="M49">
        <v>3</v>
      </c>
      <c r="N49">
        <v>1.0999999999999999E-2</v>
      </c>
      <c r="O49">
        <v>1</v>
      </c>
      <c r="P49">
        <v>1</v>
      </c>
      <c r="S49" s="57" t="s">
        <v>944</v>
      </c>
    </row>
    <row r="50" spans="1:19" x14ac:dyDescent="0.2">
      <c r="A50" t="s">
        <v>1127</v>
      </c>
      <c r="B50">
        <v>9001035400</v>
      </c>
      <c r="C50" t="s">
        <v>1128</v>
      </c>
      <c r="D50">
        <v>250000</v>
      </c>
      <c r="E50">
        <v>3.32</v>
      </c>
      <c r="F50">
        <v>137205.32500000001</v>
      </c>
      <c r="G50">
        <v>137.20500000000001</v>
      </c>
      <c r="H50">
        <v>0.98099999999999998</v>
      </c>
      <c r="I50">
        <v>5</v>
      </c>
      <c r="J50">
        <v>4000</v>
      </c>
      <c r="K50">
        <v>0.349840649</v>
      </c>
      <c r="L50">
        <v>0.47799999999999998</v>
      </c>
      <c r="M50">
        <v>3</v>
      </c>
      <c r="N50">
        <v>1.0999999999999999E-2</v>
      </c>
      <c r="O50">
        <v>1</v>
      </c>
      <c r="P50">
        <v>1</v>
      </c>
      <c r="S50" s="59" t="s">
        <v>944</v>
      </c>
    </row>
    <row r="51" spans="1:19" x14ac:dyDescent="0.2">
      <c r="A51" t="s">
        <v>1129</v>
      </c>
      <c r="B51">
        <v>9001042500</v>
      </c>
      <c r="C51" t="s">
        <v>1130</v>
      </c>
      <c r="D51">
        <v>129821</v>
      </c>
      <c r="E51">
        <v>2.72</v>
      </c>
      <c r="F51">
        <v>78715.543439999994</v>
      </c>
      <c r="G51">
        <v>78.715999999999994</v>
      </c>
      <c r="H51">
        <v>0.86699999999999999</v>
      </c>
      <c r="I51">
        <v>5</v>
      </c>
      <c r="J51">
        <v>2593</v>
      </c>
      <c r="K51">
        <v>0.39529676899999999</v>
      </c>
      <c r="L51">
        <v>0.67500000000000004</v>
      </c>
      <c r="M51">
        <v>4</v>
      </c>
      <c r="N51">
        <v>6.6000000000000003E-2</v>
      </c>
      <c r="O51">
        <v>1</v>
      </c>
      <c r="P51">
        <v>1</v>
      </c>
      <c r="S51" s="57" t="s">
        <v>944</v>
      </c>
    </row>
    <row r="52" spans="1:19" x14ac:dyDescent="0.2">
      <c r="A52" t="s">
        <v>1131</v>
      </c>
      <c r="B52">
        <v>9001042600</v>
      </c>
      <c r="C52" t="s">
        <v>1132</v>
      </c>
      <c r="D52">
        <v>113594</v>
      </c>
      <c r="E52">
        <v>2.42</v>
      </c>
      <c r="F52">
        <v>73020.988819999999</v>
      </c>
      <c r="G52">
        <v>73.021000000000001</v>
      </c>
      <c r="H52">
        <v>0.83699999999999997</v>
      </c>
      <c r="I52">
        <v>5</v>
      </c>
      <c r="J52">
        <v>2278</v>
      </c>
      <c r="K52">
        <v>0.37435811899999999</v>
      </c>
      <c r="L52">
        <v>0.61</v>
      </c>
      <c r="M52">
        <v>4</v>
      </c>
      <c r="N52">
        <v>0.11700000000000001</v>
      </c>
      <c r="O52">
        <v>1</v>
      </c>
      <c r="P52">
        <v>1</v>
      </c>
      <c r="S52" s="59" t="s">
        <v>944</v>
      </c>
    </row>
    <row r="53" spans="1:19" x14ac:dyDescent="0.2">
      <c r="A53" t="s">
        <v>1133</v>
      </c>
      <c r="B53">
        <v>9001042700</v>
      </c>
      <c r="C53" t="s">
        <v>1134</v>
      </c>
      <c r="D53">
        <v>95948</v>
      </c>
      <c r="E53">
        <v>2.31</v>
      </c>
      <c r="F53">
        <v>63129.149230000003</v>
      </c>
      <c r="G53">
        <v>63.128999999999998</v>
      </c>
      <c r="H53">
        <v>0.70899999999999996</v>
      </c>
      <c r="I53">
        <v>4</v>
      </c>
      <c r="J53">
        <v>1955</v>
      </c>
      <c r="K53">
        <v>0.37161913800000002</v>
      </c>
      <c r="L53">
        <v>0.60199999999999998</v>
      </c>
      <c r="M53">
        <v>4</v>
      </c>
      <c r="N53">
        <v>0.183</v>
      </c>
      <c r="O53">
        <v>1</v>
      </c>
      <c r="P53">
        <v>2</v>
      </c>
      <c r="S53" s="57" t="s">
        <v>944</v>
      </c>
    </row>
    <row r="54" spans="1:19" x14ac:dyDescent="0.2">
      <c r="A54" t="s">
        <v>1135</v>
      </c>
      <c r="B54">
        <v>9001042800</v>
      </c>
      <c r="C54" t="s">
        <v>1136</v>
      </c>
      <c r="D54">
        <v>100813</v>
      </c>
      <c r="E54">
        <v>2.65</v>
      </c>
      <c r="F54">
        <v>61928.93361</v>
      </c>
      <c r="G54">
        <v>61.929000000000002</v>
      </c>
      <c r="H54">
        <v>0.69499999999999995</v>
      </c>
      <c r="I54">
        <v>4</v>
      </c>
      <c r="J54">
        <v>2347</v>
      </c>
      <c r="K54">
        <v>0.454779347</v>
      </c>
      <c r="L54">
        <v>0.79100000000000004</v>
      </c>
      <c r="M54">
        <v>4</v>
      </c>
      <c r="N54">
        <v>0.104</v>
      </c>
      <c r="O54">
        <v>1</v>
      </c>
      <c r="P54">
        <v>2</v>
      </c>
      <c r="S54" s="59" t="s">
        <v>944</v>
      </c>
    </row>
    <row r="55" spans="1:19" x14ac:dyDescent="0.2">
      <c r="A55" t="s">
        <v>1137</v>
      </c>
      <c r="B55">
        <v>9001042900</v>
      </c>
      <c r="C55" t="s">
        <v>1138</v>
      </c>
      <c r="D55">
        <v>138542</v>
      </c>
      <c r="E55">
        <v>2.5099999999999998</v>
      </c>
      <c r="F55">
        <v>87446.934989999994</v>
      </c>
      <c r="G55">
        <v>87.447000000000003</v>
      </c>
      <c r="H55">
        <v>0.91700000000000004</v>
      </c>
      <c r="I55">
        <v>5</v>
      </c>
      <c r="J55">
        <v>3132</v>
      </c>
      <c r="K55">
        <v>0.42979207899999999</v>
      </c>
      <c r="L55">
        <v>0.751</v>
      </c>
      <c r="M55">
        <v>4</v>
      </c>
      <c r="N55">
        <v>4.2000000000000003E-2</v>
      </c>
      <c r="O55">
        <v>1</v>
      </c>
      <c r="P55">
        <v>1</v>
      </c>
      <c r="S55" s="57" t="s">
        <v>944</v>
      </c>
    </row>
    <row r="56" spans="1:19" x14ac:dyDescent="0.2">
      <c r="A56" t="s">
        <v>1139</v>
      </c>
      <c r="B56">
        <v>9001043000</v>
      </c>
      <c r="C56" t="s">
        <v>1140</v>
      </c>
      <c r="D56">
        <v>122633</v>
      </c>
      <c r="E56">
        <v>2.4300000000000002</v>
      </c>
      <c r="F56">
        <v>78669.106180000002</v>
      </c>
      <c r="G56">
        <v>78.668999999999997</v>
      </c>
      <c r="H56">
        <v>0.86599999999999999</v>
      </c>
      <c r="I56">
        <v>5</v>
      </c>
      <c r="J56">
        <v>2513</v>
      </c>
      <c r="K56">
        <v>0.38332709599999998</v>
      </c>
      <c r="L56">
        <v>0.64300000000000002</v>
      </c>
      <c r="M56">
        <v>4</v>
      </c>
      <c r="N56">
        <v>7.6999999999999999E-2</v>
      </c>
      <c r="O56">
        <v>1</v>
      </c>
      <c r="P56">
        <v>1</v>
      </c>
      <c r="S56" s="59" t="s">
        <v>944</v>
      </c>
    </row>
    <row r="57" spans="1:19" x14ac:dyDescent="0.2">
      <c r="A57" t="s">
        <v>1141</v>
      </c>
      <c r="B57">
        <v>9001043100</v>
      </c>
      <c r="C57" t="s">
        <v>1142</v>
      </c>
      <c r="D57">
        <v>143141</v>
      </c>
      <c r="E57">
        <v>2.73</v>
      </c>
      <c r="F57">
        <v>86632.874249999993</v>
      </c>
      <c r="G57">
        <v>86.632999999999996</v>
      </c>
      <c r="H57">
        <v>0.91600000000000004</v>
      </c>
      <c r="I57">
        <v>5</v>
      </c>
      <c r="J57">
        <v>2407</v>
      </c>
      <c r="K57">
        <v>0.33340692300000002</v>
      </c>
      <c r="L57">
        <v>0.38500000000000001</v>
      </c>
      <c r="M57">
        <v>2</v>
      </c>
      <c r="N57">
        <v>8.7999999999999995E-2</v>
      </c>
      <c r="O57">
        <v>1</v>
      </c>
      <c r="P57">
        <v>1</v>
      </c>
      <c r="S57" s="57" t="s">
        <v>944</v>
      </c>
    </row>
    <row r="58" spans="1:19" x14ac:dyDescent="0.2">
      <c r="A58" t="s">
        <v>1143</v>
      </c>
      <c r="B58">
        <v>9001043200</v>
      </c>
      <c r="C58" t="s">
        <v>1144</v>
      </c>
      <c r="D58">
        <v>69837</v>
      </c>
      <c r="E58">
        <v>2.74</v>
      </c>
      <c r="F58">
        <v>42190.074630000003</v>
      </c>
      <c r="G58">
        <v>42.19</v>
      </c>
      <c r="H58">
        <v>0.32400000000000001</v>
      </c>
      <c r="I58">
        <v>2</v>
      </c>
      <c r="J58">
        <v>1843</v>
      </c>
      <c r="K58">
        <v>0.52419912000000002</v>
      </c>
      <c r="L58">
        <v>0.86899999999999999</v>
      </c>
      <c r="M58">
        <v>5</v>
      </c>
      <c r="N58">
        <v>0.23699999999999999</v>
      </c>
      <c r="O58">
        <v>2</v>
      </c>
      <c r="P58">
        <v>3</v>
      </c>
      <c r="S58" s="59" t="s">
        <v>944</v>
      </c>
    </row>
    <row r="59" spans="1:19" x14ac:dyDescent="0.2">
      <c r="A59" t="s">
        <v>1145</v>
      </c>
      <c r="B59">
        <v>9001043300</v>
      </c>
      <c r="C59" t="s">
        <v>1146</v>
      </c>
      <c r="D59">
        <v>83672</v>
      </c>
      <c r="E59">
        <v>2.58</v>
      </c>
      <c r="F59">
        <v>52091.911849999997</v>
      </c>
      <c r="G59">
        <v>52.091999999999999</v>
      </c>
      <c r="H59">
        <v>0.504</v>
      </c>
      <c r="I59">
        <v>3</v>
      </c>
      <c r="J59">
        <v>2127</v>
      </c>
      <c r="K59">
        <v>0.489980097</v>
      </c>
      <c r="L59">
        <v>0.83299999999999996</v>
      </c>
      <c r="M59">
        <v>5</v>
      </c>
      <c r="N59">
        <v>0.14000000000000001</v>
      </c>
      <c r="O59">
        <v>1</v>
      </c>
      <c r="P59">
        <v>2</v>
      </c>
      <c r="S59" s="57" t="s">
        <v>944</v>
      </c>
    </row>
    <row r="60" spans="1:19" x14ac:dyDescent="0.2">
      <c r="A60" t="s">
        <v>1147</v>
      </c>
      <c r="B60">
        <v>9001043400</v>
      </c>
      <c r="C60" t="s">
        <v>1148</v>
      </c>
      <c r="D60">
        <v>77917</v>
      </c>
      <c r="E60">
        <v>2.5299999999999998</v>
      </c>
      <c r="F60">
        <v>48985.998200000002</v>
      </c>
      <c r="G60">
        <v>48.985999999999997</v>
      </c>
      <c r="H60">
        <v>0.44900000000000001</v>
      </c>
      <c r="I60">
        <v>3</v>
      </c>
      <c r="J60">
        <v>1672</v>
      </c>
      <c r="K60">
        <v>0.40958642699999998</v>
      </c>
      <c r="L60">
        <v>0.70299999999999996</v>
      </c>
      <c r="M60">
        <v>4</v>
      </c>
      <c r="N60">
        <v>0.32700000000000001</v>
      </c>
      <c r="O60">
        <v>2</v>
      </c>
      <c r="P60">
        <v>3</v>
      </c>
      <c r="S60" s="59" t="s">
        <v>944</v>
      </c>
    </row>
    <row r="61" spans="1:19" x14ac:dyDescent="0.2">
      <c r="A61" t="s">
        <v>1149</v>
      </c>
      <c r="B61">
        <v>9001043500</v>
      </c>
      <c r="C61" t="s">
        <v>1150</v>
      </c>
      <c r="D61">
        <v>104417</v>
      </c>
      <c r="E61">
        <v>2.6</v>
      </c>
      <c r="F61">
        <v>64756.67441</v>
      </c>
      <c r="G61">
        <v>64.757000000000005</v>
      </c>
      <c r="H61">
        <v>0.73199999999999998</v>
      </c>
      <c r="I61">
        <v>4</v>
      </c>
      <c r="J61">
        <v>1919</v>
      </c>
      <c r="K61">
        <v>0.35560813200000002</v>
      </c>
      <c r="L61">
        <v>0.51200000000000001</v>
      </c>
      <c r="M61">
        <v>3</v>
      </c>
      <c r="N61">
        <v>0.2</v>
      </c>
      <c r="O61">
        <v>1</v>
      </c>
      <c r="P61">
        <v>2</v>
      </c>
      <c r="S61" s="57" t="s">
        <v>944</v>
      </c>
    </row>
    <row r="62" spans="1:19" x14ac:dyDescent="0.2">
      <c r="A62" t="s">
        <v>1151</v>
      </c>
      <c r="B62">
        <v>9001043600</v>
      </c>
      <c r="C62" t="s">
        <v>1152</v>
      </c>
      <c r="D62">
        <v>98636</v>
      </c>
      <c r="E62">
        <v>2.4900000000000002</v>
      </c>
      <c r="F62">
        <v>62508.025170000001</v>
      </c>
      <c r="G62">
        <v>62.508000000000003</v>
      </c>
      <c r="H62">
        <v>0.70099999999999996</v>
      </c>
      <c r="I62">
        <v>4</v>
      </c>
      <c r="J62">
        <v>1940</v>
      </c>
      <c r="K62">
        <v>0.37243217899999997</v>
      </c>
      <c r="L62">
        <v>0.60299999999999998</v>
      </c>
      <c r="M62">
        <v>4</v>
      </c>
      <c r="N62">
        <v>0.189</v>
      </c>
      <c r="O62">
        <v>1</v>
      </c>
      <c r="P62">
        <v>2</v>
      </c>
      <c r="S62" s="59" t="s">
        <v>944</v>
      </c>
    </row>
    <row r="63" spans="1:19" x14ac:dyDescent="0.2">
      <c r="A63" t="s">
        <v>1153</v>
      </c>
      <c r="B63">
        <v>9001043700</v>
      </c>
      <c r="C63" t="s">
        <v>1154</v>
      </c>
      <c r="D63">
        <v>71178</v>
      </c>
      <c r="E63">
        <v>1.82</v>
      </c>
      <c r="F63">
        <v>52760.643859999996</v>
      </c>
      <c r="G63">
        <v>52.761000000000003</v>
      </c>
      <c r="H63">
        <v>0.51700000000000002</v>
      </c>
      <c r="I63">
        <v>3</v>
      </c>
      <c r="J63">
        <v>1867</v>
      </c>
      <c r="K63">
        <v>0.42463469700000001</v>
      </c>
      <c r="L63">
        <v>0.74</v>
      </c>
      <c r="M63">
        <v>4</v>
      </c>
      <c r="N63">
        <v>0.223</v>
      </c>
      <c r="O63">
        <v>2</v>
      </c>
      <c r="P63">
        <v>3</v>
      </c>
      <c r="S63" s="57" t="s">
        <v>944</v>
      </c>
    </row>
    <row r="64" spans="1:19" x14ac:dyDescent="0.2">
      <c r="A64" t="s">
        <v>1155</v>
      </c>
      <c r="B64">
        <v>9001043800</v>
      </c>
      <c r="C64" t="s">
        <v>1156</v>
      </c>
      <c r="D64">
        <v>74397</v>
      </c>
      <c r="E64">
        <v>2.46</v>
      </c>
      <c r="F64">
        <v>47433.794719999998</v>
      </c>
      <c r="G64">
        <v>47.433999999999997</v>
      </c>
      <c r="H64">
        <v>0.40799999999999997</v>
      </c>
      <c r="I64">
        <v>3</v>
      </c>
      <c r="J64">
        <v>1726</v>
      </c>
      <c r="K64">
        <v>0.43665070700000003</v>
      </c>
      <c r="L64">
        <v>0.76100000000000001</v>
      </c>
      <c r="M64">
        <v>4</v>
      </c>
      <c r="N64">
        <v>0.29499999999999998</v>
      </c>
      <c r="O64">
        <v>2</v>
      </c>
      <c r="P64">
        <v>3</v>
      </c>
      <c r="S64" s="59" t="s">
        <v>944</v>
      </c>
    </row>
    <row r="65" spans="1:19" x14ac:dyDescent="0.2">
      <c r="A65" t="s">
        <v>1157</v>
      </c>
      <c r="B65">
        <v>9001043900</v>
      </c>
      <c r="C65" t="s">
        <v>1158</v>
      </c>
      <c r="D65">
        <v>89506</v>
      </c>
      <c r="E65">
        <v>3.01</v>
      </c>
      <c r="F65">
        <v>51590.400730000001</v>
      </c>
      <c r="G65">
        <v>51.59</v>
      </c>
      <c r="H65">
        <v>0.49199999999999999</v>
      </c>
      <c r="I65">
        <v>3</v>
      </c>
      <c r="J65">
        <v>2194</v>
      </c>
      <c r="K65">
        <v>0.51032749600000005</v>
      </c>
      <c r="L65">
        <v>0.85699999999999998</v>
      </c>
      <c r="M65">
        <v>5</v>
      </c>
      <c r="N65">
        <v>0.129</v>
      </c>
      <c r="O65">
        <v>1</v>
      </c>
      <c r="P65">
        <v>2</v>
      </c>
      <c r="S65" s="57" t="s">
        <v>944</v>
      </c>
    </row>
    <row r="66" spans="1:19" x14ac:dyDescent="0.2">
      <c r="A66" t="s">
        <v>1159</v>
      </c>
      <c r="B66">
        <v>9001044000</v>
      </c>
      <c r="C66" t="s">
        <v>1160</v>
      </c>
      <c r="D66">
        <v>51875</v>
      </c>
      <c r="E66">
        <v>2.57</v>
      </c>
      <c r="F66">
        <v>32358.735939999999</v>
      </c>
      <c r="G66">
        <v>32.359000000000002</v>
      </c>
      <c r="H66">
        <v>0.20200000000000001</v>
      </c>
      <c r="I66">
        <v>2</v>
      </c>
      <c r="J66">
        <v>1494</v>
      </c>
      <c r="K66">
        <v>0.554038947</v>
      </c>
      <c r="L66">
        <v>0.89</v>
      </c>
      <c r="M66">
        <v>5</v>
      </c>
      <c r="N66">
        <v>0.48099999999999998</v>
      </c>
      <c r="O66">
        <v>3</v>
      </c>
      <c r="P66">
        <v>4</v>
      </c>
      <c r="S66" s="59" t="s">
        <v>944</v>
      </c>
    </row>
    <row r="67" spans="1:19" x14ac:dyDescent="0.2">
      <c r="A67" t="s">
        <v>1161</v>
      </c>
      <c r="B67">
        <v>9001044100</v>
      </c>
      <c r="C67" t="s">
        <v>1162</v>
      </c>
      <c r="D67">
        <v>72344</v>
      </c>
      <c r="E67">
        <v>2.1</v>
      </c>
      <c r="F67">
        <v>49922.102830000003</v>
      </c>
      <c r="G67">
        <v>49.921999999999997</v>
      </c>
      <c r="H67">
        <v>0.47</v>
      </c>
      <c r="I67">
        <v>3</v>
      </c>
      <c r="J67">
        <v>1719</v>
      </c>
      <c r="K67">
        <v>0.41320374799999998</v>
      </c>
      <c r="L67">
        <v>0.70899999999999996</v>
      </c>
      <c r="M67">
        <v>4</v>
      </c>
      <c r="N67">
        <v>0.3</v>
      </c>
      <c r="O67">
        <v>2</v>
      </c>
      <c r="P67">
        <v>3</v>
      </c>
      <c r="S67" s="57" t="s">
        <v>944</v>
      </c>
    </row>
    <row r="68" spans="1:19" x14ac:dyDescent="0.2">
      <c r="A68" t="s">
        <v>1163</v>
      </c>
      <c r="B68">
        <v>9001044200</v>
      </c>
      <c r="C68" t="s">
        <v>1164</v>
      </c>
      <c r="D68">
        <v>54038</v>
      </c>
      <c r="E68">
        <v>2.42</v>
      </c>
      <c r="F68">
        <v>34736.942040000002</v>
      </c>
      <c r="G68">
        <v>34.737000000000002</v>
      </c>
      <c r="H68">
        <v>0.23400000000000001</v>
      </c>
      <c r="I68">
        <v>2</v>
      </c>
      <c r="J68">
        <v>1575</v>
      </c>
      <c r="K68">
        <v>0.54408934399999997</v>
      </c>
      <c r="L68">
        <v>0.88300000000000001</v>
      </c>
      <c r="M68">
        <v>5</v>
      </c>
      <c r="N68">
        <v>0.40799999999999997</v>
      </c>
      <c r="O68">
        <v>3</v>
      </c>
      <c r="P68">
        <v>4</v>
      </c>
      <c r="S68" s="59" t="s">
        <v>944</v>
      </c>
    </row>
    <row r="69" spans="1:19" x14ac:dyDescent="0.2">
      <c r="A69" t="s">
        <v>1165</v>
      </c>
      <c r="B69">
        <v>9001044300</v>
      </c>
      <c r="C69" t="s">
        <v>1166</v>
      </c>
      <c r="D69">
        <v>95279</v>
      </c>
      <c r="E69">
        <v>2.5499999999999998</v>
      </c>
      <c r="F69">
        <v>59666.024230000003</v>
      </c>
      <c r="G69">
        <v>59.665999999999997</v>
      </c>
      <c r="H69">
        <v>0.64500000000000002</v>
      </c>
      <c r="I69">
        <v>4</v>
      </c>
      <c r="J69">
        <v>2131</v>
      </c>
      <c r="K69">
        <v>0.42858562</v>
      </c>
      <c r="L69">
        <v>0.749</v>
      </c>
      <c r="M69">
        <v>4</v>
      </c>
      <c r="N69">
        <v>0.13900000000000001</v>
      </c>
      <c r="O69">
        <v>1</v>
      </c>
      <c r="P69">
        <v>2</v>
      </c>
      <c r="S69" s="57" t="s">
        <v>944</v>
      </c>
    </row>
    <row r="70" spans="1:19" x14ac:dyDescent="0.2">
      <c r="A70" t="s">
        <v>1167</v>
      </c>
      <c r="B70">
        <v>9001044400</v>
      </c>
      <c r="C70" t="s">
        <v>1168</v>
      </c>
      <c r="D70">
        <v>70469</v>
      </c>
      <c r="E70">
        <v>3.11</v>
      </c>
      <c r="F70">
        <v>39959.303899999999</v>
      </c>
      <c r="G70">
        <v>39.959000000000003</v>
      </c>
      <c r="H70">
        <v>0.29399999999999998</v>
      </c>
      <c r="I70">
        <v>2</v>
      </c>
      <c r="J70">
        <v>1660</v>
      </c>
      <c r="K70">
        <v>0.49850718199999999</v>
      </c>
      <c r="L70">
        <v>0.84399999999999997</v>
      </c>
      <c r="M70">
        <v>5</v>
      </c>
      <c r="N70">
        <v>0.34100000000000003</v>
      </c>
      <c r="O70">
        <v>2</v>
      </c>
      <c r="P70">
        <v>3</v>
      </c>
      <c r="S70" s="59" t="s">
        <v>944</v>
      </c>
    </row>
    <row r="71" spans="1:19" x14ac:dyDescent="0.2">
      <c r="A71" t="s">
        <v>1169</v>
      </c>
      <c r="B71">
        <v>9001044500</v>
      </c>
      <c r="C71" t="s">
        <v>1170</v>
      </c>
      <c r="D71">
        <v>58516</v>
      </c>
      <c r="E71">
        <v>3.62</v>
      </c>
      <c r="F71">
        <v>30755.326789999999</v>
      </c>
      <c r="G71">
        <v>30.754999999999999</v>
      </c>
      <c r="H71">
        <v>0.18099999999999999</v>
      </c>
      <c r="I71">
        <v>1</v>
      </c>
      <c r="J71">
        <v>1264</v>
      </c>
      <c r="K71">
        <v>0.49318285899999997</v>
      </c>
      <c r="L71">
        <v>0.83599999999999997</v>
      </c>
      <c r="M71">
        <v>5</v>
      </c>
      <c r="N71">
        <v>0.69899999999999995</v>
      </c>
      <c r="O71">
        <v>4</v>
      </c>
      <c r="P71">
        <v>5</v>
      </c>
      <c r="S71" s="57" t="s">
        <v>944</v>
      </c>
    </row>
    <row r="72" spans="1:19" x14ac:dyDescent="0.2">
      <c r="A72" t="s">
        <v>1171</v>
      </c>
      <c r="B72">
        <v>9001044600</v>
      </c>
      <c r="C72" t="s">
        <v>1172</v>
      </c>
      <c r="D72">
        <v>219783</v>
      </c>
      <c r="E72">
        <v>2.57</v>
      </c>
      <c r="F72">
        <v>137096.86869999999</v>
      </c>
      <c r="G72">
        <v>137.09700000000001</v>
      </c>
      <c r="H72">
        <v>0.98</v>
      </c>
      <c r="I72">
        <v>5</v>
      </c>
      <c r="J72">
        <v>3273</v>
      </c>
      <c r="K72">
        <v>0.28648356699999999</v>
      </c>
      <c r="L72">
        <v>0.10299999999999999</v>
      </c>
      <c r="M72">
        <v>1</v>
      </c>
      <c r="N72">
        <v>3.5000000000000003E-2</v>
      </c>
      <c r="O72">
        <v>1</v>
      </c>
      <c r="P72">
        <v>1</v>
      </c>
      <c r="S72" s="59" t="s">
        <v>944</v>
      </c>
    </row>
    <row r="73" spans="1:19" x14ac:dyDescent="0.2">
      <c r="A73" t="s">
        <v>1173</v>
      </c>
      <c r="B73">
        <v>9001045101</v>
      </c>
      <c r="C73" t="s">
        <v>1174</v>
      </c>
      <c r="D73">
        <v>219792</v>
      </c>
      <c r="E73">
        <v>3.15</v>
      </c>
      <c r="F73">
        <v>123838.7626</v>
      </c>
      <c r="G73">
        <v>123.839</v>
      </c>
      <c r="H73">
        <v>0.97399999999999998</v>
      </c>
      <c r="I73">
        <v>5</v>
      </c>
      <c r="J73">
        <v>4000</v>
      </c>
      <c r="K73">
        <v>0.38760077199999998</v>
      </c>
      <c r="L73">
        <v>0.65400000000000003</v>
      </c>
      <c r="M73">
        <v>4</v>
      </c>
      <c r="N73">
        <v>1.0999999999999999E-2</v>
      </c>
      <c r="O73">
        <v>1</v>
      </c>
      <c r="P73">
        <v>1</v>
      </c>
      <c r="S73" s="57" t="s">
        <v>944</v>
      </c>
    </row>
    <row r="74" spans="1:19" x14ac:dyDescent="0.2">
      <c r="A74" t="s">
        <v>1175</v>
      </c>
      <c r="B74">
        <v>9001045102</v>
      </c>
      <c r="C74" t="s">
        <v>1176</v>
      </c>
      <c r="D74">
        <v>166677</v>
      </c>
      <c r="E74">
        <v>3.05</v>
      </c>
      <c r="F74">
        <v>95438.972569999998</v>
      </c>
      <c r="G74">
        <v>95.438999999999993</v>
      </c>
      <c r="H74">
        <v>0.93600000000000005</v>
      </c>
      <c r="I74">
        <v>5</v>
      </c>
      <c r="J74">
        <v>3214</v>
      </c>
      <c r="K74">
        <v>0.40411164300000002</v>
      </c>
      <c r="L74">
        <v>0.68700000000000006</v>
      </c>
      <c r="M74">
        <v>4</v>
      </c>
      <c r="N74">
        <v>3.7999999999999999E-2</v>
      </c>
      <c r="O74">
        <v>1</v>
      </c>
      <c r="P74">
        <v>1</v>
      </c>
      <c r="S74" s="59" t="s">
        <v>944</v>
      </c>
    </row>
    <row r="75" spans="1:19" x14ac:dyDescent="0.2">
      <c r="A75" t="s">
        <v>1177</v>
      </c>
      <c r="B75">
        <v>9001045200</v>
      </c>
      <c r="C75" t="s">
        <v>1178</v>
      </c>
      <c r="D75">
        <v>144375</v>
      </c>
      <c r="E75">
        <v>2.65</v>
      </c>
      <c r="F75">
        <v>88688.857489999995</v>
      </c>
      <c r="G75">
        <v>88.688999999999993</v>
      </c>
      <c r="H75">
        <v>0.92100000000000004</v>
      </c>
      <c r="I75">
        <v>5</v>
      </c>
      <c r="J75">
        <v>2854</v>
      </c>
      <c r="K75">
        <v>0.38615899399999998</v>
      </c>
      <c r="L75">
        <v>0.64900000000000002</v>
      </c>
      <c r="M75">
        <v>4</v>
      </c>
      <c r="N75">
        <v>5.1999999999999998E-2</v>
      </c>
      <c r="O75">
        <v>1</v>
      </c>
      <c r="P75">
        <v>1</v>
      </c>
      <c r="S75" s="57" t="s">
        <v>944</v>
      </c>
    </row>
    <row r="76" spans="1:19" x14ac:dyDescent="0.2">
      <c r="A76" t="s">
        <v>1179</v>
      </c>
      <c r="B76">
        <v>9001045300</v>
      </c>
      <c r="C76" t="s">
        <v>1180</v>
      </c>
      <c r="D76">
        <v>229531</v>
      </c>
      <c r="E76">
        <v>3.25</v>
      </c>
      <c r="F76">
        <v>127320.8907</v>
      </c>
      <c r="G76">
        <v>127.321</v>
      </c>
      <c r="H76">
        <v>0.97499999999999998</v>
      </c>
      <c r="I76">
        <v>5</v>
      </c>
      <c r="J76">
        <v>3941</v>
      </c>
      <c r="K76">
        <v>0.37143943699999998</v>
      </c>
      <c r="L76">
        <v>0.6</v>
      </c>
      <c r="M76">
        <v>3</v>
      </c>
      <c r="N76">
        <v>1.2999999999999999E-2</v>
      </c>
      <c r="O76">
        <v>1</v>
      </c>
      <c r="P76">
        <v>1</v>
      </c>
      <c r="S76" s="59" t="s">
        <v>944</v>
      </c>
    </row>
    <row r="77" spans="1:19" x14ac:dyDescent="0.2">
      <c r="A77" t="s">
        <v>1181</v>
      </c>
      <c r="B77">
        <v>9001045400</v>
      </c>
      <c r="C77" t="s">
        <v>1182</v>
      </c>
      <c r="D77">
        <v>198281</v>
      </c>
      <c r="E77">
        <v>2.83</v>
      </c>
      <c r="F77">
        <v>117865.8202</v>
      </c>
      <c r="G77">
        <v>117.866</v>
      </c>
      <c r="H77">
        <v>0.97</v>
      </c>
      <c r="I77">
        <v>5</v>
      </c>
      <c r="J77">
        <v>3417</v>
      </c>
      <c r="K77">
        <v>0.347887114</v>
      </c>
      <c r="L77">
        <v>0.46800000000000003</v>
      </c>
      <c r="M77">
        <v>3</v>
      </c>
      <c r="N77">
        <v>2.7E-2</v>
      </c>
      <c r="O77">
        <v>1</v>
      </c>
      <c r="P77">
        <v>1</v>
      </c>
      <c r="S77" s="57" t="s">
        <v>944</v>
      </c>
    </row>
    <row r="78" spans="1:19" x14ac:dyDescent="0.2">
      <c r="A78" t="s">
        <v>1183</v>
      </c>
      <c r="B78">
        <v>9001050100</v>
      </c>
      <c r="C78" t="s">
        <v>1184</v>
      </c>
      <c r="D78">
        <v>242125</v>
      </c>
      <c r="E78">
        <v>2.92</v>
      </c>
      <c r="F78">
        <v>141692.9388</v>
      </c>
      <c r="G78">
        <v>141.69300000000001</v>
      </c>
      <c r="H78">
        <v>0.99299999999999999</v>
      </c>
      <c r="I78">
        <v>5</v>
      </c>
      <c r="J78">
        <v>3609</v>
      </c>
      <c r="K78">
        <v>0.305646847</v>
      </c>
      <c r="L78">
        <v>0.20300000000000001</v>
      </c>
      <c r="M78">
        <v>2</v>
      </c>
      <c r="N78">
        <v>2.1000000000000001E-2</v>
      </c>
      <c r="O78">
        <v>1</v>
      </c>
      <c r="P78">
        <v>1</v>
      </c>
      <c r="S78" s="59" t="s">
        <v>944</v>
      </c>
    </row>
    <row r="79" spans="1:19" x14ac:dyDescent="0.2">
      <c r="A79" t="s">
        <v>1185</v>
      </c>
      <c r="B79">
        <v>9001050200</v>
      </c>
      <c r="C79" t="s">
        <v>1186</v>
      </c>
      <c r="D79">
        <v>175972</v>
      </c>
      <c r="E79">
        <v>2.66</v>
      </c>
      <c r="F79">
        <v>107895.3558</v>
      </c>
      <c r="G79">
        <v>107.895</v>
      </c>
      <c r="H79">
        <v>0.95899999999999996</v>
      </c>
      <c r="I79">
        <v>5</v>
      </c>
      <c r="J79">
        <v>3048</v>
      </c>
      <c r="K79">
        <v>0.33899512799999998</v>
      </c>
      <c r="L79">
        <v>0.41399999999999998</v>
      </c>
      <c r="M79">
        <v>3</v>
      </c>
      <c r="N79">
        <v>4.2999999999999997E-2</v>
      </c>
      <c r="O79">
        <v>1</v>
      </c>
      <c r="P79">
        <v>1</v>
      </c>
      <c r="S79" s="57" t="s">
        <v>944</v>
      </c>
    </row>
    <row r="80" spans="1:19" x14ac:dyDescent="0.2">
      <c r="A80" t="s">
        <v>1187</v>
      </c>
      <c r="B80">
        <v>9001050300</v>
      </c>
      <c r="C80" t="s">
        <v>1188</v>
      </c>
      <c r="D80">
        <v>242500</v>
      </c>
      <c r="E80">
        <v>3.12</v>
      </c>
      <c r="F80">
        <v>137288.59039999999</v>
      </c>
      <c r="G80">
        <v>137.28899999999999</v>
      </c>
      <c r="H80">
        <v>0.98199999999999998</v>
      </c>
      <c r="I80">
        <v>5</v>
      </c>
      <c r="J80">
        <v>3773</v>
      </c>
      <c r="K80">
        <v>0.32978705600000002</v>
      </c>
      <c r="L80">
        <v>0.35399999999999998</v>
      </c>
      <c r="M80">
        <v>2</v>
      </c>
      <c r="N80">
        <v>1.4999999999999999E-2</v>
      </c>
      <c r="O80">
        <v>1</v>
      </c>
      <c r="P80">
        <v>1</v>
      </c>
      <c r="S80" s="59" t="s">
        <v>944</v>
      </c>
    </row>
    <row r="81" spans="1:19" x14ac:dyDescent="0.2">
      <c r="A81" t="s">
        <v>1189</v>
      </c>
      <c r="B81">
        <v>9001050400</v>
      </c>
      <c r="C81" t="s">
        <v>1190</v>
      </c>
      <c r="D81">
        <v>152321</v>
      </c>
      <c r="E81">
        <v>2.2000000000000002</v>
      </c>
      <c r="F81">
        <v>102694.79730000001</v>
      </c>
      <c r="G81">
        <v>102.69499999999999</v>
      </c>
      <c r="H81">
        <v>0.94699999999999995</v>
      </c>
      <c r="I81">
        <v>5</v>
      </c>
      <c r="J81">
        <v>2569</v>
      </c>
      <c r="K81">
        <v>0.30019047500000001</v>
      </c>
      <c r="L81">
        <v>0.17</v>
      </c>
      <c r="M81">
        <v>1</v>
      </c>
      <c r="N81">
        <v>7.0999999999999994E-2</v>
      </c>
      <c r="O81">
        <v>1</v>
      </c>
      <c r="P81">
        <v>1</v>
      </c>
      <c r="S81" s="57" t="s">
        <v>944</v>
      </c>
    </row>
    <row r="82" spans="1:19" x14ac:dyDescent="0.2">
      <c r="A82" t="s">
        <v>1191</v>
      </c>
      <c r="B82">
        <v>9001050500</v>
      </c>
      <c r="C82" t="s">
        <v>1192</v>
      </c>
      <c r="D82">
        <v>169810</v>
      </c>
      <c r="E82">
        <v>2.77</v>
      </c>
      <c r="F82">
        <v>102028.9406</v>
      </c>
      <c r="G82">
        <v>102.029</v>
      </c>
      <c r="H82">
        <v>0.94599999999999995</v>
      </c>
      <c r="I82">
        <v>5</v>
      </c>
      <c r="J82">
        <v>2925</v>
      </c>
      <c r="K82">
        <v>0.34402003799999997</v>
      </c>
      <c r="L82">
        <v>0.44400000000000001</v>
      </c>
      <c r="M82">
        <v>3</v>
      </c>
      <c r="N82">
        <v>4.9000000000000002E-2</v>
      </c>
      <c r="O82">
        <v>1</v>
      </c>
      <c r="P82">
        <v>1</v>
      </c>
      <c r="S82" s="59" t="s">
        <v>944</v>
      </c>
    </row>
    <row r="83" spans="1:19" x14ac:dyDescent="0.2">
      <c r="A83" t="s">
        <v>1193</v>
      </c>
      <c r="B83">
        <v>9001050600</v>
      </c>
      <c r="C83" t="s">
        <v>1194</v>
      </c>
      <c r="D83">
        <v>228558</v>
      </c>
      <c r="E83">
        <v>2.64</v>
      </c>
      <c r="F83">
        <v>140667.72500000001</v>
      </c>
      <c r="G83">
        <v>140.66800000000001</v>
      </c>
      <c r="H83">
        <v>0.99099999999999999</v>
      </c>
      <c r="I83">
        <v>5</v>
      </c>
      <c r="J83">
        <v>3756</v>
      </c>
      <c r="K83">
        <v>0.32041465099999999</v>
      </c>
      <c r="L83">
        <v>0.29299999999999998</v>
      </c>
      <c r="M83">
        <v>2</v>
      </c>
      <c r="N83">
        <v>1.6E-2</v>
      </c>
      <c r="O83">
        <v>1</v>
      </c>
      <c r="P83">
        <v>1</v>
      </c>
      <c r="S83" s="57" t="s">
        <v>944</v>
      </c>
    </row>
    <row r="84" spans="1:19" x14ac:dyDescent="0.2">
      <c r="A84" t="s">
        <v>1195</v>
      </c>
      <c r="B84">
        <v>9001055100</v>
      </c>
      <c r="C84" t="s">
        <v>1196</v>
      </c>
      <c r="D84">
        <v>202500</v>
      </c>
      <c r="E84">
        <v>2.93</v>
      </c>
      <c r="F84">
        <v>118301.7632</v>
      </c>
      <c r="G84">
        <v>118.30200000000001</v>
      </c>
      <c r="H84">
        <v>0.97199999999999998</v>
      </c>
      <c r="I84">
        <v>5</v>
      </c>
      <c r="J84">
        <v>4000</v>
      </c>
      <c r="K84">
        <v>0.40574205099999999</v>
      </c>
      <c r="L84">
        <v>0.69299999999999995</v>
      </c>
      <c r="M84">
        <v>4</v>
      </c>
      <c r="N84">
        <v>1.0999999999999999E-2</v>
      </c>
      <c r="O84">
        <v>1</v>
      </c>
      <c r="P84">
        <v>1</v>
      </c>
      <c r="S84" s="59" t="s">
        <v>944</v>
      </c>
    </row>
    <row r="85" spans="1:19" x14ac:dyDescent="0.2">
      <c r="A85" t="s">
        <v>1197</v>
      </c>
      <c r="B85">
        <v>9001055200</v>
      </c>
      <c r="C85" t="s">
        <v>1198</v>
      </c>
      <c r="D85">
        <v>247361</v>
      </c>
      <c r="E85">
        <v>3.05</v>
      </c>
      <c r="F85">
        <v>141638.49660000001</v>
      </c>
      <c r="G85">
        <v>141.63800000000001</v>
      </c>
      <c r="H85">
        <v>0.99199999999999999</v>
      </c>
      <c r="I85">
        <v>5</v>
      </c>
      <c r="J85">
        <v>3750</v>
      </c>
      <c r="K85">
        <v>0.31771023500000001</v>
      </c>
      <c r="L85">
        <v>0.27</v>
      </c>
      <c r="M85">
        <v>2</v>
      </c>
      <c r="N85">
        <v>1.7999999999999999E-2</v>
      </c>
      <c r="O85">
        <v>1</v>
      </c>
      <c r="P85">
        <v>1</v>
      </c>
      <c r="S85" s="57" t="s">
        <v>944</v>
      </c>
    </row>
    <row r="86" spans="1:19" x14ac:dyDescent="0.2">
      <c r="A86" t="s">
        <v>1199</v>
      </c>
      <c r="B86">
        <v>9001060100</v>
      </c>
      <c r="C86" t="s">
        <v>1200</v>
      </c>
      <c r="D86">
        <v>139000</v>
      </c>
      <c r="E86">
        <v>2.65</v>
      </c>
      <c r="F86">
        <v>85387.021240000002</v>
      </c>
      <c r="G86">
        <v>85.387</v>
      </c>
      <c r="H86">
        <v>0.91</v>
      </c>
      <c r="I86">
        <v>5</v>
      </c>
      <c r="J86">
        <v>2313</v>
      </c>
      <c r="K86">
        <v>0.32506111100000001</v>
      </c>
      <c r="L86">
        <v>0.33</v>
      </c>
      <c r="M86">
        <v>2</v>
      </c>
      <c r="N86">
        <v>0.111</v>
      </c>
      <c r="O86">
        <v>1</v>
      </c>
      <c r="P86">
        <v>1</v>
      </c>
      <c r="S86" s="59" t="s">
        <v>944</v>
      </c>
    </row>
    <row r="87" spans="1:19" x14ac:dyDescent="0.2">
      <c r="A87" t="s">
        <v>1201</v>
      </c>
      <c r="B87">
        <v>9001060200</v>
      </c>
      <c r="C87" t="s">
        <v>1202</v>
      </c>
      <c r="D87">
        <v>126838</v>
      </c>
      <c r="E87">
        <v>2.81</v>
      </c>
      <c r="F87">
        <v>75665.207160000005</v>
      </c>
      <c r="G87">
        <v>75.665000000000006</v>
      </c>
      <c r="H87">
        <v>0.85499999999999998</v>
      </c>
      <c r="I87">
        <v>5</v>
      </c>
      <c r="J87">
        <v>2452</v>
      </c>
      <c r="K87">
        <v>0.38887093700000003</v>
      </c>
      <c r="L87">
        <v>0.65900000000000003</v>
      </c>
      <c r="M87">
        <v>4</v>
      </c>
      <c r="N87">
        <v>8.2000000000000003E-2</v>
      </c>
      <c r="O87">
        <v>1</v>
      </c>
      <c r="P87">
        <v>1</v>
      </c>
      <c r="S87" s="57" t="s">
        <v>944</v>
      </c>
    </row>
    <row r="88" spans="1:19" x14ac:dyDescent="0.2">
      <c r="A88" t="s">
        <v>1203</v>
      </c>
      <c r="B88">
        <v>9001060300</v>
      </c>
      <c r="C88" t="s">
        <v>1204</v>
      </c>
      <c r="D88">
        <v>195250</v>
      </c>
      <c r="E88">
        <v>2.92</v>
      </c>
      <c r="F88">
        <v>114261.42</v>
      </c>
      <c r="G88">
        <v>114.261</v>
      </c>
      <c r="H88">
        <v>0.96499999999999997</v>
      </c>
      <c r="I88">
        <v>5</v>
      </c>
      <c r="J88">
        <v>3341</v>
      </c>
      <c r="K88">
        <v>0.35087958800000002</v>
      </c>
      <c r="L88">
        <v>0.48399999999999999</v>
      </c>
      <c r="M88">
        <v>3</v>
      </c>
      <c r="N88">
        <v>0.03</v>
      </c>
      <c r="O88">
        <v>1</v>
      </c>
      <c r="P88">
        <v>1</v>
      </c>
      <c r="S88" s="59" t="s">
        <v>944</v>
      </c>
    </row>
    <row r="89" spans="1:19" x14ac:dyDescent="0.2">
      <c r="A89" t="s">
        <v>1205</v>
      </c>
      <c r="B89">
        <v>9001060400</v>
      </c>
      <c r="C89" t="s">
        <v>1206</v>
      </c>
      <c r="D89">
        <v>247169</v>
      </c>
      <c r="E89">
        <v>2.83</v>
      </c>
      <c r="F89">
        <v>146926.71969999999</v>
      </c>
      <c r="G89">
        <v>146.92699999999999</v>
      </c>
      <c r="H89">
        <v>1</v>
      </c>
      <c r="I89">
        <v>5</v>
      </c>
      <c r="J89">
        <v>3810</v>
      </c>
      <c r="K89">
        <v>0.31117553100000001</v>
      </c>
      <c r="L89">
        <v>0.22900000000000001</v>
      </c>
      <c r="M89">
        <v>2</v>
      </c>
      <c r="N89">
        <v>1.4E-2</v>
      </c>
      <c r="O89">
        <v>1</v>
      </c>
      <c r="P89">
        <v>1</v>
      </c>
      <c r="S89" s="57" t="s">
        <v>944</v>
      </c>
    </row>
    <row r="90" spans="1:19" x14ac:dyDescent="0.2">
      <c r="A90" t="s">
        <v>1207</v>
      </c>
      <c r="B90">
        <v>9001060500</v>
      </c>
      <c r="C90" t="s">
        <v>1208</v>
      </c>
      <c r="D90">
        <v>216500</v>
      </c>
      <c r="E90">
        <v>3.17</v>
      </c>
      <c r="F90">
        <v>121598.5145</v>
      </c>
      <c r="G90">
        <v>121.599</v>
      </c>
      <c r="H90">
        <v>0.97299999999999998</v>
      </c>
      <c r="I90">
        <v>5</v>
      </c>
      <c r="J90">
        <v>3418</v>
      </c>
      <c r="K90">
        <v>0.33730675199999999</v>
      </c>
      <c r="L90">
        <v>0.40699999999999997</v>
      </c>
      <c r="M90">
        <v>3</v>
      </c>
      <c r="N90">
        <v>2.5999999999999999E-2</v>
      </c>
      <c r="O90">
        <v>1</v>
      </c>
      <c r="P90">
        <v>1</v>
      </c>
      <c r="S90" s="59" t="s">
        <v>944</v>
      </c>
    </row>
    <row r="91" spans="1:19" x14ac:dyDescent="0.2">
      <c r="A91" t="s">
        <v>1209</v>
      </c>
      <c r="B91">
        <v>9001060600</v>
      </c>
      <c r="C91" t="s">
        <v>1210</v>
      </c>
      <c r="D91">
        <v>174712</v>
      </c>
      <c r="E91">
        <v>2.2400000000000002</v>
      </c>
      <c r="F91">
        <v>116734.3652</v>
      </c>
      <c r="G91">
        <v>116.73399999999999</v>
      </c>
      <c r="H91">
        <v>0.96899999999999997</v>
      </c>
      <c r="I91">
        <v>5</v>
      </c>
      <c r="J91">
        <v>2525</v>
      </c>
      <c r="K91">
        <v>0.25956366800000003</v>
      </c>
      <c r="L91">
        <v>3.2000000000000001E-2</v>
      </c>
      <c r="M91">
        <v>1</v>
      </c>
      <c r="N91">
        <v>7.4999999999999997E-2</v>
      </c>
      <c r="O91">
        <v>1</v>
      </c>
      <c r="P91">
        <v>1</v>
      </c>
      <c r="S91" s="57" t="s">
        <v>944</v>
      </c>
    </row>
    <row r="92" spans="1:19" x14ac:dyDescent="0.2">
      <c r="A92" t="s">
        <v>1211</v>
      </c>
      <c r="B92">
        <v>9001060700</v>
      </c>
      <c r="C92" t="s">
        <v>1212</v>
      </c>
      <c r="D92">
        <v>180694</v>
      </c>
      <c r="E92">
        <v>3.01</v>
      </c>
      <c r="F92">
        <v>104150.2901</v>
      </c>
      <c r="G92">
        <v>104.15</v>
      </c>
      <c r="H92">
        <v>0.95299999999999996</v>
      </c>
      <c r="I92">
        <v>5</v>
      </c>
      <c r="J92">
        <v>2864</v>
      </c>
      <c r="K92">
        <v>0.329984679</v>
      </c>
      <c r="L92">
        <v>0.35799999999999998</v>
      </c>
      <c r="M92">
        <v>2</v>
      </c>
      <c r="N92">
        <v>0.05</v>
      </c>
      <c r="O92">
        <v>1</v>
      </c>
      <c r="P92">
        <v>1</v>
      </c>
      <c r="S92" s="59" t="s">
        <v>944</v>
      </c>
    </row>
    <row r="93" spans="1:19" x14ac:dyDescent="0.2">
      <c r="A93" t="s">
        <v>1213</v>
      </c>
      <c r="B93">
        <v>9001060800</v>
      </c>
      <c r="C93" t="s">
        <v>1214</v>
      </c>
      <c r="D93">
        <v>171250</v>
      </c>
      <c r="E93">
        <v>2.73</v>
      </c>
      <c r="F93">
        <v>103645.215</v>
      </c>
      <c r="G93">
        <v>103.645</v>
      </c>
      <c r="H93">
        <v>0.95199999999999996</v>
      </c>
      <c r="I93">
        <v>5</v>
      </c>
      <c r="J93">
        <v>3043</v>
      </c>
      <c r="K93">
        <v>0.35231727800000001</v>
      </c>
      <c r="L93">
        <v>0.49199999999999999</v>
      </c>
      <c r="M93">
        <v>3</v>
      </c>
      <c r="N93">
        <v>4.3999999999999997E-2</v>
      </c>
      <c r="O93">
        <v>1</v>
      </c>
      <c r="P93">
        <v>1</v>
      </c>
      <c r="S93" s="57" t="s">
        <v>944</v>
      </c>
    </row>
    <row r="94" spans="1:19" x14ac:dyDescent="0.2">
      <c r="A94" t="s">
        <v>1215</v>
      </c>
      <c r="B94">
        <v>9001060900</v>
      </c>
      <c r="C94" t="s">
        <v>1216</v>
      </c>
      <c r="D94">
        <v>140278</v>
      </c>
      <c r="E94">
        <v>2.88</v>
      </c>
      <c r="F94">
        <v>82659.604210000005</v>
      </c>
      <c r="G94">
        <v>82.66</v>
      </c>
      <c r="H94">
        <v>0.89600000000000002</v>
      </c>
      <c r="I94">
        <v>5</v>
      </c>
      <c r="J94">
        <v>2698</v>
      </c>
      <c r="K94">
        <v>0.39167862399999998</v>
      </c>
      <c r="L94">
        <v>0.66700000000000004</v>
      </c>
      <c r="M94">
        <v>4</v>
      </c>
      <c r="N94">
        <v>5.8999999999999997E-2</v>
      </c>
      <c r="O94">
        <v>1</v>
      </c>
      <c r="P94">
        <v>1</v>
      </c>
      <c r="S94" s="59" t="s">
        <v>944</v>
      </c>
    </row>
    <row r="95" spans="1:19" x14ac:dyDescent="0.2">
      <c r="A95" t="s">
        <v>1217</v>
      </c>
      <c r="B95">
        <v>9001061000</v>
      </c>
      <c r="C95" t="s">
        <v>1218</v>
      </c>
      <c r="D95">
        <v>78844</v>
      </c>
      <c r="E95">
        <v>2.54</v>
      </c>
      <c r="F95">
        <v>49471.125500000002</v>
      </c>
      <c r="G95">
        <v>49.470999999999997</v>
      </c>
      <c r="H95">
        <v>0.46100000000000002</v>
      </c>
      <c r="I95">
        <v>3</v>
      </c>
      <c r="J95">
        <v>1741</v>
      </c>
      <c r="K95">
        <v>0.42230694800000002</v>
      </c>
      <c r="L95">
        <v>0.73399999999999999</v>
      </c>
      <c r="M95">
        <v>4</v>
      </c>
      <c r="N95">
        <v>0.28799999999999998</v>
      </c>
      <c r="O95">
        <v>2</v>
      </c>
      <c r="P95">
        <v>3</v>
      </c>
      <c r="S95" s="57" t="s">
        <v>944</v>
      </c>
    </row>
    <row r="96" spans="1:19" x14ac:dyDescent="0.2">
      <c r="A96" t="s">
        <v>1219</v>
      </c>
      <c r="B96">
        <v>9001061100</v>
      </c>
      <c r="C96" t="s">
        <v>1220</v>
      </c>
      <c r="D96">
        <v>163438</v>
      </c>
      <c r="E96">
        <v>2.99</v>
      </c>
      <c r="F96">
        <v>94518.635850000006</v>
      </c>
      <c r="G96">
        <v>94.519000000000005</v>
      </c>
      <c r="H96">
        <v>0.93400000000000005</v>
      </c>
      <c r="I96">
        <v>5</v>
      </c>
      <c r="J96">
        <v>2692</v>
      </c>
      <c r="K96">
        <v>0.34177386999999998</v>
      </c>
      <c r="L96">
        <v>0.42899999999999999</v>
      </c>
      <c r="M96">
        <v>3</v>
      </c>
      <c r="N96">
        <v>0.06</v>
      </c>
      <c r="O96">
        <v>1</v>
      </c>
      <c r="P96">
        <v>1</v>
      </c>
      <c r="S96" s="59" t="s">
        <v>944</v>
      </c>
    </row>
    <row r="97" spans="1:19" x14ac:dyDescent="0.2">
      <c r="A97" t="s">
        <v>1221</v>
      </c>
      <c r="B97">
        <v>9001061200</v>
      </c>
      <c r="C97" t="s">
        <v>1222</v>
      </c>
      <c r="D97">
        <v>81667</v>
      </c>
      <c r="E97">
        <v>2.88</v>
      </c>
      <c r="F97">
        <v>48122.741249999999</v>
      </c>
      <c r="G97">
        <v>48.122999999999998</v>
      </c>
      <c r="H97">
        <v>0.433</v>
      </c>
      <c r="I97">
        <v>3</v>
      </c>
      <c r="J97">
        <v>1853</v>
      </c>
      <c r="K97">
        <v>0.46206844000000002</v>
      </c>
      <c r="L97">
        <v>0.80100000000000005</v>
      </c>
      <c r="M97">
        <v>5</v>
      </c>
      <c r="N97">
        <v>0.23</v>
      </c>
      <c r="O97">
        <v>2</v>
      </c>
      <c r="P97">
        <v>3</v>
      </c>
      <c r="S97" s="57" t="s">
        <v>944</v>
      </c>
    </row>
    <row r="98" spans="1:19" x14ac:dyDescent="0.2">
      <c r="A98" t="s">
        <v>1223</v>
      </c>
      <c r="B98">
        <v>9001061300</v>
      </c>
      <c r="C98" t="s">
        <v>1224</v>
      </c>
      <c r="D98">
        <v>90913</v>
      </c>
      <c r="E98">
        <v>2.74</v>
      </c>
      <c r="F98">
        <v>54922.551870000003</v>
      </c>
      <c r="G98">
        <v>54.923000000000002</v>
      </c>
      <c r="H98">
        <v>0.55700000000000005</v>
      </c>
      <c r="I98">
        <v>3</v>
      </c>
      <c r="J98">
        <v>1857</v>
      </c>
      <c r="K98">
        <v>0.405734971</v>
      </c>
      <c r="L98">
        <v>0.69199999999999995</v>
      </c>
      <c r="M98">
        <v>4</v>
      </c>
      <c r="N98">
        <v>0.22900000000000001</v>
      </c>
      <c r="O98">
        <v>2</v>
      </c>
      <c r="P98">
        <v>3</v>
      </c>
      <c r="S98" s="59" t="s">
        <v>944</v>
      </c>
    </row>
    <row r="99" spans="1:19" x14ac:dyDescent="0.2">
      <c r="A99" t="s">
        <v>1225</v>
      </c>
      <c r="B99">
        <v>9001061400</v>
      </c>
      <c r="C99" t="s">
        <v>1226</v>
      </c>
      <c r="D99">
        <v>91467</v>
      </c>
      <c r="E99">
        <v>2.6</v>
      </c>
      <c r="F99">
        <v>56725.425340000002</v>
      </c>
      <c r="G99">
        <v>56.725000000000001</v>
      </c>
      <c r="H99">
        <v>0.59399999999999997</v>
      </c>
      <c r="I99">
        <v>3</v>
      </c>
      <c r="J99">
        <v>1873</v>
      </c>
      <c r="K99">
        <v>0.39622444200000001</v>
      </c>
      <c r="L99">
        <v>0.67700000000000005</v>
      </c>
      <c r="M99">
        <v>4</v>
      </c>
      <c r="N99">
        <v>0.219</v>
      </c>
      <c r="O99">
        <v>2</v>
      </c>
      <c r="P99">
        <v>3</v>
      </c>
      <c r="S99" s="57" t="s">
        <v>944</v>
      </c>
    </row>
    <row r="100" spans="1:19" x14ac:dyDescent="0.2">
      <c r="A100" t="s">
        <v>1227</v>
      </c>
      <c r="B100">
        <v>9001061500</v>
      </c>
      <c r="C100" t="s">
        <v>1228</v>
      </c>
      <c r="D100">
        <v>148804</v>
      </c>
      <c r="E100">
        <v>2.76</v>
      </c>
      <c r="F100">
        <v>89569.482409999997</v>
      </c>
      <c r="G100">
        <v>89.569000000000003</v>
      </c>
      <c r="H100">
        <v>0.92300000000000004</v>
      </c>
      <c r="I100">
        <v>5</v>
      </c>
      <c r="J100">
        <v>2670</v>
      </c>
      <c r="K100">
        <v>0.35771112100000002</v>
      </c>
      <c r="L100">
        <v>0.52</v>
      </c>
      <c r="M100">
        <v>3</v>
      </c>
      <c r="N100">
        <v>6.3E-2</v>
      </c>
      <c r="O100">
        <v>1</v>
      </c>
      <c r="P100">
        <v>1</v>
      </c>
      <c r="S100" s="59" t="s">
        <v>944</v>
      </c>
    </row>
    <row r="101" spans="1:19" x14ac:dyDescent="0.2">
      <c r="A101" t="s">
        <v>1229</v>
      </c>
      <c r="B101">
        <v>9001061600</v>
      </c>
      <c r="C101" t="s">
        <v>1230</v>
      </c>
      <c r="D101">
        <v>129250</v>
      </c>
      <c r="E101">
        <v>2.57</v>
      </c>
      <c r="F101">
        <v>80623.934859999994</v>
      </c>
      <c r="G101">
        <v>80.623999999999995</v>
      </c>
      <c r="H101">
        <v>0.88300000000000001</v>
      </c>
      <c r="I101">
        <v>5</v>
      </c>
      <c r="J101">
        <v>2370</v>
      </c>
      <c r="K101">
        <v>0.352748846</v>
      </c>
      <c r="L101">
        <v>0.495</v>
      </c>
      <c r="M101">
        <v>3</v>
      </c>
      <c r="N101">
        <v>9.4E-2</v>
      </c>
      <c r="O101">
        <v>1</v>
      </c>
      <c r="P101">
        <v>1</v>
      </c>
      <c r="S101" s="57" t="s">
        <v>944</v>
      </c>
    </row>
    <row r="102" spans="1:19" x14ac:dyDescent="0.2">
      <c r="A102" t="s">
        <v>1231</v>
      </c>
      <c r="B102">
        <v>9001070100</v>
      </c>
      <c r="C102" t="s">
        <v>1232</v>
      </c>
      <c r="D102">
        <v>88021</v>
      </c>
      <c r="E102">
        <v>2.16</v>
      </c>
      <c r="F102">
        <v>59890.704619999997</v>
      </c>
      <c r="G102">
        <v>59.890999999999998</v>
      </c>
      <c r="H102">
        <v>0.65100000000000002</v>
      </c>
      <c r="I102">
        <v>4</v>
      </c>
      <c r="J102">
        <v>1489</v>
      </c>
      <c r="K102">
        <v>0.29834345899999998</v>
      </c>
      <c r="L102">
        <v>0.16</v>
      </c>
      <c r="M102">
        <v>1</v>
      </c>
      <c r="N102">
        <v>0.49</v>
      </c>
      <c r="O102">
        <v>3</v>
      </c>
      <c r="P102">
        <v>3</v>
      </c>
      <c r="S102" s="59" t="s">
        <v>944</v>
      </c>
    </row>
    <row r="103" spans="1:19" x14ac:dyDescent="0.2">
      <c r="A103" t="s">
        <v>1233</v>
      </c>
      <c r="B103">
        <v>9001070200</v>
      </c>
      <c r="C103" t="s">
        <v>1234</v>
      </c>
      <c r="D103">
        <v>42688</v>
      </c>
      <c r="E103">
        <v>2.37</v>
      </c>
      <c r="F103">
        <v>27728.835729999999</v>
      </c>
      <c r="G103">
        <v>27.728999999999999</v>
      </c>
      <c r="H103">
        <v>0.13900000000000001</v>
      </c>
      <c r="I103">
        <v>1</v>
      </c>
      <c r="J103">
        <v>1292</v>
      </c>
      <c r="K103">
        <v>0.559129137</v>
      </c>
      <c r="L103">
        <v>0.89700000000000002</v>
      </c>
      <c r="M103">
        <v>5</v>
      </c>
      <c r="N103">
        <v>0.66200000000000003</v>
      </c>
      <c r="O103">
        <v>4</v>
      </c>
      <c r="P103">
        <v>5</v>
      </c>
      <c r="S103" s="57" t="s">
        <v>936</v>
      </c>
    </row>
    <row r="104" spans="1:19" x14ac:dyDescent="0.2">
      <c r="A104" t="s">
        <v>1235</v>
      </c>
      <c r="B104">
        <v>9001070300</v>
      </c>
      <c r="C104" t="s">
        <v>1236</v>
      </c>
      <c r="D104">
        <v>9958</v>
      </c>
      <c r="E104">
        <v>3.24</v>
      </c>
      <c r="F104">
        <v>5532.2222220000003</v>
      </c>
      <c r="G104">
        <v>5.532</v>
      </c>
      <c r="H104">
        <v>1E-3</v>
      </c>
      <c r="I104">
        <v>1</v>
      </c>
      <c r="J104">
        <v>433</v>
      </c>
      <c r="K104">
        <v>0.939224744</v>
      </c>
      <c r="L104">
        <v>0.99299999999999999</v>
      </c>
      <c r="M104">
        <v>5</v>
      </c>
      <c r="N104">
        <v>1</v>
      </c>
      <c r="O104">
        <v>5</v>
      </c>
      <c r="P104">
        <v>5</v>
      </c>
      <c r="S104" s="59" t="s">
        <v>936</v>
      </c>
    </row>
    <row r="105" spans="1:19" x14ac:dyDescent="0.2">
      <c r="A105" t="s">
        <v>1237</v>
      </c>
      <c r="B105">
        <v>9001070400</v>
      </c>
      <c r="C105" t="s">
        <v>1238</v>
      </c>
      <c r="D105">
        <v>35313</v>
      </c>
      <c r="E105">
        <v>1.86</v>
      </c>
      <c r="F105">
        <v>25892.747859999999</v>
      </c>
      <c r="G105">
        <v>25.893000000000001</v>
      </c>
      <c r="H105">
        <v>0.122</v>
      </c>
      <c r="I105">
        <v>1</v>
      </c>
      <c r="J105">
        <v>912</v>
      </c>
      <c r="K105">
        <v>0.42266661100000003</v>
      </c>
      <c r="L105">
        <v>0.73799999999999999</v>
      </c>
      <c r="M105">
        <v>4</v>
      </c>
      <c r="N105">
        <v>0.96899999999999997</v>
      </c>
      <c r="O105">
        <v>5</v>
      </c>
      <c r="P105">
        <v>5</v>
      </c>
      <c r="S105" s="57" t="s">
        <v>936</v>
      </c>
    </row>
    <row r="106" spans="1:19" x14ac:dyDescent="0.2">
      <c r="A106" t="s">
        <v>1239</v>
      </c>
      <c r="B106">
        <v>9001070500</v>
      </c>
      <c r="C106" t="s">
        <v>1240</v>
      </c>
      <c r="D106">
        <v>24342</v>
      </c>
      <c r="E106">
        <v>2.52</v>
      </c>
      <c r="F106">
        <v>15334.018669999999</v>
      </c>
      <c r="G106">
        <v>15.334</v>
      </c>
      <c r="H106">
        <v>0.02</v>
      </c>
      <c r="I106">
        <v>1</v>
      </c>
      <c r="J106">
        <v>1275</v>
      </c>
      <c r="K106">
        <v>0.99778149000000005</v>
      </c>
      <c r="L106">
        <v>0.996</v>
      </c>
      <c r="M106">
        <v>5</v>
      </c>
      <c r="N106">
        <v>0.68100000000000005</v>
      </c>
      <c r="O106">
        <v>4</v>
      </c>
      <c r="P106">
        <v>5</v>
      </c>
      <c r="S106" s="59" t="s">
        <v>936</v>
      </c>
    </row>
    <row r="107" spans="1:19" x14ac:dyDescent="0.2">
      <c r="A107" t="s">
        <v>1241</v>
      </c>
      <c r="B107">
        <v>9001070600</v>
      </c>
      <c r="C107" t="s">
        <v>1242</v>
      </c>
      <c r="D107">
        <v>23598</v>
      </c>
      <c r="E107">
        <v>1.57</v>
      </c>
      <c r="F107">
        <v>18833.254300000001</v>
      </c>
      <c r="G107">
        <v>18.832999999999998</v>
      </c>
      <c r="H107">
        <v>4.8000000000000001E-2</v>
      </c>
      <c r="I107">
        <v>1</v>
      </c>
      <c r="J107">
        <v>974</v>
      </c>
      <c r="K107">
        <v>0.62060437400000001</v>
      </c>
      <c r="L107">
        <v>0.93300000000000005</v>
      </c>
      <c r="M107">
        <v>5</v>
      </c>
      <c r="N107">
        <v>0.95199999999999996</v>
      </c>
      <c r="O107">
        <v>5</v>
      </c>
      <c r="P107">
        <v>5</v>
      </c>
      <c r="S107" s="57" t="s">
        <v>936</v>
      </c>
    </row>
    <row r="108" spans="1:19" x14ac:dyDescent="0.2">
      <c r="A108" t="s">
        <v>1243</v>
      </c>
      <c r="B108">
        <v>9001070900</v>
      </c>
      <c r="C108" t="s">
        <v>1244</v>
      </c>
      <c r="D108">
        <v>35492</v>
      </c>
      <c r="E108">
        <v>3.1</v>
      </c>
      <c r="F108">
        <v>20158.101419999999</v>
      </c>
      <c r="G108">
        <v>20.158000000000001</v>
      </c>
      <c r="H108">
        <v>0.06</v>
      </c>
      <c r="I108">
        <v>1</v>
      </c>
      <c r="J108">
        <v>1228</v>
      </c>
      <c r="K108">
        <v>0.731021225</v>
      </c>
      <c r="L108">
        <v>0.97199999999999998</v>
      </c>
      <c r="M108">
        <v>5</v>
      </c>
      <c r="N108">
        <v>0.73899999999999999</v>
      </c>
      <c r="O108">
        <v>4</v>
      </c>
      <c r="P108">
        <v>5</v>
      </c>
      <c r="S108" s="59" t="s">
        <v>936</v>
      </c>
    </row>
    <row r="109" spans="1:19" x14ac:dyDescent="0.2">
      <c r="A109" t="s">
        <v>1245</v>
      </c>
      <c r="B109">
        <v>9001071000</v>
      </c>
      <c r="C109" t="s">
        <v>1246</v>
      </c>
      <c r="D109">
        <v>48148</v>
      </c>
      <c r="E109">
        <v>3.13</v>
      </c>
      <c r="F109">
        <v>27214.858660000002</v>
      </c>
      <c r="G109">
        <v>27.215</v>
      </c>
      <c r="H109">
        <v>0.13700000000000001</v>
      </c>
      <c r="I109">
        <v>1</v>
      </c>
      <c r="J109">
        <v>1323</v>
      </c>
      <c r="K109">
        <v>0.58335779700000001</v>
      </c>
      <c r="L109">
        <v>0.91200000000000003</v>
      </c>
      <c r="M109">
        <v>5</v>
      </c>
      <c r="N109">
        <v>0.63200000000000001</v>
      </c>
      <c r="O109">
        <v>4</v>
      </c>
      <c r="P109">
        <v>5</v>
      </c>
      <c r="S109" s="57" t="s">
        <v>944</v>
      </c>
    </row>
    <row r="110" spans="1:19" x14ac:dyDescent="0.2">
      <c r="A110" t="s">
        <v>1247</v>
      </c>
      <c r="B110">
        <v>9001071100</v>
      </c>
      <c r="C110" t="s">
        <v>1248</v>
      </c>
      <c r="D110">
        <v>48500</v>
      </c>
      <c r="E110">
        <v>3.58</v>
      </c>
      <c r="F110">
        <v>25633.0465</v>
      </c>
      <c r="G110">
        <v>25.632999999999999</v>
      </c>
      <c r="H110">
        <v>0.12</v>
      </c>
      <c r="I110">
        <v>1</v>
      </c>
      <c r="J110">
        <v>1271</v>
      </c>
      <c r="K110">
        <v>0.59501316000000004</v>
      </c>
      <c r="L110">
        <v>0.91700000000000004</v>
      </c>
      <c r="M110">
        <v>5</v>
      </c>
      <c r="N110">
        <v>0.68400000000000005</v>
      </c>
      <c r="O110">
        <v>4</v>
      </c>
      <c r="P110">
        <v>5</v>
      </c>
      <c r="S110" s="59" t="s">
        <v>944</v>
      </c>
    </row>
    <row r="111" spans="1:19" x14ac:dyDescent="0.2">
      <c r="A111" t="s">
        <v>1249</v>
      </c>
      <c r="B111">
        <v>9001071200</v>
      </c>
      <c r="C111" t="s">
        <v>1250</v>
      </c>
      <c r="D111">
        <v>24271</v>
      </c>
      <c r="E111">
        <v>3.01</v>
      </c>
      <c r="F111">
        <v>13989.571830000001</v>
      </c>
      <c r="G111">
        <v>13.99</v>
      </c>
      <c r="H111">
        <v>1.2999999999999999E-2</v>
      </c>
      <c r="I111">
        <v>1</v>
      </c>
      <c r="J111">
        <v>1107</v>
      </c>
      <c r="K111">
        <v>0.94956444399999995</v>
      </c>
      <c r="L111">
        <v>0.995</v>
      </c>
      <c r="M111">
        <v>5</v>
      </c>
      <c r="N111">
        <v>0.86899999999999999</v>
      </c>
      <c r="O111">
        <v>5</v>
      </c>
      <c r="P111">
        <v>5</v>
      </c>
      <c r="S111" s="57" t="s">
        <v>936</v>
      </c>
    </row>
    <row r="112" spans="1:19" x14ac:dyDescent="0.2">
      <c r="A112" t="s">
        <v>1251</v>
      </c>
      <c r="B112">
        <v>9001071300</v>
      </c>
      <c r="C112" t="s">
        <v>1252</v>
      </c>
      <c r="D112">
        <v>27072</v>
      </c>
      <c r="E112">
        <v>2.39</v>
      </c>
      <c r="F112">
        <v>17511.42107</v>
      </c>
      <c r="G112">
        <v>17.510999999999999</v>
      </c>
      <c r="H112">
        <v>3.7999999999999999E-2</v>
      </c>
      <c r="I112">
        <v>1</v>
      </c>
      <c r="J112">
        <v>1078</v>
      </c>
      <c r="K112">
        <v>0.73871788900000002</v>
      </c>
      <c r="L112">
        <v>0.97399999999999998</v>
      </c>
      <c r="M112">
        <v>5</v>
      </c>
      <c r="N112">
        <v>0.89</v>
      </c>
      <c r="O112">
        <v>5</v>
      </c>
      <c r="P112">
        <v>5</v>
      </c>
      <c r="S112" s="59" t="s">
        <v>936</v>
      </c>
    </row>
    <row r="113" spans="1:19" x14ac:dyDescent="0.2">
      <c r="A113" t="s">
        <v>1253</v>
      </c>
      <c r="B113">
        <v>9001071400</v>
      </c>
      <c r="C113" t="s">
        <v>1254</v>
      </c>
      <c r="D113">
        <v>40245</v>
      </c>
      <c r="E113">
        <v>3.16</v>
      </c>
      <c r="F113">
        <v>22639.581289999998</v>
      </c>
      <c r="G113">
        <v>22.64</v>
      </c>
      <c r="H113">
        <v>8.8999999999999996E-2</v>
      </c>
      <c r="I113">
        <v>1</v>
      </c>
      <c r="J113">
        <v>1131</v>
      </c>
      <c r="K113">
        <v>0.59948105200000001</v>
      </c>
      <c r="L113">
        <v>0.92300000000000004</v>
      </c>
      <c r="M113">
        <v>5</v>
      </c>
      <c r="N113">
        <v>0.83499999999999996</v>
      </c>
      <c r="O113">
        <v>5</v>
      </c>
      <c r="P113">
        <v>5</v>
      </c>
      <c r="S113" s="57" t="s">
        <v>936</v>
      </c>
    </row>
    <row r="114" spans="1:19" x14ac:dyDescent="0.2">
      <c r="A114" t="s">
        <v>1255</v>
      </c>
      <c r="B114">
        <v>9001071600</v>
      </c>
      <c r="C114" t="s">
        <v>1256</v>
      </c>
      <c r="D114">
        <v>21895</v>
      </c>
      <c r="E114">
        <v>3.46</v>
      </c>
      <c r="F114">
        <v>11770.824919999999</v>
      </c>
      <c r="G114">
        <v>11.771000000000001</v>
      </c>
      <c r="H114">
        <v>3.0000000000000001E-3</v>
      </c>
      <c r="I114">
        <v>1</v>
      </c>
      <c r="J114">
        <v>1032</v>
      </c>
      <c r="K114">
        <v>1.0520927870000001</v>
      </c>
      <c r="L114">
        <v>0.998</v>
      </c>
      <c r="M114">
        <v>5</v>
      </c>
      <c r="N114">
        <v>0.92100000000000004</v>
      </c>
      <c r="O114">
        <v>5</v>
      </c>
      <c r="P114">
        <v>5</v>
      </c>
      <c r="S114" s="59" t="s">
        <v>936</v>
      </c>
    </row>
    <row r="115" spans="1:19" x14ac:dyDescent="0.2">
      <c r="A115" t="s">
        <v>1257</v>
      </c>
      <c r="B115">
        <v>9001071900</v>
      </c>
      <c r="C115" t="s">
        <v>1258</v>
      </c>
      <c r="D115">
        <v>42969</v>
      </c>
      <c r="E115">
        <v>2.7</v>
      </c>
      <c r="F115">
        <v>26150.100640000001</v>
      </c>
      <c r="G115">
        <v>26.15</v>
      </c>
      <c r="H115">
        <v>0.125</v>
      </c>
      <c r="I115">
        <v>1</v>
      </c>
      <c r="J115">
        <v>1287</v>
      </c>
      <c r="K115">
        <v>0.59059046100000001</v>
      </c>
      <c r="L115">
        <v>0.91400000000000003</v>
      </c>
      <c r="M115">
        <v>5</v>
      </c>
      <c r="N115">
        <v>0.66600000000000004</v>
      </c>
      <c r="O115">
        <v>4</v>
      </c>
      <c r="P115">
        <v>5</v>
      </c>
      <c r="S115" s="57" t="s">
        <v>936</v>
      </c>
    </row>
    <row r="116" spans="1:19" x14ac:dyDescent="0.2">
      <c r="A116" t="s">
        <v>1259</v>
      </c>
      <c r="B116">
        <v>9001072000</v>
      </c>
      <c r="C116" t="s">
        <v>1260</v>
      </c>
      <c r="D116">
        <v>52909</v>
      </c>
      <c r="E116">
        <v>2.89</v>
      </c>
      <c r="F116">
        <v>31122.941180000002</v>
      </c>
      <c r="G116">
        <v>31.123000000000001</v>
      </c>
      <c r="H116">
        <v>0.189</v>
      </c>
      <c r="I116">
        <v>1</v>
      </c>
      <c r="J116">
        <v>1386</v>
      </c>
      <c r="K116">
        <v>0.53439679399999995</v>
      </c>
      <c r="L116">
        <v>0.875</v>
      </c>
      <c r="M116">
        <v>5</v>
      </c>
      <c r="N116">
        <v>0.57499999999999996</v>
      </c>
      <c r="O116">
        <v>3</v>
      </c>
      <c r="P116">
        <v>4</v>
      </c>
      <c r="S116" s="59" t="s">
        <v>944</v>
      </c>
    </row>
    <row r="117" spans="1:19" x14ac:dyDescent="0.2">
      <c r="A117" t="s">
        <v>1261</v>
      </c>
      <c r="B117">
        <v>9001072100</v>
      </c>
      <c r="C117" t="s">
        <v>1262</v>
      </c>
      <c r="D117">
        <v>56009</v>
      </c>
      <c r="E117">
        <v>2.2400000000000002</v>
      </c>
      <c r="F117">
        <v>37422.587249999997</v>
      </c>
      <c r="G117">
        <v>37.423000000000002</v>
      </c>
      <c r="H117">
        <v>0.26300000000000001</v>
      </c>
      <c r="I117">
        <v>2</v>
      </c>
      <c r="J117">
        <v>1463</v>
      </c>
      <c r="K117">
        <v>0.46912844100000001</v>
      </c>
      <c r="L117">
        <v>0.81200000000000006</v>
      </c>
      <c r="M117">
        <v>5</v>
      </c>
      <c r="N117">
        <v>0.51</v>
      </c>
      <c r="O117">
        <v>3</v>
      </c>
      <c r="P117">
        <v>4</v>
      </c>
      <c r="S117" s="57" t="s">
        <v>944</v>
      </c>
    </row>
    <row r="118" spans="1:19" x14ac:dyDescent="0.2">
      <c r="A118" t="s">
        <v>1263</v>
      </c>
      <c r="B118">
        <v>9001072200</v>
      </c>
      <c r="C118" t="s">
        <v>1264</v>
      </c>
      <c r="D118">
        <v>49402</v>
      </c>
      <c r="E118">
        <v>2.4900000000000002</v>
      </c>
      <c r="F118">
        <v>31307.245419999999</v>
      </c>
      <c r="G118">
        <v>31.306999999999999</v>
      </c>
      <c r="H118">
        <v>0.193</v>
      </c>
      <c r="I118">
        <v>1</v>
      </c>
      <c r="J118">
        <v>1641</v>
      </c>
      <c r="K118">
        <v>0.62899177900000003</v>
      </c>
      <c r="L118">
        <v>0.93600000000000005</v>
      </c>
      <c r="M118">
        <v>5</v>
      </c>
      <c r="N118">
        <v>0.35599999999999998</v>
      </c>
      <c r="O118">
        <v>2</v>
      </c>
      <c r="P118">
        <v>4</v>
      </c>
      <c r="S118" s="59" t="s">
        <v>944</v>
      </c>
    </row>
    <row r="119" spans="1:19" x14ac:dyDescent="0.2">
      <c r="A119" t="s">
        <v>1265</v>
      </c>
      <c r="B119">
        <v>9001072300</v>
      </c>
      <c r="C119" t="s">
        <v>1266</v>
      </c>
      <c r="D119">
        <v>64662</v>
      </c>
      <c r="E119">
        <v>3.17</v>
      </c>
      <c r="F119">
        <v>36317.797449999998</v>
      </c>
      <c r="G119">
        <v>36.317999999999998</v>
      </c>
      <c r="H119">
        <v>0.253</v>
      </c>
      <c r="I119">
        <v>2</v>
      </c>
      <c r="J119">
        <v>1594</v>
      </c>
      <c r="K119">
        <v>0.52668392200000003</v>
      </c>
      <c r="L119">
        <v>0.872</v>
      </c>
      <c r="M119">
        <v>5</v>
      </c>
      <c r="N119">
        <v>0.38700000000000001</v>
      </c>
      <c r="O119">
        <v>2</v>
      </c>
      <c r="P119">
        <v>3</v>
      </c>
      <c r="S119" s="57" t="s">
        <v>944</v>
      </c>
    </row>
    <row r="120" spans="1:19" x14ac:dyDescent="0.2">
      <c r="A120" t="s">
        <v>1267</v>
      </c>
      <c r="B120">
        <v>9001072400</v>
      </c>
      <c r="C120" t="s">
        <v>1268</v>
      </c>
      <c r="D120">
        <v>59014</v>
      </c>
      <c r="E120">
        <v>3.24</v>
      </c>
      <c r="F120">
        <v>32785.555560000001</v>
      </c>
      <c r="G120">
        <v>32.786000000000001</v>
      </c>
      <c r="H120">
        <v>0.21</v>
      </c>
      <c r="I120">
        <v>2</v>
      </c>
      <c r="J120">
        <v>1532</v>
      </c>
      <c r="K120">
        <v>0.56073474099999998</v>
      </c>
      <c r="L120">
        <v>0.89900000000000002</v>
      </c>
      <c r="M120">
        <v>5</v>
      </c>
      <c r="N120">
        <v>0.441</v>
      </c>
      <c r="O120">
        <v>3</v>
      </c>
      <c r="P120">
        <v>4</v>
      </c>
      <c r="S120" s="59" t="s">
        <v>944</v>
      </c>
    </row>
    <row r="121" spans="1:19" x14ac:dyDescent="0.2">
      <c r="A121" t="s">
        <v>1269</v>
      </c>
      <c r="B121">
        <v>9001072500</v>
      </c>
      <c r="C121" t="s">
        <v>1270</v>
      </c>
      <c r="D121">
        <v>65113</v>
      </c>
      <c r="E121">
        <v>2.83</v>
      </c>
      <c r="F121">
        <v>38705.660920000002</v>
      </c>
      <c r="G121">
        <v>38.706000000000003</v>
      </c>
      <c r="H121">
        <v>0.27300000000000002</v>
      </c>
      <c r="I121">
        <v>2</v>
      </c>
      <c r="J121">
        <v>1492</v>
      </c>
      <c r="K121">
        <v>0.46256799599999998</v>
      </c>
      <c r="L121">
        <v>0.80400000000000005</v>
      </c>
      <c r="M121">
        <v>5</v>
      </c>
      <c r="N121">
        <v>0.48599999999999999</v>
      </c>
      <c r="O121">
        <v>3</v>
      </c>
      <c r="P121">
        <v>4</v>
      </c>
      <c r="S121" s="57" t="s">
        <v>944</v>
      </c>
    </row>
    <row r="122" spans="1:19" x14ac:dyDescent="0.2">
      <c r="A122" t="s">
        <v>1271</v>
      </c>
      <c r="B122">
        <v>9001072600</v>
      </c>
      <c r="C122" t="s">
        <v>1272</v>
      </c>
      <c r="D122">
        <v>63141</v>
      </c>
      <c r="E122">
        <v>2.39</v>
      </c>
      <c r="F122">
        <v>40842.517639999998</v>
      </c>
      <c r="G122">
        <v>40.843000000000004</v>
      </c>
      <c r="H122">
        <v>0.30399999999999999</v>
      </c>
      <c r="I122">
        <v>2</v>
      </c>
      <c r="J122">
        <v>1526</v>
      </c>
      <c r="K122">
        <v>0.44835629799999999</v>
      </c>
      <c r="L122">
        <v>0.78200000000000003</v>
      </c>
      <c r="M122">
        <v>4</v>
      </c>
      <c r="N122">
        <v>0.44700000000000001</v>
      </c>
      <c r="O122">
        <v>3</v>
      </c>
      <c r="P122">
        <v>4</v>
      </c>
      <c r="S122" s="59" t="s">
        <v>944</v>
      </c>
    </row>
    <row r="123" spans="1:19" x14ac:dyDescent="0.2">
      <c r="A123" t="s">
        <v>1273</v>
      </c>
      <c r="B123">
        <v>9001072700</v>
      </c>
      <c r="C123" t="s">
        <v>1274</v>
      </c>
      <c r="D123">
        <v>75799</v>
      </c>
      <c r="E123">
        <v>3.16</v>
      </c>
      <c r="F123">
        <v>42640.268900000003</v>
      </c>
      <c r="G123">
        <v>42.64</v>
      </c>
      <c r="H123">
        <v>0.33400000000000002</v>
      </c>
      <c r="I123">
        <v>2</v>
      </c>
      <c r="J123">
        <v>1914</v>
      </c>
      <c r="K123">
        <v>0.538645759</v>
      </c>
      <c r="L123">
        <v>0.879</v>
      </c>
      <c r="M123">
        <v>5</v>
      </c>
      <c r="N123">
        <v>0.20399999999999999</v>
      </c>
      <c r="O123">
        <v>2</v>
      </c>
      <c r="P123">
        <v>3</v>
      </c>
      <c r="S123" s="57" t="s">
        <v>944</v>
      </c>
    </row>
    <row r="124" spans="1:19" x14ac:dyDescent="0.2">
      <c r="A124" t="s">
        <v>1275</v>
      </c>
      <c r="B124">
        <v>9001072800</v>
      </c>
      <c r="C124" t="s">
        <v>1276</v>
      </c>
      <c r="D124">
        <v>52607</v>
      </c>
      <c r="E124">
        <v>3.26</v>
      </c>
      <c r="F124">
        <v>29136.322540000001</v>
      </c>
      <c r="G124">
        <v>29.135999999999999</v>
      </c>
      <c r="H124">
        <v>0.155</v>
      </c>
      <c r="I124">
        <v>1</v>
      </c>
      <c r="J124">
        <v>1137</v>
      </c>
      <c r="K124">
        <v>0.46828147199999998</v>
      </c>
      <c r="L124">
        <v>0.81</v>
      </c>
      <c r="M124">
        <v>5</v>
      </c>
      <c r="N124">
        <v>0.82899999999999996</v>
      </c>
      <c r="O124">
        <v>5</v>
      </c>
      <c r="P124">
        <v>5</v>
      </c>
      <c r="S124" s="59" t="s">
        <v>944</v>
      </c>
    </row>
    <row r="125" spans="1:19" x14ac:dyDescent="0.2">
      <c r="A125" t="s">
        <v>1277</v>
      </c>
      <c r="B125">
        <v>9001072900</v>
      </c>
      <c r="C125" t="s">
        <v>1278</v>
      </c>
      <c r="D125">
        <v>63618</v>
      </c>
      <c r="E125">
        <v>3.23</v>
      </c>
      <c r="F125">
        <v>35398.002099999998</v>
      </c>
      <c r="G125">
        <v>35.398000000000003</v>
      </c>
      <c r="H125">
        <v>0.23899999999999999</v>
      </c>
      <c r="I125">
        <v>2</v>
      </c>
      <c r="J125">
        <v>1641</v>
      </c>
      <c r="K125">
        <v>0.55630258300000002</v>
      </c>
      <c r="L125">
        <v>0.89200000000000002</v>
      </c>
      <c r="M125">
        <v>5</v>
      </c>
      <c r="N125">
        <v>0.35599999999999998</v>
      </c>
      <c r="O125">
        <v>2</v>
      </c>
      <c r="P125">
        <v>3</v>
      </c>
      <c r="S125" s="57" t="s">
        <v>944</v>
      </c>
    </row>
    <row r="126" spans="1:19" x14ac:dyDescent="0.2">
      <c r="A126" t="s">
        <v>1279</v>
      </c>
      <c r="B126">
        <v>9001073000</v>
      </c>
      <c r="C126" t="s">
        <v>1280</v>
      </c>
      <c r="D126">
        <v>91500</v>
      </c>
      <c r="E126">
        <v>3.57</v>
      </c>
      <c r="F126">
        <v>48426.93535</v>
      </c>
      <c r="G126">
        <v>48.427</v>
      </c>
      <c r="H126">
        <v>0.438</v>
      </c>
      <c r="I126">
        <v>3</v>
      </c>
      <c r="J126">
        <v>1696</v>
      </c>
      <c r="K126">
        <v>0.420261985</v>
      </c>
      <c r="L126">
        <v>0.72599999999999998</v>
      </c>
      <c r="M126">
        <v>4</v>
      </c>
      <c r="N126">
        <v>0.313</v>
      </c>
      <c r="O126">
        <v>2</v>
      </c>
      <c r="P126">
        <v>3</v>
      </c>
      <c r="S126" s="59" t="s">
        <v>944</v>
      </c>
    </row>
    <row r="127" spans="1:19" x14ac:dyDescent="0.2">
      <c r="A127" t="s">
        <v>1281</v>
      </c>
      <c r="B127">
        <v>9001073100</v>
      </c>
      <c r="C127" t="s">
        <v>1282</v>
      </c>
      <c r="D127">
        <v>37802</v>
      </c>
      <c r="E127">
        <v>2.34</v>
      </c>
      <c r="F127">
        <v>24711.940470000001</v>
      </c>
      <c r="G127">
        <v>24.712</v>
      </c>
      <c r="H127">
        <v>0.11</v>
      </c>
      <c r="I127">
        <v>1</v>
      </c>
      <c r="J127">
        <v>1162</v>
      </c>
      <c r="K127">
        <v>0.56426163799999995</v>
      </c>
      <c r="L127">
        <v>0.90200000000000002</v>
      </c>
      <c r="M127">
        <v>5</v>
      </c>
      <c r="N127">
        <v>0.81399999999999995</v>
      </c>
      <c r="O127">
        <v>5</v>
      </c>
      <c r="P127">
        <v>5</v>
      </c>
      <c r="S127" s="57" t="s">
        <v>936</v>
      </c>
    </row>
    <row r="128" spans="1:19" x14ac:dyDescent="0.2">
      <c r="A128" t="s">
        <v>1283</v>
      </c>
      <c r="B128">
        <v>9001073200</v>
      </c>
      <c r="C128" t="s">
        <v>1284</v>
      </c>
      <c r="D128">
        <v>49446</v>
      </c>
      <c r="E128">
        <v>2.31</v>
      </c>
      <c r="F128">
        <v>32533.07951</v>
      </c>
      <c r="G128">
        <v>32.533000000000001</v>
      </c>
      <c r="H128">
        <v>0.20499999999999999</v>
      </c>
      <c r="I128">
        <v>2</v>
      </c>
      <c r="J128">
        <v>730</v>
      </c>
      <c r="K128">
        <v>0.26926439600000002</v>
      </c>
      <c r="L128">
        <v>6.2E-2</v>
      </c>
      <c r="M128">
        <v>1</v>
      </c>
      <c r="N128">
        <v>0.99099999999999999</v>
      </c>
      <c r="O128">
        <v>5</v>
      </c>
      <c r="P128">
        <v>5</v>
      </c>
      <c r="S128" s="59" t="s">
        <v>944</v>
      </c>
    </row>
    <row r="129" spans="1:19" x14ac:dyDescent="0.2">
      <c r="A129" t="s">
        <v>1285</v>
      </c>
      <c r="B129">
        <v>9001073300</v>
      </c>
      <c r="C129" t="s">
        <v>1286</v>
      </c>
      <c r="D129">
        <v>34172</v>
      </c>
      <c r="E129">
        <v>2.57</v>
      </c>
      <c r="F129">
        <v>21315.907940000001</v>
      </c>
      <c r="G129">
        <v>21.315999999999999</v>
      </c>
      <c r="H129">
        <v>7.4999999999999997E-2</v>
      </c>
      <c r="I129">
        <v>1</v>
      </c>
      <c r="J129">
        <v>1125</v>
      </c>
      <c r="K129">
        <v>0.63332981300000002</v>
      </c>
      <c r="L129">
        <v>0.94</v>
      </c>
      <c r="M129">
        <v>5</v>
      </c>
      <c r="N129">
        <v>0.84499999999999997</v>
      </c>
      <c r="O129">
        <v>5</v>
      </c>
      <c r="P129">
        <v>5</v>
      </c>
      <c r="S129" s="57" t="s">
        <v>936</v>
      </c>
    </row>
    <row r="130" spans="1:19" x14ac:dyDescent="0.2">
      <c r="A130" t="s">
        <v>1287</v>
      </c>
      <c r="B130">
        <v>9001073400</v>
      </c>
      <c r="C130" t="s">
        <v>1288</v>
      </c>
      <c r="D130">
        <v>52917</v>
      </c>
      <c r="E130">
        <v>2.95</v>
      </c>
      <c r="F130">
        <v>30809.468550000001</v>
      </c>
      <c r="G130">
        <v>30.809000000000001</v>
      </c>
      <c r="H130">
        <v>0.182</v>
      </c>
      <c r="I130">
        <v>1</v>
      </c>
      <c r="J130">
        <v>1497</v>
      </c>
      <c r="K130">
        <v>0.58306750600000001</v>
      </c>
      <c r="L130">
        <v>0.91100000000000003</v>
      </c>
      <c r="M130">
        <v>5</v>
      </c>
      <c r="N130">
        <v>0.47399999999999998</v>
      </c>
      <c r="O130">
        <v>3</v>
      </c>
      <c r="P130">
        <v>4</v>
      </c>
      <c r="S130" s="59" t="s">
        <v>944</v>
      </c>
    </row>
    <row r="131" spans="1:19" x14ac:dyDescent="0.2">
      <c r="A131" t="s">
        <v>1289</v>
      </c>
      <c r="B131">
        <v>9001073500</v>
      </c>
      <c r="C131" t="s">
        <v>1290</v>
      </c>
      <c r="D131">
        <v>38560</v>
      </c>
      <c r="E131">
        <v>2.97</v>
      </c>
      <c r="F131">
        <v>22374.78138</v>
      </c>
      <c r="G131">
        <v>22.375</v>
      </c>
      <c r="H131">
        <v>8.5999999999999993E-2</v>
      </c>
      <c r="I131">
        <v>1</v>
      </c>
      <c r="J131">
        <v>1230</v>
      </c>
      <c r="K131">
        <v>0.65967125000000004</v>
      </c>
      <c r="L131">
        <v>0.94799999999999995</v>
      </c>
      <c r="M131">
        <v>5</v>
      </c>
      <c r="N131">
        <v>0.73499999999999999</v>
      </c>
      <c r="O131">
        <v>4</v>
      </c>
      <c r="P131">
        <v>5</v>
      </c>
      <c r="S131" s="57" t="s">
        <v>936</v>
      </c>
    </row>
    <row r="132" spans="1:19" x14ac:dyDescent="0.2">
      <c r="A132" t="s">
        <v>1291</v>
      </c>
      <c r="B132">
        <v>9001073600</v>
      </c>
      <c r="C132" t="s">
        <v>1292</v>
      </c>
      <c r="D132">
        <v>34450</v>
      </c>
      <c r="E132">
        <v>3.53</v>
      </c>
      <c r="F132">
        <v>18335.884880000001</v>
      </c>
      <c r="G132">
        <v>18.335999999999999</v>
      </c>
      <c r="H132">
        <v>4.1000000000000002E-2</v>
      </c>
      <c r="I132">
        <v>1</v>
      </c>
      <c r="J132">
        <v>1202</v>
      </c>
      <c r="K132">
        <v>0.78665415400000005</v>
      </c>
      <c r="L132">
        <v>0.98199999999999998</v>
      </c>
      <c r="M132">
        <v>5</v>
      </c>
      <c r="N132">
        <v>0.76100000000000001</v>
      </c>
      <c r="O132">
        <v>4</v>
      </c>
      <c r="P132">
        <v>5</v>
      </c>
      <c r="S132" s="59" t="s">
        <v>936</v>
      </c>
    </row>
    <row r="133" spans="1:19" x14ac:dyDescent="0.2">
      <c r="A133" t="s">
        <v>1293</v>
      </c>
      <c r="B133">
        <v>9001073700</v>
      </c>
      <c r="C133" t="s">
        <v>1294</v>
      </c>
      <c r="D133">
        <v>40075</v>
      </c>
      <c r="E133">
        <v>2.66</v>
      </c>
      <c r="F133">
        <v>24571.55903</v>
      </c>
      <c r="G133">
        <v>24.571999999999999</v>
      </c>
      <c r="H133">
        <v>0.106</v>
      </c>
      <c r="I133">
        <v>1</v>
      </c>
      <c r="J133">
        <v>1314</v>
      </c>
      <c r="K133">
        <v>0.64171752299999996</v>
      </c>
      <c r="L133">
        <v>0.94499999999999995</v>
      </c>
      <c r="M133">
        <v>5</v>
      </c>
      <c r="N133">
        <v>0.64</v>
      </c>
      <c r="O133">
        <v>4</v>
      </c>
      <c r="P133">
        <v>5</v>
      </c>
      <c r="S133" s="57" t="s">
        <v>936</v>
      </c>
    </row>
    <row r="134" spans="1:19" x14ac:dyDescent="0.2">
      <c r="A134" t="s">
        <v>1295</v>
      </c>
      <c r="B134">
        <v>9001073800</v>
      </c>
      <c r="C134" t="s">
        <v>1296</v>
      </c>
      <c r="D134">
        <v>21851</v>
      </c>
      <c r="E134">
        <v>2.69</v>
      </c>
      <c r="F134">
        <v>13322.789839999999</v>
      </c>
      <c r="G134">
        <v>13.323</v>
      </c>
      <c r="H134">
        <v>8.0000000000000002E-3</v>
      </c>
      <c r="I134">
        <v>1</v>
      </c>
      <c r="J134">
        <v>1109</v>
      </c>
      <c r="K134">
        <v>0.99888988400000001</v>
      </c>
      <c r="L134">
        <v>0.997</v>
      </c>
      <c r="M134">
        <v>5</v>
      </c>
      <c r="N134">
        <v>0.86499999999999999</v>
      </c>
      <c r="O134">
        <v>5</v>
      </c>
      <c r="P134">
        <v>5</v>
      </c>
      <c r="S134" s="59" t="s">
        <v>936</v>
      </c>
    </row>
    <row r="135" spans="1:19" x14ac:dyDescent="0.2">
      <c r="A135" t="s">
        <v>1297</v>
      </c>
      <c r="B135">
        <v>9001073900</v>
      </c>
      <c r="C135" t="s">
        <v>1298</v>
      </c>
      <c r="D135">
        <v>35163</v>
      </c>
      <c r="E135">
        <v>3.27</v>
      </c>
      <c r="F135">
        <v>19445.183430000001</v>
      </c>
      <c r="G135">
        <v>19.445</v>
      </c>
      <c r="H135">
        <v>5.1999999999999998E-2</v>
      </c>
      <c r="I135">
        <v>1</v>
      </c>
      <c r="J135">
        <v>1256</v>
      </c>
      <c r="K135">
        <v>0.775101971</v>
      </c>
      <c r="L135">
        <v>0.98099999999999998</v>
      </c>
      <c r="M135">
        <v>5</v>
      </c>
      <c r="N135">
        <v>0.70699999999999996</v>
      </c>
      <c r="O135">
        <v>4</v>
      </c>
      <c r="P135">
        <v>5</v>
      </c>
      <c r="S135" s="57" t="s">
        <v>936</v>
      </c>
    </row>
    <row r="136" spans="1:19" x14ac:dyDescent="0.2">
      <c r="A136" t="s">
        <v>1299</v>
      </c>
      <c r="B136">
        <v>9001074000</v>
      </c>
      <c r="C136" t="s">
        <v>1300</v>
      </c>
      <c r="D136">
        <v>39737</v>
      </c>
      <c r="E136">
        <v>3.21</v>
      </c>
      <c r="F136">
        <v>22179.030599999998</v>
      </c>
      <c r="G136">
        <v>22.178999999999998</v>
      </c>
      <c r="H136">
        <v>8.3000000000000004E-2</v>
      </c>
      <c r="I136">
        <v>1</v>
      </c>
      <c r="J136">
        <v>1228</v>
      </c>
      <c r="K136">
        <v>0.66441136499999998</v>
      </c>
      <c r="L136">
        <v>0.95199999999999996</v>
      </c>
      <c r="M136">
        <v>5</v>
      </c>
      <c r="N136">
        <v>0.73899999999999999</v>
      </c>
      <c r="O136">
        <v>4</v>
      </c>
      <c r="P136">
        <v>5</v>
      </c>
      <c r="S136" s="59" t="s">
        <v>936</v>
      </c>
    </row>
    <row r="137" spans="1:19" x14ac:dyDescent="0.2">
      <c r="A137" t="s">
        <v>1301</v>
      </c>
      <c r="B137">
        <v>9001074300</v>
      </c>
      <c r="C137" t="s">
        <v>1302</v>
      </c>
      <c r="D137">
        <v>40637</v>
      </c>
      <c r="E137">
        <v>3.2</v>
      </c>
      <c r="F137">
        <v>22716.7736</v>
      </c>
      <c r="G137">
        <v>22.716999999999999</v>
      </c>
      <c r="H137">
        <v>9.0999999999999998E-2</v>
      </c>
      <c r="I137">
        <v>1</v>
      </c>
      <c r="J137">
        <v>1182</v>
      </c>
      <c r="K137">
        <v>0.62438444199999998</v>
      </c>
      <c r="L137">
        <v>0.93400000000000005</v>
      </c>
      <c r="M137">
        <v>5</v>
      </c>
      <c r="N137">
        <v>0.79200000000000004</v>
      </c>
      <c r="O137">
        <v>4</v>
      </c>
      <c r="P137">
        <v>5</v>
      </c>
      <c r="S137" s="57" t="s">
        <v>936</v>
      </c>
    </row>
    <row r="138" spans="1:19" x14ac:dyDescent="0.2">
      <c r="A138" t="s">
        <v>1303</v>
      </c>
      <c r="B138">
        <v>9001074400</v>
      </c>
      <c r="C138" t="s">
        <v>1304</v>
      </c>
      <c r="D138">
        <v>46716</v>
      </c>
      <c r="E138">
        <v>3.11</v>
      </c>
      <c r="F138">
        <v>26490.213299999999</v>
      </c>
      <c r="G138">
        <v>26.49</v>
      </c>
      <c r="H138">
        <v>0.127</v>
      </c>
      <c r="I138">
        <v>1</v>
      </c>
      <c r="J138">
        <v>1203</v>
      </c>
      <c r="K138">
        <v>0.54495597399999995</v>
      </c>
      <c r="L138">
        <v>0.88400000000000001</v>
      </c>
      <c r="M138">
        <v>5</v>
      </c>
      <c r="N138">
        <v>0.76</v>
      </c>
      <c r="O138">
        <v>4</v>
      </c>
      <c r="P138">
        <v>5</v>
      </c>
      <c r="S138" s="59" t="s">
        <v>936</v>
      </c>
    </row>
    <row r="139" spans="1:19" x14ac:dyDescent="0.2">
      <c r="A139" t="s">
        <v>1305</v>
      </c>
      <c r="B139">
        <v>9001080100</v>
      </c>
      <c r="C139" t="s">
        <v>1306</v>
      </c>
      <c r="D139">
        <v>72464</v>
      </c>
      <c r="E139">
        <v>2.97</v>
      </c>
      <c r="F139">
        <v>42047.877540000001</v>
      </c>
      <c r="G139">
        <v>42.048000000000002</v>
      </c>
      <c r="H139">
        <v>0.32300000000000001</v>
      </c>
      <c r="I139">
        <v>2</v>
      </c>
      <c r="J139">
        <v>1368</v>
      </c>
      <c r="K139">
        <v>0.39041209599999999</v>
      </c>
      <c r="L139">
        <v>0.66500000000000004</v>
      </c>
      <c r="M139">
        <v>4</v>
      </c>
      <c r="N139">
        <v>0.58899999999999997</v>
      </c>
      <c r="O139">
        <v>3</v>
      </c>
      <c r="P139">
        <v>4</v>
      </c>
      <c r="S139" s="57" t="s">
        <v>944</v>
      </c>
    </row>
    <row r="140" spans="1:19" x14ac:dyDescent="0.2">
      <c r="A140" t="s">
        <v>1307</v>
      </c>
      <c r="B140">
        <v>9001080200</v>
      </c>
      <c r="C140" t="s">
        <v>1308</v>
      </c>
      <c r="D140">
        <v>70642</v>
      </c>
      <c r="E140">
        <v>2.63</v>
      </c>
      <c r="F140">
        <v>43559.723279999998</v>
      </c>
      <c r="G140">
        <v>43.56</v>
      </c>
      <c r="H140">
        <v>0.34300000000000003</v>
      </c>
      <c r="I140">
        <v>2</v>
      </c>
      <c r="J140">
        <v>1573</v>
      </c>
      <c r="K140">
        <v>0.43333608600000001</v>
      </c>
      <c r="L140">
        <v>0.75600000000000001</v>
      </c>
      <c r="M140">
        <v>4</v>
      </c>
      <c r="N140">
        <v>0.41199999999999998</v>
      </c>
      <c r="O140">
        <v>3</v>
      </c>
      <c r="P140">
        <v>4</v>
      </c>
      <c r="S140" s="59" t="s">
        <v>944</v>
      </c>
    </row>
    <row r="141" spans="1:19" x14ac:dyDescent="0.2">
      <c r="A141" t="s">
        <v>1309</v>
      </c>
      <c r="B141">
        <v>9001080400</v>
      </c>
      <c r="C141" t="s">
        <v>1310</v>
      </c>
      <c r="D141">
        <v>52352</v>
      </c>
      <c r="E141">
        <v>2.87</v>
      </c>
      <c r="F141">
        <v>30902.408510000001</v>
      </c>
      <c r="G141">
        <v>30.902000000000001</v>
      </c>
      <c r="H141">
        <v>0.184</v>
      </c>
      <c r="I141">
        <v>1</v>
      </c>
      <c r="J141">
        <v>1418</v>
      </c>
      <c r="K141">
        <v>0.55063669199999998</v>
      </c>
      <c r="L141">
        <v>0.88600000000000001</v>
      </c>
      <c r="M141">
        <v>5</v>
      </c>
      <c r="N141">
        <v>0.55000000000000004</v>
      </c>
      <c r="O141">
        <v>3</v>
      </c>
      <c r="P141">
        <v>4</v>
      </c>
      <c r="S141" s="57" t="s">
        <v>944</v>
      </c>
    </row>
    <row r="142" spans="1:19" x14ac:dyDescent="0.2">
      <c r="A142" t="s">
        <v>1311</v>
      </c>
      <c r="B142">
        <v>9001080500</v>
      </c>
      <c r="C142" t="s">
        <v>1312</v>
      </c>
      <c r="D142">
        <v>93558</v>
      </c>
      <c r="E142">
        <v>2.3199999999999998</v>
      </c>
      <c r="F142">
        <v>61423.836230000001</v>
      </c>
      <c r="G142">
        <v>61.423999999999999</v>
      </c>
      <c r="H142">
        <v>0.68</v>
      </c>
      <c r="I142">
        <v>4</v>
      </c>
      <c r="J142">
        <v>1831</v>
      </c>
      <c r="K142">
        <v>0.35771129499999998</v>
      </c>
      <c r="L142">
        <v>0.52100000000000002</v>
      </c>
      <c r="M142">
        <v>3</v>
      </c>
      <c r="N142">
        <v>0.24299999999999999</v>
      </c>
      <c r="O142">
        <v>2</v>
      </c>
      <c r="P142">
        <v>2</v>
      </c>
      <c r="S142" s="59" t="s">
        <v>944</v>
      </c>
    </row>
    <row r="143" spans="1:19" x14ac:dyDescent="0.2">
      <c r="A143" t="s">
        <v>1313</v>
      </c>
      <c r="B143">
        <v>9001080600</v>
      </c>
      <c r="C143" t="s">
        <v>1314</v>
      </c>
      <c r="D143">
        <v>72188</v>
      </c>
      <c r="E143">
        <v>2.25</v>
      </c>
      <c r="F143">
        <v>48125.333330000001</v>
      </c>
      <c r="G143">
        <v>48.125</v>
      </c>
      <c r="H143">
        <v>0.434</v>
      </c>
      <c r="I143">
        <v>3</v>
      </c>
      <c r="J143">
        <v>1715</v>
      </c>
      <c r="K143">
        <v>0.427633402</v>
      </c>
      <c r="L143">
        <v>0.74399999999999999</v>
      </c>
      <c r="M143">
        <v>4</v>
      </c>
      <c r="N143">
        <v>0.30199999999999999</v>
      </c>
      <c r="O143">
        <v>2</v>
      </c>
      <c r="P143">
        <v>3</v>
      </c>
      <c r="S143" s="57" t="s">
        <v>944</v>
      </c>
    </row>
    <row r="144" spans="1:19" x14ac:dyDescent="0.2">
      <c r="A144" t="s">
        <v>1315</v>
      </c>
      <c r="B144">
        <v>9001080700</v>
      </c>
      <c r="C144" t="s">
        <v>1316</v>
      </c>
      <c r="D144">
        <v>73426</v>
      </c>
      <c r="E144">
        <v>2.34</v>
      </c>
      <c r="F144">
        <v>48000.077799999999</v>
      </c>
      <c r="G144">
        <v>48</v>
      </c>
      <c r="H144">
        <v>0.43099999999999999</v>
      </c>
      <c r="I144">
        <v>3</v>
      </c>
      <c r="J144">
        <v>1549</v>
      </c>
      <c r="K144">
        <v>0.38724937199999998</v>
      </c>
      <c r="L144">
        <v>0.65200000000000002</v>
      </c>
      <c r="M144">
        <v>4</v>
      </c>
      <c r="N144">
        <v>0.43</v>
      </c>
      <c r="O144">
        <v>3</v>
      </c>
      <c r="P144">
        <v>3</v>
      </c>
      <c r="S144" s="59" t="s">
        <v>944</v>
      </c>
    </row>
    <row r="145" spans="1:19" x14ac:dyDescent="0.2">
      <c r="A145" t="s">
        <v>1317</v>
      </c>
      <c r="B145">
        <v>9001080800</v>
      </c>
      <c r="C145" t="s">
        <v>1318</v>
      </c>
      <c r="D145">
        <v>90568</v>
      </c>
      <c r="E145">
        <v>2.64</v>
      </c>
      <c r="F145">
        <v>55740.750780000002</v>
      </c>
      <c r="G145">
        <v>55.741</v>
      </c>
      <c r="H145">
        <v>0.57399999999999995</v>
      </c>
      <c r="I145">
        <v>3</v>
      </c>
      <c r="J145">
        <v>1958</v>
      </c>
      <c r="K145">
        <v>0.42152284800000001</v>
      </c>
      <c r="L145">
        <v>0.72799999999999998</v>
      </c>
      <c r="M145">
        <v>4</v>
      </c>
      <c r="N145">
        <v>0.18099999999999999</v>
      </c>
      <c r="O145">
        <v>1</v>
      </c>
      <c r="P145">
        <v>2</v>
      </c>
      <c r="S145" s="57" t="s">
        <v>944</v>
      </c>
    </row>
    <row r="146" spans="1:19" x14ac:dyDescent="0.2">
      <c r="A146" t="s">
        <v>1319</v>
      </c>
      <c r="B146">
        <v>9001080900</v>
      </c>
      <c r="C146" t="s">
        <v>1320</v>
      </c>
      <c r="D146">
        <v>90527</v>
      </c>
      <c r="E146">
        <v>2.76</v>
      </c>
      <c r="F146">
        <v>54490.850610000001</v>
      </c>
      <c r="G146">
        <v>54.491</v>
      </c>
      <c r="H146">
        <v>0.55100000000000005</v>
      </c>
      <c r="I146">
        <v>3</v>
      </c>
      <c r="J146">
        <v>1773</v>
      </c>
      <c r="K146">
        <v>0.39045086899999998</v>
      </c>
      <c r="L146">
        <v>0.66600000000000004</v>
      </c>
      <c r="M146">
        <v>4</v>
      </c>
      <c r="N146">
        <v>0.26700000000000002</v>
      </c>
      <c r="O146">
        <v>2</v>
      </c>
      <c r="P146">
        <v>3</v>
      </c>
      <c r="S146" s="59" t="s">
        <v>944</v>
      </c>
    </row>
    <row r="147" spans="1:19" x14ac:dyDescent="0.2">
      <c r="A147" t="s">
        <v>1321</v>
      </c>
      <c r="B147">
        <v>9001081000</v>
      </c>
      <c r="C147" t="s">
        <v>1322</v>
      </c>
      <c r="D147">
        <v>65967</v>
      </c>
      <c r="E147">
        <v>2.52</v>
      </c>
      <c r="F147">
        <v>41555.303979999997</v>
      </c>
      <c r="G147">
        <v>41.555</v>
      </c>
      <c r="H147">
        <v>0.311</v>
      </c>
      <c r="I147">
        <v>2</v>
      </c>
      <c r="J147">
        <v>1534</v>
      </c>
      <c r="K147">
        <v>0.44297594400000001</v>
      </c>
      <c r="L147">
        <v>0.77600000000000002</v>
      </c>
      <c r="M147">
        <v>4</v>
      </c>
      <c r="N147">
        <v>0.44</v>
      </c>
      <c r="O147">
        <v>3</v>
      </c>
      <c r="P147">
        <v>4</v>
      </c>
      <c r="S147" s="57" t="s">
        <v>944</v>
      </c>
    </row>
    <row r="148" spans="1:19" x14ac:dyDescent="0.2">
      <c r="A148" t="s">
        <v>1323</v>
      </c>
      <c r="B148">
        <v>9001081100</v>
      </c>
      <c r="C148" t="s">
        <v>1324</v>
      </c>
      <c r="D148">
        <v>100156</v>
      </c>
      <c r="E148">
        <v>2.72</v>
      </c>
      <c r="F148">
        <v>60728.495150000002</v>
      </c>
      <c r="G148">
        <v>60.728000000000002</v>
      </c>
      <c r="H148">
        <v>0.66400000000000003</v>
      </c>
      <c r="I148">
        <v>4</v>
      </c>
      <c r="J148">
        <v>1861</v>
      </c>
      <c r="K148">
        <v>0.367735113</v>
      </c>
      <c r="L148">
        <v>0.58099999999999996</v>
      </c>
      <c r="M148">
        <v>3</v>
      </c>
      <c r="N148">
        <v>0.22600000000000001</v>
      </c>
      <c r="O148">
        <v>2</v>
      </c>
      <c r="P148">
        <v>2</v>
      </c>
      <c r="S148" s="59" t="s">
        <v>944</v>
      </c>
    </row>
    <row r="149" spans="1:19" x14ac:dyDescent="0.2">
      <c r="A149" t="s">
        <v>1325</v>
      </c>
      <c r="B149">
        <v>9001081200</v>
      </c>
      <c r="C149" t="s">
        <v>1326</v>
      </c>
      <c r="D149">
        <v>113814</v>
      </c>
      <c r="E149">
        <v>2.69</v>
      </c>
      <c r="F149">
        <v>69393.620540000004</v>
      </c>
      <c r="G149">
        <v>69.394000000000005</v>
      </c>
      <c r="H149">
        <v>0.79300000000000004</v>
      </c>
      <c r="I149">
        <v>4</v>
      </c>
      <c r="J149">
        <v>2062</v>
      </c>
      <c r="K149">
        <v>0.35657456399999998</v>
      </c>
      <c r="L149">
        <v>0.51800000000000002</v>
      </c>
      <c r="M149">
        <v>3</v>
      </c>
      <c r="N149">
        <v>0.14899999999999999</v>
      </c>
      <c r="O149">
        <v>1</v>
      </c>
      <c r="P149">
        <v>2</v>
      </c>
      <c r="S149" s="57" t="s">
        <v>944</v>
      </c>
    </row>
    <row r="150" spans="1:19" x14ac:dyDescent="0.2">
      <c r="A150" t="s">
        <v>1327</v>
      </c>
      <c r="B150">
        <v>9001081300</v>
      </c>
      <c r="C150" t="s">
        <v>1328</v>
      </c>
      <c r="D150">
        <v>71660</v>
      </c>
      <c r="E150">
        <v>2.23</v>
      </c>
      <c r="F150">
        <v>47987.085330000002</v>
      </c>
      <c r="G150">
        <v>47.987000000000002</v>
      </c>
      <c r="H150">
        <v>0.43</v>
      </c>
      <c r="I150">
        <v>3</v>
      </c>
      <c r="J150">
        <v>1859</v>
      </c>
      <c r="K150">
        <v>0.46487507700000003</v>
      </c>
      <c r="L150">
        <v>0.80500000000000005</v>
      </c>
      <c r="M150">
        <v>5</v>
      </c>
      <c r="N150">
        <v>0.22800000000000001</v>
      </c>
      <c r="O150">
        <v>2</v>
      </c>
      <c r="P150">
        <v>3</v>
      </c>
      <c r="S150" s="59" t="s">
        <v>944</v>
      </c>
    </row>
    <row r="151" spans="1:19" x14ac:dyDescent="0.2">
      <c r="A151" t="s">
        <v>1329</v>
      </c>
      <c r="B151">
        <v>9001090100</v>
      </c>
      <c r="C151" t="s">
        <v>1330</v>
      </c>
      <c r="D151">
        <v>145125</v>
      </c>
      <c r="E151">
        <v>2.84</v>
      </c>
      <c r="F151">
        <v>86115.844070000006</v>
      </c>
      <c r="G151">
        <v>86.116</v>
      </c>
      <c r="H151">
        <v>0.91200000000000003</v>
      </c>
      <c r="I151">
        <v>5</v>
      </c>
      <c r="J151">
        <v>2718</v>
      </c>
      <c r="K151">
        <v>0.378745634</v>
      </c>
      <c r="L151">
        <v>0.627</v>
      </c>
      <c r="M151">
        <v>4</v>
      </c>
      <c r="N151">
        <v>5.8000000000000003E-2</v>
      </c>
      <c r="O151">
        <v>1</v>
      </c>
      <c r="P151">
        <v>1</v>
      </c>
      <c r="S151" s="57" t="s">
        <v>944</v>
      </c>
    </row>
    <row r="152" spans="1:19" x14ac:dyDescent="0.2">
      <c r="A152" t="s">
        <v>1331</v>
      </c>
      <c r="B152">
        <v>9001090200</v>
      </c>
      <c r="C152" t="s">
        <v>1332</v>
      </c>
      <c r="D152">
        <v>113636</v>
      </c>
      <c r="E152">
        <v>2.85</v>
      </c>
      <c r="F152">
        <v>67312.157070000001</v>
      </c>
      <c r="G152">
        <v>67.311999999999998</v>
      </c>
      <c r="H152">
        <v>0.76900000000000002</v>
      </c>
      <c r="I152">
        <v>4</v>
      </c>
      <c r="J152">
        <v>2439</v>
      </c>
      <c r="K152">
        <v>0.43481001499999999</v>
      </c>
      <c r="L152">
        <v>0.75900000000000001</v>
      </c>
      <c r="M152">
        <v>4</v>
      </c>
      <c r="N152">
        <v>8.3000000000000004E-2</v>
      </c>
      <c r="O152">
        <v>1</v>
      </c>
      <c r="P152">
        <v>2</v>
      </c>
      <c r="S152" s="59" t="s">
        <v>944</v>
      </c>
    </row>
    <row r="153" spans="1:19" x14ac:dyDescent="0.2">
      <c r="A153" t="s">
        <v>1333</v>
      </c>
      <c r="B153">
        <v>9001090300</v>
      </c>
      <c r="C153" t="s">
        <v>1334</v>
      </c>
      <c r="D153">
        <v>118819</v>
      </c>
      <c r="E153">
        <v>2.97</v>
      </c>
      <c r="F153">
        <v>68945.776679999995</v>
      </c>
      <c r="G153">
        <v>68.945999999999998</v>
      </c>
      <c r="H153">
        <v>0.79200000000000004</v>
      </c>
      <c r="I153">
        <v>4</v>
      </c>
      <c r="J153">
        <v>2194</v>
      </c>
      <c r="K153">
        <v>0.38186530400000002</v>
      </c>
      <c r="L153">
        <v>0.63700000000000001</v>
      </c>
      <c r="M153">
        <v>4</v>
      </c>
      <c r="N153">
        <v>0.129</v>
      </c>
      <c r="O153">
        <v>1</v>
      </c>
      <c r="P153">
        <v>2</v>
      </c>
      <c r="S153" s="57" t="s">
        <v>944</v>
      </c>
    </row>
    <row r="154" spans="1:19" x14ac:dyDescent="0.2">
      <c r="A154" t="s">
        <v>1335</v>
      </c>
      <c r="B154">
        <v>9001090400</v>
      </c>
      <c r="C154" t="s">
        <v>1336</v>
      </c>
      <c r="D154">
        <v>121802</v>
      </c>
      <c r="E154">
        <v>2.97</v>
      </c>
      <c r="F154">
        <v>70676.688840000003</v>
      </c>
      <c r="G154">
        <v>70.677000000000007</v>
      </c>
      <c r="H154">
        <v>0.81</v>
      </c>
      <c r="I154">
        <v>5</v>
      </c>
      <c r="J154">
        <v>2161</v>
      </c>
      <c r="K154">
        <v>0.366910228</v>
      </c>
      <c r="L154">
        <v>0.57099999999999995</v>
      </c>
      <c r="M154">
        <v>3</v>
      </c>
      <c r="N154">
        <v>0.13700000000000001</v>
      </c>
      <c r="O154">
        <v>1</v>
      </c>
      <c r="P154">
        <v>1</v>
      </c>
      <c r="S154" s="59" t="s">
        <v>944</v>
      </c>
    </row>
    <row r="155" spans="1:19" x14ac:dyDescent="0.2">
      <c r="A155" t="s">
        <v>1337</v>
      </c>
      <c r="B155">
        <v>9001090500</v>
      </c>
      <c r="C155" t="s">
        <v>1338</v>
      </c>
      <c r="D155">
        <v>128667</v>
      </c>
      <c r="E155">
        <v>2.99</v>
      </c>
      <c r="F155">
        <v>74410.047349999993</v>
      </c>
      <c r="G155">
        <v>74.41</v>
      </c>
      <c r="H155">
        <v>0.84399999999999997</v>
      </c>
      <c r="I155">
        <v>5</v>
      </c>
      <c r="J155">
        <v>2371</v>
      </c>
      <c r="K155">
        <v>0.38236771800000002</v>
      </c>
      <c r="L155">
        <v>0.63900000000000001</v>
      </c>
      <c r="M155">
        <v>4</v>
      </c>
      <c r="N155">
        <v>9.2999999999999999E-2</v>
      </c>
      <c r="O155">
        <v>1</v>
      </c>
      <c r="P155">
        <v>1</v>
      </c>
      <c r="S155" s="57" t="s">
        <v>944</v>
      </c>
    </row>
    <row r="156" spans="1:19" x14ac:dyDescent="0.2">
      <c r="A156" t="s">
        <v>1339</v>
      </c>
      <c r="B156">
        <v>9001090600</v>
      </c>
      <c r="C156" t="s">
        <v>1340</v>
      </c>
      <c r="D156">
        <v>100357</v>
      </c>
      <c r="E156">
        <v>2.68</v>
      </c>
      <c r="F156">
        <v>61302.79464</v>
      </c>
      <c r="G156">
        <v>61.302999999999997</v>
      </c>
      <c r="H156">
        <v>0.67800000000000005</v>
      </c>
      <c r="I156">
        <v>4</v>
      </c>
      <c r="J156">
        <v>2200</v>
      </c>
      <c r="K156">
        <v>0.43064920899999998</v>
      </c>
      <c r="L156">
        <v>0.753</v>
      </c>
      <c r="M156">
        <v>4</v>
      </c>
      <c r="N156">
        <v>0.127</v>
      </c>
      <c r="O156">
        <v>1</v>
      </c>
      <c r="P156">
        <v>2</v>
      </c>
      <c r="S156" s="59" t="s">
        <v>944</v>
      </c>
    </row>
    <row r="157" spans="1:19" x14ac:dyDescent="0.2">
      <c r="A157" t="s">
        <v>1341</v>
      </c>
      <c r="B157">
        <v>9001090700</v>
      </c>
      <c r="C157" t="s">
        <v>1342</v>
      </c>
      <c r="D157">
        <v>163315</v>
      </c>
      <c r="E157">
        <v>3.16</v>
      </c>
      <c r="F157">
        <v>91871.865269999995</v>
      </c>
      <c r="G157">
        <v>91.872</v>
      </c>
      <c r="H157">
        <v>0.92700000000000005</v>
      </c>
      <c r="I157">
        <v>5</v>
      </c>
      <c r="J157">
        <v>2544</v>
      </c>
      <c r="K157">
        <v>0.33228888899999998</v>
      </c>
      <c r="L157">
        <v>0.377</v>
      </c>
      <c r="M157">
        <v>2</v>
      </c>
      <c r="N157">
        <v>7.1999999999999995E-2</v>
      </c>
      <c r="O157">
        <v>1</v>
      </c>
      <c r="P157">
        <v>1</v>
      </c>
      <c r="S157" s="57" t="s">
        <v>944</v>
      </c>
    </row>
    <row r="158" spans="1:19" x14ac:dyDescent="0.2">
      <c r="A158" t="s">
        <v>1343</v>
      </c>
      <c r="B158">
        <v>9001100100</v>
      </c>
      <c r="C158" t="s">
        <v>1344</v>
      </c>
      <c r="D158">
        <v>128056</v>
      </c>
      <c r="E158">
        <v>2.87</v>
      </c>
      <c r="F158">
        <v>75589.066779999994</v>
      </c>
      <c r="G158">
        <v>75.588999999999999</v>
      </c>
      <c r="H158">
        <v>0.85399999999999998</v>
      </c>
      <c r="I158">
        <v>5</v>
      </c>
      <c r="J158">
        <v>2056</v>
      </c>
      <c r="K158">
        <v>0.32639641000000003</v>
      </c>
      <c r="L158">
        <v>0.33400000000000002</v>
      </c>
      <c r="M158">
        <v>2</v>
      </c>
      <c r="N158">
        <v>0.15</v>
      </c>
      <c r="O158">
        <v>1</v>
      </c>
      <c r="P158">
        <v>1</v>
      </c>
      <c r="S158" s="59" t="s">
        <v>944</v>
      </c>
    </row>
    <row r="159" spans="1:19" x14ac:dyDescent="0.2">
      <c r="A159" t="s">
        <v>1345</v>
      </c>
      <c r="B159">
        <v>9001100200</v>
      </c>
      <c r="C159" t="s">
        <v>1346</v>
      </c>
      <c r="D159">
        <v>111793</v>
      </c>
      <c r="E159">
        <v>2.92</v>
      </c>
      <c r="F159">
        <v>65421.904840000003</v>
      </c>
      <c r="G159">
        <v>65.421999999999997</v>
      </c>
      <c r="H159">
        <v>0.74299999999999999</v>
      </c>
      <c r="I159">
        <v>4</v>
      </c>
      <c r="J159">
        <v>2304</v>
      </c>
      <c r="K159">
        <v>0.42261074599999998</v>
      </c>
      <c r="L159">
        <v>0.73599999999999999</v>
      </c>
      <c r="M159">
        <v>4</v>
      </c>
      <c r="N159">
        <v>0.112</v>
      </c>
      <c r="O159">
        <v>1</v>
      </c>
      <c r="P159">
        <v>2</v>
      </c>
      <c r="S159" s="57" t="s">
        <v>944</v>
      </c>
    </row>
    <row r="160" spans="1:19" x14ac:dyDescent="0.2">
      <c r="A160" t="s">
        <v>1347</v>
      </c>
      <c r="B160">
        <v>9001100300</v>
      </c>
      <c r="C160" t="s">
        <v>1348</v>
      </c>
      <c r="D160">
        <v>122097</v>
      </c>
      <c r="E160">
        <v>2.96</v>
      </c>
      <c r="F160">
        <v>70967.439740000002</v>
      </c>
      <c r="G160">
        <v>70.966999999999999</v>
      </c>
      <c r="H160">
        <v>0.81599999999999995</v>
      </c>
      <c r="I160">
        <v>5</v>
      </c>
      <c r="J160">
        <v>2348</v>
      </c>
      <c r="K160">
        <v>0.39702714500000003</v>
      </c>
      <c r="L160">
        <v>0.68</v>
      </c>
      <c r="M160">
        <v>4</v>
      </c>
      <c r="N160">
        <v>0.10100000000000001</v>
      </c>
      <c r="O160">
        <v>1</v>
      </c>
      <c r="P160">
        <v>1</v>
      </c>
      <c r="S160" s="59" t="s">
        <v>944</v>
      </c>
    </row>
    <row r="161" spans="1:19" x14ac:dyDescent="0.2">
      <c r="A161" t="s">
        <v>1349</v>
      </c>
      <c r="B161">
        <v>9001105100</v>
      </c>
      <c r="C161" t="s">
        <v>1350</v>
      </c>
      <c r="D161">
        <v>143182</v>
      </c>
      <c r="E161">
        <v>2.64</v>
      </c>
      <c r="F161">
        <v>88122.429310000007</v>
      </c>
      <c r="G161">
        <v>88.122</v>
      </c>
      <c r="H161">
        <v>0.91800000000000004</v>
      </c>
      <c r="I161">
        <v>5</v>
      </c>
      <c r="J161">
        <v>2775</v>
      </c>
      <c r="K161">
        <v>0.377883364</v>
      </c>
      <c r="L161">
        <v>0.624</v>
      </c>
      <c r="M161">
        <v>4</v>
      </c>
      <c r="N161">
        <v>5.6000000000000001E-2</v>
      </c>
      <c r="O161">
        <v>1</v>
      </c>
      <c r="P161">
        <v>1</v>
      </c>
      <c r="S161" s="57" t="s">
        <v>944</v>
      </c>
    </row>
    <row r="162" spans="1:19" x14ac:dyDescent="0.2">
      <c r="A162" t="s">
        <v>1351</v>
      </c>
      <c r="B162">
        <v>9001105200</v>
      </c>
      <c r="C162" t="s">
        <v>1352</v>
      </c>
      <c r="D162">
        <v>159338</v>
      </c>
      <c r="E162">
        <v>2.75</v>
      </c>
      <c r="F162">
        <v>96084.429239999998</v>
      </c>
      <c r="G162">
        <v>96.084000000000003</v>
      </c>
      <c r="H162">
        <v>0.93799999999999994</v>
      </c>
      <c r="I162">
        <v>5</v>
      </c>
      <c r="J162">
        <v>2946</v>
      </c>
      <c r="K162">
        <v>0.367926419</v>
      </c>
      <c r="L162">
        <v>0.58199999999999996</v>
      </c>
      <c r="M162">
        <v>3</v>
      </c>
      <c r="N162">
        <v>4.7E-2</v>
      </c>
      <c r="O162">
        <v>1</v>
      </c>
      <c r="P162">
        <v>1</v>
      </c>
      <c r="S162" s="59" t="s">
        <v>944</v>
      </c>
    </row>
    <row r="163" spans="1:19" x14ac:dyDescent="0.2">
      <c r="A163" t="s">
        <v>1353</v>
      </c>
      <c r="B163">
        <v>9001110100</v>
      </c>
      <c r="C163" t="s">
        <v>1354</v>
      </c>
      <c r="D163">
        <v>58875</v>
      </c>
      <c r="E163">
        <v>2.13</v>
      </c>
      <c r="F163">
        <v>40340.485289999997</v>
      </c>
      <c r="G163">
        <v>40.340000000000003</v>
      </c>
      <c r="H163">
        <v>0.3</v>
      </c>
      <c r="I163">
        <v>2</v>
      </c>
      <c r="J163">
        <v>1410</v>
      </c>
      <c r="K163">
        <v>0.41942975799999999</v>
      </c>
      <c r="L163">
        <v>0.72</v>
      </c>
      <c r="M163">
        <v>4</v>
      </c>
      <c r="N163">
        <v>0.55400000000000005</v>
      </c>
      <c r="O163">
        <v>3</v>
      </c>
      <c r="P163">
        <v>4</v>
      </c>
      <c r="S163" s="57" t="s">
        <v>944</v>
      </c>
    </row>
    <row r="164" spans="1:19" x14ac:dyDescent="0.2">
      <c r="A164" t="s">
        <v>1355</v>
      </c>
      <c r="B164">
        <v>9001110201</v>
      </c>
      <c r="C164" t="s">
        <v>1356</v>
      </c>
      <c r="D164">
        <v>90563</v>
      </c>
      <c r="E164">
        <v>2.59</v>
      </c>
      <c r="F164">
        <v>56273.110119999998</v>
      </c>
      <c r="G164">
        <v>56.273000000000003</v>
      </c>
      <c r="H164">
        <v>0.58499999999999996</v>
      </c>
      <c r="I164">
        <v>3</v>
      </c>
      <c r="J164">
        <v>1509</v>
      </c>
      <c r="K164">
        <v>0.32178779499999999</v>
      </c>
      <c r="L164">
        <v>0.312</v>
      </c>
      <c r="M164">
        <v>2</v>
      </c>
      <c r="N164">
        <v>0.46300000000000002</v>
      </c>
      <c r="O164">
        <v>3</v>
      </c>
      <c r="P164">
        <v>3</v>
      </c>
      <c r="S164" s="59" t="s">
        <v>944</v>
      </c>
    </row>
    <row r="165" spans="1:19" x14ac:dyDescent="0.2">
      <c r="A165" t="s">
        <v>1357</v>
      </c>
      <c r="B165">
        <v>9001110202</v>
      </c>
      <c r="C165" t="s">
        <v>1358</v>
      </c>
      <c r="D165">
        <v>78958</v>
      </c>
      <c r="E165">
        <v>2.2999999999999998</v>
      </c>
      <c r="F165">
        <v>52063.363420000001</v>
      </c>
      <c r="G165">
        <v>52.063000000000002</v>
      </c>
      <c r="H165">
        <v>0.503</v>
      </c>
      <c r="I165">
        <v>3</v>
      </c>
      <c r="J165">
        <v>1494</v>
      </c>
      <c r="K165">
        <v>0.34434963099999999</v>
      </c>
      <c r="L165">
        <v>0.44600000000000001</v>
      </c>
      <c r="M165">
        <v>3</v>
      </c>
      <c r="N165">
        <v>0.48099999999999998</v>
      </c>
      <c r="O165">
        <v>3</v>
      </c>
      <c r="P165">
        <v>3</v>
      </c>
      <c r="S165" s="57" t="s">
        <v>944</v>
      </c>
    </row>
    <row r="166" spans="1:19" x14ac:dyDescent="0.2">
      <c r="A166" t="s">
        <v>1359</v>
      </c>
      <c r="B166">
        <v>9001110301</v>
      </c>
      <c r="C166" t="s">
        <v>1360</v>
      </c>
      <c r="D166">
        <v>80871</v>
      </c>
      <c r="E166">
        <v>2.27</v>
      </c>
      <c r="F166">
        <v>53675.967929999999</v>
      </c>
      <c r="G166">
        <v>53.676000000000002</v>
      </c>
      <c r="H166">
        <v>0.53500000000000003</v>
      </c>
      <c r="I166">
        <v>3</v>
      </c>
      <c r="J166">
        <v>1526</v>
      </c>
      <c r="K166">
        <v>0.34115826300000002</v>
      </c>
      <c r="L166">
        <v>0.42499999999999999</v>
      </c>
      <c r="M166">
        <v>3</v>
      </c>
      <c r="N166">
        <v>0.44700000000000001</v>
      </c>
      <c r="O166">
        <v>3</v>
      </c>
      <c r="P166">
        <v>3</v>
      </c>
      <c r="S166" s="59" t="s">
        <v>944</v>
      </c>
    </row>
    <row r="167" spans="1:19" x14ac:dyDescent="0.2">
      <c r="A167" t="s">
        <v>1361</v>
      </c>
      <c r="B167">
        <v>9001110302</v>
      </c>
      <c r="C167" t="s">
        <v>1362</v>
      </c>
      <c r="D167">
        <v>104432</v>
      </c>
      <c r="E167">
        <v>2.5099999999999998</v>
      </c>
      <c r="F167">
        <v>65916.893899999995</v>
      </c>
      <c r="G167">
        <v>65.917000000000002</v>
      </c>
      <c r="H167">
        <v>0.75</v>
      </c>
      <c r="I167">
        <v>4</v>
      </c>
      <c r="J167">
        <v>1895</v>
      </c>
      <c r="K167">
        <v>0.34497984700000001</v>
      </c>
      <c r="L167">
        <v>0.45200000000000001</v>
      </c>
      <c r="M167">
        <v>3</v>
      </c>
      <c r="N167">
        <v>0.21299999999999999</v>
      </c>
      <c r="O167">
        <v>2</v>
      </c>
      <c r="P167">
        <v>2</v>
      </c>
      <c r="S167" s="57" t="s">
        <v>944</v>
      </c>
    </row>
    <row r="168" spans="1:19" x14ac:dyDescent="0.2">
      <c r="A168" t="s">
        <v>1363</v>
      </c>
      <c r="B168">
        <v>9001110400</v>
      </c>
      <c r="C168" t="s">
        <v>1364</v>
      </c>
      <c r="D168">
        <v>108636</v>
      </c>
      <c r="E168">
        <v>2.73</v>
      </c>
      <c r="F168">
        <v>65749.498240000001</v>
      </c>
      <c r="G168">
        <v>65.748999999999995</v>
      </c>
      <c r="H168">
        <v>0.749</v>
      </c>
      <c r="I168">
        <v>4</v>
      </c>
      <c r="J168">
        <v>1867</v>
      </c>
      <c r="K168">
        <v>0.34074784800000002</v>
      </c>
      <c r="L168">
        <v>0.42</v>
      </c>
      <c r="M168">
        <v>3</v>
      </c>
      <c r="N168">
        <v>0.223</v>
      </c>
      <c r="O168">
        <v>2</v>
      </c>
      <c r="P168">
        <v>2</v>
      </c>
      <c r="S168" s="59" t="s">
        <v>944</v>
      </c>
    </row>
    <row r="169" spans="1:19" x14ac:dyDescent="0.2">
      <c r="A169" t="s">
        <v>1365</v>
      </c>
      <c r="B169">
        <v>9001110500</v>
      </c>
      <c r="C169" t="s">
        <v>1366</v>
      </c>
      <c r="D169">
        <v>110365</v>
      </c>
      <c r="E169">
        <v>2.73</v>
      </c>
      <c r="F169">
        <v>66795.93664</v>
      </c>
      <c r="G169">
        <v>66.796000000000006</v>
      </c>
      <c r="H169">
        <v>0.76500000000000001</v>
      </c>
      <c r="I169">
        <v>4</v>
      </c>
      <c r="J169">
        <v>1621</v>
      </c>
      <c r="K169">
        <v>0.29121531899999997</v>
      </c>
      <c r="L169">
        <v>0.122</v>
      </c>
      <c r="M169">
        <v>1</v>
      </c>
      <c r="N169">
        <v>0.36799999999999999</v>
      </c>
      <c r="O169">
        <v>2</v>
      </c>
      <c r="P169">
        <v>2</v>
      </c>
      <c r="S169" s="57" t="s">
        <v>944</v>
      </c>
    </row>
    <row r="170" spans="1:19" x14ac:dyDescent="0.2">
      <c r="A170" t="s">
        <v>1367</v>
      </c>
      <c r="B170">
        <v>9001110600</v>
      </c>
      <c r="C170" t="s">
        <v>1368</v>
      </c>
      <c r="D170">
        <v>118906</v>
      </c>
      <c r="E170">
        <v>2.72</v>
      </c>
      <c r="F170">
        <v>72097.352580000006</v>
      </c>
      <c r="G170">
        <v>72.096999999999994</v>
      </c>
      <c r="H170">
        <v>0.82599999999999996</v>
      </c>
      <c r="I170">
        <v>5</v>
      </c>
      <c r="J170">
        <v>1759</v>
      </c>
      <c r="K170">
        <v>0.29277080599999999</v>
      </c>
      <c r="L170">
        <v>0.13300000000000001</v>
      </c>
      <c r="M170">
        <v>1</v>
      </c>
      <c r="N170">
        <v>0.27900000000000003</v>
      </c>
      <c r="O170">
        <v>2</v>
      </c>
      <c r="P170">
        <v>2</v>
      </c>
      <c r="S170" s="59" t="s">
        <v>944</v>
      </c>
    </row>
    <row r="171" spans="1:19" x14ac:dyDescent="0.2">
      <c r="A171" t="s">
        <v>1369</v>
      </c>
      <c r="B171">
        <v>9001200100</v>
      </c>
      <c r="C171" t="s">
        <v>1370</v>
      </c>
      <c r="D171">
        <v>77273</v>
      </c>
      <c r="E171">
        <v>2.5299999999999998</v>
      </c>
      <c r="F171">
        <v>48581.118869999998</v>
      </c>
      <c r="G171">
        <v>48.581000000000003</v>
      </c>
      <c r="H171">
        <v>0.44400000000000001</v>
      </c>
      <c r="I171">
        <v>3</v>
      </c>
      <c r="J171">
        <v>1466</v>
      </c>
      <c r="K171">
        <v>0.36211599100000003</v>
      </c>
      <c r="L171">
        <v>0.54800000000000004</v>
      </c>
      <c r="M171">
        <v>3</v>
      </c>
      <c r="N171">
        <v>0.505</v>
      </c>
      <c r="O171">
        <v>3</v>
      </c>
      <c r="P171">
        <v>3</v>
      </c>
      <c r="S171" s="57" t="s">
        <v>944</v>
      </c>
    </row>
    <row r="172" spans="1:19" x14ac:dyDescent="0.2">
      <c r="A172" t="s">
        <v>1371</v>
      </c>
      <c r="B172">
        <v>9001200200</v>
      </c>
      <c r="C172" t="s">
        <v>1372</v>
      </c>
      <c r="D172">
        <v>61844</v>
      </c>
      <c r="E172">
        <v>2.37</v>
      </c>
      <c r="F172">
        <v>40171.994859999999</v>
      </c>
      <c r="G172">
        <v>40.171999999999997</v>
      </c>
      <c r="H172">
        <v>0.29499999999999998</v>
      </c>
      <c r="I172">
        <v>2</v>
      </c>
      <c r="J172">
        <v>1541</v>
      </c>
      <c r="K172">
        <v>0.46032067999999998</v>
      </c>
      <c r="L172">
        <v>0.79800000000000004</v>
      </c>
      <c r="M172">
        <v>4</v>
      </c>
      <c r="N172">
        <v>0.434</v>
      </c>
      <c r="O172">
        <v>3</v>
      </c>
      <c r="P172">
        <v>4</v>
      </c>
      <c r="S172" s="59" t="s">
        <v>944</v>
      </c>
    </row>
    <row r="173" spans="1:19" x14ac:dyDescent="0.2">
      <c r="A173" t="s">
        <v>1373</v>
      </c>
      <c r="B173">
        <v>9001200301</v>
      </c>
      <c r="C173" t="s">
        <v>1374</v>
      </c>
      <c r="D173">
        <v>140337</v>
      </c>
      <c r="E173">
        <v>3.06</v>
      </c>
      <c r="F173">
        <v>80225.323139999993</v>
      </c>
      <c r="G173">
        <v>80.224999999999994</v>
      </c>
      <c r="H173">
        <v>0.879</v>
      </c>
      <c r="I173">
        <v>5</v>
      </c>
      <c r="J173">
        <v>2456</v>
      </c>
      <c r="K173">
        <v>0.36736530099999998</v>
      </c>
      <c r="L173">
        <v>0.57499999999999996</v>
      </c>
      <c r="M173">
        <v>3</v>
      </c>
      <c r="N173">
        <v>8.1000000000000003E-2</v>
      </c>
      <c r="O173">
        <v>1</v>
      </c>
      <c r="P173">
        <v>1</v>
      </c>
      <c r="S173" s="57" t="s">
        <v>944</v>
      </c>
    </row>
    <row r="174" spans="1:19" x14ac:dyDescent="0.2">
      <c r="A174" t="s">
        <v>1375</v>
      </c>
      <c r="B174">
        <v>9001200302</v>
      </c>
      <c r="C174" t="s">
        <v>1376</v>
      </c>
      <c r="D174">
        <v>116500</v>
      </c>
      <c r="E174">
        <v>2.96</v>
      </c>
      <c r="F174">
        <v>67714.24957</v>
      </c>
      <c r="G174">
        <v>67.713999999999999</v>
      </c>
      <c r="H174">
        <v>0.77200000000000002</v>
      </c>
      <c r="I174">
        <v>4</v>
      </c>
      <c r="J174">
        <v>2158</v>
      </c>
      <c r="K174">
        <v>0.38243058400000002</v>
      </c>
      <c r="L174">
        <v>0.64100000000000001</v>
      </c>
      <c r="M174">
        <v>4</v>
      </c>
      <c r="N174">
        <v>0.13800000000000001</v>
      </c>
      <c r="O174">
        <v>1</v>
      </c>
      <c r="P174">
        <v>2</v>
      </c>
      <c r="S174" s="59" t="s">
        <v>944</v>
      </c>
    </row>
    <row r="175" spans="1:19" x14ac:dyDescent="0.2">
      <c r="A175" t="s">
        <v>1377</v>
      </c>
      <c r="B175">
        <v>9001205100</v>
      </c>
      <c r="C175" t="s">
        <v>1378</v>
      </c>
      <c r="D175">
        <v>123750</v>
      </c>
      <c r="E175">
        <v>2.79</v>
      </c>
      <c r="F175">
        <v>74087.187090000007</v>
      </c>
      <c r="G175">
        <v>74.087000000000003</v>
      </c>
      <c r="H175">
        <v>0.84299999999999997</v>
      </c>
      <c r="I175">
        <v>5</v>
      </c>
      <c r="J175">
        <v>2185</v>
      </c>
      <c r="K175">
        <v>0.35390734899999998</v>
      </c>
      <c r="L175">
        <v>0.501</v>
      </c>
      <c r="M175">
        <v>3</v>
      </c>
      <c r="N175">
        <v>0.13200000000000001</v>
      </c>
      <c r="O175">
        <v>1</v>
      </c>
      <c r="P175">
        <v>1</v>
      </c>
      <c r="S175" s="57" t="s">
        <v>944</v>
      </c>
    </row>
    <row r="176" spans="1:19" x14ac:dyDescent="0.2">
      <c r="A176" t="s">
        <v>1379</v>
      </c>
      <c r="B176">
        <v>9001205200</v>
      </c>
      <c r="C176" t="s">
        <v>1380</v>
      </c>
      <c r="D176">
        <v>120476</v>
      </c>
      <c r="E176">
        <v>2.93</v>
      </c>
      <c r="F176">
        <v>70382.830709999995</v>
      </c>
      <c r="G176">
        <v>70.382999999999996</v>
      </c>
      <c r="H176">
        <v>0.80600000000000005</v>
      </c>
      <c r="I176">
        <v>5</v>
      </c>
      <c r="J176">
        <v>2277</v>
      </c>
      <c r="K176">
        <v>0.38821968000000001</v>
      </c>
      <c r="L176">
        <v>0.65500000000000003</v>
      </c>
      <c r="M176">
        <v>4</v>
      </c>
      <c r="N176">
        <v>0.11899999999999999</v>
      </c>
      <c r="O176">
        <v>1</v>
      </c>
      <c r="P176">
        <v>1</v>
      </c>
      <c r="S176" s="59" t="s">
        <v>944</v>
      </c>
    </row>
    <row r="177" spans="1:19" x14ac:dyDescent="0.2">
      <c r="A177" t="s">
        <v>1381</v>
      </c>
      <c r="B177">
        <v>9001205300</v>
      </c>
      <c r="C177" t="s">
        <v>1382</v>
      </c>
      <c r="D177">
        <v>95234</v>
      </c>
      <c r="E177">
        <v>2.5099999999999998</v>
      </c>
      <c r="F177">
        <v>60111.167780000003</v>
      </c>
      <c r="G177">
        <v>60.110999999999997</v>
      </c>
      <c r="H177">
        <v>0.65800000000000003</v>
      </c>
      <c r="I177">
        <v>4</v>
      </c>
      <c r="J177">
        <v>1694</v>
      </c>
      <c r="K177">
        <v>0.33817343399999999</v>
      </c>
      <c r="L177">
        <v>0.41199999999999998</v>
      </c>
      <c r="M177">
        <v>3</v>
      </c>
      <c r="N177">
        <v>0.316</v>
      </c>
      <c r="O177">
        <v>2</v>
      </c>
      <c r="P177">
        <v>2</v>
      </c>
      <c r="S177" s="57" t="s">
        <v>944</v>
      </c>
    </row>
    <row r="178" spans="1:19" x14ac:dyDescent="0.2">
      <c r="A178" t="s">
        <v>1383</v>
      </c>
      <c r="B178">
        <v>9001210100</v>
      </c>
      <c r="C178" t="s">
        <v>1384</v>
      </c>
      <c r="D178">
        <v>41218</v>
      </c>
      <c r="E178">
        <v>2.3199999999999998</v>
      </c>
      <c r="F178">
        <v>27060.942749999998</v>
      </c>
      <c r="G178">
        <v>27.061</v>
      </c>
      <c r="H178">
        <v>0.13600000000000001</v>
      </c>
      <c r="I178">
        <v>1</v>
      </c>
      <c r="J178">
        <v>1185</v>
      </c>
      <c r="K178">
        <v>0.52548058399999997</v>
      </c>
      <c r="L178">
        <v>0.871</v>
      </c>
      <c r="M178">
        <v>5</v>
      </c>
      <c r="N178">
        <v>0.78800000000000003</v>
      </c>
      <c r="O178">
        <v>4</v>
      </c>
      <c r="P178">
        <v>5</v>
      </c>
      <c r="S178" s="59" t="s">
        <v>936</v>
      </c>
    </row>
    <row r="179" spans="1:19" x14ac:dyDescent="0.2">
      <c r="A179" t="s">
        <v>1385</v>
      </c>
      <c r="B179">
        <v>9001210200</v>
      </c>
      <c r="C179" t="s">
        <v>1386</v>
      </c>
      <c r="D179">
        <v>50729</v>
      </c>
      <c r="E179">
        <v>3.14</v>
      </c>
      <c r="F179">
        <v>28628.030900000002</v>
      </c>
      <c r="G179">
        <v>28.628</v>
      </c>
      <c r="H179">
        <v>0.14799999999999999</v>
      </c>
      <c r="I179">
        <v>1</v>
      </c>
      <c r="J179">
        <v>1422</v>
      </c>
      <c r="K179">
        <v>0.59605915799999998</v>
      </c>
      <c r="L179">
        <v>0.91800000000000004</v>
      </c>
      <c r="M179">
        <v>5</v>
      </c>
      <c r="N179">
        <v>0.54800000000000004</v>
      </c>
      <c r="O179">
        <v>3</v>
      </c>
      <c r="P179">
        <v>4</v>
      </c>
      <c r="S179" s="57" t="s">
        <v>944</v>
      </c>
    </row>
    <row r="180" spans="1:19" x14ac:dyDescent="0.2">
      <c r="A180" t="s">
        <v>1387</v>
      </c>
      <c r="B180">
        <v>9001210300</v>
      </c>
      <c r="C180" t="s">
        <v>1388</v>
      </c>
      <c r="D180">
        <v>60725</v>
      </c>
      <c r="E180">
        <v>2.96</v>
      </c>
      <c r="F180">
        <v>35295.689310000002</v>
      </c>
      <c r="G180">
        <v>35.295999999999999</v>
      </c>
      <c r="H180">
        <v>0.23799999999999999</v>
      </c>
      <c r="I180">
        <v>2</v>
      </c>
      <c r="J180">
        <v>1634</v>
      </c>
      <c r="K180">
        <v>0.55553526200000003</v>
      </c>
      <c r="L180">
        <v>0.89100000000000001</v>
      </c>
      <c r="M180">
        <v>5</v>
      </c>
      <c r="N180">
        <v>0.35899999999999999</v>
      </c>
      <c r="O180">
        <v>2</v>
      </c>
      <c r="P180">
        <v>3</v>
      </c>
      <c r="S180" s="59" t="s">
        <v>944</v>
      </c>
    </row>
    <row r="181" spans="1:19" x14ac:dyDescent="0.2">
      <c r="A181" t="s">
        <v>1389</v>
      </c>
      <c r="B181">
        <v>9001210400</v>
      </c>
      <c r="C181" t="s">
        <v>1390</v>
      </c>
      <c r="D181">
        <v>76921</v>
      </c>
      <c r="E181">
        <v>2.85</v>
      </c>
      <c r="F181">
        <v>45564.068030000002</v>
      </c>
      <c r="G181">
        <v>45.564</v>
      </c>
      <c r="H181">
        <v>0.375</v>
      </c>
      <c r="I181">
        <v>2</v>
      </c>
      <c r="J181">
        <v>1755</v>
      </c>
      <c r="K181">
        <v>0.46220631499999998</v>
      </c>
      <c r="L181">
        <v>0.80200000000000005</v>
      </c>
      <c r="M181">
        <v>5</v>
      </c>
      <c r="N181">
        <v>0.28199999999999997</v>
      </c>
      <c r="O181">
        <v>2</v>
      </c>
      <c r="P181">
        <v>3</v>
      </c>
      <c r="S181" s="57" t="s">
        <v>944</v>
      </c>
    </row>
    <row r="182" spans="1:19" x14ac:dyDescent="0.2">
      <c r="A182" t="s">
        <v>1391</v>
      </c>
      <c r="B182">
        <v>9001210500</v>
      </c>
      <c r="C182" t="s">
        <v>1392</v>
      </c>
      <c r="D182">
        <v>90929</v>
      </c>
      <c r="E182">
        <v>2.21</v>
      </c>
      <c r="F182">
        <v>61165.464489999998</v>
      </c>
      <c r="G182">
        <v>61.164999999999999</v>
      </c>
      <c r="H182">
        <v>0.67600000000000005</v>
      </c>
      <c r="I182">
        <v>4</v>
      </c>
      <c r="J182">
        <v>1930</v>
      </c>
      <c r="K182">
        <v>0.37864504399999999</v>
      </c>
      <c r="L182">
        <v>0.626</v>
      </c>
      <c r="M182">
        <v>4</v>
      </c>
      <c r="N182">
        <v>0.193</v>
      </c>
      <c r="O182">
        <v>1</v>
      </c>
      <c r="P182">
        <v>2</v>
      </c>
      <c r="S182" s="59" t="s">
        <v>944</v>
      </c>
    </row>
    <row r="183" spans="1:19" x14ac:dyDescent="0.2">
      <c r="A183" t="s">
        <v>1393</v>
      </c>
      <c r="B183">
        <v>9001210600</v>
      </c>
      <c r="C183" t="s">
        <v>1394</v>
      </c>
      <c r="D183">
        <v>54216</v>
      </c>
      <c r="E183">
        <v>2.5499999999999998</v>
      </c>
      <c r="F183">
        <v>33951.376170000003</v>
      </c>
      <c r="G183">
        <v>33.951000000000001</v>
      </c>
      <c r="H183">
        <v>0.222</v>
      </c>
      <c r="I183">
        <v>2</v>
      </c>
      <c r="J183">
        <v>1492</v>
      </c>
      <c r="K183">
        <v>0.52734239400000005</v>
      </c>
      <c r="L183">
        <v>0.873</v>
      </c>
      <c r="M183">
        <v>5</v>
      </c>
      <c r="N183">
        <v>0.48599999999999999</v>
      </c>
      <c r="O183">
        <v>3</v>
      </c>
      <c r="P183">
        <v>4</v>
      </c>
      <c r="S183" s="57" t="s">
        <v>944</v>
      </c>
    </row>
    <row r="184" spans="1:19" x14ac:dyDescent="0.2">
      <c r="A184" t="s">
        <v>1395</v>
      </c>
      <c r="B184">
        <v>9001210701</v>
      </c>
      <c r="C184" t="s">
        <v>1396</v>
      </c>
      <c r="D184">
        <v>44635</v>
      </c>
      <c r="E184">
        <v>3.08</v>
      </c>
      <c r="F184">
        <v>25433.15165</v>
      </c>
      <c r="G184">
        <v>25.433</v>
      </c>
      <c r="H184">
        <v>0.11600000000000001</v>
      </c>
      <c r="I184">
        <v>1</v>
      </c>
      <c r="J184">
        <v>1345</v>
      </c>
      <c r="K184">
        <v>0.634604795</v>
      </c>
      <c r="L184">
        <v>0.94099999999999995</v>
      </c>
      <c r="M184">
        <v>5</v>
      </c>
      <c r="N184">
        <v>0.61099999999999999</v>
      </c>
      <c r="O184">
        <v>4</v>
      </c>
      <c r="P184">
        <v>5</v>
      </c>
      <c r="S184" s="59" t="s">
        <v>936</v>
      </c>
    </row>
    <row r="185" spans="1:19" x14ac:dyDescent="0.2">
      <c r="A185" t="s">
        <v>1397</v>
      </c>
      <c r="B185">
        <v>9001210702</v>
      </c>
      <c r="C185" t="s">
        <v>1398</v>
      </c>
      <c r="D185">
        <v>56932</v>
      </c>
      <c r="E185">
        <v>2.99</v>
      </c>
      <c r="F185">
        <v>32924.62571</v>
      </c>
      <c r="G185">
        <v>32.924999999999997</v>
      </c>
      <c r="H185">
        <v>0.21199999999999999</v>
      </c>
      <c r="I185">
        <v>2</v>
      </c>
      <c r="J185">
        <v>1483</v>
      </c>
      <c r="K185">
        <v>0.54050728299999995</v>
      </c>
      <c r="L185">
        <v>0.88100000000000001</v>
      </c>
      <c r="M185">
        <v>5</v>
      </c>
      <c r="N185">
        <v>0.499</v>
      </c>
      <c r="O185">
        <v>3</v>
      </c>
      <c r="P185">
        <v>4</v>
      </c>
      <c r="S185" s="57" t="s">
        <v>944</v>
      </c>
    </row>
    <row r="186" spans="1:19" x14ac:dyDescent="0.2">
      <c r="A186" t="s">
        <v>1399</v>
      </c>
      <c r="B186">
        <v>9001210800</v>
      </c>
      <c r="C186" t="s">
        <v>1400</v>
      </c>
      <c r="D186">
        <v>101679</v>
      </c>
      <c r="E186">
        <v>2.72</v>
      </c>
      <c r="F186">
        <v>61651.949549999998</v>
      </c>
      <c r="G186">
        <v>61.652000000000001</v>
      </c>
      <c r="H186">
        <v>0.68600000000000005</v>
      </c>
      <c r="I186">
        <v>4</v>
      </c>
      <c r="J186">
        <v>1757</v>
      </c>
      <c r="K186">
        <v>0.34198431899999998</v>
      </c>
      <c r="L186">
        <v>0.43099999999999999</v>
      </c>
      <c r="M186">
        <v>3</v>
      </c>
      <c r="N186">
        <v>0.28000000000000003</v>
      </c>
      <c r="O186">
        <v>2</v>
      </c>
      <c r="P186">
        <v>2</v>
      </c>
      <c r="S186" s="59" t="s">
        <v>944</v>
      </c>
    </row>
    <row r="187" spans="1:19" x14ac:dyDescent="0.2">
      <c r="A187" t="s">
        <v>1401</v>
      </c>
      <c r="B187">
        <v>9001210900</v>
      </c>
      <c r="C187" t="s">
        <v>1402</v>
      </c>
      <c r="D187">
        <v>106915</v>
      </c>
      <c r="E187">
        <v>2.62</v>
      </c>
      <c r="F187">
        <v>66052.307589999997</v>
      </c>
      <c r="G187">
        <v>66.052000000000007</v>
      </c>
      <c r="H187">
        <v>0.753</v>
      </c>
      <c r="I187">
        <v>4</v>
      </c>
      <c r="J187">
        <v>1972</v>
      </c>
      <c r="K187">
        <v>0.358261518</v>
      </c>
      <c r="L187">
        <v>0.52700000000000002</v>
      </c>
      <c r="M187">
        <v>3</v>
      </c>
      <c r="N187">
        <v>0.17299999999999999</v>
      </c>
      <c r="O187">
        <v>1</v>
      </c>
      <c r="P187">
        <v>2</v>
      </c>
      <c r="S187" s="57" t="s">
        <v>944</v>
      </c>
    </row>
    <row r="188" spans="1:19" x14ac:dyDescent="0.2">
      <c r="A188" t="s">
        <v>1403</v>
      </c>
      <c r="B188">
        <v>9001211000</v>
      </c>
      <c r="C188" t="s">
        <v>1404</v>
      </c>
      <c r="D188">
        <v>89985</v>
      </c>
      <c r="E188">
        <v>3.18</v>
      </c>
      <c r="F188">
        <v>50461.082289999998</v>
      </c>
      <c r="G188">
        <v>50.460999999999999</v>
      </c>
      <c r="H188">
        <v>0.47699999999999998</v>
      </c>
      <c r="I188">
        <v>3</v>
      </c>
      <c r="J188">
        <v>1860</v>
      </c>
      <c r="K188">
        <v>0.44232107199999998</v>
      </c>
      <c r="L188">
        <v>0.77300000000000002</v>
      </c>
      <c r="M188">
        <v>4</v>
      </c>
      <c r="N188">
        <v>0.22700000000000001</v>
      </c>
      <c r="O188">
        <v>2</v>
      </c>
      <c r="P188">
        <v>3</v>
      </c>
      <c r="S188" s="59" t="s">
        <v>944</v>
      </c>
    </row>
    <row r="189" spans="1:19" x14ac:dyDescent="0.2">
      <c r="A189" t="s">
        <v>1405</v>
      </c>
      <c r="B189">
        <v>9001211200</v>
      </c>
      <c r="C189" t="s">
        <v>1406</v>
      </c>
      <c r="D189">
        <v>90285</v>
      </c>
      <c r="E189">
        <v>2.7</v>
      </c>
      <c r="F189">
        <v>54945.701229999999</v>
      </c>
      <c r="G189">
        <v>54.945999999999998</v>
      </c>
      <c r="H189">
        <v>0.55800000000000005</v>
      </c>
      <c r="I189">
        <v>3</v>
      </c>
      <c r="J189">
        <v>1466</v>
      </c>
      <c r="K189">
        <v>0.32017063400000001</v>
      </c>
      <c r="L189">
        <v>0.28799999999999998</v>
      </c>
      <c r="M189">
        <v>2</v>
      </c>
      <c r="N189">
        <v>0.505</v>
      </c>
      <c r="O189">
        <v>3</v>
      </c>
      <c r="P189">
        <v>3</v>
      </c>
      <c r="S189" s="57" t="s">
        <v>944</v>
      </c>
    </row>
    <row r="190" spans="1:19" x14ac:dyDescent="0.2">
      <c r="A190" t="s">
        <v>1407</v>
      </c>
      <c r="B190">
        <v>9001211300</v>
      </c>
      <c r="C190" t="s">
        <v>1408</v>
      </c>
      <c r="D190">
        <v>105528</v>
      </c>
      <c r="E190">
        <v>3.09</v>
      </c>
      <c r="F190">
        <v>60032.781719999999</v>
      </c>
      <c r="G190">
        <v>60.033000000000001</v>
      </c>
      <c r="H190">
        <v>0.65300000000000002</v>
      </c>
      <c r="I190">
        <v>4</v>
      </c>
      <c r="J190">
        <v>1936</v>
      </c>
      <c r="K190">
        <v>0.38698856399999998</v>
      </c>
      <c r="L190">
        <v>0.65</v>
      </c>
      <c r="M190">
        <v>4</v>
      </c>
      <c r="N190">
        <v>0.191</v>
      </c>
      <c r="O190">
        <v>1</v>
      </c>
      <c r="P190">
        <v>2</v>
      </c>
      <c r="S190" s="59" t="s">
        <v>944</v>
      </c>
    </row>
    <row r="191" spans="1:19" x14ac:dyDescent="0.2">
      <c r="A191" t="s">
        <v>1409</v>
      </c>
      <c r="B191">
        <v>9001211400</v>
      </c>
      <c r="C191" t="s">
        <v>1410</v>
      </c>
      <c r="D191">
        <v>81474</v>
      </c>
      <c r="E191">
        <v>2.42</v>
      </c>
      <c r="F191">
        <v>52373.470809999999</v>
      </c>
      <c r="G191">
        <v>52.372999999999998</v>
      </c>
      <c r="H191">
        <v>0.50600000000000001</v>
      </c>
      <c r="I191">
        <v>3</v>
      </c>
      <c r="J191">
        <v>1767</v>
      </c>
      <c r="K191">
        <v>0.40486146299999998</v>
      </c>
      <c r="L191">
        <v>0.68799999999999994</v>
      </c>
      <c r="M191">
        <v>4</v>
      </c>
      <c r="N191">
        <v>0.27300000000000002</v>
      </c>
      <c r="O191">
        <v>2</v>
      </c>
      <c r="P191">
        <v>3</v>
      </c>
      <c r="S191" s="57" t="s">
        <v>944</v>
      </c>
    </row>
    <row r="192" spans="1:19" x14ac:dyDescent="0.2">
      <c r="A192" t="s">
        <v>1411</v>
      </c>
      <c r="B192">
        <v>9001220100</v>
      </c>
      <c r="C192" t="s">
        <v>1412</v>
      </c>
      <c r="D192">
        <v>110625</v>
      </c>
      <c r="E192">
        <v>2.93</v>
      </c>
      <c r="F192">
        <v>64627.815060000001</v>
      </c>
      <c r="G192">
        <v>64.628</v>
      </c>
      <c r="H192">
        <v>0.72899999999999998</v>
      </c>
      <c r="I192">
        <v>4</v>
      </c>
      <c r="J192">
        <v>2079</v>
      </c>
      <c r="K192">
        <v>0.38602573800000001</v>
      </c>
      <c r="L192">
        <v>0.64800000000000002</v>
      </c>
      <c r="M192">
        <v>4</v>
      </c>
      <c r="N192">
        <v>0.14599999999999999</v>
      </c>
      <c r="O192">
        <v>1</v>
      </c>
      <c r="P192">
        <v>2</v>
      </c>
      <c r="S192" s="59" t="s">
        <v>944</v>
      </c>
    </row>
    <row r="193" spans="1:19" x14ac:dyDescent="0.2">
      <c r="A193" t="s">
        <v>1413</v>
      </c>
      <c r="B193">
        <v>9001220200</v>
      </c>
      <c r="C193" t="s">
        <v>1414</v>
      </c>
      <c r="D193">
        <v>126422</v>
      </c>
      <c r="E193">
        <v>2.82</v>
      </c>
      <c r="F193">
        <v>75283.205449999994</v>
      </c>
      <c r="G193">
        <v>75.283000000000001</v>
      </c>
      <c r="H193">
        <v>0.85099999999999998</v>
      </c>
      <c r="I193">
        <v>5</v>
      </c>
      <c r="J193">
        <v>2107</v>
      </c>
      <c r="K193">
        <v>0.33585179900000001</v>
      </c>
      <c r="L193">
        <v>0.40200000000000002</v>
      </c>
      <c r="M193">
        <v>3</v>
      </c>
      <c r="N193">
        <v>0.14299999999999999</v>
      </c>
      <c r="O193">
        <v>1</v>
      </c>
      <c r="P193">
        <v>1</v>
      </c>
      <c r="S193" s="57" t="s">
        <v>944</v>
      </c>
    </row>
    <row r="194" spans="1:19" x14ac:dyDescent="0.2">
      <c r="A194" t="s">
        <v>1415</v>
      </c>
      <c r="B194">
        <v>9001220300</v>
      </c>
      <c r="C194" t="s">
        <v>1416</v>
      </c>
      <c r="D194">
        <v>106296</v>
      </c>
      <c r="E194">
        <v>2.6</v>
      </c>
      <c r="F194">
        <v>65921.980739999999</v>
      </c>
      <c r="G194">
        <v>65.921999999999997</v>
      </c>
      <c r="H194">
        <v>0.752</v>
      </c>
      <c r="I194">
        <v>4</v>
      </c>
      <c r="J194">
        <v>1962</v>
      </c>
      <c r="K194">
        <v>0.357149463</v>
      </c>
      <c r="L194">
        <v>0.51900000000000002</v>
      </c>
      <c r="M194">
        <v>3</v>
      </c>
      <c r="N194">
        <v>0.17799999999999999</v>
      </c>
      <c r="O194">
        <v>1</v>
      </c>
      <c r="P194">
        <v>2</v>
      </c>
      <c r="S194" s="59" t="s">
        <v>944</v>
      </c>
    </row>
    <row r="195" spans="1:19" x14ac:dyDescent="0.2">
      <c r="A195" t="s">
        <v>1417</v>
      </c>
      <c r="B195">
        <v>9001230100</v>
      </c>
      <c r="C195" t="s">
        <v>1418</v>
      </c>
      <c r="D195">
        <v>107033</v>
      </c>
      <c r="E195">
        <v>2.66</v>
      </c>
      <c r="F195">
        <v>65626.142919999998</v>
      </c>
      <c r="G195">
        <v>65.626000000000005</v>
      </c>
      <c r="H195">
        <v>0.746</v>
      </c>
      <c r="I195">
        <v>4</v>
      </c>
      <c r="J195">
        <v>1991</v>
      </c>
      <c r="K195">
        <v>0.36406223100000001</v>
      </c>
      <c r="L195">
        <v>0.56000000000000005</v>
      </c>
      <c r="M195">
        <v>3</v>
      </c>
      <c r="N195">
        <v>0.16500000000000001</v>
      </c>
      <c r="O195">
        <v>1</v>
      </c>
      <c r="P195">
        <v>2</v>
      </c>
      <c r="S195" s="57" t="s">
        <v>944</v>
      </c>
    </row>
    <row r="196" spans="1:19" x14ac:dyDescent="0.2">
      <c r="A196" t="s">
        <v>1419</v>
      </c>
      <c r="B196">
        <v>9001230200</v>
      </c>
      <c r="C196" t="s">
        <v>1420</v>
      </c>
      <c r="D196">
        <v>140625</v>
      </c>
      <c r="E196">
        <v>2.78</v>
      </c>
      <c r="F196">
        <v>84341.270239999998</v>
      </c>
      <c r="G196">
        <v>84.340999999999994</v>
      </c>
      <c r="H196">
        <v>0.90200000000000002</v>
      </c>
      <c r="I196">
        <v>5</v>
      </c>
      <c r="J196">
        <v>2333</v>
      </c>
      <c r="K196">
        <v>0.33193714000000002</v>
      </c>
      <c r="L196">
        <v>0.372</v>
      </c>
      <c r="M196">
        <v>2</v>
      </c>
      <c r="N196">
        <v>0.106</v>
      </c>
      <c r="O196">
        <v>1</v>
      </c>
      <c r="P196">
        <v>1</v>
      </c>
      <c r="S196" s="59" t="s">
        <v>944</v>
      </c>
    </row>
    <row r="197" spans="1:19" x14ac:dyDescent="0.2">
      <c r="A197" t="s">
        <v>1421</v>
      </c>
      <c r="B197">
        <v>9001230300</v>
      </c>
      <c r="C197" t="s">
        <v>1422</v>
      </c>
      <c r="D197">
        <v>130625</v>
      </c>
      <c r="E197">
        <v>2.7</v>
      </c>
      <c r="F197">
        <v>79495.843420000005</v>
      </c>
      <c r="G197">
        <v>79.495999999999995</v>
      </c>
      <c r="H197">
        <v>0.873</v>
      </c>
      <c r="I197">
        <v>5</v>
      </c>
      <c r="J197">
        <v>2189</v>
      </c>
      <c r="K197">
        <v>0.330432371</v>
      </c>
      <c r="L197">
        <v>0.36099999999999999</v>
      </c>
      <c r="M197">
        <v>2</v>
      </c>
      <c r="N197">
        <v>0.13100000000000001</v>
      </c>
      <c r="O197">
        <v>1</v>
      </c>
      <c r="P197">
        <v>1</v>
      </c>
      <c r="S197" s="57" t="s">
        <v>944</v>
      </c>
    </row>
    <row r="198" spans="1:19" x14ac:dyDescent="0.2">
      <c r="A198" t="s">
        <v>1423</v>
      </c>
      <c r="B198">
        <v>9001230400</v>
      </c>
      <c r="C198" t="s">
        <v>1424</v>
      </c>
      <c r="D198">
        <v>139313</v>
      </c>
      <c r="E198">
        <v>2.93</v>
      </c>
      <c r="F198">
        <v>81387.523610000004</v>
      </c>
      <c r="G198">
        <v>81.388000000000005</v>
      </c>
      <c r="H198">
        <v>0.89100000000000001</v>
      </c>
      <c r="I198">
        <v>5</v>
      </c>
      <c r="J198">
        <v>2531</v>
      </c>
      <c r="K198">
        <v>0.37317759099999998</v>
      </c>
      <c r="L198">
        <v>0.60499999999999998</v>
      </c>
      <c r="M198">
        <v>4</v>
      </c>
      <c r="N198">
        <v>7.2999999999999995E-2</v>
      </c>
      <c r="O198">
        <v>1</v>
      </c>
      <c r="P198">
        <v>1</v>
      </c>
      <c r="S198" s="59" t="s">
        <v>944</v>
      </c>
    </row>
    <row r="199" spans="1:19" x14ac:dyDescent="0.2">
      <c r="A199" t="s">
        <v>1425</v>
      </c>
      <c r="B199">
        <v>9001230501</v>
      </c>
      <c r="C199" t="s">
        <v>1426</v>
      </c>
      <c r="D199">
        <v>153267</v>
      </c>
      <c r="E199">
        <v>2.87</v>
      </c>
      <c r="F199">
        <v>90470.649539999999</v>
      </c>
      <c r="G199">
        <v>90.471000000000004</v>
      </c>
      <c r="H199">
        <v>0.92500000000000004</v>
      </c>
      <c r="I199">
        <v>5</v>
      </c>
      <c r="J199">
        <v>2492</v>
      </c>
      <c r="K199">
        <v>0.33053813799999998</v>
      </c>
      <c r="L199">
        <v>0.36299999999999999</v>
      </c>
      <c r="M199">
        <v>2</v>
      </c>
      <c r="N199">
        <v>7.8E-2</v>
      </c>
      <c r="O199">
        <v>1</v>
      </c>
      <c r="P199">
        <v>1</v>
      </c>
      <c r="S199" s="57" t="s">
        <v>944</v>
      </c>
    </row>
    <row r="200" spans="1:19" x14ac:dyDescent="0.2">
      <c r="A200" t="s">
        <v>1427</v>
      </c>
      <c r="B200">
        <v>9001230502</v>
      </c>
      <c r="C200" t="s">
        <v>1428</v>
      </c>
      <c r="D200">
        <v>114773</v>
      </c>
      <c r="E200">
        <v>2.62</v>
      </c>
      <c r="F200">
        <v>70906.996199999994</v>
      </c>
      <c r="G200">
        <v>70.906999999999996</v>
      </c>
      <c r="H200">
        <v>0.81499999999999995</v>
      </c>
      <c r="I200">
        <v>5</v>
      </c>
      <c r="J200">
        <v>1980</v>
      </c>
      <c r="K200">
        <v>0.33508682200000001</v>
      </c>
      <c r="L200">
        <v>0.39500000000000002</v>
      </c>
      <c r="M200">
        <v>2</v>
      </c>
      <c r="N200">
        <v>0.17</v>
      </c>
      <c r="O200">
        <v>1</v>
      </c>
      <c r="P200">
        <v>1</v>
      </c>
      <c r="S200" s="59" t="s">
        <v>944</v>
      </c>
    </row>
    <row r="201" spans="1:19" x14ac:dyDescent="0.2">
      <c r="A201" t="s">
        <v>1429</v>
      </c>
      <c r="B201">
        <v>9001240100</v>
      </c>
      <c r="C201" t="s">
        <v>1430</v>
      </c>
      <c r="D201">
        <v>131992</v>
      </c>
      <c r="E201">
        <v>2.54</v>
      </c>
      <c r="F201">
        <v>82819.146630000003</v>
      </c>
      <c r="G201">
        <v>82.819000000000003</v>
      </c>
      <c r="H201">
        <v>0.89700000000000002</v>
      </c>
      <c r="I201">
        <v>5</v>
      </c>
      <c r="J201">
        <v>2518</v>
      </c>
      <c r="K201">
        <v>0.36484316999999999</v>
      </c>
      <c r="L201">
        <v>0.56399999999999995</v>
      </c>
      <c r="M201">
        <v>3</v>
      </c>
      <c r="N201">
        <v>7.5999999999999998E-2</v>
      </c>
      <c r="O201">
        <v>1</v>
      </c>
      <c r="P201">
        <v>1</v>
      </c>
      <c r="S201" s="57" t="s">
        <v>944</v>
      </c>
    </row>
    <row r="202" spans="1:19" x14ac:dyDescent="0.2">
      <c r="A202" t="s">
        <v>1431</v>
      </c>
      <c r="B202">
        <v>9001240200</v>
      </c>
      <c r="C202" t="s">
        <v>1432</v>
      </c>
      <c r="D202">
        <v>133482</v>
      </c>
      <c r="E202">
        <v>2.7</v>
      </c>
      <c r="F202">
        <v>81234.558250000002</v>
      </c>
      <c r="G202">
        <v>81.234999999999999</v>
      </c>
      <c r="H202">
        <v>0.89</v>
      </c>
      <c r="I202">
        <v>5</v>
      </c>
      <c r="J202">
        <v>2844</v>
      </c>
      <c r="K202">
        <v>0.420116767</v>
      </c>
      <c r="L202">
        <v>0.72499999999999998</v>
      </c>
      <c r="M202">
        <v>4</v>
      </c>
      <c r="N202">
        <v>5.2999999999999999E-2</v>
      </c>
      <c r="O202">
        <v>1</v>
      </c>
      <c r="P202">
        <v>1</v>
      </c>
      <c r="S202" s="59" t="s">
        <v>944</v>
      </c>
    </row>
    <row r="203" spans="1:19" x14ac:dyDescent="0.2">
      <c r="A203" t="s">
        <v>1433</v>
      </c>
      <c r="B203">
        <v>9001245100</v>
      </c>
      <c r="C203" t="s">
        <v>1434</v>
      </c>
      <c r="D203">
        <v>175000</v>
      </c>
      <c r="E203">
        <v>2.87</v>
      </c>
      <c r="F203">
        <v>103299.2338</v>
      </c>
      <c r="G203">
        <v>103.29900000000001</v>
      </c>
      <c r="H203">
        <v>0.94799999999999995</v>
      </c>
      <c r="I203">
        <v>5</v>
      </c>
      <c r="J203">
        <v>2833</v>
      </c>
      <c r="K203">
        <v>0.32910215100000001</v>
      </c>
      <c r="L203">
        <v>0.34699999999999998</v>
      </c>
      <c r="M203">
        <v>2</v>
      </c>
      <c r="N203">
        <v>5.3999999999999999E-2</v>
      </c>
      <c r="O203">
        <v>1</v>
      </c>
      <c r="P203">
        <v>1</v>
      </c>
      <c r="S203" s="57" t="s">
        <v>944</v>
      </c>
    </row>
    <row r="204" spans="1:19" x14ac:dyDescent="0.2">
      <c r="A204" t="s">
        <v>1435</v>
      </c>
      <c r="B204">
        <v>9001245200</v>
      </c>
      <c r="C204" t="s">
        <v>1436</v>
      </c>
      <c r="D204">
        <v>152708</v>
      </c>
      <c r="E204">
        <v>2.75</v>
      </c>
      <c r="F204">
        <v>92086.388819999993</v>
      </c>
      <c r="G204">
        <v>92.085999999999999</v>
      </c>
      <c r="H204">
        <v>0.92800000000000005</v>
      </c>
      <c r="I204">
        <v>5</v>
      </c>
      <c r="J204">
        <v>2467</v>
      </c>
      <c r="K204">
        <v>0.32148073500000002</v>
      </c>
      <c r="L204">
        <v>0.309</v>
      </c>
      <c r="M204">
        <v>2</v>
      </c>
      <c r="N204">
        <v>0.08</v>
      </c>
      <c r="O204">
        <v>1</v>
      </c>
      <c r="P204">
        <v>1</v>
      </c>
      <c r="S204" s="59" t="s">
        <v>944</v>
      </c>
    </row>
    <row r="205" spans="1:19" x14ac:dyDescent="0.2">
      <c r="A205" t="s">
        <v>1437</v>
      </c>
      <c r="B205">
        <v>9001245300</v>
      </c>
      <c r="C205" t="s">
        <v>1438</v>
      </c>
      <c r="D205">
        <v>130962</v>
      </c>
      <c r="E205">
        <v>2.36</v>
      </c>
      <c r="F205">
        <v>85249.000799999994</v>
      </c>
      <c r="G205">
        <v>85.248999999999995</v>
      </c>
      <c r="H205">
        <v>0.90800000000000003</v>
      </c>
      <c r="I205">
        <v>5</v>
      </c>
      <c r="J205">
        <v>2282</v>
      </c>
      <c r="K205">
        <v>0.321223706</v>
      </c>
      <c r="L205">
        <v>0.30399999999999999</v>
      </c>
      <c r="M205">
        <v>2</v>
      </c>
      <c r="N205">
        <v>0.115</v>
      </c>
      <c r="O205">
        <v>1</v>
      </c>
      <c r="P205">
        <v>1</v>
      </c>
      <c r="S205" s="57" t="s">
        <v>944</v>
      </c>
    </row>
    <row r="206" spans="1:19" x14ac:dyDescent="0.2">
      <c r="A206" t="s">
        <v>1439</v>
      </c>
      <c r="B206">
        <v>9001245400</v>
      </c>
      <c r="C206" t="s">
        <v>1440</v>
      </c>
      <c r="D206">
        <v>177361</v>
      </c>
      <c r="E206">
        <v>2.78</v>
      </c>
      <c r="F206">
        <v>106374.0589</v>
      </c>
      <c r="G206">
        <v>106.374</v>
      </c>
      <c r="H206">
        <v>0.95599999999999996</v>
      </c>
      <c r="I206">
        <v>5</v>
      </c>
      <c r="J206">
        <v>2944</v>
      </c>
      <c r="K206">
        <v>0.33211104600000002</v>
      </c>
      <c r="L206">
        <v>0.373</v>
      </c>
      <c r="M206">
        <v>2</v>
      </c>
      <c r="N206">
        <v>4.8000000000000001E-2</v>
      </c>
      <c r="O206">
        <v>1</v>
      </c>
      <c r="P206">
        <v>1</v>
      </c>
      <c r="S206" s="59" t="s">
        <v>944</v>
      </c>
    </row>
    <row r="207" spans="1:19" x14ac:dyDescent="0.2">
      <c r="A207" t="s">
        <v>1441</v>
      </c>
      <c r="B207">
        <v>9001245500</v>
      </c>
      <c r="C207" t="s">
        <v>1442</v>
      </c>
      <c r="D207">
        <v>166908</v>
      </c>
      <c r="E207">
        <v>2.89</v>
      </c>
      <c r="F207">
        <v>98181.176470000006</v>
      </c>
      <c r="G207">
        <v>98.180999999999997</v>
      </c>
      <c r="H207">
        <v>0.94099999999999995</v>
      </c>
      <c r="I207">
        <v>5</v>
      </c>
      <c r="J207">
        <v>2824</v>
      </c>
      <c r="K207">
        <v>0.34515781099999998</v>
      </c>
      <c r="L207">
        <v>0.45600000000000002</v>
      </c>
      <c r="M207">
        <v>3</v>
      </c>
      <c r="N207">
        <v>5.5E-2</v>
      </c>
      <c r="O207">
        <v>1</v>
      </c>
      <c r="P207">
        <v>1</v>
      </c>
      <c r="S207" s="57" t="s">
        <v>944</v>
      </c>
    </row>
    <row r="208" spans="1:19" x14ac:dyDescent="0.2">
      <c r="A208" t="s">
        <v>1443</v>
      </c>
      <c r="B208">
        <v>9001245600</v>
      </c>
      <c r="C208" t="s">
        <v>1444</v>
      </c>
      <c r="D208">
        <v>191524</v>
      </c>
      <c r="E208">
        <v>3.04</v>
      </c>
      <c r="F208">
        <v>109846.5475</v>
      </c>
      <c r="G208">
        <v>109.84699999999999</v>
      </c>
      <c r="H208">
        <v>0.96199999999999997</v>
      </c>
      <c r="I208">
        <v>5</v>
      </c>
      <c r="J208">
        <v>3201</v>
      </c>
      <c r="K208">
        <v>0.34968782199999998</v>
      </c>
      <c r="L208">
        <v>0.47499999999999998</v>
      </c>
      <c r="M208">
        <v>3</v>
      </c>
      <c r="N208">
        <v>3.9E-2</v>
      </c>
      <c r="O208">
        <v>1</v>
      </c>
      <c r="P208">
        <v>1</v>
      </c>
      <c r="S208" s="59" t="s">
        <v>944</v>
      </c>
    </row>
    <row r="209" spans="1:19" x14ac:dyDescent="0.2">
      <c r="A209" t="s">
        <v>1445</v>
      </c>
      <c r="B209">
        <v>9001257100</v>
      </c>
      <c r="C209" t="s">
        <v>1446</v>
      </c>
      <c r="D209">
        <v>101818</v>
      </c>
      <c r="E209">
        <v>2.48</v>
      </c>
      <c r="F209">
        <v>64654.494650000001</v>
      </c>
      <c r="G209">
        <v>64.653999999999996</v>
      </c>
      <c r="H209">
        <v>0.73</v>
      </c>
      <c r="I209">
        <v>4</v>
      </c>
      <c r="J209">
        <v>1838</v>
      </c>
      <c r="K209">
        <v>0.34113637600000002</v>
      </c>
      <c r="L209">
        <v>0.42399999999999999</v>
      </c>
      <c r="M209">
        <v>3</v>
      </c>
      <c r="N209">
        <v>0.23899999999999999</v>
      </c>
      <c r="O209">
        <v>2</v>
      </c>
      <c r="P209">
        <v>2</v>
      </c>
      <c r="S209" s="57" t="s">
        <v>944</v>
      </c>
    </row>
    <row r="210" spans="1:19" x14ac:dyDescent="0.2">
      <c r="A210" t="s">
        <v>1447</v>
      </c>
      <c r="B210">
        <v>9001257200</v>
      </c>
      <c r="C210" t="s">
        <v>1448</v>
      </c>
      <c r="D210">
        <v>50915</v>
      </c>
      <c r="E210">
        <v>2.88</v>
      </c>
      <c r="F210">
        <v>30001.95147</v>
      </c>
      <c r="G210">
        <v>30.001999999999999</v>
      </c>
      <c r="H210">
        <v>0.16800000000000001</v>
      </c>
      <c r="I210">
        <v>1</v>
      </c>
      <c r="J210">
        <v>1269</v>
      </c>
      <c r="K210">
        <v>0.50756698300000003</v>
      </c>
      <c r="L210">
        <v>0.85499999999999998</v>
      </c>
      <c r="M210">
        <v>5</v>
      </c>
      <c r="N210">
        <v>0.68899999999999995</v>
      </c>
      <c r="O210">
        <v>4</v>
      </c>
      <c r="P210">
        <v>5</v>
      </c>
      <c r="S210" s="59" t="s">
        <v>944</v>
      </c>
    </row>
    <row r="211" spans="1:19" x14ac:dyDescent="0.2">
      <c r="A211" t="s">
        <v>1449</v>
      </c>
      <c r="B211">
        <v>9003330100</v>
      </c>
      <c r="C211" t="s">
        <v>1450</v>
      </c>
      <c r="D211">
        <v>99722</v>
      </c>
      <c r="E211">
        <v>2.6</v>
      </c>
      <c r="F211">
        <v>61844.959009999999</v>
      </c>
      <c r="G211">
        <v>61.844999999999999</v>
      </c>
      <c r="H211">
        <v>0.69</v>
      </c>
      <c r="I211">
        <v>4</v>
      </c>
      <c r="J211">
        <v>1473</v>
      </c>
      <c r="K211">
        <v>0.285811492</v>
      </c>
      <c r="L211">
        <v>0.10199999999999999</v>
      </c>
      <c r="M211">
        <v>1</v>
      </c>
      <c r="N211">
        <v>0.502</v>
      </c>
      <c r="O211">
        <v>3</v>
      </c>
      <c r="P211">
        <v>3</v>
      </c>
      <c r="S211" s="57" t="s">
        <v>944</v>
      </c>
    </row>
    <row r="212" spans="1:19" x14ac:dyDescent="0.2">
      <c r="A212" t="s">
        <v>1451</v>
      </c>
      <c r="B212">
        <v>9003400100</v>
      </c>
      <c r="C212" t="s">
        <v>1452</v>
      </c>
      <c r="D212">
        <v>80725</v>
      </c>
      <c r="E212">
        <v>2.3199999999999998</v>
      </c>
      <c r="F212">
        <v>52998.558960000002</v>
      </c>
      <c r="G212">
        <v>52.999000000000002</v>
      </c>
      <c r="H212">
        <v>0.52100000000000002</v>
      </c>
      <c r="I212">
        <v>3</v>
      </c>
      <c r="J212">
        <v>1365</v>
      </c>
      <c r="K212">
        <v>0.309065007</v>
      </c>
      <c r="L212">
        <v>0.22</v>
      </c>
      <c r="M212">
        <v>2</v>
      </c>
      <c r="N212">
        <v>0.59399999999999997</v>
      </c>
      <c r="O212">
        <v>3</v>
      </c>
      <c r="P212">
        <v>3</v>
      </c>
      <c r="S212" s="59" t="s">
        <v>944</v>
      </c>
    </row>
    <row r="213" spans="1:19" x14ac:dyDescent="0.2">
      <c r="A213" t="s">
        <v>1453</v>
      </c>
      <c r="B213">
        <v>9003400200</v>
      </c>
      <c r="C213" t="s">
        <v>1454</v>
      </c>
      <c r="D213">
        <v>133417</v>
      </c>
      <c r="E213">
        <v>2.79</v>
      </c>
      <c r="F213">
        <v>79874.668600000005</v>
      </c>
      <c r="G213">
        <v>79.875</v>
      </c>
      <c r="H213">
        <v>0.876</v>
      </c>
      <c r="I213">
        <v>5</v>
      </c>
      <c r="J213">
        <v>1791</v>
      </c>
      <c r="K213">
        <v>0.26907153900000003</v>
      </c>
      <c r="L213">
        <v>0.06</v>
      </c>
      <c r="M213">
        <v>1</v>
      </c>
      <c r="N213">
        <v>0.25800000000000001</v>
      </c>
      <c r="O213">
        <v>2</v>
      </c>
      <c r="P213">
        <v>2</v>
      </c>
      <c r="S213" s="57" t="s">
        <v>944</v>
      </c>
    </row>
    <row r="214" spans="1:19" x14ac:dyDescent="0.2">
      <c r="A214" t="s">
        <v>1455</v>
      </c>
      <c r="B214">
        <v>9003400300</v>
      </c>
      <c r="C214" t="s">
        <v>1456</v>
      </c>
      <c r="D214">
        <v>99743</v>
      </c>
      <c r="E214">
        <v>2.4500000000000002</v>
      </c>
      <c r="F214">
        <v>63723.465219999998</v>
      </c>
      <c r="G214">
        <v>63.722999999999999</v>
      </c>
      <c r="H214">
        <v>0.71399999999999997</v>
      </c>
      <c r="I214">
        <v>4</v>
      </c>
      <c r="J214">
        <v>1591</v>
      </c>
      <c r="K214">
        <v>0.29960705900000001</v>
      </c>
      <c r="L214">
        <v>0.16700000000000001</v>
      </c>
      <c r="M214">
        <v>1</v>
      </c>
      <c r="N214">
        <v>0.39100000000000001</v>
      </c>
      <c r="O214">
        <v>2</v>
      </c>
      <c r="P214">
        <v>2</v>
      </c>
      <c r="S214" s="59" t="s">
        <v>944</v>
      </c>
    </row>
    <row r="215" spans="1:19" x14ac:dyDescent="0.2">
      <c r="A215" t="s">
        <v>1457</v>
      </c>
      <c r="B215">
        <v>9003405100</v>
      </c>
      <c r="C215" t="s">
        <v>1458</v>
      </c>
      <c r="D215">
        <v>70217</v>
      </c>
      <c r="E215">
        <v>2.73</v>
      </c>
      <c r="F215">
        <v>42497.261659999996</v>
      </c>
      <c r="G215">
        <v>42.497</v>
      </c>
      <c r="H215">
        <v>0.33100000000000002</v>
      </c>
      <c r="I215">
        <v>2</v>
      </c>
      <c r="J215">
        <v>1254</v>
      </c>
      <c r="K215">
        <v>0.35409340299999997</v>
      </c>
      <c r="L215">
        <v>0.502</v>
      </c>
      <c r="M215">
        <v>3</v>
      </c>
      <c r="N215">
        <v>0.71299999999999997</v>
      </c>
      <c r="O215">
        <v>4</v>
      </c>
      <c r="P215">
        <v>4</v>
      </c>
      <c r="S215" s="57" t="s">
        <v>944</v>
      </c>
    </row>
    <row r="216" spans="1:19" x14ac:dyDescent="0.2">
      <c r="A216" t="s">
        <v>1459</v>
      </c>
      <c r="B216">
        <v>9003405200</v>
      </c>
      <c r="C216" t="s">
        <v>1460</v>
      </c>
      <c r="D216">
        <v>66331</v>
      </c>
      <c r="E216">
        <v>2.11</v>
      </c>
      <c r="F216">
        <v>45664.14359</v>
      </c>
      <c r="G216">
        <v>45.664000000000001</v>
      </c>
      <c r="H216">
        <v>0.377</v>
      </c>
      <c r="I216">
        <v>2</v>
      </c>
      <c r="J216">
        <v>1014</v>
      </c>
      <c r="K216">
        <v>0.266467277</v>
      </c>
      <c r="L216">
        <v>5.5E-2</v>
      </c>
      <c r="M216">
        <v>1</v>
      </c>
      <c r="N216">
        <v>0.93200000000000005</v>
      </c>
      <c r="O216">
        <v>5</v>
      </c>
      <c r="P216">
        <v>5</v>
      </c>
      <c r="S216" s="59" t="s">
        <v>944</v>
      </c>
    </row>
    <row r="217" spans="1:19" x14ac:dyDescent="0.2">
      <c r="A217" t="s">
        <v>1461</v>
      </c>
      <c r="B217">
        <v>9003405300</v>
      </c>
      <c r="C217" t="s">
        <v>1462</v>
      </c>
      <c r="D217">
        <v>59552</v>
      </c>
      <c r="E217">
        <v>2.4700000000000002</v>
      </c>
      <c r="F217">
        <v>37892.030200000001</v>
      </c>
      <c r="G217">
        <v>37.892000000000003</v>
      </c>
      <c r="H217">
        <v>0.26400000000000001</v>
      </c>
      <c r="I217">
        <v>2</v>
      </c>
      <c r="J217">
        <v>1164</v>
      </c>
      <c r="K217">
        <v>0.36862632899999997</v>
      </c>
      <c r="L217">
        <v>0.58699999999999997</v>
      </c>
      <c r="M217">
        <v>3</v>
      </c>
      <c r="N217">
        <v>0.81299999999999994</v>
      </c>
      <c r="O217">
        <v>5</v>
      </c>
      <c r="P217">
        <v>5</v>
      </c>
      <c r="S217" s="57" t="s">
        <v>944</v>
      </c>
    </row>
    <row r="218" spans="1:19" x14ac:dyDescent="0.2">
      <c r="A218" t="s">
        <v>1463</v>
      </c>
      <c r="B218">
        <v>9003405401</v>
      </c>
      <c r="C218" t="s">
        <v>1464</v>
      </c>
      <c r="D218">
        <v>82266</v>
      </c>
      <c r="E218">
        <v>2.5299999999999998</v>
      </c>
      <c r="F218">
        <v>51720.191070000001</v>
      </c>
      <c r="G218">
        <v>51.72</v>
      </c>
      <c r="H218">
        <v>0.49399999999999999</v>
      </c>
      <c r="I218">
        <v>3</v>
      </c>
      <c r="J218">
        <v>1596</v>
      </c>
      <c r="K218">
        <v>0.37030025599999999</v>
      </c>
      <c r="L218">
        <v>0.59099999999999997</v>
      </c>
      <c r="M218">
        <v>3</v>
      </c>
      <c r="N218">
        <v>0.38500000000000001</v>
      </c>
      <c r="O218">
        <v>2</v>
      </c>
      <c r="P218">
        <v>3</v>
      </c>
      <c r="S218" s="59" t="s">
        <v>944</v>
      </c>
    </row>
    <row r="219" spans="1:19" x14ac:dyDescent="0.2">
      <c r="A219" t="s">
        <v>1465</v>
      </c>
      <c r="B219">
        <v>9003405402</v>
      </c>
      <c r="C219" t="s">
        <v>1466</v>
      </c>
      <c r="D219">
        <v>62212</v>
      </c>
      <c r="E219">
        <v>1.82</v>
      </c>
      <c r="F219">
        <v>46114.602489999997</v>
      </c>
      <c r="G219">
        <v>46.115000000000002</v>
      </c>
      <c r="H219">
        <v>0.38800000000000001</v>
      </c>
      <c r="I219">
        <v>2</v>
      </c>
      <c r="J219">
        <v>1094</v>
      </c>
      <c r="K219">
        <v>0.28468205899999999</v>
      </c>
      <c r="L219">
        <v>9.8000000000000004E-2</v>
      </c>
      <c r="M219">
        <v>1</v>
      </c>
      <c r="N219">
        <v>0.88100000000000001</v>
      </c>
      <c r="O219">
        <v>5</v>
      </c>
      <c r="P219">
        <v>5</v>
      </c>
      <c r="S219" s="57" t="s">
        <v>944</v>
      </c>
    </row>
    <row r="220" spans="1:19" x14ac:dyDescent="0.2">
      <c r="A220" t="s">
        <v>1467</v>
      </c>
      <c r="B220">
        <v>9003405500</v>
      </c>
      <c r="C220" t="s">
        <v>1468</v>
      </c>
      <c r="D220">
        <v>76318</v>
      </c>
      <c r="E220">
        <v>2.4700000000000002</v>
      </c>
      <c r="F220">
        <v>48559.980539999997</v>
      </c>
      <c r="G220">
        <v>48.56</v>
      </c>
      <c r="H220">
        <v>0.443</v>
      </c>
      <c r="I220">
        <v>3</v>
      </c>
      <c r="J220">
        <v>1269</v>
      </c>
      <c r="K220">
        <v>0.31359155900000002</v>
      </c>
      <c r="L220">
        <v>0.245</v>
      </c>
      <c r="M220">
        <v>2</v>
      </c>
      <c r="N220">
        <v>0.68899999999999995</v>
      </c>
      <c r="O220">
        <v>4</v>
      </c>
      <c r="P220">
        <v>4</v>
      </c>
      <c r="S220" s="59" t="s">
        <v>944</v>
      </c>
    </row>
    <row r="221" spans="1:19" x14ac:dyDescent="0.2">
      <c r="A221" t="s">
        <v>1469</v>
      </c>
      <c r="B221">
        <v>9003405600</v>
      </c>
      <c r="C221" t="s">
        <v>1470</v>
      </c>
      <c r="D221">
        <v>63167</v>
      </c>
      <c r="E221">
        <v>2.74</v>
      </c>
      <c r="F221">
        <v>38160.580269999999</v>
      </c>
      <c r="G221">
        <v>38.161000000000001</v>
      </c>
      <c r="H221">
        <v>0.26700000000000002</v>
      </c>
      <c r="I221">
        <v>2</v>
      </c>
      <c r="J221">
        <v>1345</v>
      </c>
      <c r="K221">
        <v>0.42294954299999998</v>
      </c>
      <c r="L221">
        <v>0.73899999999999999</v>
      </c>
      <c r="M221">
        <v>4</v>
      </c>
      <c r="N221">
        <v>0.61099999999999999</v>
      </c>
      <c r="O221">
        <v>4</v>
      </c>
      <c r="P221">
        <v>4</v>
      </c>
      <c r="S221" s="57" t="s">
        <v>944</v>
      </c>
    </row>
    <row r="222" spans="1:19" x14ac:dyDescent="0.2">
      <c r="A222" t="s">
        <v>1471</v>
      </c>
      <c r="B222">
        <v>9003405700</v>
      </c>
      <c r="C222" t="s">
        <v>1472</v>
      </c>
      <c r="D222">
        <v>43393</v>
      </c>
      <c r="E222">
        <v>2.1</v>
      </c>
      <c r="F222">
        <v>29944.01482</v>
      </c>
      <c r="G222">
        <v>29.943999999999999</v>
      </c>
      <c r="H222">
        <v>0.16700000000000001</v>
      </c>
      <c r="I222">
        <v>1</v>
      </c>
      <c r="J222">
        <v>1098</v>
      </c>
      <c r="K222">
        <v>0.440021155</v>
      </c>
      <c r="L222">
        <v>0.76800000000000002</v>
      </c>
      <c r="M222">
        <v>4</v>
      </c>
      <c r="N222">
        <v>0.875</v>
      </c>
      <c r="O222">
        <v>5</v>
      </c>
      <c r="P222">
        <v>5</v>
      </c>
      <c r="S222" s="59" t="s">
        <v>936</v>
      </c>
    </row>
    <row r="223" spans="1:19" x14ac:dyDescent="0.2">
      <c r="A223" t="s">
        <v>1473</v>
      </c>
      <c r="B223">
        <v>9003405800</v>
      </c>
      <c r="C223" t="s">
        <v>1474</v>
      </c>
      <c r="D223">
        <v>85524</v>
      </c>
      <c r="E223">
        <v>2.5499999999999998</v>
      </c>
      <c r="F223">
        <v>53557.206270000002</v>
      </c>
      <c r="G223">
        <v>53.557000000000002</v>
      </c>
      <c r="H223">
        <v>0.53200000000000003</v>
      </c>
      <c r="I223">
        <v>3</v>
      </c>
      <c r="J223">
        <v>1496</v>
      </c>
      <c r="K223">
        <v>0.33519298800000003</v>
      </c>
      <c r="L223">
        <v>0.39700000000000002</v>
      </c>
      <c r="M223">
        <v>2</v>
      </c>
      <c r="N223">
        <v>0.47599999999999998</v>
      </c>
      <c r="O223">
        <v>3</v>
      </c>
      <c r="P223">
        <v>3</v>
      </c>
      <c r="S223" s="57" t="s">
        <v>944</v>
      </c>
    </row>
    <row r="224" spans="1:19" x14ac:dyDescent="0.2">
      <c r="A224" t="s">
        <v>1475</v>
      </c>
      <c r="B224">
        <v>9003405900</v>
      </c>
      <c r="C224" t="s">
        <v>1476</v>
      </c>
      <c r="D224">
        <v>91250</v>
      </c>
      <c r="E224">
        <v>2.65</v>
      </c>
      <c r="F224">
        <v>56054.429409999997</v>
      </c>
      <c r="G224">
        <v>56.054000000000002</v>
      </c>
      <c r="H224">
        <v>0.58199999999999996</v>
      </c>
      <c r="I224">
        <v>3</v>
      </c>
      <c r="J224">
        <v>1361</v>
      </c>
      <c r="K224">
        <v>0.29135966899999999</v>
      </c>
      <c r="L224">
        <v>0.124</v>
      </c>
      <c r="M224">
        <v>1</v>
      </c>
      <c r="N224">
        <v>0.59799999999999998</v>
      </c>
      <c r="O224">
        <v>3</v>
      </c>
      <c r="P224">
        <v>3</v>
      </c>
      <c r="S224" s="59" t="s">
        <v>944</v>
      </c>
    </row>
    <row r="225" spans="1:19" x14ac:dyDescent="0.2">
      <c r="A225" t="s">
        <v>1477</v>
      </c>
      <c r="B225">
        <v>9003406001</v>
      </c>
      <c r="C225" t="s">
        <v>1478</v>
      </c>
      <c r="D225">
        <v>50799</v>
      </c>
      <c r="E225">
        <v>2.46</v>
      </c>
      <c r="F225">
        <v>32388.259450000001</v>
      </c>
      <c r="G225">
        <v>32.387999999999998</v>
      </c>
      <c r="H225">
        <v>0.20399999999999999</v>
      </c>
      <c r="I225">
        <v>2</v>
      </c>
      <c r="J225">
        <v>1107</v>
      </c>
      <c r="K225">
        <v>0.41014862299999999</v>
      </c>
      <c r="L225">
        <v>0.70399999999999996</v>
      </c>
      <c r="M225">
        <v>4</v>
      </c>
      <c r="N225">
        <v>0.86899999999999999</v>
      </c>
      <c r="O225">
        <v>5</v>
      </c>
      <c r="P225">
        <v>5</v>
      </c>
      <c r="S225" s="57" t="s">
        <v>944</v>
      </c>
    </row>
    <row r="226" spans="1:19" x14ac:dyDescent="0.2">
      <c r="A226" t="s">
        <v>1479</v>
      </c>
      <c r="B226">
        <v>9003406002</v>
      </c>
      <c r="C226" t="s">
        <v>1480</v>
      </c>
      <c r="D226">
        <v>82702</v>
      </c>
      <c r="E226">
        <v>2.27</v>
      </c>
      <c r="F226">
        <v>54891.245320000002</v>
      </c>
      <c r="G226">
        <v>54.890999999999998</v>
      </c>
      <c r="H226">
        <v>0.55600000000000005</v>
      </c>
      <c r="I226">
        <v>3</v>
      </c>
      <c r="J226">
        <v>1362</v>
      </c>
      <c r="K226">
        <v>0.297752399</v>
      </c>
      <c r="L226">
        <v>0.155</v>
      </c>
      <c r="M226">
        <v>1</v>
      </c>
      <c r="N226">
        <v>0.59699999999999998</v>
      </c>
      <c r="O226">
        <v>3</v>
      </c>
      <c r="P226">
        <v>3</v>
      </c>
      <c r="S226" s="59" t="s">
        <v>944</v>
      </c>
    </row>
    <row r="227" spans="1:19" x14ac:dyDescent="0.2">
      <c r="A227" t="s">
        <v>1481</v>
      </c>
      <c r="B227">
        <v>9003406100</v>
      </c>
      <c r="C227" t="s">
        <v>1482</v>
      </c>
      <c r="D227">
        <v>45903</v>
      </c>
      <c r="E227">
        <v>2.25</v>
      </c>
      <c r="F227">
        <v>30602</v>
      </c>
      <c r="G227">
        <v>30.602</v>
      </c>
      <c r="H227">
        <v>0.17799999999999999</v>
      </c>
      <c r="I227">
        <v>1</v>
      </c>
      <c r="J227">
        <v>993</v>
      </c>
      <c r="K227">
        <v>0.38938631499999998</v>
      </c>
      <c r="L227">
        <v>0.66100000000000003</v>
      </c>
      <c r="M227">
        <v>4</v>
      </c>
      <c r="N227">
        <v>0.94599999999999995</v>
      </c>
      <c r="O227">
        <v>5</v>
      </c>
      <c r="P227">
        <v>5</v>
      </c>
      <c r="S227" s="57" t="s">
        <v>936</v>
      </c>
    </row>
    <row r="228" spans="1:19" x14ac:dyDescent="0.2">
      <c r="A228" t="s">
        <v>1483</v>
      </c>
      <c r="B228">
        <v>9003410101</v>
      </c>
      <c r="C228" t="s">
        <v>1484</v>
      </c>
      <c r="D228">
        <v>117401</v>
      </c>
      <c r="E228">
        <v>2.77</v>
      </c>
      <c r="F228">
        <v>70539.424419999996</v>
      </c>
      <c r="G228">
        <v>70.539000000000001</v>
      </c>
      <c r="H228">
        <v>0.80900000000000005</v>
      </c>
      <c r="I228">
        <v>5</v>
      </c>
      <c r="J228">
        <v>1833</v>
      </c>
      <c r="K228">
        <v>0.311825623</v>
      </c>
      <c r="L228">
        <v>0.23400000000000001</v>
      </c>
      <c r="M228">
        <v>2</v>
      </c>
      <c r="N228">
        <v>0.24099999999999999</v>
      </c>
      <c r="O228">
        <v>2</v>
      </c>
      <c r="P228">
        <v>2</v>
      </c>
      <c r="S228" s="59" t="s">
        <v>944</v>
      </c>
    </row>
    <row r="229" spans="1:19" x14ac:dyDescent="0.2">
      <c r="A229" t="s">
        <v>1485</v>
      </c>
      <c r="B229">
        <v>9003410102</v>
      </c>
      <c r="C229" t="s">
        <v>1486</v>
      </c>
      <c r="D229">
        <v>136719</v>
      </c>
      <c r="E229">
        <v>2.81</v>
      </c>
      <c r="F229">
        <v>81559.717569999993</v>
      </c>
      <c r="G229">
        <v>81.56</v>
      </c>
      <c r="H229">
        <v>0.89300000000000002</v>
      </c>
      <c r="I229">
        <v>5</v>
      </c>
      <c r="J229">
        <v>1985</v>
      </c>
      <c r="K229">
        <v>0.29205594000000001</v>
      </c>
      <c r="L229">
        <v>0.127</v>
      </c>
      <c r="M229">
        <v>1</v>
      </c>
      <c r="N229">
        <v>0.16700000000000001</v>
      </c>
      <c r="O229">
        <v>1</v>
      </c>
      <c r="P229">
        <v>1</v>
      </c>
      <c r="S229" s="57" t="s">
        <v>944</v>
      </c>
    </row>
    <row r="230" spans="1:19" x14ac:dyDescent="0.2">
      <c r="A230" t="s">
        <v>1487</v>
      </c>
      <c r="B230">
        <v>9003415300</v>
      </c>
      <c r="C230" t="s">
        <v>1488</v>
      </c>
      <c r="D230">
        <v>33049</v>
      </c>
      <c r="E230">
        <v>2.41</v>
      </c>
      <c r="F230">
        <v>21288.732349999998</v>
      </c>
      <c r="G230">
        <v>21.289000000000001</v>
      </c>
      <c r="H230">
        <v>7.3999999999999996E-2</v>
      </c>
      <c r="I230">
        <v>1</v>
      </c>
      <c r="J230">
        <v>1054</v>
      </c>
      <c r="K230">
        <v>0.59411710299999998</v>
      </c>
      <c r="L230">
        <v>0.91600000000000004</v>
      </c>
      <c r="M230">
        <v>5</v>
      </c>
      <c r="N230">
        <v>0.90600000000000003</v>
      </c>
      <c r="O230">
        <v>5</v>
      </c>
      <c r="P230">
        <v>5</v>
      </c>
      <c r="S230" s="59" t="s">
        <v>936</v>
      </c>
    </row>
    <row r="231" spans="1:19" x14ac:dyDescent="0.2">
      <c r="A231" t="s">
        <v>1489</v>
      </c>
      <c r="B231">
        <v>9003415400</v>
      </c>
      <c r="C231" t="s">
        <v>1490</v>
      </c>
      <c r="D231">
        <v>45828</v>
      </c>
      <c r="E231">
        <v>2.64</v>
      </c>
      <c r="F231">
        <v>28205.184239999999</v>
      </c>
      <c r="G231">
        <v>28.204999999999998</v>
      </c>
      <c r="H231">
        <v>0.14399999999999999</v>
      </c>
      <c r="I231">
        <v>1</v>
      </c>
      <c r="J231">
        <v>1129</v>
      </c>
      <c r="K231">
        <v>0.480337228</v>
      </c>
      <c r="L231">
        <v>0.82199999999999995</v>
      </c>
      <c r="M231">
        <v>5</v>
      </c>
      <c r="N231">
        <v>0.84</v>
      </c>
      <c r="O231">
        <v>5</v>
      </c>
      <c r="P231">
        <v>5</v>
      </c>
      <c r="S231" s="57" t="s">
        <v>936</v>
      </c>
    </row>
    <row r="232" spans="1:19" x14ac:dyDescent="0.2">
      <c r="A232" t="s">
        <v>1491</v>
      </c>
      <c r="B232">
        <v>9003415500</v>
      </c>
      <c r="C232" t="s">
        <v>1492</v>
      </c>
      <c r="D232">
        <v>33056</v>
      </c>
      <c r="E232">
        <v>2.65</v>
      </c>
      <c r="F232">
        <v>20306.139380000001</v>
      </c>
      <c r="G232">
        <v>20.306000000000001</v>
      </c>
      <c r="H232">
        <v>6.0999999999999999E-2</v>
      </c>
      <c r="I232">
        <v>1</v>
      </c>
      <c r="J232">
        <v>1190</v>
      </c>
      <c r="K232">
        <v>0.70323559499999999</v>
      </c>
      <c r="L232">
        <v>0.96699999999999997</v>
      </c>
      <c r="M232">
        <v>5</v>
      </c>
      <c r="N232">
        <v>0.78200000000000003</v>
      </c>
      <c r="O232">
        <v>4</v>
      </c>
      <c r="P232">
        <v>5</v>
      </c>
      <c r="S232" s="59" t="s">
        <v>936</v>
      </c>
    </row>
    <row r="233" spans="1:19" x14ac:dyDescent="0.2">
      <c r="A233" t="s">
        <v>1493</v>
      </c>
      <c r="B233">
        <v>9003415600</v>
      </c>
      <c r="C233" t="s">
        <v>1494</v>
      </c>
      <c r="D233">
        <v>49125</v>
      </c>
      <c r="E233">
        <v>2.8</v>
      </c>
      <c r="F233">
        <v>29357.80272</v>
      </c>
      <c r="G233">
        <v>29.358000000000001</v>
      </c>
      <c r="H233">
        <v>0.161</v>
      </c>
      <c r="I233">
        <v>1</v>
      </c>
      <c r="J233">
        <v>1072</v>
      </c>
      <c r="K233">
        <v>0.43817993199999999</v>
      </c>
      <c r="L233">
        <v>0.76700000000000002</v>
      </c>
      <c r="M233">
        <v>4</v>
      </c>
      <c r="N233">
        <v>0.89500000000000002</v>
      </c>
      <c r="O233">
        <v>5</v>
      </c>
      <c r="P233">
        <v>5</v>
      </c>
      <c r="S233" s="57" t="s">
        <v>944</v>
      </c>
    </row>
    <row r="234" spans="1:19" x14ac:dyDescent="0.2">
      <c r="A234" t="s">
        <v>1495</v>
      </c>
      <c r="B234">
        <v>9003415700</v>
      </c>
      <c r="C234" t="s">
        <v>1496</v>
      </c>
      <c r="D234">
        <v>49583</v>
      </c>
      <c r="E234">
        <v>2.44</v>
      </c>
      <c r="F234">
        <v>31742.26309</v>
      </c>
      <c r="G234">
        <v>31.742000000000001</v>
      </c>
      <c r="H234">
        <v>0.19800000000000001</v>
      </c>
      <c r="I234">
        <v>1</v>
      </c>
      <c r="J234">
        <v>1087</v>
      </c>
      <c r="K234">
        <v>0.41093478300000003</v>
      </c>
      <c r="L234">
        <v>0.70599999999999996</v>
      </c>
      <c r="M234">
        <v>4</v>
      </c>
      <c r="N234">
        <v>0.88400000000000001</v>
      </c>
      <c r="O234">
        <v>5</v>
      </c>
      <c r="P234">
        <v>5</v>
      </c>
      <c r="S234" s="59" t="s">
        <v>944</v>
      </c>
    </row>
    <row r="235" spans="1:19" x14ac:dyDescent="0.2">
      <c r="A235" t="s">
        <v>1497</v>
      </c>
      <c r="B235">
        <v>9003415800</v>
      </c>
      <c r="C235" t="s">
        <v>1498</v>
      </c>
      <c r="D235">
        <v>48824</v>
      </c>
      <c r="E235">
        <v>2.42</v>
      </c>
      <c r="F235">
        <v>31385.2559</v>
      </c>
      <c r="G235">
        <v>31.385000000000002</v>
      </c>
      <c r="H235">
        <v>0.19500000000000001</v>
      </c>
      <c r="I235">
        <v>1</v>
      </c>
      <c r="J235">
        <v>1157</v>
      </c>
      <c r="K235">
        <v>0.44237332499999998</v>
      </c>
      <c r="L235">
        <v>0.77400000000000002</v>
      </c>
      <c r="M235">
        <v>4</v>
      </c>
      <c r="N235">
        <v>0.81699999999999995</v>
      </c>
      <c r="O235">
        <v>5</v>
      </c>
      <c r="P235">
        <v>5</v>
      </c>
      <c r="S235" s="57" t="s">
        <v>944</v>
      </c>
    </row>
    <row r="236" spans="1:19" x14ac:dyDescent="0.2">
      <c r="A236" t="s">
        <v>1499</v>
      </c>
      <c r="B236">
        <v>9003415900</v>
      </c>
      <c r="C236" t="s">
        <v>1500</v>
      </c>
      <c r="D236">
        <v>28636</v>
      </c>
      <c r="E236">
        <v>1.93</v>
      </c>
      <c r="F236">
        <v>20612.643840000001</v>
      </c>
      <c r="G236">
        <v>20.613</v>
      </c>
      <c r="H236">
        <v>6.3E-2</v>
      </c>
      <c r="I236">
        <v>1</v>
      </c>
      <c r="J236">
        <v>887</v>
      </c>
      <c r="K236">
        <v>0.51638208500000005</v>
      </c>
      <c r="L236">
        <v>0.86299999999999999</v>
      </c>
      <c r="M236">
        <v>5</v>
      </c>
      <c r="N236">
        <v>0.97499999999999998</v>
      </c>
      <c r="O236">
        <v>5</v>
      </c>
      <c r="P236">
        <v>5</v>
      </c>
      <c r="S236" s="59" t="s">
        <v>936</v>
      </c>
    </row>
    <row r="237" spans="1:19" x14ac:dyDescent="0.2">
      <c r="A237" t="s">
        <v>1501</v>
      </c>
      <c r="B237">
        <v>9003416000</v>
      </c>
      <c r="C237" t="s">
        <v>1502</v>
      </c>
      <c r="D237">
        <v>41616</v>
      </c>
      <c r="E237">
        <v>2.63</v>
      </c>
      <c r="F237">
        <v>25661.52493</v>
      </c>
      <c r="G237">
        <v>25.661999999999999</v>
      </c>
      <c r="H237">
        <v>0.121</v>
      </c>
      <c r="I237">
        <v>1</v>
      </c>
      <c r="J237">
        <v>886</v>
      </c>
      <c r="K237">
        <v>0.41431676499999998</v>
      </c>
      <c r="L237">
        <v>0.71199999999999997</v>
      </c>
      <c r="M237">
        <v>4</v>
      </c>
      <c r="N237">
        <v>0.97599999999999998</v>
      </c>
      <c r="O237">
        <v>5</v>
      </c>
      <c r="P237">
        <v>5</v>
      </c>
      <c r="S237" s="57" t="s">
        <v>936</v>
      </c>
    </row>
    <row r="238" spans="1:19" x14ac:dyDescent="0.2">
      <c r="A238" t="s">
        <v>1503</v>
      </c>
      <c r="B238">
        <v>9003416100</v>
      </c>
      <c r="C238" t="s">
        <v>1504</v>
      </c>
      <c r="D238">
        <v>30293</v>
      </c>
      <c r="E238">
        <v>2.54</v>
      </c>
      <c r="F238">
        <v>19007.51871</v>
      </c>
      <c r="G238">
        <v>19.007999999999999</v>
      </c>
      <c r="H238">
        <v>4.9000000000000002E-2</v>
      </c>
      <c r="I238">
        <v>1</v>
      </c>
      <c r="J238">
        <v>1025</v>
      </c>
      <c r="K238">
        <v>0.64711234500000003</v>
      </c>
      <c r="L238">
        <v>0.94599999999999995</v>
      </c>
      <c r="M238">
        <v>5</v>
      </c>
      <c r="N238">
        <v>0.92400000000000004</v>
      </c>
      <c r="O238">
        <v>5</v>
      </c>
      <c r="P238">
        <v>5</v>
      </c>
      <c r="S238" s="59" t="s">
        <v>936</v>
      </c>
    </row>
    <row r="239" spans="1:19" x14ac:dyDescent="0.2">
      <c r="A239" t="s">
        <v>1505</v>
      </c>
      <c r="B239">
        <v>9003416200</v>
      </c>
      <c r="C239" t="s">
        <v>1506</v>
      </c>
      <c r="D239">
        <v>35463</v>
      </c>
      <c r="E239">
        <v>2.4</v>
      </c>
      <c r="F239">
        <v>22891.268069999998</v>
      </c>
      <c r="G239">
        <v>22.890999999999998</v>
      </c>
      <c r="H239">
        <v>9.2999999999999999E-2</v>
      </c>
      <c r="I239">
        <v>1</v>
      </c>
      <c r="J239">
        <v>998</v>
      </c>
      <c r="K239">
        <v>0.52316892000000004</v>
      </c>
      <c r="L239">
        <v>0.86699999999999999</v>
      </c>
      <c r="M239">
        <v>5</v>
      </c>
      <c r="N239">
        <v>0.94299999999999995</v>
      </c>
      <c r="O239">
        <v>5</v>
      </c>
      <c r="P239">
        <v>5</v>
      </c>
      <c r="S239" s="57" t="s">
        <v>936</v>
      </c>
    </row>
    <row r="240" spans="1:19" x14ac:dyDescent="0.2">
      <c r="A240" t="s">
        <v>1507</v>
      </c>
      <c r="B240">
        <v>9003416300</v>
      </c>
      <c r="C240" t="s">
        <v>1508</v>
      </c>
      <c r="D240">
        <v>37463</v>
      </c>
      <c r="E240">
        <v>2.5499999999999998</v>
      </c>
      <c r="F240">
        <v>23460.24062</v>
      </c>
      <c r="G240">
        <v>23.46</v>
      </c>
      <c r="H240">
        <v>9.9000000000000005E-2</v>
      </c>
      <c r="I240">
        <v>1</v>
      </c>
      <c r="J240">
        <v>946</v>
      </c>
      <c r="K240">
        <v>0.48388250500000002</v>
      </c>
      <c r="L240">
        <v>0.82599999999999996</v>
      </c>
      <c r="M240">
        <v>5</v>
      </c>
      <c r="N240">
        <v>0.96299999999999997</v>
      </c>
      <c r="O240">
        <v>5</v>
      </c>
      <c r="P240">
        <v>5</v>
      </c>
      <c r="S240" s="59" t="s">
        <v>936</v>
      </c>
    </row>
    <row r="241" spans="1:19" x14ac:dyDescent="0.2">
      <c r="A241" t="s">
        <v>1509</v>
      </c>
      <c r="B241">
        <v>9003416400</v>
      </c>
      <c r="C241" t="s">
        <v>1510</v>
      </c>
      <c r="D241">
        <v>96658</v>
      </c>
      <c r="E241">
        <v>2.59</v>
      </c>
      <c r="F241">
        <v>60060.358840000001</v>
      </c>
      <c r="G241">
        <v>60.06</v>
      </c>
      <c r="H241">
        <v>0.65600000000000003</v>
      </c>
      <c r="I241">
        <v>4</v>
      </c>
      <c r="J241">
        <v>1560</v>
      </c>
      <c r="K241">
        <v>0.31168644899999998</v>
      </c>
      <c r="L241">
        <v>0.23300000000000001</v>
      </c>
      <c r="M241">
        <v>2</v>
      </c>
      <c r="N241">
        <v>0.42</v>
      </c>
      <c r="O241">
        <v>3</v>
      </c>
      <c r="P241">
        <v>3</v>
      </c>
      <c r="S241" s="57" t="s">
        <v>944</v>
      </c>
    </row>
    <row r="242" spans="1:19" x14ac:dyDescent="0.2">
      <c r="A242" t="s">
        <v>1511</v>
      </c>
      <c r="B242">
        <v>9003416500</v>
      </c>
      <c r="C242" t="s">
        <v>1512</v>
      </c>
      <c r="D242">
        <v>53617</v>
      </c>
      <c r="E242">
        <v>2.71</v>
      </c>
      <c r="F242">
        <v>32570.007989999998</v>
      </c>
      <c r="G242">
        <v>32.57</v>
      </c>
      <c r="H242">
        <v>0.20699999999999999</v>
      </c>
      <c r="I242">
        <v>2</v>
      </c>
      <c r="J242">
        <v>1244</v>
      </c>
      <c r="K242">
        <v>0.458335779</v>
      </c>
      <c r="L242">
        <v>0.79600000000000004</v>
      </c>
      <c r="M242">
        <v>4</v>
      </c>
      <c r="N242">
        <v>0.71899999999999997</v>
      </c>
      <c r="O242">
        <v>4</v>
      </c>
      <c r="P242">
        <v>4</v>
      </c>
      <c r="S242" s="59" t="s">
        <v>944</v>
      </c>
    </row>
    <row r="243" spans="1:19" x14ac:dyDescent="0.2">
      <c r="A243" t="s">
        <v>1513</v>
      </c>
      <c r="B243">
        <v>9003416600</v>
      </c>
      <c r="C243" t="s">
        <v>1514</v>
      </c>
      <c r="D243">
        <v>30563</v>
      </c>
      <c r="E243">
        <v>2.4500000000000002</v>
      </c>
      <c r="F243">
        <v>19525.98446</v>
      </c>
      <c r="G243">
        <v>19.526</v>
      </c>
      <c r="H243">
        <v>5.2999999999999999E-2</v>
      </c>
      <c r="I243">
        <v>1</v>
      </c>
      <c r="J243">
        <v>947</v>
      </c>
      <c r="K243">
        <v>0.58199370299999997</v>
      </c>
      <c r="L243">
        <v>0.90900000000000003</v>
      </c>
      <c r="M243">
        <v>5</v>
      </c>
      <c r="N243">
        <v>0.96</v>
      </c>
      <c r="O243">
        <v>5</v>
      </c>
      <c r="P243">
        <v>5</v>
      </c>
      <c r="S243" s="57" t="s">
        <v>936</v>
      </c>
    </row>
    <row r="244" spans="1:19" x14ac:dyDescent="0.2">
      <c r="A244" t="s">
        <v>1515</v>
      </c>
      <c r="B244">
        <v>9003416700</v>
      </c>
      <c r="C244" t="s">
        <v>1516</v>
      </c>
      <c r="D244">
        <v>46326</v>
      </c>
      <c r="E244">
        <v>2.54</v>
      </c>
      <c r="F244">
        <v>29067.517629999998</v>
      </c>
      <c r="G244">
        <v>29.068000000000001</v>
      </c>
      <c r="H244">
        <v>0.153</v>
      </c>
      <c r="I244">
        <v>1</v>
      </c>
      <c r="J244">
        <v>1198</v>
      </c>
      <c r="K244">
        <v>0.49457267700000002</v>
      </c>
      <c r="L244">
        <v>0.83799999999999997</v>
      </c>
      <c r="M244">
        <v>5</v>
      </c>
      <c r="N244">
        <v>0.76700000000000002</v>
      </c>
      <c r="O244">
        <v>4</v>
      </c>
      <c r="P244">
        <v>5</v>
      </c>
      <c r="S244" s="59" t="s">
        <v>936</v>
      </c>
    </row>
    <row r="245" spans="1:19" x14ac:dyDescent="0.2">
      <c r="A245" t="s">
        <v>1517</v>
      </c>
      <c r="B245">
        <v>9003416800</v>
      </c>
      <c r="C245" t="s">
        <v>1518</v>
      </c>
      <c r="D245">
        <v>62788</v>
      </c>
      <c r="E245">
        <v>2.44</v>
      </c>
      <c r="F245">
        <v>40195.898090000002</v>
      </c>
      <c r="G245">
        <v>40.195999999999998</v>
      </c>
      <c r="H245">
        <v>0.29599999999999999</v>
      </c>
      <c r="I245">
        <v>2</v>
      </c>
      <c r="J245">
        <v>1102</v>
      </c>
      <c r="K245">
        <v>0.328988793</v>
      </c>
      <c r="L245">
        <v>0.34599999999999997</v>
      </c>
      <c r="M245">
        <v>2</v>
      </c>
      <c r="N245">
        <v>0.874</v>
      </c>
      <c r="O245">
        <v>5</v>
      </c>
      <c r="P245">
        <v>5</v>
      </c>
      <c r="S245" s="57" t="s">
        <v>944</v>
      </c>
    </row>
    <row r="246" spans="1:19" x14ac:dyDescent="0.2">
      <c r="A246" t="s">
        <v>1519</v>
      </c>
      <c r="B246">
        <v>9003417100</v>
      </c>
      <c r="C246" t="s">
        <v>1520</v>
      </c>
      <c r="D246">
        <v>29755</v>
      </c>
      <c r="E246">
        <v>1.97</v>
      </c>
      <c r="F246">
        <v>21199.559720000001</v>
      </c>
      <c r="G246">
        <v>21.2</v>
      </c>
      <c r="H246">
        <v>7.1999999999999995E-2</v>
      </c>
      <c r="I246">
        <v>1</v>
      </c>
      <c r="J246">
        <v>803</v>
      </c>
      <c r="K246">
        <v>0.45453774200000002</v>
      </c>
      <c r="L246">
        <v>0.78900000000000003</v>
      </c>
      <c r="M246">
        <v>4</v>
      </c>
      <c r="N246">
        <v>0.98699999999999999</v>
      </c>
      <c r="O246">
        <v>5</v>
      </c>
      <c r="P246">
        <v>5</v>
      </c>
      <c r="S246" s="59" t="s">
        <v>936</v>
      </c>
    </row>
    <row r="247" spans="1:19" x14ac:dyDescent="0.2">
      <c r="A247" t="s">
        <v>1521</v>
      </c>
      <c r="B247">
        <v>9003417200</v>
      </c>
      <c r="C247" t="s">
        <v>1522</v>
      </c>
      <c r="D247">
        <v>32378</v>
      </c>
      <c r="E247">
        <v>2.38</v>
      </c>
      <c r="F247">
        <v>20987.54016</v>
      </c>
      <c r="G247">
        <v>20.988</v>
      </c>
      <c r="H247">
        <v>6.8000000000000005E-2</v>
      </c>
      <c r="I247">
        <v>1</v>
      </c>
      <c r="J247">
        <v>1254</v>
      </c>
      <c r="K247">
        <v>0.71699684100000005</v>
      </c>
      <c r="L247">
        <v>0.96899999999999997</v>
      </c>
      <c r="M247">
        <v>5</v>
      </c>
      <c r="N247">
        <v>0.71299999999999997</v>
      </c>
      <c r="O247">
        <v>4</v>
      </c>
      <c r="P247">
        <v>5</v>
      </c>
      <c r="S247" s="57" t="s">
        <v>936</v>
      </c>
    </row>
    <row r="248" spans="1:19" x14ac:dyDescent="0.2">
      <c r="A248" t="s">
        <v>1523</v>
      </c>
      <c r="B248">
        <v>9003417400</v>
      </c>
      <c r="C248" t="s">
        <v>1524</v>
      </c>
      <c r="D248">
        <v>76724</v>
      </c>
      <c r="E248">
        <v>2.02</v>
      </c>
      <c r="F248">
        <v>53982.818019999999</v>
      </c>
      <c r="G248">
        <v>53.982999999999997</v>
      </c>
      <c r="H248">
        <v>0.54300000000000004</v>
      </c>
      <c r="I248">
        <v>3</v>
      </c>
      <c r="J248">
        <v>1313</v>
      </c>
      <c r="K248">
        <v>0.29187064699999998</v>
      </c>
      <c r="L248">
        <v>0.126</v>
      </c>
      <c r="M248">
        <v>1</v>
      </c>
      <c r="N248">
        <v>0.64300000000000002</v>
      </c>
      <c r="O248">
        <v>4</v>
      </c>
      <c r="P248">
        <v>4</v>
      </c>
      <c r="S248" s="59" t="s">
        <v>944</v>
      </c>
    </row>
    <row r="249" spans="1:19" x14ac:dyDescent="0.2">
      <c r="A249" t="s">
        <v>1525</v>
      </c>
      <c r="B249">
        <v>9003417500</v>
      </c>
      <c r="C249" t="s">
        <v>1526</v>
      </c>
      <c r="D249">
        <v>62462</v>
      </c>
      <c r="E249">
        <v>2.27</v>
      </c>
      <c r="F249">
        <v>41457.485489999999</v>
      </c>
      <c r="G249">
        <v>41.457000000000001</v>
      </c>
      <c r="H249">
        <v>0.308</v>
      </c>
      <c r="I249">
        <v>2</v>
      </c>
      <c r="J249">
        <v>1116</v>
      </c>
      <c r="K249">
        <v>0.32302972200000002</v>
      </c>
      <c r="L249">
        <v>0.31900000000000001</v>
      </c>
      <c r="M249">
        <v>2</v>
      </c>
      <c r="N249">
        <v>0.85899999999999999</v>
      </c>
      <c r="O249">
        <v>5</v>
      </c>
      <c r="P249">
        <v>5</v>
      </c>
      <c r="S249" s="57" t="s">
        <v>944</v>
      </c>
    </row>
    <row r="250" spans="1:19" x14ac:dyDescent="0.2">
      <c r="A250" t="s">
        <v>1527</v>
      </c>
      <c r="B250">
        <v>9003420400</v>
      </c>
      <c r="C250" t="s">
        <v>1528</v>
      </c>
      <c r="D250">
        <v>91129</v>
      </c>
      <c r="E250">
        <v>2.6</v>
      </c>
      <c r="F250">
        <v>56515.806640000003</v>
      </c>
      <c r="G250">
        <v>56.515999999999998</v>
      </c>
      <c r="H250">
        <v>0.58899999999999997</v>
      </c>
      <c r="I250">
        <v>3</v>
      </c>
      <c r="J250">
        <v>1605</v>
      </c>
      <c r="K250">
        <v>0.34078961499999999</v>
      </c>
      <c r="L250">
        <v>0.42299999999999999</v>
      </c>
      <c r="M250">
        <v>3</v>
      </c>
      <c r="N250">
        <v>0.379</v>
      </c>
      <c r="O250">
        <v>2</v>
      </c>
      <c r="P250">
        <v>3</v>
      </c>
      <c r="S250" s="59" t="s">
        <v>944</v>
      </c>
    </row>
    <row r="251" spans="1:19" x14ac:dyDescent="0.2">
      <c r="A251" t="s">
        <v>1529</v>
      </c>
      <c r="B251">
        <v>9003420500</v>
      </c>
      <c r="C251" t="s">
        <v>1530</v>
      </c>
      <c r="D251">
        <v>62060</v>
      </c>
      <c r="E251">
        <v>2.14</v>
      </c>
      <c r="F251">
        <v>42423.342629999999</v>
      </c>
      <c r="G251">
        <v>42.423000000000002</v>
      </c>
      <c r="H251">
        <v>0.32900000000000001</v>
      </c>
      <c r="I251">
        <v>2</v>
      </c>
      <c r="J251">
        <v>1181</v>
      </c>
      <c r="K251">
        <v>0.334061371</v>
      </c>
      <c r="L251">
        <v>0.38800000000000001</v>
      </c>
      <c r="M251">
        <v>2</v>
      </c>
      <c r="N251">
        <v>0.79700000000000004</v>
      </c>
      <c r="O251">
        <v>4</v>
      </c>
      <c r="P251">
        <v>4</v>
      </c>
      <c r="S251" s="57" t="s">
        <v>944</v>
      </c>
    </row>
    <row r="252" spans="1:19" x14ac:dyDescent="0.2">
      <c r="A252" t="s">
        <v>1531</v>
      </c>
      <c r="B252">
        <v>9003420600</v>
      </c>
      <c r="C252" t="s">
        <v>1532</v>
      </c>
      <c r="D252">
        <v>71316</v>
      </c>
      <c r="E252">
        <v>2.2200000000000002</v>
      </c>
      <c r="F252">
        <v>47864.165229999999</v>
      </c>
      <c r="G252">
        <v>47.863999999999997</v>
      </c>
      <c r="H252">
        <v>0.42499999999999999</v>
      </c>
      <c r="I252">
        <v>3</v>
      </c>
      <c r="J252">
        <v>1250</v>
      </c>
      <c r="K252">
        <v>0.31338685100000002</v>
      </c>
      <c r="L252">
        <v>0.24399999999999999</v>
      </c>
      <c r="M252">
        <v>2</v>
      </c>
      <c r="N252">
        <v>0.71499999999999997</v>
      </c>
      <c r="O252">
        <v>4</v>
      </c>
      <c r="P252">
        <v>4</v>
      </c>
      <c r="S252" s="59" t="s">
        <v>944</v>
      </c>
    </row>
    <row r="253" spans="1:19" x14ac:dyDescent="0.2">
      <c r="A253" t="s">
        <v>1533</v>
      </c>
      <c r="B253">
        <v>9003420700</v>
      </c>
      <c r="C253" t="s">
        <v>1534</v>
      </c>
      <c r="D253">
        <v>74732</v>
      </c>
      <c r="E253">
        <v>2.37</v>
      </c>
      <c r="F253">
        <v>48543.650479999997</v>
      </c>
      <c r="G253">
        <v>48.543999999999997</v>
      </c>
      <c r="H253">
        <v>0.442</v>
      </c>
      <c r="I253">
        <v>3</v>
      </c>
      <c r="J253">
        <v>1254</v>
      </c>
      <c r="K253">
        <v>0.30998904799999999</v>
      </c>
      <c r="L253">
        <v>0.22600000000000001</v>
      </c>
      <c r="M253">
        <v>2</v>
      </c>
      <c r="N253">
        <v>0.71299999999999997</v>
      </c>
      <c r="O253">
        <v>4</v>
      </c>
      <c r="P253">
        <v>4</v>
      </c>
      <c r="S253" s="57" t="s">
        <v>944</v>
      </c>
    </row>
    <row r="254" spans="1:19" x14ac:dyDescent="0.2">
      <c r="A254" t="s">
        <v>1535</v>
      </c>
      <c r="B254">
        <v>9003430100</v>
      </c>
      <c r="C254" t="s">
        <v>1536</v>
      </c>
      <c r="D254">
        <v>70689</v>
      </c>
      <c r="E254">
        <v>2.48</v>
      </c>
      <c r="F254">
        <v>44887.559889999997</v>
      </c>
      <c r="G254">
        <v>44.887999999999998</v>
      </c>
      <c r="H254">
        <v>0.36499999999999999</v>
      </c>
      <c r="I254">
        <v>2</v>
      </c>
      <c r="J254">
        <v>1333</v>
      </c>
      <c r="K254">
        <v>0.35635708500000002</v>
      </c>
      <c r="L254">
        <v>0.51400000000000001</v>
      </c>
      <c r="M254">
        <v>3</v>
      </c>
      <c r="N254">
        <v>0.625</v>
      </c>
      <c r="O254">
        <v>4</v>
      </c>
      <c r="P254">
        <v>4</v>
      </c>
      <c r="S254" s="59" t="s">
        <v>944</v>
      </c>
    </row>
    <row r="255" spans="1:19" x14ac:dyDescent="0.2">
      <c r="A255" t="s">
        <v>1537</v>
      </c>
      <c r="B255">
        <v>9003430201</v>
      </c>
      <c r="C255" t="s">
        <v>1538</v>
      </c>
      <c r="D255">
        <v>90500</v>
      </c>
      <c r="E255">
        <v>2.5499999999999998</v>
      </c>
      <c r="F255">
        <v>56673.298340000001</v>
      </c>
      <c r="G255">
        <v>56.673000000000002</v>
      </c>
      <c r="H255">
        <v>0.59199999999999997</v>
      </c>
      <c r="I255">
        <v>3</v>
      </c>
      <c r="J255">
        <v>1343</v>
      </c>
      <c r="K255">
        <v>0.28436672099999999</v>
      </c>
      <c r="L255">
        <v>9.6000000000000002E-2</v>
      </c>
      <c r="M255">
        <v>1</v>
      </c>
      <c r="N255">
        <v>0.61199999999999999</v>
      </c>
      <c r="O255">
        <v>4</v>
      </c>
      <c r="P255">
        <v>4</v>
      </c>
      <c r="S255" s="57" t="s">
        <v>944</v>
      </c>
    </row>
    <row r="256" spans="1:19" x14ac:dyDescent="0.2">
      <c r="A256" t="s">
        <v>1539</v>
      </c>
      <c r="B256">
        <v>9003430202</v>
      </c>
      <c r="C256" t="s">
        <v>1540</v>
      </c>
      <c r="D256">
        <v>119042</v>
      </c>
      <c r="E256">
        <v>2.83</v>
      </c>
      <c r="F256">
        <v>70763.123900000006</v>
      </c>
      <c r="G256">
        <v>70.763000000000005</v>
      </c>
      <c r="H256">
        <v>0.81100000000000005</v>
      </c>
      <c r="I256">
        <v>5</v>
      </c>
      <c r="J256">
        <v>2032</v>
      </c>
      <c r="K256">
        <v>0.34458625700000001</v>
      </c>
      <c r="L256">
        <v>0.45</v>
      </c>
      <c r="M256">
        <v>3</v>
      </c>
      <c r="N256">
        <v>0.157</v>
      </c>
      <c r="O256">
        <v>1</v>
      </c>
      <c r="P256">
        <v>1</v>
      </c>
      <c r="S256" s="59" t="s">
        <v>944</v>
      </c>
    </row>
    <row r="257" spans="1:19" x14ac:dyDescent="0.2">
      <c r="A257" t="s">
        <v>1541</v>
      </c>
      <c r="B257">
        <v>9003430203</v>
      </c>
      <c r="C257" t="s">
        <v>1542</v>
      </c>
      <c r="D257">
        <v>72813</v>
      </c>
      <c r="E257">
        <v>2.2599999999999998</v>
      </c>
      <c r="F257">
        <v>48434.487130000001</v>
      </c>
      <c r="G257">
        <v>48.433999999999997</v>
      </c>
      <c r="H257">
        <v>0.439</v>
      </c>
      <c r="I257">
        <v>3</v>
      </c>
      <c r="J257">
        <v>1234</v>
      </c>
      <c r="K257">
        <v>0.30573256500000001</v>
      </c>
      <c r="L257">
        <v>0.20399999999999999</v>
      </c>
      <c r="M257">
        <v>2</v>
      </c>
      <c r="N257">
        <v>0.72799999999999998</v>
      </c>
      <c r="O257">
        <v>4</v>
      </c>
      <c r="P257">
        <v>4</v>
      </c>
      <c r="S257" s="57" t="s">
        <v>944</v>
      </c>
    </row>
    <row r="258" spans="1:19" x14ac:dyDescent="0.2">
      <c r="A258" t="s">
        <v>1543</v>
      </c>
      <c r="B258">
        <v>9003430301</v>
      </c>
      <c r="C258" t="s">
        <v>1544</v>
      </c>
      <c r="D258">
        <v>131563</v>
      </c>
      <c r="E258">
        <v>2.76</v>
      </c>
      <c r="F258">
        <v>79191.619949999993</v>
      </c>
      <c r="G258">
        <v>79.191999999999993</v>
      </c>
      <c r="H258">
        <v>0.86899999999999999</v>
      </c>
      <c r="I258">
        <v>5</v>
      </c>
      <c r="J258">
        <v>1998</v>
      </c>
      <c r="K258">
        <v>0.30275930699999998</v>
      </c>
      <c r="L258">
        <v>0.188</v>
      </c>
      <c r="M258">
        <v>1</v>
      </c>
      <c r="N258">
        <v>0.16400000000000001</v>
      </c>
      <c r="O258">
        <v>1</v>
      </c>
      <c r="P258">
        <v>1</v>
      </c>
      <c r="S258" s="59" t="s">
        <v>944</v>
      </c>
    </row>
    <row r="259" spans="1:19" x14ac:dyDescent="0.2">
      <c r="A259" t="s">
        <v>1545</v>
      </c>
      <c r="B259">
        <v>9003430302</v>
      </c>
      <c r="C259" t="s">
        <v>1546</v>
      </c>
      <c r="D259">
        <v>89900</v>
      </c>
      <c r="E259">
        <v>2.69</v>
      </c>
      <c r="F259">
        <v>54812.9974</v>
      </c>
      <c r="G259">
        <v>54.813000000000002</v>
      </c>
      <c r="H259">
        <v>0.55500000000000005</v>
      </c>
      <c r="I259">
        <v>3</v>
      </c>
      <c r="J259">
        <v>1457</v>
      </c>
      <c r="K259">
        <v>0.31897544100000003</v>
      </c>
      <c r="L259">
        <v>0.28100000000000003</v>
      </c>
      <c r="M259">
        <v>2</v>
      </c>
      <c r="N259">
        <v>0.51900000000000002</v>
      </c>
      <c r="O259">
        <v>3</v>
      </c>
      <c r="P259">
        <v>3</v>
      </c>
      <c r="S259" s="57" t="s">
        <v>944</v>
      </c>
    </row>
    <row r="260" spans="1:19" x14ac:dyDescent="0.2">
      <c r="A260" t="s">
        <v>1547</v>
      </c>
      <c r="B260">
        <v>9003430400</v>
      </c>
      <c r="C260" t="s">
        <v>1548</v>
      </c>
      <c r="D260">
        <v>90054</v>
      </c>
      <c r="E260">
        <v>2.11</v>
      </c>
      <c r="F260">
        <v>61995.730309999999</v>
      </c>
      <c r="G260">
        <v>61.996000000000002</v>
      </c>
      <c r="H260">
        <v>0.69599999999999995</v>
      </c>
      <c r="I260">
        <v>4</v>
      </c>
      <c r="J260">
        <v>1342</v>
      </c>
      <c r="K260">
        <v>0.25975982399999997</v>
      </c>
      <c r="L260">
        <v>3.4000000000000002E-2</v>
      </c>
      <c r="M260">
        <v>1</v>
      </c>
      <c r="N260">
        <v>0.61499999999999999</v>
      </c>
      <c r="O260">
        <v>4</v>
      </c>
      <c r="P260">
        <v>3</v>
      </c>
      <c r="S260" s="59" t="s">
        <v>944</v>
      </c>
    </row>
    <row r="261" spans="1:19" x14ac:dyDescent="0.2">
      <c r="A261" t="s">
        <v>1549</v>
      </c>
      <c r="B261">
        <v>9003430500</v>
      </c>
      <c r="C261" t="s">
        <v>1550</v>
      </c>
      <c r="D261">
        <v>116250</v>
      </c>
      <c r="E261">
        <v>2.76</v>
      </c>
      <c r="F261">
        <v>69974.277109999995</v>
      </c>
      <c r="G261">
        <v>69.974000000000004</v>
      </c>
      <c r="H261">
        <v>0.80300000000000005</v>
      </c>
      <c r="I261">
        <v>5</v>
      </c>
      <c r="J261">
        <v>1652</v>
      </c>
      <c r="K261">
        <v>0.283304106</v>
      </c>
      <c r="L261">
        <v>9.2999999999999999E-2</v>
      </c>
      <c r="M261">
        <v>1</v>
      </c>
      <c r="N261">
        <v>0.34499999999999997</v>
      </c>
      <c r="O261">
        <v>2</v>
      </c>
      <c r="P261">
        <v>2</v>
      </c>
      <c r="S261" s="57" t="s">
        <v>944</v>
      </c>
    </row>
    <row r="262" spans="1:19" x14ac:dyDescent="0.2">
      <c r="A262" t="s">
        <v>1551</v>
      </c>
      <c r="B262">
        <v>9003430601</v>
      </c>
      <c r="C262" t="s">
        <v>1552</v>
      </c>
      <c r="D262">
        <v>56714</v>
      </c>
      <c r="E262">
        <v>2.42</v>
      </c>
      <c r="F262">
        <v>36457.139990000003</v>
      </c>
      <c r="G262">
        <v>36.457000000000001</v>
      </c>
      <c r="H262">
        <v>0.25600000000000001</v>
      </c>
      <c r="I262">
        <v>2</v>
      </c>
      <c r="J262">
        <v>1007</v>
      </c>
      <c r="K262">
        <v>0.33145770600000002</v>
      </c>
      <c r="L262">
        <v>0.371</v>
      </c>
      <c r="M262">
        <v>2</v>
      </c>
      <c r="N262">
        <v>0.93500000000000005</v>
      </c>
      <c r="O262">
        <v>5</v>
      </c>
      <c r="P262">
        <v>5</v>
      </c>
      <c r="S262" s="59" t="s">
        <v>944</v>
      </c>
    </row>
    <row r="263" spans="1:19" x14ac:dyDescent="0.2">
      <c r="A263" t="s">
        <v>1553</v>
      </c>
      <c r="B263">
        <v>9003430602</v>
      </c>
      <c r="C263" t="s">
        <v>1554</v>
      </c>
      <c r="D263">
        <v>86651</v>
      </c>
      <c r="E263">
        <v>2.58</v>
      </c>
      <c r="F263">
        <v>53946.556239999998</v>
      </c>
      <c r="G263">
        <v>53.947000000000003</v>
      </c>
      <c r="H263">
        <v>0.54100000000000004</v>
      </c>
      <c r="I263">
        <v>3</v>
      </c>
      <c r="J263">
        <v>1596</v>
      </c>
      <c r="K263">
        <v>0.35501802799999999</v>
      </c>
      <c r="L263">
        <v>0.50700000000000001</v>
      </c>
      <c r="M263">
        <v>3</v>
      </c>
      <c r="N263">
        <v>0.38500000000000001</v>
      </c>
      <c r="O263">
        <v>2</v>
      </c>
      <c r="P263">
        <v>3</v>
      </c>
      <c r="S263" s="57" t="s">
        <v>944</v>
      </c>
    </row>
    <row r="264" spans="1:19" x14ac:dyDescent="0.2">
      <c r="A264" t="s">
        <v>1555</v>
      </c>
      <c r="B264">
        <v>9003460100</v>
      </c>
      <c r="C264" t="s">
        <v>1556</v>
      </c>
      <c r="D264">
        <v>94872</v>
      </c>
      <c r="E264">
        <v>2.33</v>
      </c>
      <c r="F264">
        <v>62152.713710000004</v>
      </c>
      <c r="G264">
        <v>62.152999999999999</v>
      </c>
      <c r="H264">
        <v>0.69699999999999995</v>
      </c>
      <c r="I264">
        <v>4</v>
      </c>
      <c r="J264">
        <v>1648</v>
      </c>
      <c r="K264">
        <v>0.31818401499999999</v>
      </c>
      <c r="L264">
        <v>0.27400000000000002</v>
      </c>
      <c r="M264">
        <v>2</v>
      </c>
      <c r="N264">
        <v>0.35199999999999998</v>
      </c>
      <c r="O264">
        <v>2</v>
      </c>
      <c r="P264">
        <v>2</v>
      </c>
      <c r="S264" s="59" t="s">
        <v>944</v>
      </c>
    </row>
    <row r="265" spans="1:19" x14ac:dyDescent="0.2">
      <c r="A265" t="s">
        <v>1557</v>
      </c>
      <c r="B265">
        <v>9003460202</v>
      </c>
      <c r="C265" t="s">
        <v>1558</v>
      </c>
      <c r="D265">
        <v>102688</v>
      </c>
      <c r="E265">
        <v>2.4900000000000002</v>
      </c>
      <c r="F265">
        <v>65075.875840000001</v>
      </c>
      <c r="G265">
        <v>65.075999999999993</v>
      </c>
      <c r="H265">
        <v>0.73699999999999999</v>
      </c>
      <c r="I265">
        <v>4</v>
      </c>
      <c r="J265">
        <v>1746</v>
      </c>
      <c r="K265">
        <v>0.32196262799999997</v>
      </c>
      <c r="L265">
        <v>0.315</v>
      </c>
      <c r="M265">
        <v>2</v>
      </c>
      <c r="N265">
        <v>0.28499999999999998</v>
      </c>
      <c r="O265">
        <v>2</v>
      </c>
      <c r="P265">
        <v>2</v>
      </c>
      <c r="S265" s="57" t="s">
        <v>944</v>
      </c>
    </row>
    <row r="266" spans="1:19" x14ac:dyDescent="0.2">
      <c r="A266" t="s">
        <v>1559</v>
      </c>
      <c r="B266">
        <v>9003460203</v>
      </c>
      <c r="C266" t="s">
        <v>1560</v>
      </c>
      <c r="D266">
        <v>79954</v>
      </c>
      <c r="E266">
        <v>2.2999999999999998</v>
      </c>
      <c r="F266">
        <v>52720.106370000001</v>
      </c>
      <c r="G266">
        <v>52.72</v>
      </c>
      <c r="H266">
        <v>0.51600000000000001</v>
      </c>
      <c r="I266">
        <v>3</v>
      </c>
      <c r="J266">
        <v>1591</v>
      </c>
      <c r="K266">
        <v>0.36213887500000003</v>
      </c>
      <c r="L266">
        <v>0.54900000000000004</v>
      </c>
      <c r="M266">
        <v>3</v>
      </c>
      <c r="N266">
        <v>0.39100000000000001</v>
      </c>
      <c r="O266">
        <v>2</v>
      </c>
      <c r="P266">
        <v>3</v>
      </c>
      <c r="S266" s="59" t="s">
        <v>944</v>
      </c>
    </row>
    <row r="267" spans="1:19" x14ac:dyDescent="0.2">
      <c r="A267" t="s">
        <v>1561</v>
      </c>
      <c r="B267">
        <v>9003460204</v>
      </c>
      <c r="C267" t="s">
        <v>1562</v>
      </c>
      <c r="D267">
        <v>75074</v>
      </c>
      <c r="E267">
        <v>2.3199999999999998</v>
      </c>
      <c r="F267">
        <v>49288.495699999999</v>
      </c>
      <c r="G267">
        <v>49.287999999999997</v>
      </c>
      <c r="H267">
        <v>0.46</v>
      </c>
      <c r="I267">
        <v>3</v>
      </c>
      <c r="J267">
        <v>1495</v>
      </c>
      <c r="K267">
        <v>0.36397945900000001</v>
      </c>
      <c r="L267">
        <v>0.55900000000000005</v>
      </c>
      <c r="M267">
        <v>3</v>
      </c>
      <c r="N267">
        <v>0.47699999999999998</v>
      </c>
      <c r="O267">
        <v>3</v>
      </c>
      <c r="P267">
        <v>3</v>
      </c>
      <c r="S267" s="57" t="s">
        <v>944</v>
      </c>
    </row>
    <row r="268" spans="1:19" x14ac:dyDescent="0.2">
      <c r="A268" t="s">
        <v>1563</v>
      </c>
      <c r="B268">
        <v>9003460301</v>
      </c>
      <c r="C268" t="s">
        <v>1564</v>
      </c>
      <c r="D268">
        <v>106782</v>
      </c>
      <c r="E268">
        <v>2.64</v>
      </c>
      <c r="F268">
        <v>65719.777950000003</v>
      </c>
      <c r="G268">
        <v>65.72</v>
      </c>
      <c r="H268">
        <v>0.748</v>
      </c>
      <c r="I268">
        <v>4</v>
      </c>
      <c r="J268">
        <v>1549</v>
      </c>
      <c r="K268">
        <v>0.28283723100000002</v>
      </c>
      <c r="L268">
        <v>8.5999999999999993E-2</v>
      </c>
      <c r="M268">
        <v>1</v>
      </c>
      <c r="N268">
        <v>0.43</v>
      </c>
      <c r="O268">
        <v>3</v>
      </c>
      <c r="P268">
        <v>3</v>
      </c>
      <c r="S268" s="59" t="s">
        <v>944</v>
      </c>
    </row>
    <row r="269" spans="1:19" x14ac:dyDescent="0.2">
      <c r="A269" t="s">
        <v>1565</v>
      </c>
      <c r="B269">
        <v>9003460302</v>
      </c>
      <c r="C269" t="s">
        <v>1566</v>
      </c>
      <c r="D269">
        <v>90375</v>
      </c>
      <c r="E269">
        <v>2.2999999999999998</v>
      </c>
      <c r="F269">
        <v>59591.510280000002</v>
      </c>
      <c r="G269">
        <v>59.591999999999999</v>
      </c>
      <c r="H269">
        <v>0.64100000000000001</v>
      </c>
      <c r="I269">
        <v>4</v>
      </c>
      <c r="J269">
        <v>1581</v>
      </c>
      <c r="K269">
        <v>0.318367497</v>
      </c>
      <c r="L269">
        <v>0.27700000000000002</v>
      </c>
      <c r="M269">
        <v>2</v>
      </c>
      <c r="N269">
        <v>0.40300000000000002</v>
      </c>
      <c r="O269">
        <v>3</v>
      </c>
      <c r="P269">
        <v>3</v>
      </c>
      <c r="S269" s="57" t="s">
        <v>944</v>
      </c>
    </row>
    <row r="270" spans="1:19" x14ac:dyDescent="0.2">
      <c r="A270" t="s">
        <v>1567</v>
      </c>
      <c r="B270">
        <v>9003462101</v>
      </c>
      <c r="C270" t="s">
        <v>1568</v>
      </c>
      <c r="D270">
        <v>128661</v>
      </c>
      <c r="E270">
        <v>2.64</v>
      </c>
      <c r="F270">
        <v>79185.371599999999</v>
      </c>
      <c r="G270">
        <v>79.185000000000002</v>
      </c>
      <c r="H270">
        <v>0.86799999999999999</v>
      </c>
      <c r="I270">
        <v>5</v>
      </c>
      <c r="J270">
        <v>1861</v>
      </c>
      <c r="K270">
        <v>0.28202178700000002</v>
      </c>
      <c r="L270">
        <v>8.2000000000000003E-2</v>
      </c>
      <c r="M270">
        <v>1</v>
      </c>
      <c r="N270">
        <v>0.22600000000000001</v>
      </c>
      <c r="O270">
        <v>2</v>
      </c>
      <c r="P270">
        <v>2</v>
      </c>
      <c r="S270" s="59" t="s">
        <v>944</v>
      </c>
    </row>
    <row r="271" spans="1:19" x14ac:dyDescent="0.2">
      <c r="A271" t="s">
        <v>1569</v>
      </c>
      <c r="B271">
        <v>9003462102</v>
      </c>
      <c r="C271" t="s">
        <v>1570</v>
      </c>
      <c r="D271">
        <v>195357</v>
      </c>
      <c r="E271">
        <v>3.16</v>
      </c>
      <c r="F271">
        <v>109896.8985</v>
      </c>
      <c r="G271">
        <v>109.89700000000001</v>
      </c>
      <c r="H271">
        <v>0.96299999999999997</v>
      </c>
      <c r="I271">
        <v>5</v>
      </c>
      <c r="J271">
        <v>2589</v>
      </c>
      <c r="K271">
        <v>0.28270133600000003</v>
      </c>
      <c r="L271">
        <v>8.5000000000000006E-2</v>
      </c>
      <c r="M271">
        <v>1</v>
      </c>
      <c r="N271">
        <v>6.7000000000000004E-2</v>
      </c>
      <c r="O271">
        <v>1</v>
      </c>
      <c r="P271">
        <v>1</v>
      </c>
      <c r="S271" s="57" t="s">
        <v>944</v>
      </c>
    </row>
    <row r="272" spans="1:19" x14ac:dyDescent="0.2">
      <c r="A272" t="s">
        <v>1571</v>
      </c>
      <c r="B272">
        <v>9003462201</v>
      </c>
      <c r="C272" t="s">
        <v>1572</v>
      </c>
      <c r="D272">
        <v>102227</v>
      </c>
      <c r="E272">
        <v>2.29</v>
      </c>
      <c r="F272">
        <v>67553.503070000006</v>
      </c>
      <c r="G272">
        <v>67.554000000000002</v>
      </c>
      <c r="H272">
        <v>0.77</v>
      </c>
      <c r="I272">
        <v>4</v>
      </c>
      <c r="J272">
        <v>1493</v>
      </c>
      <c r="K272">
        <v>0.26521200499999997</v>
      </c>
      <c r="L272">
        <v>4.8000000000000001E-2</v>
      </c>
      <c r="M272">
        <v>1</v>
      </c>
      <c r="N272">
        <v>0.48299999999999998</v>
      </c>
      <c r="O272">
        <v>3</v>
      </c>
      <c r="P272">
        <v>3</v>
      </c>
      <c r="S272" s="59" t="s">
        <v>944</v>
      </c>
    </row>
    <row r="273" spans="1:19" x14ac:dyDescent="0.2">
      <c r="A273" t="s">
        <v>1573</v>
      </c>
      <c r="B273">
        <v>9003462202</v>
      </c>
      <c r="C273" t="s">
        <v>1574</v>
      </c>
      <c r="D273">
        <v>144886</v>
      </c>
      <c r="E273">
        <v>2.46</v>
      </c>
      <c r="F273">
        <v>92375.93965</v>
      </c>
      <c r="G273">
        <v>92.376000000000005</v>
      </c>
      <c r="H273">
        <v>0.93</v>
      </c>
      <c r="I273">
        <v>5</v>
      </c>
      <c r="J273">
        <v>1967</v>
      </c>
      <c r="K273">
        <v>0.25552108099999998</v>
      </c>
      <c r="L273">
        <v>2.3E-2</v>
      </c>
      <c r="M273">
        <v>1</v>
      </c>
      <c r="N273">
        <v>0.17699999999999999</v>
      </c>
      <c r="O273">
        <v>1</v>
      </c>
      <c r="P273">
        <v>1</v>
      </c>
      <c r="S273" s="57" t="s">
        <v>944</v>
      </c>
    </row>
    <row r="274" spans="1:19" x14ac:dyDescent="0.2">
      <c r="A274" t="s">
        <v>1575</v>
      </c>
      <c r="B274">
        <v>9003464101</v>
      </c>
      <c r="C274" t="s">
        <v>1576</v>
      </c>
      <c r="D274">
        <v>117895</v>
      </c>
      <c r="E274">
        <v>2.73</v>
      </c>
      <c r="F274">
        <v>71353.299960000004</v>
      </c>
      <c r="G274">
        <v>71.352999999999994</v>
      </c>
      <c r="H274">
        <v>0.81799999999999995</v>
      </c>
      <c r="I274">
        <v>5</v>
      </c>
      <c r="J274">
        <v>1722</v>
      </c>
      <c r="K274">
        <v>0.28960118200000001</v>
      </c>
      <c r="L274">
        <v>0.114</v>
      </c>
      <c r="M274">
        <v>1</v>
      </c>
      <c r="N274">
        <v>0.29699999999999999</v>
      </c>
      <c r="O274">
        <v>2</v>
      </c>
      <c r="P274">
        <v>2</v>
      </c>
      <c r="S274" s="59" t="s">
        <v>944</v>
      </c>
    </row>
    <row r="275" spans="1:19" x14ac:dyDescent="0.2">
      <c r="A275" t="s">
        <v>1577</v>
      </c>
      <c r="B275">
        <v>9003464102</v>
      </c>
      <c r="C275" t="s">
        <v>1578</v>
      </c>
      <c r="D275">
        <v>72900</v>
      </c>
      <c r="E275">
        <v>2.31</v>
      </c>
      <c r="F275">
        <v>47964.67856</v>
      </c>
      <c r="G275">
        <v>47.965000000000003</v>
      </c>
      <c r="H275">
        <v>0.42699999999999999</v>
      </c>
      <c r="I275">
        <v>3</v>
      </c>
      <c r="J275">
        <v>1414</v>
      </c>
      <c r="K275">
        <v>0.35376031899999999</v>
      </c>
      <c r="L275">
        <v>0.5</v>
      </c>
      <c r="M275">
        <v>3</v>
      </c>
      <c r="N275">
        <v>0.55200000000000005</v>
      </c>
      <c r="O275">
        <v>3</v>
      </c>
      <c r="P275">
        <v>3</v>
      </c>
      <c r="S275" s="57" t="s">
        <v>944</v>
      </c>
    </row>
    <row r="276" spans="1:19" x14ac:dyDescent="0.2">
      <c r="A276" t="s">
        <v>1579</v>
      </c>
      <c r="B276">
        <v>9003466101</v>
      </c>
      <c r="C276" t="s">
        <v>1580</v>
      </c>
      <c r="D276">
        <v>123580</v>
      </c>
      <c r="E276">
        <v>2.37</v>
      </c>
      <c r="F276">
        <v>80273.836190000002</v>
      </c>
      <c r="G276">
        <v>80.274000000000001</v>
      </c>
      <c r="H276">
        <v>0.88</v>
      </c>
      <c r="I276">
        <v>5</v>
      </c>
      <c r="J276">
        <v>1738</v>
      </c>
      <c r="K276">
        <v>0.25981068000000002</v>
      </c>
      <c r="L276">
        <v>3.5999999999999997E-2</v>
      </c>
      <c r="M276">
        <v>1</v>
      </c>
      <c r="N276">
        <v>0.28999999999999998</v>
      </c>
      <c r="O276">
        <v>2</v>
      </c>
      <c r="P276">
        <v>2</v>
      </c>
      <c r="S276" s="59" t="s">
        <v>944</v>
      </c>
    </row>
    <row r="277" spans="1:19" x14ac:dyDescent="0.2">
      <c r="A277" t="s">
        <v>1581</v>
      </c>
      <c r="B277">
        <v>9003466102</v>
      </c>
      <c r="C277" t="s">
        <v>1582</v>
      </c>
      <c r="D277">
        <v>139236</v>
      </c>
      <c r="E277">
        <v>2.4900000000000002</v>
      </c>
      <c r="F277">
        <v>88237.229749999999</v>
      </c>
      <c r="G277">
        <v>88.236999999999995</v>
      </c>
      <c r="H277">
        <v>0.91900000000000004</v>
      </c>
      <c r="I277">
        <v>5</v>
      </c>
      <c r="J277">
        <v>1892</v>
      </c>
      <c r="K277">
        <v>0.25730635499999999</v>
      </c>
      <c r="L277">
        <v>2.5000000000000001E-2</v>
      </c>
      <c r="M277">
        <v>1</v>
      </c>
      <c r="N277">
        <v>0.215</v>
      </c>
      <c r="O277">
        <v>2</v>
      </c>
      <c r="P277">
        <v>2</v>
      </c>
      <c r="S277" s="57" t="s">
        <v>944</v>
      </c>
    </row>
    <row r="278" spans="1:19" x14ac:dyDescent="0.2">
      <c r="A278" t="s">
        <v>1583</v>
      </c>
      <c r="B278">
        <v>9003466201</v>
      </c>
      <c r="C278" t="s">
        <v>1584</v>
      </c>
      <c r="D278">
        <v>94167</v>
      </c>
      <c r="E278">
        <v>2.5099999999999998</v>
      </c>
      <c r="F278">
        <v>59437.683360000003</v>
      </c>
      <c r="G278">
        <v>59.438000000000002</v>
      </c>
      <c r="H278">
        <v>0.63900000000000001</v>
      </c>
      <c r="I278">
        <v>4</v>
      </c>
      <c r="J278">
        <v>1496</v>
      </c>
      <c r="K278">
        <v>0.30203061399999998</v>
      </c>
      <c r="L278">
        <v>0.184</v>
      </c>
      <c r="M278">
        <v>1</v>
      </c>
      <c r="N278">
        <v>0.47599999999999998</v>
      </c>
      <c r="O278">
        <v>3</v>
      </c>
      <c r="P278">
        <v>3</v>
      </c>
      <c r="S278" s="59" t="s">
        <v>944</v>
      </c>
    </row>
    <row r="279" spans="1:19" x14ac:dyDescent="0.2">
      <c r="A279" t="s">
        <v>1585</v>
      </c>
      <c r="B279">
        <v>9003466202</v>
      </c>
      <c r="C279" t="s">
        <v>1586</v>
      </c>
      <c r="D279">
        <v>147778</v>
      </c>
      <c r="E279">
        <v>2.77</v>
      </c>
      <c r="F279">
        <v>88791.194810000001</v>
      </c>
      <c r="G279">
        <v>88.790999999999997</v>
      </c>
      <c r="H279">
        <v>0.92200000000000004</v>
      </c>
      <c r="I279">
        <v>5</v>
      </c>
      <c r="J279">
        <v>2361</v>
      </c>
      <c r="K279">
        <v>0.31908569399999998</v>
      </c>
      <c r="L279">
        <v>0.28199999999999997</v>
      </c>
      <c r="M279">
        <v>2</v>
      </c>
      <c r="N279">
        <v>9.8000000000000004E-2</v>
      </c>
      <c r="O279">
        <v>1</v>
      </c>
      <c r="P279">
        <v>1</v>
      </c>
      <c r="S279" s="57" t="s">
        <v>944</v>
      </c>
    </row>
    <row r="280" spans="1:19" x14ac:dyDescent="0.2">
      <c r="A280" t="s">
        <v>1587</v>
      </c>
      <c r="B280">
        <v>9003466300</v>
      </c>
      <c r="C280" t="s">
        <v>1588</v>
      </c>
      <c r="D280">
        <v>131583</v>
      </c>
      <c r="E280">
        <v>2.52</v>
      </c>
      <c r="F280">
        <v>82889.498749999999</v>
      </c>
      <c r="G280">
        <v>82.888999999999996</v>
      </c>
      <c r="H280">
        <v>0.89900000000000002</v>
      </c>
      <c r="I280">
        <v>5</v>
      </c>
      <c r="J280">
        <v>1968</v>
      </c>
      <c r="K280">
        <v>0.28490943200000002</v>
      </c>
      <c r="L280">
        <v>9.9000000000000005E-2</v>
      </c>
      <c r="M280">
        <v>1</v>
      </c>
      <c r="N280">
        <v>0.17599999999999999</v>
      </c>
      <c r="O280">
        <v>1</v>
      </c>
      <c r="P280">
        <v>1</v>
      </c>
      <c r="S280" s="59" t="s">
        <v>944</v>
      </c>
    </row>
    <row r="281" spans="1:19" x14ac:dyDescent="0.2">
      <c r="A281" t="s">
        <v>1589</v>
      </c>
      <c r="B281">
        <v>9003466400</v>
      </c>
      <c r="C281" t="s">
        <v>1590</v>
      </c>
      <c r="D281">
        <v>98000</v>
      </c>
      <c r="E281">
        <v>2.54</v>
      </c>
      <c r="F281">
        <v>61490.668899999997</v>
      </c>
      <c r="G281">
        <v>61.491</v>
      </c>
      <c r="H281">
        <v>0.68400000000000005</v>
      </c>
      <c r="I281">
        <v>4</v>
      </c>
      <c r="J281">
        <v>1768</v>
      </c>
      <c r="K281">
        <v>0.345027959</v>
      </c>
      <c r="L281">
        <v>0.45300000000000001</v>
      </c>
      <c r="M281">
        <v>3</v>
      </c>
      <c r="N281">
        <v>0.27100000000000002</v>
      </c>
      <c r="O281">
        <v>2</v>
      </c>
      <c r="P281">
        <v>2</v>
      </c>
      <c r="S281" s="57" t="s">
        <v>944</v>
      </c>
    </row>
    <row r="282" spans="1:19" x14ac:dyDescent="0.2">
      <c r="A282" t="s">
        <v>1591</v>
      </c>
      <c r="B282">
        <v>9003468101</v>
      </c>
      <c r="C282" t="s">
        <v>1592</v>
      </c>
      <c r="D282">
        <v>132740</v>
      </c>
      <c r="E282">
        <v>2.91</v>
      </c>
      <c r="F282">
        <v>77813.566070000001</v>
      </c>
      <c r="G282">
        <v>77.813999999999993</v>
      </c>
      <c r="H282">
        <v>0.86199999999999999</v>
      </c>
      <c r="I282">
        <v>5</v>
      </c>
      <c r="J282">
        <v>1939</v>
      </c>
      <c r="K282">
        <v>0.29902240899999999</v>
      </c>
      <c r="L282">
        <v>0.16500000000000001</v>
      </c>
      <c r="M282">
        <v>1</v>
      </c>
      <c r="N282">
        <v>0.19</v>
      </c>
      <c r="O282">
        <v>1</v>
      </c>
      <c r="P282">
        <v>1</v>
      </c>
      <c r="S282" s="59" t="s">
        <v>944</v>
      </c>
    </row>
    <row r="283" spans="1:19" x14ac:dyDescent="0.2">
      <c r="A283" t="s">
        <v>1593</v>
      </c>
      <c r="B283">
        <v>9003468102</v>
      </c>
      <c r="C283" t="s">
        <v>1594</v>
      </c>
      <c r="D283">
        <v>105000</v>
      </c>
      <c r="E283">
        <v>2.4</v>
      </c>
      <c r="F283">
        <v>67777.208559999999</v>
      </c>
      <c r="G283">
        <v>67.777000000000001</v>
      </c>
      <c r="H283">
        <v>0.77300000000000002</v>
      </c>
      <c r="I283">
        <v>4</v>
      </c>
      <c r="J283">
        <v>1759</v>
      </c>
      <c r="K283">
        <v>0.31143212399999998</v>
      </c>
      <c r="L283">
        <v>0.23200000000000001</v>
      </c>
      <c r="M283">
        <v>2</v>
      </c>
      <c r="N283">
        <v>0.27900000000000003</v>
      </c>
      <c r="O283">
        <v>2</v>
      </c>
      <c r="P283">
        <v>2</v>
      </c>
      <c r="S283" s="57" t="s">
        <v>944</v>
      </c>
    </row>
    <row r="284" spans="1:19" x14ac:dyDescent="0.2">
      <c r="A284" t="s">
        <v>1595</v>
      </c>
      <c r="B284">
        <v>9003470100</v>
      </c>
      <c r="C284" t="s">
        <v>1596</v>
      </c>
      <c r="D284">
        <v>104336</v>
      </c>
      <c r="E284">
        <v>2.62</v>
      </c>
      <c r="F284">
        <v>64458.996070000001</v>
      </c>
      <c r="G284">
        <v>64.459000000000003</v>
      </c>
      <c r="H284">
        <v>0.72399999999999998</v>
      </c>
      <c r="I284">
        <v>4</v>
      </c>
      <c r="J284">
        <v>1214</v>
      </c>
      <c r="K284">
        <v>0.22600413999999999</v>
      </c>
      <c r="L284">
        <v>1E-3</v>
      </c>
      <c r="M284">
        <v>1</v>
      </c>
      <c r="N284">
        <v>0.749</v>
      </c>
      <c r="O284">
        <v>4</v>
      </c>
      <c r="P284">
        <v>3</v>
      </c>
      <c r="S284" s="59" t="s">
        <v>944</v>
      </c>
    </row>
    <row r="285" spans="1:19" x14ac:dyDescent="0.2">
      <c r="A285" t="s">
        <v>1597</v>
      </c>
      <c r="B285">
        <v>9003471100</v>
      </c>
      <c r="C285" t="s">
        <v>1598</v>
      </c>
      <c r="D285">
        <v>75293</v>
      </c>
      <c r="E285">
        <v>2.84</v>
      </c>
      <c r="F285">
        <v>44678.1757</v>
      </c>
      <c r="G285">
        <v>44.677999999999997</v>
      </c>
      <c r="H285">
        <v>0.36199999999999999</v>
      </c>
      <c r="I285">
        <v>2</v>
      </c>
      <c r="J285">
        <v>1323</v>
      </c>
      <c r="K285">
        <v>0.35534127700000001</v>
      </c>
      <c r="L285">
        <v>0.51</v>
      </c>
      <c r="M285">
        <v>3</v>
      </c>
      <c r="N285">
        <v>0.63200000000000001</v>
      </c>
      <c r="O285">
        <v>4</v>
      </c>
      <c r="P285">
        <v>4</v>
      </c>
      <c r="S285" s="57" t="s">
        <v>944</v>
      </c>
    </row>
    <row r="286" spans="1:19" x14ac:dyDescent="0.2">
      <c r="A286" t="s">
        <v>1599</v>
      </c>
      <c r="B286">
        <v>9003471200</v>
      </c>
      <c r="C286" t="s">
        <v>1600</v>
      </c>
      <c r="D286">
        <v>63468</v>
      </c>
      <c r="E286">
        <v>2.57</v>
      </c>
      <c r="F286">
        <v>39590.250659999998</v>
      </c>
      <c r="G286">
        <v>39.590000000000003</v>
      </c>
      <c r="H286">
        <v>0.29099999999999998</v>
      </c>
      <c r="I286">
        <v>2</v>
      </c>
      <c r="J286">
        <v>1283</v>
      </c>
      <c r="K286">
        <v>0.38888361999999999</v>
      </c>
      <c r="L286">
        <v>0.66</v>
      </c>
      <c r="M286">
        <v>4</v>
      </c>
      <c r="N286">
        <v>0.67400000000000004</v>
      </c>
      <c r="O286">
        <v>4</v>
      </c>
      <c r="P286">
        <v>4</v>
      </c>
      <c r="S286" s="59" t="s">
        <v>944</v>
      </c>
    </row>
    <row r="287" spans="1:19" x14ac:dyDescent="0.2">
      <c r="A287" t="s">
        <v>1601</v>
      </c>
      <c r="B287">
        <v>9003471300</v>
      </c>
      <c r="C287" t="s">
        <v>1602</v>
      </c>
      <c r="D287">
        <v>71810</v>
      </c>
      <c r="E287">
        <v>2.14</v>
      </c>
      <c r="F287">
        <v>49088.305419999997</v>
      </c>
      <c r="G287">
        <v>49.088000000000001</v>
      </c>
      <c r="H287">
        <v>0.45400000000000001</v>
      </c>
      <c r="I287">
        <v>3</v>
      </c>
      <c r="J287">
        <v>1716</v>
      </c>
      <c r="K287">
        <v>0.41948891500000002</v>
      </c>
      <c r="L287">
        <v>0.72099999999999997</v>
      </c>
      <c r="M287">
        <v>4</v>
      </c>
      <c r="N287">
        <v>0.30099999999999999</v>
      </c>
      <c r="O287">
        <v>2</v>
      </c>
      <c r="P287">
        <v>3</v>
      </c>
      <c r="S287" s="57" t="s">
        <v>944</v>
      </c>
    </row>
    <row r="288" spans="1:19" x14ac:dyDescent="0.2">
      <c r="A288" t="s">
        <v>1603</v>
      </c>
      <c r="B288">
        <v>9003471400</v>
      </c>
      <c r="C288" t="s">
        <v>1604</v>
      </c>
      <c r="D288">
        <v>105066</v>
      </c>
      <c r="E288">
        <v>2.12</v>
      </c>
      <c r="F288">
        <v>72159.625060000006</v>
      </c>
      <c r="G288">
        <v>72.16</v>
      </c>
      <c r="H288">
        <v>0.82799999999999996</v>
      </c>
      <c r="I288">
        <v>5</v>
      </c>
      <c r="J288">
        <v>1483</v>
      </c>
      <c r="K288">
        <v>0.246619907</v>
      </c>
      <c r="L288">
        <v>8.0000000000000002E-3</v>
      </c>
      <c r="M288">
        <v>1</v>
      </c>
      <c r="N288">
        <v>0.499</v>
      </c>
      <c r="O288">
        <v>3</v>
      </c>
      <c r="P288">
        <v>2</v>
      </c>
      <c r="S288" s="59" t="s">
        <v>944</v>
      </c>
    </row>
    <row r="289" spans="1:19" x14ac:dyDescent="0.2">
      <c r="A289" t="s">
        <v>1605</v>
      </c>
      <c r="B289">
        <v>9003471500</v>
      </c>
      <c r="C289" t="s">
        <v>1606</v>
      </c>
      <c r="D289">
        <v>78713</v>
      </c>
      <c r="E289">
        <v>2.33</v>
      </c>
      <c r="F289">
        <v>51566.600830000003</v>
      </c>
      <c r="G289">
        <v>51.567</v>
      </c>
      <c r="H289">
        <v>0.49</v>
      </c>
      <c r="I289">
        <v>3</v>
      </c>
      <c r="J289">
        <v>1620</v>
      </c>
      <c r="K289">
        <v>0.37698819900000002</v>
      </c>
      <c r="L289">
        <v>0.622</v>
      </c>
      <c r="M289">
        <v>4</v>
      </c>
      <c r="N289">
        <v>0.36899999999999999</v>
      </c>
      <c r="O289">
        <v>2</v>
      </c>
      <c r="P289">
        <v>3</v>
      </c>
      <c r="S289" s="57" t="s">
        <v>944</v>
      </c>
    </row>
    <row r="290" spans="1:19" x14ac:dyDescent="0.2">
      <c r="A290" t="s">
        <v>1607</v>
      </c>
      <c r="B290">
        <v>9003473100</v>
      </c>
      <c r="C290" t="s">
        <v>1608</v>
      </c>
      <c r="D290">
        <v>98611</v>
      </c>
      <c r="E290">
        <v>2.83</v>
      </c>
      <c r="F290">
        <v>58618.155030000002</v>
      </c>
      <c r="G290">
        <v>58.618000000000002</v>
      </c>
      <c r="H290">
        <v>0.628</v>
      </c>
      <c r="I290">
        <v>4</v>
      </c>
      <c r="J290">
        <v>1627</v>
      </c>
      <c r="K290">
        <v>0.33307087200000002</v>
      </c>
      <c r="L290">
        <v>0.38100000000000001</v>
      </c>
      <c r="M290">
        <v>2</v>
      </c>
      <c r="N290">
        <v>0.36299999999999999</v>
      </c>
      <c r="O290">
        <v>2</v>
      </c>
      <c r="P290">
        <v>2</v>
      </c>
      <c r="S290" s="59" t="s">
        <v>944</v>
      </c>
    </row>
    <row r="291" spans="1:19" x14ac:dyDescent="0.2">
      <c r="A291" t="s">
        <v>1609</v>
      </c>
      <c r="B291">
        <v>9003473400</v>
      </c>
      <c r="C291" t="s">
        <v>1610</v>
      </c>
      <c r="D291">
        <v>74132</v>
      </c>
      <c r="E291">
        <v>2.11</v>
      </c>
      <c r="F291">
        <v>51034.573470000003</v>
      </c>
      <c r="G291">
        <v>51.034999999999997</v>
      </c>
      <c r="H291">
        <v>0.48299999999999998</v>
      </c>
      <c r="I291">
        <v>3</v>
      </c>
      <c r="J291">
        <v>1102</v>
      </c>
      <c r="K291">
        <v>0.259118458</v>
      </c>
      <c r="L291">
        <v>3.1E-2</v>
      </c>
      <c r="M291">
        <v>1</v>
      </c>
      <c r="N291">
        <v>0.874</v>
      </c>
      <c r="O291">
        <v>5</v>
      </c>
      <c r="P291">
        <v>4</v>
      </c>
      <c r="S291" s="57" t="s">
        <v>944</v>
      </c>
    </row>
    <row r="292" spans="1:19" x14ac:dyDescent="0.2">
      <c r="A292" t="s">
        <v>1611</v>
      </c>
      <c r="B292">
        <v>9003473501</v>
      </c>
      <c r="C292" t="s">
        <v>1612</v>
      </c>
      <c r="D292">
        <v>116402</v>
      </c>
      <c r="E292">
        <v>2.54</v>
      </c>
      <c r="F292">
        <v>73037.110629999996</v>
      </c>
      <c r="G292">
        <v>73.037000000000006</v>
      </c>
      <c r="H292">
        <v>0.83899999999999997</v>
      </c>
      <c r="I292">
        <v>5</v>
      </c>
      <c r="J292">
        <v>1912</v>
      </c>
      <c r="K292">
        <v>0.31414167100000001</v>
      </c>
      <c r="L292">
        <v>0.253</v>
      </c>
      <c r="M292">
        <v>2</v>
      </c>
      <c r="N292">
        <v>0.20499999999999999</v>
      </c>
      <c r="O292">
        <v>2</v>
      </c>
      <c r="P292">
        <v>2</v>
      </c>
      <c r="S292" s="59" t="s">
        <v>944</v>
      </c>
    </row>
    <row r="293" spans="1:19" x14ac:dyDescent="0.2">
      <c r="A293" t="s">
        <v>1613</v>
      </c>
      <c r="B293">
        <v>9003473502</v>
      </c>
      <c r="C293" t="s">
        <v>1614</v>
      </c>
      <c r="D293">
        <v>88896</v>
      </c>
      <c r="E293">
        <v>2.29</v>
      </c>
      <c r="F293">
        <v>58744.13031</v>
      </c>
      <c r="G293">
        <v>58.744</v>
      </c>
      <c r="H293">
        <v>0.629</v>
      </c>
      <c r="I293">
        <v>4</v>
      </c>
      <c r="J293">
        <v>1484</v>
      </c>
      <c r="K293">
        <v>0.30314518099999999</v>
      </c>
      <c r="L293">
        <v>0.193</v>
      </c>
      <c r="M293">
        <v>1</v>
      </c>
      <c r="N293">
        <v>0.497</v>
      </c>
      <c r="O293">
        <v>3</v>
      </c>
      <c r="P293">
        <v>3</v>
      </c>
      <c r="S293" s="57" t="s">
        <v>944</v>
      </c>
    </row>
    <row r="294" spans="1:19" x14ac:dyDescent="0.2">
      <c r="A294" t="s">
        <v>1615</v>
      </c>
      <c r="B294">
        <v>9003473601</v>
      </c>
      <c r="C294" t="s">
        <v>1616</v>
      </c>
      <c r="D294">
        <v>107670</v>
      </c>
      <c r="E294">
        <v>2.61</v>
      </c>
      <c r="F294">
        <v>66646.05687</v>
      </c>
      <c r="G294">
        <v>66.646000000000001</v>
      </c>
      <c r="H294">
        <v>0.76300000000000001</v>
      </c>
      <c r="I294">
        <v>4</v>
      </c>
      <c r="J294">
        <v>1572</v>
      </c>
      <c r="K294">
        <v>0.28304750299999998</v>
      </c>
      <c r="L294">
        <v>8.6999999999999994E-2</v>
      </c>
      <c r="M294">
        <v>1</v>
      </c>
      <c r="N294">
        <v>0.41299999999999998</v>
      </c>
      <c r="O294">
        <v>3</v>
      </c>
      <c r="P294">
        <v>3</v>
      </c>
      <c r="S294" s="59" t="s">
        <v>944</v>
      </c>
    </row>
    <row r="295" spans="1:19" x14ac:dyDescent="0.2">
      <c r="A295" t="s">
        <v>1617</v>
      </c>
      <c r="B295">
        <v>9003473602</v>
      </c>
      <c r="C295" t="s">
        <v>1618</v>
      </c>
      <c r="D295">
        <v>81641</v>
      </c>
      <c r="E295">
        <v>2.59</v>
      </c>
      <c r="F295">
        <v>50729.249069999998</v>
      </c>
      <c r="G295">
        <v>50.728999999999999</v>
      </c>
      <c r="H295">
        <v>0.47899999999999998</v>
      </c>
      <c r="I295">
        <v>3</v>
      </c>
      <c r="J295">
        <v>1413</v>
      </c>
      <c r="K295">
        <v>0.33424504199999999</v>
      </c>
      <c r="L295">
        <v>0.39</v>
      </c>
      <c r="M295">
        <v>2</v>
      </c>
      <c r="N295">
        <v>0.55300000000000005</v>
      </c>
      <c r="O295">
        <v>3</v>
      </c>
      <c r="P295">
        <v>3</v>
      </c>
      <c r="S295" s="57" t="s">
        <v>944</v>
      </c>
    </row>
    <row r="296" spans="1:19" x14ac:dyDescent="0.2">
      <c r="A296" t="s">
        <v>1619</v>
      </c>
      <c r="B296">
        <v>9003473700</v>
      </c>
      <c r="C296" t="s">
        <v>1620</v>
      </c>
      <c r="D296">
        <v>81250</v>
      </c>
      <c r="E296">
        <v>2.84</v>
      </c>
      <c r="F296">
        <v>48213.004860000001</v>
      </c>
      <c r="G296">
        <v>48.213000000000001</v>
      </c>
      <c r="H296">
        <v>0.436</v>
      </c>
      <c r="I296">
        <v>3</v>
      </c>
      <c r="J296">
        <v>1352</v>
      </c>
      <c r="K296">
        <v>0.33650671700000001</v>
      </c>
      <c r="L296">
        <v>0.40300000000000002</v>
      </c>
      <c r="M296">
        <v>3</v>
      </c>
      <c r="N296">
        <v>0.60399999999999998</v>
      </c>
      <c r="O296">
        <v>4</v>
      </c>
      <c r="P296">
        <v>4</v>
      </c>
      <c r="S296" s="59" t="s">
        <v>944</v>
      </c>
    </row>
    <row r="297" spans="1:19" x14ac:dyDescent="0.2">
      <c r="A297" t="s">
        <v>1621</v>
      </c>
      <c r="B297">
        <v>9003473800</v>
      </c>
      <c r="C297" t="s">
        <v>1622</v>
      </c>
      <c r="D297">
        <v>80298</v>
      </c>
      <c r="E297">
        <v>2.99</v>
      </c>
      <c r="F297">
        <v>46437.53241</v>
      </c>
      <c r="G297">
        <v>46.438000000000002</v>
      </c>
      <c r="H297">
        <v>0.39300000000000002</v>
      </c>
      <c r="I297">
        <v>2</v>
      </c>
      <c r="J297">
        <v>1359</v>
      </c>
      <c r="K297">
        <v>0.35118145099999998</v>
      </c>
      <c r="L297">
        <v>0.48599999999999999</v>
      </c>
      <c r="M297">
        <v>3</v>
      </c>
      <c r="N297">
        <v>0.6</v>
      </c>
      <c r="O297">
        <v>3</v>
      </c>
      <c r="P297">
        <v>4</v>
      </c>
      <c r="S297" s="57" t="s">
        <v>944</v>
      </c>
    </row>
    <row r="298" spans="1:19" x14ac:dyDescent="0.2">
      <c r="A298" t="s">
        <v>1623</v>
      </c>
      <c r="B298">
        <v>9003476100</v>
      </c>
      <c r="C298" t="s">
        <v>1624</v>
      </c>
      <c r="D298">
        <v>62120</v>
      </c>
      <c r="E298">
        <v>2.4700000000000002</v>
      </c>
      <c r="F298">
        <v>39526.009480000001</v>
      </c>
      <c r="G298">
        <v>39.526000000000003</v>
      </c>
      <c r="H298">
        <v>0.28899999999999998</v>
      </c>
      <c r="I298">
        <v>2</v>
      </c>
      <c r="J298">
        <v>1268</v>
      </c>
      <c r="K298">
        <v>0.38496170499999999</v>
      </c>
      <c r="L298">
        <v>0.64500000000000002</v>
      </c>
      <c r="M298">
        <v>4</v>
      </c>
      <c r="N298">
        <v>0.69499999999999995</v>
      </c>
      <c r="O298">
        <v>4</v>
      </c>
      <c r="P298">
        <v>4</v>
      </c>
      <c r="S298" s="59" t="s">
        <v>944</v>
      </c>
    </row>
    <row r="299" spans="1:19" x14ac:dyDescent="0.2">
      <c r="A299" t="s">
        <v>1625</v>
      </c>
      <c r="B299">
        <v>9003476200</v>
      </c>
      <c r="C299" t="s">
        <v>1626</v>
      </c>
      <c r="D299">
        <v>85347</v>
      </c>
      <c r="E299">
        <v>2.4500000000000002</v>
      </c>
      <c r="F299">
        <v>54526.198190000003</v>
      </c>
      <c r="G299">
        <v>54.526000000000003</v>
      </c>
      <c r="H299">
        <v>0.55200000000000005</v>
      </c>
      <c r="I299">
        <v>3</v>
      </c>
      <c r="J299">
        <v>1256</v>
      </c>
      <c r="K299">
        <v>0.27641758500000002</v>
      </c>
      <c r="L299">
        <v>7.5999999999999998E-2</v>
      </c>
      <c r="M299">
        <v>1</v>
      </c>
      <c r="N299">
        <v>0.70699999999999996</v>
      </c>
      <c r="O299">
        <v>4</v>
      </c>
      <c r="P299">
        <v>4</v>
      </c>
      <c r="S299" s="57" t="s">
        <v>944</v>
      </c>
    </row>
    <row r="300" spans="1:19" x14ac:dyDescent="0.2">
      <c r="A300" t="s">
        <v>1627</v>
      </c>
      <c r="B300">
        <v>9003476300</v>
      </c>
      <c r="C300" t="s">
        <v>1628</v>
      </c>
      <c r="D300">
        <v>63044</v>
      </c>
      <c r="E300">
        <v>2.2599999999999998</v>
      </c>
      <c r="F300">
        <v>41936.244989999999</v>
      </c>
      <c r="G300">
        <v>41.936</v>
      </c>
      <c r="H300">
        <v>0.32</v>
      </c>
      <c r="I300">
        <v>2</v>
      </c>
      <c r="J300">
        <v>1285</v>
      </c>
      <c r="K300">
        <v>0.36770101900000002</v>
      </c>
      <c r="L300">
        <v>0.57999999999999996</v>
      </c>
      <c r="M300">
        <v>3</v>
      </c>
      <c r="N300">
        <v>0.67</v>
      </c>
      <c r="O300">
        <v>4</v>
      </c>
      <c r="P300">
        <v>4</v>
      </c>
      <c r="S300" s="59" t="s">
        <v>944</v>
      </c>
    </row>
    <row r="301" spans="1:19" x14ac:dyDescent="0.2">
      <c r="A301" t="s">
        <v>1629</v>
      </c>
      <c r="B301">
        <v>9003477101</v>
      </c>
      <c r="C301" t="s">
        <v>1630</v>
      </c>
      <c r="D301">
        <v>121939</v>
      </c>
      <c r="E301">
        <v>2.63</v>
      </c>
      <c r="F301">
        <v>75190.808539999998</v>
      </c>
      <c r="G301">
        <v>75.191000000000003</v>
      </c>
      <c r="H301">
        <v>0.85</v>
      </c>
      <c r="I301">
        <v>5</v>
      </c>
      <c r="J301">
        <v>1775</v>
      </c>
      <c r="K301">
        <v>0.28327930499999998</v>
      </c>
      <c r="L301">
        <v>9.1999999999999998E-2</v>
      </c>
      <c r="M301">
        <v>1</v>
      </c>
      <c r="N301">
        <v>0.26600000000000001</v>
      </c>
      <c r="O301">
        <v>2</v>
      </c>
      <c r="P301">
        <v>2</v>
      </c>
      <c r="S301" s="57" t="s">
        <v>944</v>
      </c>
    </row>
    <row r="302" spans="1:19" x14ac:dyDescent="0.2">
      <c r="A302" t="s">
        <v>1631</v>
      </c>
      <c r="B302">
        <v>9003477102</v>
      </c>
      <c r="C302" t="s">
        <v>1632</v>
      </c>
      <c r="D302">
        <v>109671</v>
      </c>
      <c r="E302">
        <v>2.54</v>
      </c>
      <c r="F302">
        <v>68813.705610000005</v>
      </c>
      <c r="G302">
        <v>68.813999999999993</v>
      </c>
      <c r="H302">
        <v>0.78400000000000003</v>
      </c>
      <c r="I302">
        <v>4</v>
      </c>
      <c r="J302">
        <v>1615</v>
      </c>
      <c r="K302">
        <v>0.28162994299999999</v>
      </c>
      <c r="L302">
        <v>8.1000000000000003E-2</v>
      </c>
      <c r="M302">
        <v>1</v>
      </c>
      <c r="N302">
        <v>0.375</v>
      </c>
      <c r="O302">
        <v>2</v>
      </c>
      <c r="P302">
        <v>2</v>
      </c>
      <c r="S302" s="59" t="s">
        <v>944</v>
      </c>
    </row>
    <row r="303" spans="1:19" x14ac:dyDescent="0.2">
      <c r="A303" t="s">
        <v>1633</v>
      </c>
      <c r="B303">
        <v>9003477200</v>
      </c>
      <c r="C303" t="s">
        <v>1634</v>
      </c>
      <c r="D303">
        <v>112500</v>
      </c>
      <c r="E303">
        <v>2.71</v>
      </c>
      <c r="F303">
        <v>68338.883159999998</v>
      </c>
      <c r="G303">
        <v>68.338999999999999</v>
      </c>
      <c r="H303">
        <v>0.78</v>
      </c>
      <c r="I303">
        <v>4</v>
      </c>
      <c r="J303">
        <v>1850</v>
      </c>
      <c r="K303">
        <v>0.32485166500000001</v>
      </c>
      <c r="L303">
        <v>0.32800000000000001</v>
      </c>
      <c r="M303">
        <v>2</v>
      </c>
      <c r="N303">
        <v>0.23300000000000001</v>
      </c>
      <c r="O303">
        <v>2</v>
      </c>
      <c r="P303">
        <v>2</v>
      </c>
      <c r="S303" s="57" t="s">
        <v>944</v>
      </c>
    </row>
    <row r="304" spans="1:19" x14ac:dyDescent="0.2">
      <c r="A304" t="s">
        <v>1635</v>
      </c>
      <c r="B304">
        <v>9003480300</v>
      </c>
      <c r="C304" t="s">
        <v>1636</v>
      </c>
      <c r="D304">
        <v>68523</v>
      </c>
      <c r="E304">
        <v>2.4500000000000002</v>
      </c>
      <c r="F304">
        <v>43777.738859999998</v>
      </c>
      <c r="G304">
        <v>43.777999999999999</v>
      </c>
      <c r="H304">
        <v>0.34799999999999998</v>
      </c>
      <c r="I304">
        <v>2</v>
      </c>
      <c r="J304">
        <v>1206</v>
      </c>
      <c r="K304">
        <v>0.33057897400000003</v>
      </c>
      <c r="L304">
        <v>0.36399999999999999</v>
      </c>
      <c r="M304">
        <v>2</v>
      </c>
      <c r="N304">
        <v>0.75700000000000001</v>
      </c>
      <c r="O304">
        <v>4</v>
      </c>
      <c r="P304">
        <v>4</v>
      </c>
      <c r="S304" s="59" t="s">
        <v>944</v>
      </c>
    </row>
    <row r="305" spans="1:19" x14ac:dyDescent="0.2">
      <c r="A305" t="s">
        <v>1637</v>
      </c>
      <c r="B305">
        <v>9003480400</v>
      </c>
      <c r="C305" t="s">
        <v>1638</v>
      </c>
      <c r="D305">
        <v>79864</v>
      </c>
      <c r="E305">
        <v>2.57</v>
      </c>
      <c r="F305">
        <v>49817.794450000001</v>
      </c>
      <c r="G305">
        <v>49.817999999999998</v>
      </c>
      <c r="H305">
        <v>0.46600000000000003</v>
      </c>
      <c r="I305">
        <v>3</v>
      </c>
      <c r="J305">
        <v>1398</v>
      </c>
      <c r="K305">
        <v>0.336747144</v>
      </c>
      <c r="L305">
        <v>0.40500000000000003</v>
      </c>
      <c r="M305">
        <v>3</v>
      </c>
      <c r="N305">
        <v>0.57099999999999995</v>
      </c>
      <c r="O305">
        <v>3</v>
      </c>
      <c r="P305">
        <v>3</v>
      </c>
      <c r="S305" s="57" t="s">
        <v>944</v>
      </c>
    </row>
    <row r="306" spans="1:19" x14ac:dyDescent="0.2">
      <c r="A306" t="s">
        <v>1639</v>
      </c>
      <c r="B306">
        <v>9003480500</v>
      </c>
      <c r="C306" t="s">
        <v>1640</v>
      </c>
      <c r="D306">
        <v>73903</v>
      </c>
      <c r="E306">
        <v>2.42</v>
      </c>
      <c r="F306">
        <v>47506.647680000002</v>
      </c>
      <c r="G306">
        <v>47.506999999999998</v>
      </c>
      <c r="H306">
        <v>0.41399999999999998</v>
      </c>
      <c r="I306">
        <v>3</v>
      </c>
      <c r="J306">
        <v>1303</v>
      </c>
      <c r="K306">
        <v>0.32913288499999999</v>
      </c>
      <c r="L306">
        <v>0.34899999999999998</v>
      </c>
      <c r="M306">
        <v>2</v>
      </c>
      <c r="N306">
        <v>0.65300000000000002</v>
      </c>
      <c r="O306">
        <v>4</v>
      </c>
      <c r="P306">
        <v>4</v>
      </c>
      <c r="S306" s="59" t="s">
        <v>944</v>
      </c>
    </row>
    <row r="307" spans="1:19" x14ac:dyDescent="0.2">
      <c r="A307" t="s">
        <v>1641</v>
      </c>
      <c r="B307">
        <v>9003480600</v>
      </c>
      <c r="C307" t="s">
        <v>1642</v>
      </c>
      <c r="D307">
        <v>33221</v>
      </c>
      <c r="E307">
        <v>2.29</v>
      </c>
      <c r="F307">
        <v>21953.05473</v>
      </c>
      <c r="G307">
        <v>21.952999999999999</v>
      </c>
      <c r="H307">
        <v>8.1000000000000003E-2</v>
      </c>
      <c r="I307">
        <v>1</v>
      </c>
      <c r="J307">
        <v>1213</v>
      </c>
      <c r="K307">
        <v>0.66305123300000002</v>
      </c>
      <c r="L307">
        <v>0.95099999999999996</v>
      </c>
      <c r="M307">
        <v>5</v>
      </c>
      <c r="N307">
        <v>0.751</v>
      </c>
      <c r="O307">
        <v>4</v>
      </c>
      <c r="P307">
        <v>5</v>
      </c>
      <c r="S307" s="57" t="s">
        <v>936</v>
      </c>
    </row>
    <row r="308" spans="1:19" x14ac:dyDescent="0.2">
      <c r="A308" t="s">
        <v>1643</v>
      </c>
      <c r="B308">
        <v>9003480700</v>
      </c>
      <c r="C308" t="s">
        <v>1644</v>
      </c>
      <c r="D308">
        <v>58000</v>
      </c>
      <c r="E308">
        <v>2.59</v>
      </c>
      <c r="F308">
        <v>36039.446430000004</v>
      </c>
      <c r="G308">
        <v>36.039000000000001</v>
      </c>
      <c r="H308">
        <v>0.249</v>
      </c>
      <c r="I308">
        <v>2</v>
      </c>
      <c r="J308">
        <v>964</v>
      </c>
      <c r="K308">
        <v>0.32098162299999999</v>
      </c>
      <c r="L308">
        <v>0.3</v>
      </c>
      <c r="M308">
        <v>2</v>
      </c>
      <c r="N308">
        <v>0.95699999999999996</v>
      </c>
      <c r="O308">
        <v>5</v>
      </c>
      <c r="P308">
        <v>5</v>
      </c>
      <c r="S308" s="59" t="s">
        <v>944</v>
      </c>
    </row>
    <row r="309" spans="1:19" x14ac:dyDescent="0.2">
      <c r="A309" t="s">
        <v>1645</v>
      </c>
      <c r="B309">
        <v>9003480800</v>
      </c>
      <c r="C309" t="s">
        <v>1646</v>
      </c>
      <c r="D309">
        <v>83345</v>
      </c>
      <c r="E309">
        <v>2.36</v>
      </c>
      <c r="F309">
        <v>54252.97393</v>
      </c>
      <c r="G309">
        <v>54.253</v>
      </c>
      <c r="H309">
        <v>0.54500000000000004</v>
      </c>
      <c r="I309">
        <v>3</v>
      </c>
      <c r="J309">
        <v>1133</v>
      </c>
      <c r="K309">
        <v>0.250603774</v>
      </c>
      <c r="L309">
        <v>1.2999999999999999E-2</v>
      </c>
      <c r="M309">
        <v>1</v>
      </c>
      <c r="N309">
        <v>0.83299999999999996</v>
      </c>
      <c r="O309">
        <v>5</v>
      </c>
      <c r="P309">
        <v>4</v>
      </c>
      <c r="S309" s="57" t="s">
        <v>944</v>
      </c>
    </row>
    <row r="310" spans="1:19" x14ac:dyDescent="0.2">
      <c r="A310" t="s">
        <v>1647</v>
      </c>
      <c r="B310">
        <v>9003480900</v>
      </c>
      <c r="C310" t="s">
        <v>1648</v>
      </c>
      <c r="D310">
        <v>92500</v>
      </c>
      <c r="E310">
        <v>2.4</v>
      </c>
      <c r="F310">
        <v>59708.49325</v>
      </c>
      <c r="G310">
        <v>59.707999999999998</v>
      </c>
      <c r="H310">
        <v>0.64600000000000002</v>
      </c>
      <c r="I310">
        <v>4</v>
      </c>
      <c r="J310">
        <v>1268</v>
      </c>
      <c r="K310">
        <v>0.25483811699999998</v>
      </c>
      <c r="L310">
        <v>0.02</v>
      </c>
      <c r="M310">
        <v>1</v>
      </c>
      <c r="N310">
        <v>0.69499999999999995</v>
      </c>
      <c r="O310">
        <v>4</v>
      </c>
      <c r="P310">
        <v>3</v>
      </c>
      <c r="S310" s="59" t="s">
        <v>944</v>
      </c>
    </row>
    <row r="311" spans="1:19" x14ac:dyDescent="0.2">
      <c r="A311" t="s">
        <v>1649</v>
      </c>
      <c r="B311">
        <v>9003481000</v>
      </c>
      <c r="C311" t="s">
        <v>1650</v>
      </c>
      <c r="D311">
        <v>122222</v>
      </c>
      <c r="E311">
        <v>2.96</v>
      </c>
      <c r="F311">
        <v>71040.094509999995</v>
      </c>
      <c r="G311">
        <v>71.040000000000006</v>
      </c>
      <c r="H311">
        <v>0.81699999999999995</v>
      </c>
      <c r="I311">
        <v>5</v>
      </c>
      <c r="J311">
        <v>1767</v>
      </c>
      <c r="K311">
        <v>0.29847933300000001</v>
      </c>
      <c r="L311">
        <v>0.161</v>
      </c>
      <c r="M311">
        <v>1</v>
      </c>
      <c r="N311">
        <v>0.27300000000000002</v>
      </c>
      <c r="O311">
        <v>2</v>
      </c>
      <c r="P311">
        <v>2</v>
      </c>
      <c r="S311" s="57" t="s">
        <v>944</v>
      </c>
    </row>
    <row r="312" spans="1:19" x14ac:dyDescent="0.2">
      <c r="A312" t="s">
        <v>1651</v>
      </c>
      <c r="B312">
        <v>9003481100</v>
      </c>
      <c r="C312" t="s">
        <v>1652</v>
      </c>
      <c r="D312">
        <v>73365</v>
      </c>
      <c r="E312">
        <v>2.56</v>
      </c>
      <c r="F312">
        <v>45853.125</v>
      </c>
      <c r="G312">
        <v>45.853000000000002</v>
      </c>
      <c r="H312">
        <v>0.38100000000000001</v>
      </c>
      <c r="I312">
        <v>2</v>
      </c>
      <c r="J312">
        <v>1400</v>
      </c>
      <c r="K312">
        <v>0.366387242</v>
      </c>
      <c r="L312">
        <v>0.56999999999999995</v>
      </c>
      <c r="M312">
        <v>3</v>
      </c>
      <c r="N312">
        <v>0.56899999999999995</v>
      </c>
      <c r="O312">
        <v>3</v>
      </c>
      <c r="P312">
        <v>4</v>
      </c>
      <c r="S312" s="59" t="s">
        <v>944</v>
      </c>
    </row>
    <row r="313" spans="1:19" x14ac:dyDescent="0.2">
      <c r="A313" t="s">
        <v>1653</v>
      </c>
      <c r="B313">
        <v>9003481200</v>
      </c>
      <c r="C313" t="s">
        <v>1654</v>
      </c>
      <c r="D313">
        <v>90543</v>
      </c>
      <c r="E313">
        <v>2.4</v>
      </c>
      <c r="F313">
        <v>58445.255190000003</v>
      </c>
      <c r="G313">
        <v>58.445</v>
      </c>
      <c r="H313">
        <v>0.623</v>
      </c>
      <c r="I313">
        <v>4</v>
      </c>
      <c r="J313">
        <v>1204</v>
      </c>
      <c r="K313">
        <v>0.247205696</v>
      </c>
      <c r="L313">
        <v>8.9999999999999993E-3</v>
      </c>
      <c r="M313">
        <v>1</v>
      </c>
      <c r="N313">
        <v>0.75800000000000001</v>
      </c>
      <c r="O313">
        <v>4</v>
      </c>
      <c r="P313">
        <v>3</v>
      </c>
      <c r="S313" s="57" t="s">
        <v>944</v>
      </c>
    </row>
    <row r="314" spans="1:19" x14ac:dyDescent="0.2">
      <c r="A314" t="s">
        <v>1655</v>
      </c>
      <c r="B314">
        <v>9003481300</v>
      </c>
      <c r="C314" t="s">
        <v>1656</v>
      </c>
      <c r="D314">
        <v>99617</v>
      </c>
      <c r="E314">
        <v>2.42</v>
      </c>
      <c r="F314">
        <v>64036.232929999998</v>
      </c>
      <c r="G314">
        <v>64.036000000000001</v>
      </c>
      <c r="H314">
        <v>0.71799999999999997</v>
      </c>
      <c r="I314">
        <v>4</v>
      </c>
      <c r="J314">
        <v>1511</v>
      </c>
      <c r="K314">
        <v>0.28315219600000002</v>
      </c>
      <c r="L314">
        <v>9.0999999999999998E-2</v>
      </c>
      <c r="M314">
        <v>1</v>
      </c>
      <c r="N314">
        <v>0.45900000000000002</v>
      </c>
      <c r="O314">
        <v>3</v>
      </c>
      <c r="P314">
        <v>3</v>
      </c>
      <c r="S314" s="59" t="s">
        <v>944</v>
      </c>
    </row>
    <row r="315" spans="1:19" x14ac:dyDescent="0.2">
      <c r="A315" t="s">
        <v>1657</v>
      </c>
      <c r="B315">
        <v>9003484100</v>
      </c>
      <c r="C315" t="s">
        <v>1658</v>
      </c>
      <c r="D315">
        <v>72150</v>
      </c>
      <c r="E315">
        <v>1.93</v>
      </c>
      <c r="F315">
        <v>51934.706420000002</v>
      </c>
      <c r="G315">
        <v>51.935000000000002</v>
      </c>
      <c r="H315">
        <v>0.498</v>
      </c>
      <c r="I315">
        <v>3</v>
      </c>
      <c r="J315">
        <v>1227</v>
      </c>
      <c r="K315">
        <v>0.28350983400000002</v>
      </c>
      <c r="L315">
        <v>9.4E-2</v>
      </c>
      <c r="M315">
        <v>1</v>
      </c>
      <c r="N315">
        <v>0.74</v>
      </c>
      <c r="O315">
        <v>4</v>
      </c>
      <c r="P315">
        <v>4</v>
      </c>
      <c r="S315" s="57" t="s">
        <v>944</v>
      </c>
    </row>
    <row r="316" spans="1:19" x14ac:dyDescent="0.2">
      <c r="A316" t="s">
        <v>1659</v>
      </c>
      <c r="B316">
        <v>9003484200</v>
      </c>
      <c r="C316" t="s">
        <v>1660</v>
      </c>
      <c r="D316">
        <v>84779</v>
      </c>
      <c r="E316">
        <v>2.76</v>
      </c>
      <c r="F316">
        <v>51030.961190000002</v>
      </c>
      <c r="G316">
        <v>51.030999999999999</v>
      </c>
      <c r="H316">
        <v>0.48199999999999998</v>
      </c>
      <c r="I316">
        <v>3</v>
      </c>
      <c r="J316">
        <v>1355</v>
      </c>
      <c r="K316">
        <v>0.318630095</v>
      </c>
      <c r="L316">
        <v>0.27800000000000002</v>
      </c>
      <c r="M316">
        <v>2</v>
      </c>
      <c r="N316">
        <v>0.60299999999999998</v>
      </c>
      <c r="O316">
        <v>4</v>
      </c>
      <c r="P316">
        <v>4</v>
      </c>
      <c r="S316" s="59" t="s">
        <v>944</v>
      </c>
    </row>
    <row r="317" spans="1:19" x14ac:dyDescent="0.2">
      <c r="A317" t="s">
        <v>1661</v>
      </c>
      <c r="B317">
        <v>9003487100</v>
      </c>
      <c r="C317" t="s">
        <v>1662</v>
      </c>
      <c r="D317">
        <v>121296</v>
      </c>
      <c r="E317">
        <v>2.93</v>
      </c>
      <c r="F317">
        <v>70861.879820000002</v>
      </c>
      <c r="G317">
        <v>70.861999999999995</v>
      </c>
      <c r="H317">
        <v>0.81399999999999995</v>
      </c>
      <c r="I317">
        <v>5</v>
      </c>
      <c r="J317">
        <v>1813</v>
      </c>
      <c r="K317">
        <v>0.30701979800000001</v>
      </c>
      <c r="L317">
        <v>0.20899999999999999</v>
      </c>
      <c r="M317">
        <v>2</v>
      </c>
      <c r="N317">
        <v>0.251</v>
      </c>
      <c r="O317">
        <v>2</v>
      </c>
      <c r="P317">
        <v>2</v>
      </c>
      <c r="S317" s="57" t="s">
        <v>944</v>
      </c>
    </row>
    <row r="318" spans="1:19" x14ac:dyDescent="0.2">
      <c r="A318" t="s">
        <v>1663</v>
      </c>
      <c r="B318">
        <v>9003487201</v>
      </c>
      <c r="C318" t="s">
        <v>1664</v>
      </c>
      <c r="D318">
        <v>114792</v>
      </c>
      <c r="E318">
        <v>2.63</v>
      </c>
      <c r="F318">
        <v>70783.779540000003</v>
      </c>
      <c r="G318">
        <v>70.784000000000006</v>
      </c>
      <c r="H318">
        <v>0.81200000000000006</v>
      </c>
      <c r="I318">
        <v>5</v>
      </c>
      <c r="J318">
        <v>1698</v>
      </c>
      <c r="K318">
        <v>0.28786255999999999</v>
      </c>
      <c r="L318">
        <v>0.108</v>
      </c>
      <c r="M318">
        <v>1</v>
      </c>
      <c r="N318">
        <v>0.312</v>
      </c>
      <c r="O318">
        <v>2</v>
      </c>
      <c r="P318">
        <v>2</v>
      </c>
      <c r="S318" s="59" t="s">
        <v>944</v>
      </c>
    </row>
    <row r="319" spans="1:19" x14ac:dyDescent="0.2">
      <c r="A319" t="s">
        <v>1665</v>
      </c>
      <c r="B319">
        <v>9003487202</v>
      </c>
      <c r="C319" t="s">
        <v>1666</v>
      </c>
      <c r="D319">
        <v>169688</v>
      </c>
      <c r="E319">
        <v>3.17</v>
      </c>
      <c r="F319">
        <v>95306.275909999997</v>
      </c>
      <c r="G319">
        <v>95.305999999999997</v>
      </c>
      <c r="H319">
        <v>0.93500000000000005</v>
      </c>
      <c r="I319">
        <v>5</v>
      </c>
      <c r="J319">
        <v>2347</v>
      </c>
      <c r="K319">
        <v>0.29551044500000001</v>
      </c>
      <c r="L319">
        <v>0.14299999999999999</v>
      </c>
      <c r="M319">
        <v>1</v>
      </c>
      <c r="N319">
        <v>0.104</v>
      </c>
      <c r="O319">
        <v>1</v>
      </c>
      <c r="P319">
        <v>1</v>
      </c>
      <c r="S319" s="57" t="s">
        <v>944</v>
      </c>
    </row>
    <row r="320" spans="1:19" x14ac:dyDescent="0.2">
      <c r="A320" t="s">
        <v>1667</v>
      </c>
      <c r="B320">
        <v>9003487300</v>
      </c>
      <c r="C320" t="s">
        <v>1668</v>
      </c>
      <c r="D320">
        <v>96875</v>
      </c>
      <c r="E320">
        <v>2.63</v>
      </c>
      <c r="F320">
        <v>59735.684050000003</v>
      </c>
      <c r="G320">
        <v>59.735999999999997</v>
      </c>
      <c r="H320">
        <v>0.64800000000000002</v>
      </c>
      <c r="I320">
        <v>4</v>
      </c>
      <c r="J320">
        <v>1792</v>
      </c>
      <c r="K320">
        <v>0.35998583299999998</v>
      </c>
      <c r="L320">
        <v>0.53700000000000003</v>
      </c>
      <c r="M320">
        <v>3</v>
      </c>
      <c r="N320">
        <v>0.25700000000000001</v>
      </c>
      <c r="O320">
        <v>2</v>
      </c>
      <c r="P320">
        <v>2</v>
      </c>
      <c r="S320" s="59" t="s">
        <v>944</v>
      </c>
    </row>
    <row r="321" spans="1:19" x14ac:dyDescent="0.2">
      <c r="A321" t="s">
        <v>1669</v>
      </c>
      <c r="B321">
        <v>9003487400</v>
      </c>
      <c r="C321" t="s">
        <v>1670</v>
      </c>
      <c r="D321">
        <v>109605</v>
      </c>
      <c r="E321">
        <v>2.6</v>
      </c>
      <c r="F321">
        <v>67974.135420000006</v>
      </c>
      <c r="G321">
        <v>67.974000000000004</v>
      </c>
      <c r="H321">
        <v>0.77700000000000002</v>
      </c>
      <c r="I321">
        <v>4</v>
      </c>
      <c r="J321">
        <v>1660</v>
      </c>
      <c r="K321">
        <v>0.29305264199999997</v>
      </c>
      <c r="L321">
        <v>0.13600000000000001</v>
      </c>
      <c r="M321">
        <v>1</v>
      </c>
      <c r="N321">
        <v>0.34100000000000003</v>
      </c>
      <c r="O321">
        <v>2</v>
      </c>
      <c r="P321">
        <v>2</v>
      </c>
      <c r="S321" s="57" t="s">
        <v>944</v>
      </c>
    </row>
    <row r="322" spans="1:19" x14ac:dyDescent="0.2">
      <c r="A322" t="s">
        <v>1671</v>
      </c>
      <c r="B322">
        <v>9003487500</v>
      </c>
      <c r="C322" t="s">
        <v>1672</v>
      </c>
      <c r="D322">
        <v>69135</v>
      </c>
      <c r="E322">
        <v>2.2200000000000002</v>
      </c>
      <c r="F322">
        <v>46400.373879999999</v>
      </c>
      <c r="G322">
        <v>46.4</v>
      </c>
      <c r="H322">
        <v>0.39200000000000002</v>
      </c>
      <c r="I322">
        <v>2</v>
      </c>
      <c r="J322">
        <v>1450</v>
      </c>
      <c r="K322">
        <v>0.37499697799999998</v>
      </c>
      <c r="L322">
        <v>0.61299999999999999</v>
      </c>
      <c r="M322">
        <v>4</v>
      </c>
      <c r="N322">
        <v>0.52500000000000002</v>
      </c>
      <c r="O322">
        <v>3</v>
      </c>
      <c r="P322">
        <v>4</v>
      </c>
      <c r="S322" s="59" t="s">
        <v>944</v>
      </c>
    </row>
    <row r="323" spans="1:19" x14ac:dyDescent="0.2">
      <c r="A323" t="s">
        <v>1673</v>
      </c>
      <c r="B323">
        <v>9003490100</v>
      </c>
      <c r="C323" t="s">
        <v>1674</v>
      </c>
      <c r="D323">
        <v>72198</v>
      </c>
      <c r="E323">
        <v>2.15</v>
      </c>
      <c r="F323">
        <v>49238.62732</v>
      </c>
      <c r="G323">
        <v>49.238999999999997</v>
      </c>
      <c r="H323">
        <v>0.45800000000000002</v>
      </c>
      <c r="I323">
        <v>3</v>
      </c>
      <c r="J323">
        <v>1335</v>
      </c>
      <c r="K323">
        <v>0.32535431799999998</v>
      </c>
      <c r="L323">
        <v>0.33200000000000002</v>
      </c>
      <c r="M323">
        <v>2</v>
      </c>
      <c r="N323">
        <v>0.622</v>
      </c>
      <c r="O323">
        <v>4</v>
      </c>
      <c r="P323">
        <v>4</v>
      </c>
      <c r="S323" s="57" t="s">
        <v>944</v>
      </c>
    </row>
    <row r="324" spans="1:19" x14ac:dyDescent="0.2">
      <c r="A324" t="s">
        <v>1675</v>
      </c>
      <c r="B324">
        <v>9003490302</v>
      </c>
      <c r="C324" t="s">
        <v>1676</v>
      </c>
      <c r="D324">
        <v>89691</v>
      </c>
      <c r="E324">
        <v>2.2599999999999998</v>
      </c>
      <c r="F324">
        <v>59661.565730000002</v>
      </c>
      <c r="G324">
        <v>59.661999999999999</v>
      </c>
      <c r="H324">
        <v>0.64300000000000002</v>
      </c>
      <c r="I324">
        <v>4</v>
      </c>
      <c r="J324">
        <v>1552</v>
      </c>
      <c r="K324">
        <v>0.31216076500000001</v>
      </c>
      <c r="L324">
        <v>0.23799999999999999</v>
      </c>
      <c r="M324">
        <v>2</v>
      </c>
      <c r="N324">
        <v>0.42499999999999999</v>
      </c>
      <c r="O324">
        <v>3</v>
      </c>
      <c r="P324">
        <v>3</v>
      </c>
      <c r="S324" s="59" t="s">
        <v>944</v>
      </c>
    </row>
    <row r="325" spans="1:19" x14ac:dyDescent="0.2">
      <c r="A325" t="s">
        <v>1677</v>
      </c>
      <c r="B325">
        <v>9003492100</v>
      </c>
      <c r="C325" t="s">
        <v>1678</v>
      </c>
      <c r="D325">
        <v>98664</v>
      </c>
      <c r="E325">
        <v>2.54</v>
      </c>
      <c r="F325">
        <v>61907.299559999999</v>
      </c>
      <c r="G325">
        <v>61.906999999999996</v>
      </c>
      <c r="H325">
        <v>0.69099999999999995</v>
      </c>
      <c r="I325">
        <v>4</v>
      </c>
      <c r="J325">
        <v>1549</v>
      </c>
      <c r="K325">
        <v>0.30025538400000001</v>
      </c>
      <c r="L325">
        <v>0.17100000000000001</v>
      </c>
      <c r="M325">
        <v>1</v>
      </c>
      <c r="N325">
        <v>0.43</v>
      </c>
      <c r="O325">
        <v>3</v>
      </c>
      <c r="P325">
        <v>3</v>
      </c>
      <c r="S325" s="57" t="s">
        <v>944</v>
      </c>
    </row>
    <row r="326" spans="1:19" x14ac:dyDescent="0.2">
      <c r="A326" t="s">
        <v>1679</v>
      </c>
      <c r="B326">
        <v>9003492200</v>
      </c>
      <c r="C326" t="s">
        <v>1680</v>
      </c>
      <c r="D326">
        <v>92750</v>
      </c>
      <c r="E326">
        <v>2.46</v>
      </c>
      <c r="F326">
        <v>59135.240140000002</v>
      </c>
      <c r="G326">
        <v>59.134999999999998</v>
      </c>
      <c r="H326">
        <v>0.63500000000000001</v>
      </c>
      <c r="I326">
        <v>4</v>
      </c>
      <c r="J326">
        <v>1582</v>
      </c>
      <c r="K326">
        <v>0.32102685199999997</v>
      </c>
      <c r="L326">
        <v>0.30199999999999999</v>
      </c>
      <c r="M326">
        <v>2</v>
      </c>
      <c r="N326">
        <v>0.40200000000000002</v>
      </c>
      <c r="O326">
        <v>3</v>
      </c>
      <c r="P326">
        <v>3</v>
      </c>
      <c r="S326" s="59" t="s">
        <v>944</v>
      </c>
    </row>
    <row r="327" spans="1:19" x14ac:dyDescent="0.2">
      <c r="A327" t="s">
        <v>1681</v>
      </c>
      <c r="B327">
        <v>9003492300</v>
      </c>
      <c r="C327" t="s">
        <v>1682</v>
      </c>
      <c r="D327">
        <v>68125</v>
      </c>
      <c r="E327">
        <v>2.21</v>
      </c>
      <c r="F327">
        <v>45825.834089999997</v>
      </c>
      <c r="G327">
        <v>45.826000000000001</v>
      </c>
      <c r="H327">
        <v>0.38</v>
      </c>
      <c r="I327">
        <v>2</v>
      </c>
      <c r="J327">
        <v>1456</v>
      </c>
      <c r="K327">
        <v>0.38126965600000001</v>
      </c>
      <c r="L327">
        <v>0.63600000000000001</v>
      </c>
      <c r="M327">
        <v>4</v>
      </c>
      <c r="N327">
        <v>0.52</v>
      </c>
      <c r="O327">
        <v>3</v>
      </c>
      <c r="P327">
        <v>4</v>
      </c>
      <c r="S327" s="57" t="s">
        <v>944</v>
      </c>
    </row>
    <row r="328" spans="1:19" x14ac:dyDescent="0.2">
      <c r="A328" t="s">
        <v>1683</v>
      </c>
      <c r="B328">
        <v>9003492400</v>
      </c>
      <c r="C328" t="s">
        <v>1684</v>
      </c>
      <c r="D328">
        <v>85446</v>
      </c>
      <c r="E328">
        <v>2.61</v>
      </c>
      <c r="F328">
        <v>52889.746220000001</v>
      </c>
      <c r="G328">
        <v>52.89</v>
      </c>
      <c r="H328">
        <v>0.52</v>
      </c>
      <c r="I328">
        <v>3</v>
      </c>
      <c r="J328">
        <v>1448</v>
      </c>
      <c r="K328">
        <v>0.32853249000000001</v>
      </c>
      <c r="L328">
        <v>0.34499999999999997</v>
      </c>
      <c r="M328">
        <v>2</v>
      </c>
      <c r="N328">
        <v>0.52700000000000002</v>
      </c>
      <c r="O328">
        <v>3</v>
      </c>
      <c r="P328">
        <v>3</v>
      </c>
      <c r="S328" s="59" t="s">
        <v>944</v>
      </c>
    </row>
    <row r="329" spans="1:19" x14ac:dyDescent="0.2">
      <c r="A329" t="s">
        <v>1685</v>
      </c>
      <c r="B329">
        <v>9003492500</v>
      </c>
      <c r="C329" t="s">
        <v>1686</v>
      </c>
      <c r="D329">
        <v>90644</v>
      </c>
      <c r="E329">
        <v>2.48</v>
      </c>
      <c r="F329">
        <v>57558.997560000003</v>
      </c>
      <c r="G329">
        <v>57.558999999999997</v>
      </c>
      <c r="H329">
        <v>0.61199999999999999</v>
      </c>
      <c r="I329">
        <v>4</v>
      </c>
      <c r="J329">
        <v>1726</v>
      </c>
      <c r="K329">
        <v>0.35983948399999999</v>
      </c>
      <c r="L329">
        <v>0.53600000000000003</v>
      </c>
      <c r="M329">
        <v>3</v>
      </c>
      <c r="N329">
        <v>0.29499999999999998</v>
      </c>
      <c r="O329">
        <v>2</v>
      </c>
      <c r="P329">
        <v>2</v>
      </c>
      <c r="S329" s="57" t="s">
        <v>944</v>
      </c>
    </row>
    <row r="330" spans="1:19" x14ac:dyDescent="0.2">
      <c r="A330" t="s">
        <v>1687</v>
      </c>
      <c r="B330">
        <v>9003492600</v>
      </c>
      <c r="C330" t="s">
        <v>1688</v>
      </c>
      <c r="D330">
        <v>101964</v>
      </c>
      <c r="E330">
        <v>2.3199999999999998</v>
      </c>
      <c r="F330">
        <v>66942.645600000003</v>
      </c>
      <c r="G330">
        <v>66.942999999999998</v>
      </c>
      <c r="H330">
        <v>0.76600000000000001</v>
      </c>
      <c r="I330">
        <v>4</v>
      </c>
      <c r="J330">
        <v>1333</v>
      </c>
      <c r="K330">
        <v>0.23895081900000001</v>
      </c>
      <c r="L330">
        <v>4.0000000000000001E-3</v>
      </c>
      <c r="M330">
        <v>1</v>
      </c>
      <c r="N330">
        <v>0.625</v>
      </c>
      <c r="O330">
        <v>4</v>
      </c>
      <c r="P330">
        <v>3</v>
      </c>
      <c r="S330" s="59" t="s">
        <v>944</v>
      </c>
    </row>
    <row r="331" spans="1:19" x14ac:dyDescent="0.2">
      <c r="A331" t="s">
        <v>1689</v>
      </c>
      <c r="B331">
        <v>9003494100</v>
      </c>
      <c r="C331" t="s">
        <v>1690</v>
      </c>
      <c r="D331">
        <v>86119</v>
      </c>
      <c r="E331">
        <v>2.25</v>
      </c>
      <c r="F331">
        <v>57412.666669999999</v>
      </c>
      <c r="G331">
        <v>57.412999999999997</v>
      </c>
      <c r="H331">
        <v>0.60199999999999998</v>
      </c>
      <c r="I331">
        <v>4</v>
      </c>
      <c r="J331">
        <v>1538</v>
      </c>
      <c r="K331">
        <v>0.32146216300000002</v>
      </c>
      <c r="L331">
        <v>0.307</v>
      </c>
      <c r="M331">
        <v>2</v>
      </c>
      <c r="N331">
        <v>0.435</v>
      </c>
      <c r="O331">
        <v>3</v>
      </c>
      <c r="P331">
        <v>3</v>
      </c>
      <c r="S331" s="57" t="s">
        <v>944</v>
      </c>
    </row>
    <row r="332" spans="1:19" x14ac:dyDescent="0.2">
      <c r="A332" t="s">
        <v>1691</v>
      </c>
      <c r="B332">
        <v>9003494201</v>
      </c>
      <c r="C332" t="s">
        <v>1692</v>
      </c>
      <c r="D332">
        <v>75536</v>
      </c>
      <c r="E332">
        <v>2.5499999999999998</v>
      </c>
      <c r="F332">
        <v>47302.478049999998</v>
      </c>
      <c r="G332">
        <v>47.302</v>
      </c>
      <c r="H332">
        <v>0.40400000000000003</v>
      </c>
      <c r="I332">
        <v>3</v>
      </c>
      <c r="J332">
        <v>1230</v>
      </c>
      <c r="K332">
        <v>0.31203439199999999</v>
      </c>
      <c r="L332">
        <v>0.23699999999999999</v>
      </c>
      <c r="M332">
        <v>2</v>
      </c>
      <c r="N332">
        <v>0.73499999999999999</v>
      </c>
      <c r="O332">
        <v>4</v>
      </c>
      <c r="P332">
        <v>4</v>
      </c>
      <c r="S332" s="59" t="s">
        <v>944</v>
      </c>
    </row>
    <row r="333" spans="1:19" x14ac:dyDescent="0.2">
      <c r="A333" t="s">
        <v>1693</v>
      </c>
      <c r="B333">
        <v>9003494202</v>
      </c>
      <c r="C333" t="s">
        <v>1694</v>
      </c>
      <c r="D333">
        <v>90571</v>
      </c>
      <c r="E333">
        <v>2.23</v>
      </c>
      <c r="F333">
        <v>60650.827599999997</v>
      </c>
      <c r="G333">
        <v>60.651000000000003</v>
      </c>
      <c r="H333">
        <v>0.66300000000000003</v>
      </c>
      <c r="I333">
        <v>4</v>
      </c>
      <c r="J333">
        <v>1431</v>
      </c>
      <c r="K333">
        <v>0.28312886500000001</v>
      </c>
      <c r="L333">
        <v>0.09</v>
      </c>
      <c r="M333">
        <v>1</v>
      </c>
      <c r="N333">
        <v>0.54100000000000004</v>
      </c>
      <c r="O333">
        <v>3</v>
      </c>
      <c r="P333">
        <v>3</v>
      </c>
      <c r="S333" s="57" t="s">
        <v>944</v>
      </c>
    </row>
    <row r="334" spans="1:19" x14ac:dyDescent="0.2">
      <c r="A334" t="s">
        <v>1695</v>
      </c>
      <c r="B334">
        <v>9003494300</v>
      </c>
      <c r="C334" t="s">
        <v>1696</v>
      </c>
      <c r="D334">
        <v>79475</v>
      </c>
      <c r="E334">
        <v>2.73</v>
      </c>
      <c r="F334">
        <v>48100.458160000002</v>
      </c>
      <c r="G334">
        <v>48.1</v>
      </c>
      <c r="H334">
        <v>0.432</v>
      </c>
      <c r="I334">
        <v>3</v>
      </c>
      <c r="J334">
        <v>1461</v>
      </c>
      <c r="K334">
        <v>0.364487173</v>
      </c>
      <c r="L334">
        <v>0.56299999999999994</v>
      </c>
      <c r="M334">
        <v>3</v>
      </c>
      <c r="N334">
        <v>0.51300000000000001</v>
      </c>
      <c r="O334">
        <v>3</v>
      </c>
      <c r="P334">
        <v>3</v>
      </c>
      <c r="S334" s="59" t="s">
        <v>944</v>
      </c>
    </row>
    <row r="335" spans="1:19" x14ac:dyDescent="0.2">
      <c r="A335" t="s">
        <v>1697</v>
      </c>
      <c r="B335">
        <v>9003494400</v>
      </c>
      <c r="C335" t="s">
        <v>1698</v>
      </c>
      <c r="D335">
        <v>74659</v>
      </c>
      <c r="E335">
        <v>2.2999999999999998</v>
      </c>
      <c r="F335">
        <v>49228.686759999997</v>
      </c>
      <c r="G335">
        <v>49.228999999999999</v>
      </c>
      <c r="H335">
        <v>0.45600000000000002</v>
      </c>
      <c r="I335">
        <v>3</v>
      </c>
      <c r="J335">
        <v>1268</v>
      </c>
      <c r="K335">
        <v>0.30908807399999999</v>
      </c>
      <c r="L335">
        <v>0.221</v>
      </c>
      <c r="M335">
        <v>2</v>
      </c>
      <c r="N335">
        <v>0.69499999999999995</v>
      </c>
      <c r="O335">
        <v>4</v>
      </c>
      <c r="P335">
        <v>4</v>
      </c>
      <c r="S335" s="57" t="s">
        <v>944</v>
      </c>
    </row>
    <row r="336" spans="1:19" x14ac:dyDescent="0.2">
      <c r="A336" t="s">
        <v>1699</v>
      </c>
      <c r="B336">
        <v>9003494500</v>
      </c>
      <c r="C336" t="s">
        <v>1700</v>
      </c>
      <c r="D336">
        <v>87917</v>
      </c>
      <c r="E336">
        <v>2.4700000000000002</v>
      </c>
      <c r="F336">
        <v>55940.247510000001</v>
      </c>
      <c r="G336">
        <v>55.94</v>
      </c>
      <c r="H336">
        <v>0.57799999999999996</v>
      </c>
      <c r="I336">
        <v>3</v>
      </c>
      <c r="J336">
        <v>1407</v>
      </c>
      <c r="K336">
        <v>0.30182204699999998</v>
      </c>
      <c r="L336">
        <v>0.18</v>
      </c>
      <c r="M336">
        <v>1</v>
      </c>
      <c r="N336">
        <v>0.56399999999999995</v>
      </c>
      <c r="O336">
        <v>3</v>
      </c>
      <c r="P336">
        <v>3</v>
      </c>
      <c r="S336" s="59" t="s">
        <v>944</v>
      </c>
    </row>
    <row r="337" spans="1:19" x14ac:dyDescent="0.2">
      <c r="A337" t="s">
        <v>1701</v>
      </c>
      <c r="B337">
        <v>9003494600</v>
      </c>
      <c r="C337" t="s">
        <v>1702</v>
      </c>
      <c r="D337">
        <v>75980</v>
      </c>
      <c r="E337">
        <v>2.34</v>
      </c>
      <c r="F337">
        <v>49669.679830000001</v>
      </c>
      <c r="G337">
        <v>49.67</v>
      </c>
      <c r="H337">
        <v>0.46500000000000002</v>
      </c>
      <c r="I337">
        <v>3</v>
      </c>
      <c r="J337">
        <v>1400</v>
      </c>
      <c r="K337">
        <v>0.33823451399999999</v>
      </c>
      <c r="L337">
        <v>0.41299999999999998</v>
      </c>
      <c r="M337">
        <v>3</v>
      </c>
      <c r="N337">
        <v>0.56899999999999995</v>
      </c>
      <c r="O337">
        <v>3</v>
      </c>
      <c r="P337">
        <v>3</v>
      </c>
      <c r="S337" s="57" t="s">
        <v>944</v>
      </c>
    </row>
    <row r="338" spans="1:19" x14ac:dyDescent="0.2">
      <c r="A338" t="s">
        <v>1703</v>
      </c>
      <c r="B338">
        <v>9003496100</v>
      </c>
      <c r="C338" t="s">
        <v>1704</v>
      </c>
      <c r="D338">
        <v>59914</v>
      </c>
      <c r="E338">
        <v>2.74</v>
      </c>
      <c r="F338">
        <v>36195.371099999997</v>
      </c>
      <c r="G338">
        <v>36.195</v>
      </c>
      <c r="H338">
        <v>0.251</v>
      </c>
      <c r="I338">
        <v>2</v>
      </c>
      <c r="J338">
        <v>1260</v>
      </c>
      <c r="K338">
        <v>0.41773297399999998</v>
      </c>
      <c r="L338">
        <v>0.71699999999999997</v>
      </c>
      <c r="M338">
        <v>4</v>
      </c>
      <c r="N338">
        <v>0.70199999999999996</v>
      </c>
      <c r="O338">
        <v>4</v>
      </c>
      <c r="P338">
        <v>4</v>
      </c>
      <c r="S338" s="59" t="s">
        <v>944</v>
      </c>
    </row>
    <row r="339" spans="1:19" x14ac:dyDescent="0.2">
      <c r="A339" t="s">
        <v>1705</v>
      </c>
      <c r="B339">
        <v>9003496200</v>
      </c>
      <c r="C339" t="s">
        <v>1706</v>
      </c>
      <c r="D339">
        <v>75417</v>
      </c>
      <c r="E339">
        <v>2.5499999999999998</v>
      </c>
      <c r="F339">
        <v>47227.95736</v>
      </c>
      <c r="G339">
        <v>47.228000000000002</v>
      </c>
      <c r="H339">
        <v>0.40300000000000002</v>
      </c>
      <c r="I339">
        <v>3</v>
      </c>
      <c r="J339">
        <v>1640</v>
      </c>
      <c r="K339">
        <v>0.41670233299999998</v>
      </c>
      <c r="L339">
        <v>0.71599999999999997</v>
      </c>
      <c r="M339">
        <v>4</v>
      </c>
      <c r="N339">
        <v>0.35699999999999998</v>
      </c>
      <c r="O339">
        <v>2</v>
      </c>
      <c r="P339">
        <v>3</v>
      </c>
      <c r="S339" s="57" t="s">
        <v>944</v>
      </c>
    </row>
    <row r="340" spans="1:19" x14ac:dyDescent="0.2">
      <c r="A340" t="s">
        <v>1707</v>
      </c>
      <c r="B340">
        <v>9003496300</v>
      </c>
      <c r="C340" t="s">
        <v>1708</v>
      </c>
      <c r="D340">
        <v>102955</v>
      </c>
      <c r="E340">
        <v>2.4700000000000002</v>
      </c>
      <c r="F340">
        <v>65508.697769999999</v>
      </c>
      <c r="G340">
        <v>65.509</v>
      </c>
      <c r="H340">
        <v>0.74399999999999999</v>
      </c>
      <c r="I340">
        <v>4</v>
      </c>
      <c r="J340">
        <v>1589</v>
      </c>
      <c r="K340">
        <v>0.29107585200000002</v>
      </c>
      <c r="L340">
        <v>0.12</v>
      </c>
      <c r="M340">
        <v>1</v>
      </c>
      <c r="N340">
        <v>0.39600000000000002</v>
      </c>
      <c r="O340">
        <v>2</v>
      </c>
      <c r="P340">
        <v>2</v>
      </c>
      <c r="S340" s="59" t="s">
        <v>944</v>
      </c>
    </row>
    <row r="341" spans="1:19" x14ac:dyDescent="0.2">
      <c r="A341" t="s">
        <v>1709</v>
      </c>
      <c r="B341">
        <v>9003496400</v>
      </c>
      <c r="C341" t="s">
        <v>1710</v>
      </c>
      <c r="D341">
        <v>142566</v>
      </c>
      <c r="E341">
        <v>2.74</v>
      </c>
      <c r="F341">
        <v>86127.270359999995</v>
      </c>
      <c r="G341">
        <v>86.126999999999995</v>
      </c>
      <c r="H341">
        <v>0.91300000000000003</v>
      </c>
      <c r="I341">
        <v>5</v>
      </c>
      <c r="J341">
        <v>1910</v>
      </c>
      <c r="K341">
        <v>0.26611780299999999</v>
      </c>
      <c r="L341">
        <v>5.3999999999999999E-2</v>
      </c>
      <c r="M341">
        <v>1</v>
      </c>
      <c r="N341">
        <v>0.20599999999999999</v>
      </c>
      <c r="O341">
        <v>2</v>
      </c>
      <c r="P341">
        <v>2</v>
      </c>
      <c r="S341" s="57" t="s">
        <v>944</v>
      </c>
    </row>
    <row r="342" spans="1:19" x14ac:dyDescent="0.2">
      <c r="A342" t="s">
        <v>1711</v>
      </c>
      <c r="B342">
        <v>9003496500</v>
      </c>
      <c r="C342" t="s">
        <v>1712</v>
      </c>
      <c r="D342">
        <v>126738</v>
      </c>
      <c r="E342">
        <v>2.46</v>
      </c>
      <c r="F342">
        <v>80805.197459999996</v>
      </c>
      <c r="G342">
        <v>80.805000000000007</v>
      </c>
      <c r="H342">
        <v>0.88400000000000001</v>
      </c>
      <c r="I342">
        <v>5</v>
      </c>
      <c r="J342">
        <v>1920</v>
      </c>
      <c r="K342">
        <v>0.28513017400000001</v>
      </c>
      <c r="L342">
        <v>0.1</v>
      </c>
      <c r="M342">
        <v>1</v>
      </c>
      <c r="N342">
        <v>0.19900000000000001</v>
      </c>
      <c r="O342">
        <v>1</v>
      </c>
      <c r="P342">
        <v>1</v>
      </c>
      <c r="S342" s="59" t="s">
        <v>944</v>
      </c>
    </row>
    <row r="343" spans="1:19" x14ac:dyDescent="0.2">
      <c r="A343" t="s">
        <v>1713</v>
      </c>
      <c r="B343">
        <v>9003496600</v>
      </c>
      <c r="C343" t="s">
        <v>1714</v>
      </c>
      <c r="D343">
        <v>130694</v>
      </c>
      <c r="E343">
        <v>2.41</v>
      </c>
      <c r="F343">
        <v>84187.406130000003</v>
      </c>
      <c r="G343">
        <v>84.186999999999998</v>
      </c>
      <c r="H343">
        <v>0.90100000000000002</v>
      </c>
      <c r="I343">
        <v>5</v>
      </c>
      <c r="J343">
        <v>2109</v>
      </c>
      <c r="K343">
        <v>0.30061503499999997</v>
      </c>
      <c r="L343">
        <v>0.17499999999999999</v>
      </c>
      <c r="M343">
        <v>1</v>
      </c>
      <c r="N343">
        <v>0.14199999999999999</v>
      </c>
      <c r="O343">
        <v>1</v>
      </c>
      <c r="P343">
        <v>1</v>
      </c>
      <c r="S343" s="57" t="s">
        <v>944</v>
      </c>
    </row>
    <row r="344" spans="1:19" x14ac:dyDescent="0.2">
      <c r="A344" t="s">
        <v>1715</v>
      </c>
      <c r="B344">
        <v>9003496700</v>
      </c>
      <c r="C344" t="s">
        <v>1716</v>
      </c>
      <c r="D344">
        <v>58889</v>
      </c>
      <c r="E344">
        <v>2.2999999999999998</v>
      </c>
      <c r="F344">
        <v>38830.256699999998</v>
      </c>
      <c r="G344">
        <v>38.83</v>
      </c>
      <c r="H344">
        <v>0.27500000000000002</v>
      </c>
      <c r="I344">
        <v>2</v>
      </c>
      <c r="J344">
        <v>1280</v>
      </c>
      <c r="K344">
        <v>0.39556782000000001</v>
      </c>
      <c r="L344">
        <v>0.67600000000000005</v>
      </c>
      <c r="M344">
        <v>4</v>
      </c>
      <c r="N344">
        <v>0.67900000000000005</v>
      </c>
      <c r="O344">
        <v>4</v>
      </c>
      <c r="P344">
        <v>4</v>
      </c>
      <c r="S344" s="59" t="s">
        <v>944</v>
      </c>
    </row>
    <row r="345" spans="1:19" x14ac:dyDescent="0.2">
      <c r="A345" t="s">
        <v>1717</v>
      </c>
      <c r="B345">
        <v>9003496800</v>
      </c>
      <c r="C345" t="s">
        <v>1718</v>
      </c>
      <c r="D345">
        <v>82346</v>
      </c>
      <c r="E345">
        <v>2.4500000000000002</v>
      </c>
      <c r="F345">
        <v>52608.929620000003</v>
      </c>
      <c r="G345">
        <v>52.609000000000002</v>
      </c>
      <c r="H345">
        <v>0.51200000000000001</v>
      </c>
      <c r="I345">
        <v>3</v>
      </c>
      <c r="J345">
        <v>1447</v>
      </c>
      <c r="K345">
        <v>0.330058036</v>
      </c>
      <c r="L345">
        <v>0.36</v>
      </c>
      <c r="M345">
        <v>2</v>
      </c>
      <c r="N345">
        <v>0.53</v>
      </c>
      <c r="O345">
        <v>3</v>
      </c>
      <c r="P345">
        <v>3</v>
      </c>
      <c r="S345" s="57" t="s">
        <v>944</v>
      </c>
    </row>
    <row r="346" spans="1:19" x14ac:dyDescent="0.2">
      <c r="A346" t="s">
        <v>1719</v>
      </c>
      <c r="B346">
        <v>9003496900</v>
      </c>
      <c r="C346" t="s">
        <v>1720</v>
      </c>
      <c r="D346">
        <v>96472</v>
      </c>
      <c r="E346">
        <v>2.13</v>
      </c>
      <c r="F346">
        <v>66101.525210000007</v>
      </c>
      <c r="G346">
        <v>66.102000000000004</v>
      </c>
      <c r="H346">
        <v>0.754</v>
      </c>
      <c r="I346">
        <v>4</v>
      </c>
      <c r="J346">
        <v>1454</v>
      </c>
      <c r="K346">
        <v>0.26395760099999999</v>
      </c>
      <c r="L346">
        <v>4.4999999999999998E-2</v>
      </c>
      <c r="M346">
        <v>1</v>
      </c>
      <c r="N346">
        <v>0.52400000000000002</v>
      </c>
      <c r="O346">
        <v>3</v>
      </c>
      <c r="P346">
        <v>3</v>
      </c>
      <c r="S346" s="59" t="s">
        <v>944</v>
      </c>
    </row>
    <row r="347" spans="1:19" x14ac:dyDescent="0.2">
      <c r="A347" t="s">
        <v>1721</v>
      </c>
      <c r="B347">
        <v>9003497000</v>
      </c>
      <c r="C347" t="s">
        <v>1722</v>
      </c>
      <c r="D347">
        <v>179821</v>
      </c>
      <c r="E347">
        <v>2.76</v>
      </c>
      <c r="F347">
        <v>108239.5224</v>
      </c>
      <c r="G347">
        <v>108.24</v>
      </c>
      <c r="H347">
        <v>0.96099999999999997</v>
      </c>
      <c r="I347">
        <v>5</v>
      </c>
      <c r="J347">
        <v>2397</v>
      </c>
      <c r="K347">
        <v>0.265743966</v>
      </c>
      <c r="L347">
        <v>5.2999999999999999E-2</v>
      </c>
      <c r="M347">
        <v>1</v>
      </c>
      <c r="N347">
        <v>9.1999999999999998E-2</v>
      </c>
      <c r="O347">
        <v>1</v>
      </c>
      <c r="P347">
        <v>1</v>
      </c>
      <c r="S347" s="57" t="s">
        <v>944</v>
      </c>
    </row>
    <row r="348" spans="1:19" x14ac:dyDescent="0.2">
      <c r="A348" t="s">
        <v>1723</v>
      </c>
      <c r="B348">
        <v>9003497100</v>
      </c>
      <c r="C348" t="s">
        <v>1724</v>
      </c>
      <c r="D348">
        <v>75135</v>
      </c>
      <c r="E348">
        <v>2.0499999999999998</v>
      </c>
      <c r="F348">
        <v>52476.560270000002</v>
      </c>
      <c r="G348">
        <v>52.476999999999997</v>
      </c>
      <c r="H348">
        <v>0.51</v>
      </c>
      <c r="I348">
        <v>3</v>
      </c>
      <c r="J348">
        <v>1442</v>
      </c>
      <c r="K348">
        <v>0.32974722299999998</v>
      </c>
      <c r="L348">
        <v>0.35199999999999998</v>
      </c>
      <c r="M348">
        <v>2</v>
      </c>
      <c r="N348">
        <v>0.53700000000000003</v>
      </c>
      <c r="O348">
        <v>3</v>
      </c>
      <c r="P348">
        <v>3</v>
      </c>
      <c r="S348" s="59" t="s">
        <v>944</v>
      </c>
    </row>
    <row r="349" spans="1:19" x14ac:dyDescent="0.2">
      <c r="A349" t="s">
        <v>1725</v>
      </c>
      <c r="B349">
        <v>9003497200</v>
      </c>
      <c r="C349" t="s">
        <v>1726</v>
      </c>
      <c r="D349">
        <v>141765</v>
      </c>
      <c r="E349">
        <v>2.34</v>
      </c>
      <c r="F349">
        <v>92674.679659999994</v>
      </c>
      <c r="G349">
        <v>92.674999999999997</v>
      </c>
      <c r="H349">
        <v>0.93300000000000005</v>
      </c>
      <c r="I349">
        <v>5</v>
      </c>
      <c r="J349">
        <v>2426</v>
      </c>
      <c r="K349">
        <v>0.31413110999999999</v>
      </c>
      <c r="L349">
        <v>0.251</v>
      </c>
      <c r="M349">
        <v>2</v>
      </c>
      <c r="N349">
        <v>8.5999999999999993E-2</v>
      </c>
      <c r="O349">
        <v>1</v>
      </c>
      <c r="P349">
        <v>1</v>
      </c>
      <c r="S349" s="57" t="s">
        <v>944</v>
      </c>
    </row>
    <row r="350" spans="1:19" x14ac:dyDescent="0.2">
      <c r="A350" t="s">
        <v>1727</v>
      </c>
      <c r="B350">
        <v>9003497300</v>
      </c>
      <c r="C350" t="s">
        <v>1728</v>
      </c>
      <c r="D350">
        <v>140000</v>
      </c>
      <c r="E350">
        <v>2.74</v>
      </c>
      <c r="F350">
        <v>84577.093070000003</v>
      </c>
      <c r="G350">
        <v>84.576999999999998</v>
      </c>
      <c r="H350">
        <v>0.90400000000000003</v>
      </c>
      <c r="I350">
        <v>5</v>
      </c>
      <c r="J350">
        <v>2038</v>
      </c>
      <c r="K350">
        <v>0.28915630799999997</v>
      </c>
      <c r="L350">
        <v>0.11</v>
      </c>
      <c r="M350">
        <v>1</v>
      </c>
      <c r="N350">
        <v>0.154</v>
      </c>
      <c r="O350">
        <v>1</v>
      </c>
      <c r="P350">
        <v>1</v>
      </c>
      <c r="S350" s="59" t="s">
        <v>944</v>
      </c>
    </row>
    <row r="351" spans="1:19" x14ac:dyDescent="0.2">
      <c r="A351" t="s">
        <v>1729</v>
      </c>
      <c r="B351">
        <v>9003497400</v>
      </c>
      <c r="C351" t="s">
        <v>1730</v>
      </c>
      <c r="D351">
        <v>172031</v>
      </c>
      <c r="E351">
        <v>2.77</v>
      </c>
      <c r="F351">
        <v>103363.4102</v>
      </c>
      <c r="G351">
        <v>103.363</v>
      </c>
      <c r="H351">
        <v>0.95099999999999996</v>
      </c>
      <c r="I351">
        <v>5</v>
      </c>
      <c r="J351">
        <v>2065</v>
      </c>
      <c r="K351">
        <v>0.23973667200000001</v>
      </c>
      <c r="L351">
        <v>6.0000000000000001E-3</v>
      </c>
      <c r="M351">
        <v>1</v>
      </c>
      <c r="N351">
        <v>0.14799999999999999</v>
      </c>
      <c r="O351">
        <v>1</v>
      </c>
      <c r="P351">
        <v>1</v>
      </c>
      <c r="S351" s="57" t="s">
        <v>944</v>
      </c>
    </row>
    <row r="352" spans="1:19" x14ac:dyDescent="0.2">
      <c r="A352" t="s">
        <v>1731</v>
      </c>
      <c r="B352">
        <v>9003497500</v>
      </c>
      <c r="C352" t="s">
        <v>1732</v>
      </c>
      <c r="D352">
        <v>93843</v>
      </c>
      <c r="E352">
        <v>2.33</v>
      </c>
      <c r="F352">
        <v>61478.593399999998</v>
      </c>
      <c r="G352">
        <v>61.478999999999999</v>
      </c>
      <c r="H352">
        <v>0.68200000000000005</v>
      </c>
      <c r="I352">
        <v>4</v>
      </c>
      <c r="J352">
        <v>1818</v>
      </c>
      <c r="K352">
        <v>0.354855223</v>
      </c>
      <c r="L352">
        <v>0.50600000000000001</v>
      </c>
      <c r="M352">
        <v>3</v>
      </c>
      <c r="N352">
        <v>0.25</v>
      </c>
      <c r="O352">
        <v>2</v>
      </c>
      <c r="P352">
        <v>2</v>
      </c>
      <c r="S352" s="59" t="s">
        <v>944</v>
      </c>
    </row>
    <row r="353" spans="1:19" x14ac:dyDescent="0.2">
      <c r="A353" t="s">
        <v>1733</v>
      </c>
      <c r="B353">
        <v>9003497600</v>
      </c>
      <c r="C353" t="s">
        <v>1734</v>
      </c>
      <c r="D353">
        <v>138542</v>
      </c>
      <c r="E353">
        <v>2.35</v>
      </c>
      <c r="F353">
        <v>90374.835900000005</v>
      </c>
      <c r="G353">
        <v>90.375</v>
      </c>
      <c r="H353">
        <v>0.92400000000000004</v>
      </c>
      <c r="I353">
        <v>5</v>
      </c>
      <c r="J353">
        <v>1949</v>
      </c>
      <c r="K353">
        <v>0.25878885200000001</v>
      </c>
      <c r="L353">
        <v>2.7E-2</v>
      </c>
      <c r="M353">
        <v>1</v>
      </c>
      <c r="N353">
        <v>0.184</v>
      </c>
      <c r="O353">
        <v>1</v>
      </c>
      <c r="P353">
        <v>1</v>
      </c>
      <c r="S353" s="57" t="s">
        <v>944</v>
      </c>
    </row>
    <row r="354" spans="1:19" x14ac:dyDescent="0.2">
      <c r="A354" t="s">
        <v>1735</v>
      </c>
      <c r="B354">
        <v>9003497700</v>
      </c>
      <c r="C354" t="s">
        <v>1736</v>
      </c>
      <c r="D354">
        <v>178696</v>
      </c>
      <c r="E354">
        <v>2.81</v>
      </c>
      <c r="F354">
        <v>106601.0963</v>
      </c>
      <c r="G354">
        <v>106.601</v>
      </c>
      <c r="H354">
        <v>0.95699999999999996</v>
      </c>
      <c r="I354">
        <v>5</v>
      </c>
      <c r="J354">
        <v>2676</v>
      </c>
      <c r="K354">
        <v>0.30123517599999999</v>
      </c>
      <c r="L354">
        <v>0.17799999999999999</v>
      </c>
      <c r="M354">
        <v>1</v>
      </c>
      <c r="N354">
        <v>6.0999999999999999E-2</v>
      </c>
      <c r="O354">
        <v>1</v>
      </c>
      <c r="P354">
        <v>1</v>
      </c>
      <c r="S354" s="59" t="s">
        <v>944</v>
      </c>
    </row>
    <row r="355" spans="1:19" x14ac:dyDescent="0.2">
      <c r="A355" t="s">
        <v>1737</v>
      </c>
      <c r="B355">
        <v>9003500100</v>
      </c>
      <c r="C355" t="s">
        <v>1738</v>
      </c>
      <c r="D355">
        <v>28438</v>
      </c>
      <c r="E355">
        <v>2.73</v>
      </c>
      <c r="F355">
        <v>17211.460569999999</v>
      </c>
      <c r="G355">
        <v>17.210999999999999</v>
      </c>
      <c r="H355">
        <v>3.1E-2</v>
      </c>
      <c r="I355">
        <v>1</v>
      </c>
      <c r="J355">
        <v>999</v>
      </c>
      <c r="K355">
        <v>0.69651264899999998</v>
      </c>
      <c r="L355">
        <v>0.96299999999999997</v>
      </c>
      <c r="M355">
        <v>5</v>
      </c>
      <c r="N355">
        <v>0.94099999999999995</v>
      </c>
      <c r="O355">
        <v>5</v>
      </c>
      <c r="P355">
        <v>5</v>
      </c>
      <c r="S355" s="57" t="s">
        <v>936</v>
      </c>
    </row>
    <row r="356" spans="1:19" x14ac:dyDescent="0.2">
      <c r="A356" t="s">
        <v>1739</v>
      </c>
      <c r="B356">
        <v>9003500200</v>
      </c>
      <c r="C356" t="s">
        <v>1740</v>
      </c>
      <c r="D356">
        <v>24943</v>
      </c>
      <c r="E356">
        <v>2.87</v>
      </c>
      <c r="F356">
        <v>14723.38737</v>
      </c>
      <c r="G356">
        <v>14.723000000000001</v>
      </c>
      <c r="H356">
        <v>1.4999999999999999E-2</v>
      </c>
      <c r="I356">
        <v>1</v>
      </c>
      <c r="J356">
        <v>996</v>
      </c>
      <c r="K356">
        <v>0.811769717</v>
      </c>
      <c r="L356">
        <v>0.98599999999999999</v>
      </c>
      <c r="M356">
        <v>5</v>
      </c>
      <c r="N356">
        <v>0.94499999999999995</v>
      </c>
      <c r="O356">
        <v>5</v>
      </c>
      <c r="P356">
        <v>5</v>
      </c>
      <c r="S356" s="59" t="s">
        <v>936</v>
      </c>
    </row>
    <row r="357" spans="1:19" x14ac:dyDescent="0.2">
      <c r="A357" t="s">
        <v>1741</v>
      </c>
      <c r="B357">
        <v>9003500300</v>
      </c>
      <c r="C357" t="s">
        <v>1742</v>
      </c>
      <c r="D357">
        <v>24325</v>
      </c>
      <c r="E357">
        <v>1.97</v>
      </c>
      <c r="F357">
        <v>17330.84491</v>
      </c>
      <c r="G357">
        <v>17.331</v>
      </c>
      <c r="H357">
        <v>3.4000000000000002E-2</v>
      </c>
      <c r="I357">
        <v>1</v>
      </c>
      <c r="J357">
        <v>879</v>
      </c>
      <c r="K357">
        <v>0.60862583800000003</v>
      </c>
      <c r="L357">
        <v>0.92700000000000005</v>
      </c>
      <c r="M357">
        <v>5</v>
      </c>
      <c r="N357">
        <v>0.97899999999999998</v>
      </c>
      <c r="O357">
        <v>5</v>
      </c>
      <c r="P357">
        <v>5</v>
      </c>
      <c r="S357" s="57" t="s">
        <v>936</v>
      </c>
    </row>
    <row r="358" spans="1:19" x14ac:dyDescent="0.2">
      <c r="A358" t="s">
        <v>1743</v>
      </c>
      <c r="B358">
        <v>9003500400</v>
      </c>
      <c r="C358" t="s">
        <v>1744</v>
      </c>
      <c r="D358">
        <v>33750</v>
      </c>
      <c r="E358">
        <v>2.27</v>
      </c>
      <c r="F358">
        <v>22400.661769999999</v>
      </c>
      <c r="G358">
        <v>22.401</v>
      </c>
      <c r="H358">
        <v>8.6999999999999994E-2</v>
      </c>
      <c r="I358">
        <v>1</v>
      </c>
      <c r="J358">
        <v>1069</v>
      </c>
      <c r="K358">
        <v>0.57266165300000005</v>
      </c>
      <c r="L358">
        <v>0.90500000000000003</v>
      </c>
      <c r="M358">
        <v>5</v>
      </c>
      <c r="N358">
        <v>0.89700000000000002</v>
      </c>
      <c r="O358">
        <v>5</v>
      </c>
      <c r="P358">
        <v>5</v>
      </c>
      <c r="S358" s="59" t="s">
        <v>936</v>
      </c>
    </row>
    <row r="359" spans="1:19" x14ac:dyDescent="0.2">
      <c r="A359" t="s">
        <v>1745</v>
      </c>
      <c r="B359">
        <v>9003500500</v>
      </c>
      <c r="C359" t="s">
        <v>1746</v>
      </c>
      <c r="D359">
        <v>45481</v>
      </c>
      <c r="E359">
        <v>1.77</v>
      </c>
      <c r="F359">
        <v>34185.612999999998</v>
      </c>
      <c r="G359">
        <v>34.186</v>
      </c>
      <c r="H359">
        <v>0.22600000000000001</v>
      </c>
      <c r="I359">
        <v>2</v>
      </c>
      <c r="J359">
        <v>1051</v>
      </c>
      <c r="K359">
        <v>0.36892712700000002</v>
      </c>
      <c r="L359">
        <v>0.59</v>
      </c>
      <c r="M359">
        <v>3</v>
      </c>
      <c r="N359">
        <v>0.90800000000000003</v>
      </c>
      <c r="O359">
        <v>5</v>
      </c>
      <c r="P359">
        <v>5</v>
      </c>
      <c r="S359" s="57" t="s">
        <v>936</v>
      </c>
    </row>
    <row r="360" spans="1:19" x14ac:dyDescent="0.2">
      <c r="A360" t="s">
        <v>1747</v>
      </c>
      <c r="B360">
        <v>9003500900</v>
      </c>
      <c r="C360" t="s">
        <v>1748</v>
      </c>
      <c r="D360">
        <v>21633</v>
      </c>
      <c r="E360">
        <v>2.5099999999999998</v>
      </c>
      <c r="F360">
        <v>13654.62852</v>
      </c>
      <c r="G360">
        <v>13.654999999999999</v>
      </c>
      <c r="H360">
        <v>1.2E-2</v>
      </c>
      <c r="I360">
        <v>1</v>
      </c>
      <c r="J360">
        <v>596</v>
      </c>
      <c r="K360">
        <v>0.52377843800000001</v>
      </c>
      <c r="L360">
        <v>0.86799999999999999</v>
      </c>
      <c r="M360">
        <v>5</v>
      </c>
      <c r="N360">
        <v>0.997</v>
      </c>
      <c r="O360">
        <v>5</v>
      </c>
      <c r="P360">
        <v>5</v>
      </c>
      <c r="S360" s="59" t="s">
        <v>936</v>
      </c>
    </row>
    <row r="361" spans="1:19" x14ac:dyDescent="0.2">
      <c r="A361" t="s">
        <v>1749</v>
      </c>
      <c r="B361">
        <v>9003501200</v>
      </c>
      <c r="C361" t="s">
        <v>1750</v>
      </c>
      <c r="D361">
        <v>22449</v>
      </c>
      <c r="E361">
        <v>3.07</v>
      </c>
      <c r="F361">
        <v>12812.321040000001</v>
      </c>
      <c r="G361">
        <v>12.811999999999999</v>
      </c>
      <c r="H361">
        <v>6.0000000000000001E-3</v>
      </c>
      <c r="I361">
        <v>1</v>
      </c>
      <c r="J361">
        <v>937</v>
      </c>
      <c r="K361">
        <v>0.87759274600000003</v>
      </c>
      <c r="L361">
        <v>0.99099999999999999</v>
      </c>
      <c r="M361">
        <v>5</v>
      </c>
      <c r="N361">
        <v>0.96399999999999997</v>
      </c>
      <c r="O361">
        <v>5</v>
      </c>
      <c r="P361">
        <v>5</v>
      </c>
      <c r="S361" s="57" t="s">
        <v>936</v>
      </c>
    </row>
    <row r="362" spans="1:19" x14ac:dyDescent="0.2">
      <c r="A362" t="s">
        <v>1751</v>
      </c>
      <c r="B362">
        <v>9003501300</v>
      </c>
      <c r="C362" t="s">
        <v>1752</v>
      </c>
      <c r="D362">
        <v>30034</v>
      </c>
      <c r="E362">
        <v>2.96</v>
      </c>
      <c r="F362">
        <v>17456.907910000002</v>
      </c>
      <c r="G362">
        <v>17.457000000000001</v>
      </c>
      <c r="H362">
        <v>3.5999999999999997E-2</v>
      </c>
      <c r="I362">
        <v>1</v>
      </c>
      <c r="J362">
        <v>902</v>
      </c>
      <c r="K362">
        <v>0.62004107799999997</v>
      </c>
      <c r="L362">
        <v>0.93100000000000005</v>
      </c>
      <c r="M362">
        <v>5</v>
      </c>
      <c r="N362">
        <v>0.97299999999999998</v>
      </c>
      <c r="O362">
        <v>5</v>
      </c>
      <c r="P362">
        <v>5</v>
      </c>
      <c r="S362" s="59" t="s">
        <v>936</v>
      </c>
    </row>
    <row r="363" spans="1:19" x14ac:dyDescent="0.2">
      <c r="A363" t="s">
        <v>1753</v>
      </c>
      <c r="B363">
        <v>9003501400</v>
      </c>
      <c r="C363" t="s">
        <v>1754</v>
      </c>
      <c r="D363">
        <v>23500</v>
      </c>
      <c r="E363">
        <v>2.4700000000000002</v>
      </c>
      <c r="F363">
        <v>14952.691930000001</v>
      </c>
      <c r="G363">
        <v>14.952999999999999</v>
      </c>
      <c r="H363">
        <v>1.7999999999999999E-2</v>
      </c>
      <c r="I363">
        <v>1</v>
      </c>
      <c r="J363">
        <v>842</v>
      </c>
      <c r="K363">
        <v>0.67573116899999996</v>
      </c>
      <c r="L363">
        <v>0.95599999999999996</v>
      </c>
      <c r="M363">
        <v>5</v>
      </c>
      <c r="N363">
        <v>0.98599999999999999</v>
      </c>
      <c r="O363">
        <v>5</v>
      </c>
      <c r="P363">
        <v>5</v>
      </c>
      <c r="S363" s="57" t="s">
        <v>936</v>
      </c>
    </row>
    <row r="364" spans="1:19" x14ac:dyDescent="0.2">
      <c r="A364" t="s">
        <v>1755</v>
      </c>
      <c r="B364">
        <v>9003501500</v>
      </c>
      <c r="C364" t="s">
        <v>1756</v>
      </c>
      <c r="D364">
        <v>31309</v>
      </c>
      <c r="E364">
        <v>2.4300000000000002</v>
      </c>
      <c r="F364">
        <v>20084.73286</v>
      </c>
      <c r="G364">
        <v>20.085000000000001</v>
      </c>
      <c r="H364">
        <v>5.8999999999999997E-2</v>
      </c>
      <c r="I364">
        <v>1</v>
      </c>
      <c r="J364">
        <v>1024</v>
      </c>
      <c r="K364">
        <v>0.61180798800000002</v>
      </c>
      <c r="L364">
        <v>0.92800000000000005</v>
      </c>
      <c r="M364">
        <v>5</v>
      </c>
      <c r="N364">
        <v>0.92500000000000004</v>
      </c>
      <c r="O364">
        <v>5</v>
      </c>
      <c r="P364">
        <v>5</v>
      </c>
      <c r="S364" s="59" t="s">
        <v>936</v>
      </c>
    </row>
    <row r="365" spans="1:19" x14ac:dyDescent="0.2">
      <c r="A365" t="s">
        <v>1757</v>
      </c>
      <c r="B365">
        <v>9003501700</v>
      </c>
      <c r="C365" t="s">
        <v>1758</v>
      </c>
      <c r="D365">
        <v>28029</v>
      </c>
      <c r="E365">
        <v>3.36</v>
      </c>
      <c r="F365">
        <v>15291.073109999999</v>
      </c>
      <c r="G365">
        <v>15.291</v>
      </c>
      <c r="H365">
        <v>1.9E-2</v>
      </c>
      <c r="I365">
        <v>1</v>
      </c>
      <c r="J365">
        <v>986</v>
      </c>
      <c r="K365">
        <v>0.77378480299999997</v>
      </c>
      <c r="L365">
        <v>0.98</v>
      </c>
      <c r="M365">
        <v>5</v>
      </c>
      <c r="N365">
        <v>0.94799999999999995</v>
      </c>
      <c r="O365">
        <v>5</v>
      </c>
      <c r="P365">
        <v>5</v>
      </c>
      <c r="S365" s="57" t="s">
        <v>936</v>
      </c>
    </row>
    <row r="366" spans="1:19" x14ac:dyDescent="0.2">
      <c r="A366" t="s">
        <v>1759</v>
      </c>
      <c r="B366">
        <v>9003501800</v>
      </c>
      <c r="C366" t="s">
        <v>1760</v>
      </c>
      <c r="D366">
        <v>22454</v>
      </c>
      <c r="E366">
        <v>2.87</v>
      </c>
      <c r="F366">
        <v>13254.17712</v>
      </c>
      <c r="G366">
        <v>13.254</v>
      </c>
      <c r="H366">
        <v>7.0000000000000001E-3</v>
      </c>
      <c r="I366">
        <v>1</v>
      </c>
      <c r="J366">
        <v>1004</v>
      </c>
      <c r="K366">
        <v>0.90899645399999995</v>
      </c>
      <c r="L366">
        <v>0.99199999999999999</v>
      </c>
      <c r="M366">
        <v>5</v>
      </c>
      <c r="N366">
        <v>0.93700000000000006</v>
      </c>
      <c r="O366">
        <v>5</v>
      </c>
      <c r="P366">
        <v>5</v>
      </c>
      <c r="S366" s="59" t="s">
        <v>936</v>
      </c>
    </row>
    <row r="367" spans="1:19" x14ac:dyDescent="0.2">
      <c r="A367" t="s">
        <v>1761</v>
      </c>
      <c r="B367">
        <v>9003502100</v>
      </c>
      <c r="C367" t="s">
        <v>1762</v>
      </c>
      <c r="D367">
        <v>82355</v>
      </c>
      <c r="E367">
        <v>1.43</v>
      </c>
      <c r="F367">
        <v>68868.710730000006</v>
      </c>
      <c r="G367">
        <v>68.869</v>
      </c>
      <c r="H367">
        <v>0.78800000000000003</v>
      </c>
      <c r="I367">
        <v>4</v>
      </c>
      <c r="J367">
        <v>1487</v>
      </c>
      <c r="K367">
        <v>0.25910169999999999</v>
      </c>
      <c r="L367">
        <v>0.03</v>
      </c>
      <c r="M367">
        <v>1</v>
      </c>
      <c r="N367">
        <v>0.496</v>
      </c>
      <c r="O367">
        <v>3</v>
      </c>
      <c r="P367">
        <v>3</v>
      </c>
      <c r="S367" s="57" t="s">
        <v>944</v>
      </c>
    </row>
    <row r="368" spans="1:19" x14ac:dyDescent="0.2">
      <c r="A368" t="s">
        <v>1763</v>
      </c>
      <c r="B368">
        <v>9003502300</v>
      </c>
      <c r="C368" t="s">
        <v>1764</v>
      </c>
      <c r="D368">
        <v>49643</v>
      </c>
      <c r="E368">
        <v>3.05</v>
      </c>
      <c r="F368">
        <v>28425.499110000001</v>
      </c>
      <c r="G368">
        <v>28.425000000000001</v>
      </c>
      <c r="H368">
        <v>0.14699999999999999</v>
      </c>
      <c r="I368">
        <v>1</v>
      </c>
      <c r="J368">
        <v>1218</v>
      </c>
      <c r="K368">
        <v>0.51418622199999997</v>
      </c>
      <c r="L368">
        <v>0.85799999999999998</v>
      </c>
      <c r="M368">
        <v>5</v>
      </c>
      <c r="N368">
        <v>0.74399999999999999</v>
      </c>
      <c r="O368">
        <v>4</v>
      </c>
      <c r="P368">
        <v>5</v>
      </c>
      <c r="S368" s="59" t="s">
        <v>944</v>
      </c>
    </row>
    <row r="369" spans="1:19" x14ac:dyDescent="0.2">
      <c r="A369" t="s">
        <v>1765</v>
      </c>
      <c r="B369">
        <v>9003502400</v>
      </c>
      <c r="C369" t="s">
        <v>1766</v>
      </c>
      <c r="D369">
        <v>31179</v>
      </c>
      <c r="E369">
        <v>2.79</v>
      </c>
      <c r="F369">
        <v>18666.37904</v>
      </c>
      <c r="G369">
        <v>18.666</v>
      </c>
      <c r="H369">
        <v>4.3999999999999997E-2</v>
      </c>
      <c r="I369">
        <v>1</v>
      </c>
      <c r="J369">
        <v>1114</v>
      </c>
      <c r="K369">
        <v>0.71615389200000001</v>
      </c>
      <c r="L369">
        <v>0.96799999999999997</v>
      </c>
      <c r="M369">
        <v>5</v>
      </c>
      <c r="N369">
        <v>0.86099999999999999</v>
      </c>
      <c r="O369">
        <v>5</v>
      </c>
      <c r="P369">
        <v>5</v>
      </c>
      <c r="S369" s="57" t="s">
        <v>936</v>
      </c>
    </row>
    <row r="370" spans="1:19" x14ac:dyDescent="0.2">
      <c r="A370" t="s">
        <v>1767</v>
      </c>
      <c r="B370">
        <v>9003502500</v>
      </c>
      <c r="C370" t="s">
        <v>1768</v>
      </c>
      <c r="D370">
        <v>39545</v>
      </c>
      <c r="E370">
        <v>2.56</v>
      </c>
      <c r="F370">
        <v>24715.625</v>
      </c>
      <c r="G370">
        <v>24.716000000000001</v>
      </c>
      <c r="H370">
        <v>0.111</v>
      </c>
      <c r="I370">
        <v>1</v>
      </c>
      <c r="J370">
        <v>1034</v>
      </c>
      <c r="K370">
        <v>0.50203059800000005</v>
      </c>
      <c r="L370">
        <v>0.84899999999999998</v>
      </c>
      <c r="M370">
        <v>5</v>
      </c>
      <c r="N370">
        <v>0.91800000000000004</v>
      </c>
      <c r="O370">
        <v>5</v>
      </c>
      <c r="P370">
        <v>5</v>
      </c>
      <c r="S370" s="59" t="s">
        <v>936</v>
      </c>
    </row>
    <row r="371" spans="1:19" x14ac:dyDescent="0.2">
      <c r="A371" t="s">
        <v>1769</v>
      </c>
      <c r="B371">
        <v>9003502600</v>
      </c>
      <c r="C371" t="s">
        <v>1770</v>
      </c>
      <c r="D371">
        <v>36495</v>
      </c>
      <c r="E371">
        <v>2.99</v>
      </c>
      <c r="F371">
        <v>21105.603439999999</v>
      </c>
      <c r="G371">
        <v>21.106000000000002</v>
      </c>
      <c r="H371">
        <v>7.0999999999999994E-2</v>
      </c>
      <c r="I371">
        <v>1</v>
      </c>
      <c r="J371">
        <v>1081</v>
      </c>
      <c r="K371">
        <v>0.61462350700000001</v>
      </c>
      <c r="L371">
        <v>0.92900000000000005</v>
      </c>
      <c r="M371">
        <v>5</v>
      </c>
      <c r="N371">
        <v>0.88900000000000001</v>
      </c>
      <c r="O371">
        <v>5</v>
      </c>
      <c r="P371">
        <v>5</v>
      </c>
      <c r="S371" s="57" t="s">
        <v>936</v>
      </c>
    </row>
    <row r="372" spans="1:19" x14ac:dyDescent="0.2">
      <c r="A372" t="s">
        <v>1771</v>
      </c>
      <c r="B372">
        <v>9003502700</v>
      </c>
      <c r="C372" t="s">
        <v>1772</v>
      </c>
      <c r="D372">
        <v>23608</v>
      </c>
      <c r="E372">
        <v>2.2200000000000002</v>
      </c>
      <c r="F372">
        <v>15844.65215</v>
      </c>
      <c r="G372">
        <v>15.845000000000001</v>
      </c>
      <c r="H372">
        <v>2.4E-2</v>
      </c>
      <c r="I372">
        <v>1</v>
      </c>
      <c r="J372">
        <v>914</v>
      </c>
      <c r="K372">
        <v>0.69222094000000001</v>
      </c>
      <c r="L372">
        <v>0.95899999999999996</v>
      </c>
      <c r="M372">
        <v>5</v>
      </c>
      <c r="N372">
        <v>0.96799999999999997</v>
      </c>
      <c r="O372">
        <v>5</v>
      </c>
      <c r="P372">
        <v>5</v>
      </c>
      <c r="S372" s="59" t="s">
        <v>936</v>
      </c>
    </row>
    <row r="373" spans="1:19" x14ac:dyDescent="0.2">
      <c r="A373" t="s">
        <v>1773</v>
      </c>
      <c r="B373">
        <v>9003502800</v>
      </c>
      <c r="C373" t="s">
        <v>1774</v>
      </c>
      <c r="D373">
        <v>30987</v>
      </c>
      <c r="E373">
        <v>3.14</v>
      </c>
      <c r="F373">
        <v>17486.975760000001</v>
      </c>
      <c r="G373">
        <v>17.486999999999998</v>
      </c>
      <c r="H373">
        <v>3.6999999999999998E-2</v>
      </c>
      <c r="I373">
        <v>1</v>
      </c>
      <c r="J373">
        <v>1018</v>
      </c>
      <c r="K373">
        <v>0.69857705299999995</v>
      </c>
      <c r="L373">
        <v>0.96399999999999997</v>
      </c>
      <c r="M373">
        <v>5</v>
      </c>
      <c r="N373">
        <v>0.92800000000000005</v>
      </c>
      <c r="O373">
        <v>5</v>
      </c>
      <c r="P373">
        <v>5</v>
      </c>
      <c r="S373" s="57" t="s">
        <v>936</v>
      </c>
    </row>
    <row r="374" spans="1:19" x14ac:dyDescent="0.2">
      <c r="A374" t="s">
        <v>1775</v>
      </c>
      <c r="B374">
        <v>9003502900</v>
      </c>
      <c r="C374" t="s">
        <v>1776</v>
      </c>
      <c r="D374">
        <v>43600</v>
      </c>
      <c r="E374">
        <v>2.4700000000000002</v>
      </c>
      <c r="F374">
        <v>27742.015670000001</v>
      </c>
      <c r="G374">
        <v>27.742000000000001</v>
      </c>
      <c r="H374">
        <v>0.14000000000000001</v>
      </c>
      <c r="I374">
        <v>1</v>
      </c>
      <c r="J374">
        <v>1171</v>
      </c>
      <c r="K374">
        <v>0.506524117</v>
      </c>
      <c r="L374">
        <v>0.85399999999999998</v>
      </c>
      <c r="M374">
        <v>5</v>
      </c>
      <c r="N374">
        <v>0.80200000000000005</v>
      </c>
      <c r="O374">
        <v>5</v>
      </c>
      <c r="P374">
        <v>5</v>
      </c>
      <c r="S374" s="59" t="s">
        <v>936</v>
      </c>
    </row>
    <row r="375" spans="1:19" x14ac:dyDescent="0.2">
      <c r="A375" t="s">
        <v>1777</v>
      </c>
      <c r="B375">
        <v>9003503000</v>
      </c>
      <c r="C375" t="s">
        <v>1778</v>
      </c>
      <c r="D375">
        <v>23480</v>
      </c>
      <c r="E375">
        <v>2.4700000000000002</v>
      </c>
      <c r="F375">
        <v>14939.96623</v>
      </c>
      <c r="G375">
        <v>14.94</v>
      </c>
      <c r="H375">
        <v>1.7000000000000001E-2</v>
      </c>
      <c r="I375">
        <v>1</v>
      </c>
      <c r="J375">
        <v>859</v>
      </c>
      <c r="K375">
        <v>0.68996139899999998</v>
      </c>
      <c r="L375">
        <v>0.95699999999999996</v>
      </c>
      <c r="M375">
        <v>5</v>
      </c>
      <c r="N375">
        <v>0.98299999999999998</v>
      </c>
      <c r="O375">
        <v>5</v>
      </c>
      <c r="P375">
        <v>5</v>
      </c>
      <c r="S375" s="57" t="s">
        <v>936</v>
      </c>
    </row>
    <row r="376" spans="1:19" x14ac:dyDescent="0.2">
      <c r="A376" t="s">
        <v>1779</v>
      </c>
      <c r="B376">
        <v>9003503100</v>
      </c>
      <c r="C376" t="s">
        <v>1780</v>
      </c>
      <c r="D376">
        <v>30206</v>
      </c>
      <c r="E376">
        <v>1.59</v>
      </c>
      <c r="F376">
        <v>23954.9162</v>
      </c>
      <c r="G376">
        <v>23.954999999999998</v>
      </c>
      <c r="H376">
        <v>0.104</v>
      </c>
      <c r="I376">
        <v>1</v>
      </c>
      <c r="J376">
        <v>843</v>
      </c>
      <c r="K376">
        <v>0.422293274</v>
      </c>
      <c r="L376">
        <v>0.73299999999999998</v>
      </c>
      <c r="M376">
        <v>4</v>
      </c>
      <c r="N376">
        <v>0.98499999999999999</v>
      </c>
      <c r="O376">
        <v>5</v>
      </c>
      <c r="P376">
        <v>5</v>
      </c>
      <c r="S376" s="59" t="s">
        <v>936</v>
      </c>
    </row>
    <row r="377" spans="1:19" x14ac:dyDescent="0.2">
      <c r="A377" t="s">
        <v>1781</v>
      </c>
      <c r="B377">
        <v>9003503300</v>
      </c>
      <c r="C377" t="s">
        <v>1782</v>
      </c>
      <c r="D377">
        <v>33958</v>
      </c>
      <c r="E377">
        <v>2.19</v>
      </c>
      <c r="F377">
        <v>22946.689900000001</v>
      </c>
      <c r="G377">
        <v>22.946999999999999</v>
      </c>
      <c r="H377">
        <v>9.4E-2</v>
      </c>
      <c r="I377">
        <v>1</v>
      </c>
      <c r="J377">
        <v>896</v>
      </c>
      <c r="K377">
        <v>0.46856431300000001</v>
      </c>
      <c r="L377">
        <v>0.81100000000000005</v>
      </c>
      <c r="M377">
        <v>5</v>
      </c>
      <c r="N377">
        <v>0.97399999999999998</v>
      </c>
      <c r="O377">
        <v>5</v>
      </c>
      <c r="P377">
        <v>5</v>
      </c>
      <c r="S377" s="57" t="s">
        <v>936</v>
      </c>
    </row>
    <row r="378" spans="1:19" x14ac:dyDescent="0.2">
      <c r="A378" t="s">
        <v>1783</v>
      </c>
      <c r="B378">
        <v>9003503500</v>
      </c>
      <c r="C378" t="s">
        <v>1784</v>
      </c>
      <c r="D378">
        <v>35030</v>
      </c>
      <c r="E378">
        <v>2.65</v>
      </c>
      <c r="F378">
        <v>21518.75794</v>
      </c>
      <c r="G378">
        <v>21.518999999999998</v>
      </c>
      <c r="H378">
        <v>7.8E-2</v>
      </c>
      <c r="I378">
        <v>1</v>
      </c>
      <c r="J378">
        <v>1127</v>
      </c>
      <c r="K378">
        <v>0.62847493499999996</v>
      </c>
      <c r="L378">
        <v>0.93500000000000005</v>
      </c>
      <c r="M378">
        <v>5</v>
      </c>
      <c r="N378">
        <v>0.84399999999999997</v>
      </c>
      <c r="O378">
        <v>5</v>
      </c>
      <c r="P378">
        <v>5</v>
      </c>
      <c r="S378" s="59" t="s">
        <v>936</v>
      </c>
    </row>
    <row r="379" spans="1:19" x14ac:dyDescent="0.2">
      <c r="A379" t="s">
        <v>1785</v>
      </c>
      <c r="B379">
        <v>9003503700</v>
      </c>
      <c r="C379" t="s">
        <v>1786</v>
      </c>
      <c r="D379">
        <v>37353</v>
      </c>
      <c r="E379">
        <v>2.5</v>
      </c>
      <c r="F379">
        <v>23624.111489999999</v>
      </c>
      <c r="G379">
        <v>23.623999999999999</v>
      </c>
      <c r="H379">
        <v>0.1</v>
      </c>
      <c r="I379">
        <v>1</v>
      </c>
      <c r="J379">
        <v>1097</v>
      </c>
      <c r="K379">
        <v>0.55722730600000003</v>
      </c>
      <c r="L379">
        <v>0.89400000000000002</v>
      </c>
      <c r="M379">
        <v>5</v>
      </c>
      <c r="N379">
        <v>0.879</v>
      </c>
      <c r="O379">
        <v>5</v>
      </c>
      <c r="P379">
        <v>5</v>
      </c>
      <c r="S379" s="57" t="s">
        <v>936</v>
      </c>
    </row>
    <row r="380" spans="1:19" x14ac:dyDescent="0.2">
      <c r="A380" t="s">
        <v>1787</v>
      </c>
      <c r="B380">
        <v>9003503800</v>
      </c>
      <c r="C380" t="s">
        <v>1788</v>
      </c>
      <c r="D380">
        <v>26250</v>
      </c>
      <c r="E380">
        <v>2.37</v>
      </c>
      <c r="F380">
        <v>17051.207310000002</v>
      </c>
      <c r="G380">
        <v>17.050999999999998</v>
      </c>
      <c r="H380">
        <v>0.03</v>
      </c>
      <c r="I380">
        <v>1</v>
      </c>
      <c r="J380">
        <v>648</v>
      </c>
      <c r="K380">
        <v>0.45603808899999998</v>
      </c>
      <c r="L380">
        <v>0.79300000000000004</v>
      </c>
      <c r="M380">
        <v>4</v>
      </c>
      <c r="N380">
        <v>0.996</v>
      </c>
      <c r="O380">
        <v>5</v>
      </c>
      <c r="P380">
        <v>5</v>
      </c>
      <c r="S380" s="59" t="s">
        <v>936</v>
      </c>
    </row>
    <row r="381" spans="1:19" x14ac:dyDescent="0.2">
      <c r="A381" t="s">
        <v>1789</v>
      </c>
      <c r="B381">
        <v>9003503900</v>
      </c>
      <c r="C381" t="s">
        <v>1790</v>
      </c>
      <c r="D381">
        <v>49309</v>
      </c>
      <c r="E381">
        <v>2.64</v>
      </c>
      <c r="F381">
        <v>30347.591639999999</v>
      </c>
      <c r="G381">
        <v>30.347999999999999</v>
      </c>
      <c r="H381">
        <v>0.17399999999999999</v>
      </c>
      <c r="I381">
        <v>1</v>
      </c>
      <c r="J381">
        <v>1259</v>
      </c>
      <c r="K381">
        <v>0.49783192599999998</v>
      </c>
      <c r="L381">
        <v>0.84</v>
      </c>
      <c r="M381">
        <v>5</v>
      </c>
      <c r="N381">
        <v>0.70499999999999996</v>
      </c>
      <c r="O381">
        <v>4</v>
      </c>
      <c r="P381">
        <v>5</v>
      </c>
      <c r="S381" s="57" t="s">
        <v>944</v>
      </c>
    </row>
    <row r="382" spans="1:19" x14ac:dyDescent="0.2">
      <c r="A382" t="s">
        <v>1791</v>
      </c>
      <c r="B382">
        <v>9003504000</v>
      </c>
      <c r="C382" t="s">
        <v>1792</v>
      </c>
      <c r="D382">
        <v>54908</v>
      </c>
      <c r="E382">
        <v>2.64</v>
      </c>
      <c r="F382">
        <v>33793.537929999999</v>
      </c>
      <c r="G382">
        <v>33.793999999999997</v>
      </c>
      <c r="H382">
        <v>0.219</v>
      </c>
      <c r="I382">
        <v>2</v>
      </c>
      <c r="J382">
        <v>1182</v>
      </c>
      <c r="K382">
        <v>0.41972521600000001</v>
      </c>
      <c r="L382">
        <v>0.72199999999999998</v>
      </c>
      <c r="M382">
        <v>4</v>
      </c>
      <c r="N382">
        <v>0.79200000000000004</v>
      </c>
      <c r="O382">
        <v>4</v>
      </c>
      <c r="P382">
        <v>4</v>
      </c>
      <c r="S382" s="59" t="s">
        <v>944</v>
      </c>
    </row>
    <row r="383" spans="1:19" x14ac:dyDescent="0.2">
      <c r="A383" t="s">
        <v>1793</v>
      </c>
      <c r="B383">
        <v>9003504100</v>
      </c>
      <c r="C383" t="s">
        <v>1794</v>
      </c>
      <c r="D383">
        <v>36743</v>
      </c>
      <c r="E383">
        <v>2.97</v>
      </c>
      <c r="F383">
        <v>21320.45104</v>
      </c>
      <c r="G383">
        <v>21.32</v>
      </c>
      <c r="H383">
        <v>7.5999999999999998E-2</v>
      </c>
      <c r="I383">
        <v>1</v>
      </c>
      <c r="J383">
        <v>1060</v>
      </c>
      <c r="K383">
        <v>0.59661026800000005</v>
      </c>
      <c r="L383">
        <v>0.92</v>
      </c>
      <c r="M383">
        <v>5</v>
      </c>
      <c r="N383">
        <v>0.90100000000000002</v>
      </c>
      <c r="O383">
        <v>5</v>
      </c>
      <c r="P383">
        <v>5</v>
      </c>
      <c r="S383" s="57" t="s">
        <v>936</v>
      </c>
    </row>
    <row r="384" spans="1:19" x14ac:dyDescent="0.2">
      <c r="A384" t="s">
        <v>1795</v>
      </c>
      <c r="B384">
        <v>9003504200</v>
      </c>
      <c r="C384" t="s">
        <v>1796</v>
      </c>
      <c r="D384">
        <v>25648</v>
      </c>
      <c r="E384">
        <v>1.93</v>
      </c>
      <c r="F384">
        <v>18461.83438</v>
      </c>
      <c r="G384">
        <v>18.462</v>
      </c>
      <c r="H384">
        <v>4.2000000000000003E-2</v>
      </c>
      <c r="I384">
        <v>1</v>
      </c>
      <c r="J384">
        <v>969</v>
      </c>
      <c r="K384">
        <v>0.62983990400000001</v>
      </c>
      <c r="L384">
        <v>0.93700000000000006</v>
      </c>
      <c r="M384">
        <v>5</v>
      </c>
      <c r="N384">
        <v>0.95399999999999996</v>
      </c>
      <c r="O384">
        <v>5</v>
      </c>
      <c r="P384">
        <v>5</v>
      </c>
      <c r="S384" s="59" t="s">
        <v>936</v>
      </c>
    </row>
    <row r="385" spans="1:19" x14ac:dyDescent="0.2">
      <c r="A385" t="s">
        <v>1797</v>
      </c>
      <c r="B385">
        <v>9003504300</v>
      </c>
      <c r="C385" t="s">
        <v>1798</v>
      </c>
      <c r="D385">
        <v>25958</v>
      </c>
      <c r="E385">
        <v>2.65</v>
      </c>
      <c r="F385">
        <v>15945.87264</v>
      </c>
      <c r="G385">
        <v>15.946</v>
      </c>
      <c r="H385">
        <v>2.5000000000000001E-2</v>
      </c>
      <c r="I385">
        <v>1</v>
      </c>
      <c r="J385">
        <v>976</v>
      </c>
      <c r="K385">
        <v>0.73448473199999997</v>
      </c>
      <c r="L385">
        <v>0.97299999999999998</v>
      </c>
      <c r="M385">
        <v>5</v>
      </c>
      <c r="N385">
        <v>0.95099999999999996</v>
      </c>
      <c r="O385">
        <v>5</v>
      </c>
      <c r="P385">
        <v>5</v>
      </c>
      <c r="S385" s="57" t="s">
        <v>936</v>
      </c>
    </row>
    <row r="386" spans="1:19" x14ac:dyDescent="0.2">
      <c r="A386" t="s">
        <v>1799</v>
      </c>
      <c r="B386">
        <v>9003504500</v>
      </c>
      <c r="C386" t="s">
        <v>1800</v>
      </c>
      <c r="D386">
        <v>31972</v>
      </c>
      <c r="E386">
        <v>2.61</v>
      </c>
      <c r="F386">
        <v>19790.171170000001</v>
      </c>
      <c r="G386">
        <v>19.79</v>
      </c>
      <c r="H386">
        <v>5.5E-2</v>
      </c>
      <c r="I386">
        <v>1</v>
      </c>
      <c r="J386">
        <v>998</v>
      </c>
      <c r="K386">
        <v>0.605148884</v>
      </c>
      <c r="L386">
        <v>0.92400000000000004</v>
      </c>
      <c r="M386">
        <v>5</v>
      </c>
      <c r="N386">
        <v>0.94299999999999995</v>
      </c>
      <c r="O386">
        <v>5</v>
      </c>
      <c r="P386">
        <v>5</v>
      </c>
      <c r="S386" s="59" t="s">
        <v>936</v>
      </c>
    </row>
    <row r="387" spans="1:19" x14ac:dyDescent="0.2">
      <c r="A387" t="s">
        <v>1801</v>
      </c>
      <c r="B387">
        <v>9003504800</v>
      </c>
      <c r="C387" t="s">
        <v>1802</v>
      </c>
      <c r="D387">
        <v>53607</v>
      </c>
      <c r="E387">
        <v>2.93</v>
      </c>
      <c r="F387">
        <v>31317.54379</v>
      </c>
      <c r="G387">
        <v>31.318000000000001</v>
      </c>
      <c r="H387">
        <v>0.19400000000000001</v>
      </c>
      <c r="I387">
        <v>1</v>
      </c>
      <c r="J387">
        <v>1342</v>
      </c>
      <c r="K387">
        <v>0.51421657200000004</v>
      </c>
      <c r="L387">
        <v>0.86</v>
      </c>
      <c r="M387">
        <v>5</v>
      </c>
      <c r="N387">
        <v>0.61499999999999999</v>
      </c>
      <c r="O387">
        <v>4</v>
      </c>
      <c r="P387">
        <v>5</v>
      </c>
      <c r="S387" s="57" t="s">
        <v>944</v>
      </c>
    </row>
    <row r="388" spans="1:19" x14ac:dyDescent="0.2">
      <c r="A388" t="s">
        <v>1803</v>
      </c>
      <c r="B388">
        <v>9003504900</v>
      </c>
      <c r="C388" t="s">
        <v>1804</v>
      </c>
      <c r="D388">
        <v>39167</v>
      </c>
      <c r="E388">
        <v>2.82</v>
      </c>
      <c r="F388">
        <v>23323.609090000002</v>
      </c>
      <c r="G388">
        <v>23.324000000000002</v>
      </c>
      <c r="H388">
        <v>9.7000000000000003E-2</v>
      </c>
      <c r="I388">
        <v>1</v>
      </c>
      <c r="J388">
        <v>1130</v>
      </c>
      <c r="K388">
        <v>0.58138515099999999</v>
      </c>
      <c r="L388">
        <v>0.90800000000000003</v>
      </c>
      <c r="M388">
        <v>5</v>
      </c>
      <c r="N388">
        <v>0.83699999999999997</v>
      </c>
      <c r="O388">
        <v>5</v>
      </c>
      <c r="P388">
        <v>5</v>
      </c>
      <c r="S388" s="59" t="s">
        <v>936</v>
      </c>
    </row>
    <row r="389" spans="1:19" x14ac:dyDescent="0.2">
      <c r="A389" t="s">
        <v>1805</v>
      </c>
      <c r="B389">
        <v>9003510100</v>
      </c>
      <c r="C389" t="s">
        <v>1806</v>
      </c>
      <c r="D389">
        <v>68482</v>
      </c>
      <c r="E389">
        <v>2.67</v>
      </c>
      <c r="F389">
        <v>41910.303379999998</v>
      </c>
      <c r="G389">
        <v>41.91</v>
      </c>
      <c r="H389">
        <v>0.31900000000000001</v>
      </c>
      <c r="I389">
        <v>2</v>
      </c>
      <c r="J389">
        <v>1120</v>
      </c>
      <c r="K389">
        <v>0.32068486499999999</v>
      </c>
      <c r="L389">
        <v>0.29599999999999999</v>
      </c>
      <c r="M389">
        <v>2</v>
      </c>
      <c r="N389">
        <v>0.85499999999999998</v>
      </c>
      <c r="O389">
        <v>5</v>
      </c>
      <c r="P389">
        <v>5</v>
      </c>
      <c r="S389" s="57" t="s">
        <v>944</v>
      </c>
    </row>
    <row r="390" spans="1:19" x14ac:dyDescent="0.2">
      <c r="A390" t="s">
        <v>1807</v>
      </c>
      <c r="B390">
        <v>9003510200</v>
      </c>
      <c r="C390" t="s">
        <v>1808</v>
      </c>
      <c r="D390">
        <v>45278</v>
      </c>
      <c r="E390">
        <v>2.2999999999999998</v>
      </c>
      <c r="F390">
        <v>29855.429069999998</v>
      </c>
      <c r="G390">
        <v>29.855</v>
      </c>
      <c r="H390">
        <v>0.16600000000000001</v>
      </c>
      <c r="I390">
        <v>1</v>
      </c>
      <c r="J390">
        <v>1049</v>
      </c>
      <c r="K390">
        <v>0.421631857</v>
      </c>
      <c r="L390">
        <v>0.72899999999999998</v>
      </c>
      <c r="M390">
        <v>4</v>
      </c>
      <c r="N390">
        <v>0.91</v>
      </c>
      <c r="O390">
        <v>5</v>
      </c>
      <c r="P390">
        <v>5</v>
      </c>
      <c r="S390" s="59" t="s">
        <v>936</v>
      </c>
    </row>
    <row r="391" spans="1:19" x14ac:dyDescent="0.2">
      <c r="A391" t="s">
        <v>1809</v>
      </c>
      <c r="B391">
        <v>9003510300</v>
      </c>
      <c r="C391" t="s">
        <v>1810</v>
      </c>
      <c r="D391">
        <v>52860</v>
      </c>
      <c r="E391">
        <v>2.74</v>
      </c>
      <c r="F391">
        <v>31933.89385</v>
      </c>
      <c r="G391">
        <v>31.934000000000001</v>
      </c>
      <c r="H391">
        <v>0.2</v>
      </c>
      <c r="I391">
        <v>1</v>
      </c>
      <c r="J391">
        <v>1123</v>
      </c>
      <c r="K391">
        <v>0.42199676800000002</v>
      </c>
      <c r="L391">
        <v>0.73199999999999998</v>
      </c>
      <c r="M391">
        <v>4</v>
      </c>
      <c r="N391">
        <v>0.85099999999999998</v>
      </c>
      <c r="O391">
        <v>5</v>
      </c>
      <c r="P391">
        <v>5</v>
      </c>
      <c r="S391" s="57" t="s">
        <v>944</v>
      </c>
    </row>
    <row r="392" spans="1:19" x14ac:dyDescent="0.2">
      <c r="A392" t="s">
        <v>1811</v>
      </c>
      <c r="B392">
        <v>9003510400</v>
      </c>
      <c r="C392" t="s">
        <v>1812</v>
      </c>
      <c r="D392">
        <v>37403</v>
      </c>
      <c r="E392">
        <v>2.88</v>
      </c>
      <c r="F392">
        <v>22039.929110000001</v>
      </c>
      <c r="G392">
        <v>22.04</v>
      </c>
      <c r="H392">
        <v>8.2000000000000003E-2</v>
      </c>
      <c r="I392">
        <v>1</v>
      </c>
      <c r="J392">
        <v>1017</v>
      </c>
      <c r="K392">
        <v>0.55372228899999998</v>
      </c>
      <c r="L392">
        <v>0.88900000000000001</v>
      </c>
      <c r="M392">
        <v>5</v>
      </c>
      <c r="N392">
        <v>0.92900000000000005</v>
      </c>
      <c r="O392">
        <v>5</v>
      </c>
      <c r="P392">
        <v>5</v>
      </c>
      <c r="S392" s="59" t="s">
        <v>936</v>
      </c>
    </row>
    <row r="393" spans="1:19" x14ac:dyDescent="0.2">
      <c r="A393" t="s">
        <v>1813</v>
      </c>
      <c r="B393">
        <v>9003510500</v>
      </c>
      <c r="C393" t="s">
        <v>1814</v>
      </c>
      <c r="D393">
        <v>53237</v>
      </c>
      <c r="E393">
        <v>2.2000000000000002</v>
      </c>
      <c r="F393">
        <v>35892.378080000002</v>
      </c>
      <c r="G393">
        <v>35.892000000000003</v>
      </c>
      <c r="H393">
        <v>0.246</v>
      </c>
      <c r="I393">
        <v>2</v>
      </c>
      <c r="J393">
        <v>1201</v>
      </c>
      <c r="K393">
        <v>0.40153371700000001</v>
      </c>
      <c r="L393">
        <v>0.68200000000000005</v>
      </c>
      <c r="M393">
        <v>4</v>
      </c>
      <c r="N393">
        <v>0.76300000000000001</v>
      </c>
      <c r="O393">
        <v>4</v>
      </c>
      <c r="P393">
        <v>4</v>
      </c>
      <c r="S393" s="57" t="s">
        <v>944</v>
      </c>
    </row>
    <row r="394" spans="1:19" x14ac:dyDescent="0.2">
      <c r="A394" t="s">
        <v>1815</v>
      </c>
      <c r="B394">
        <v>9003510600</v>
      </c>
      <c r="C394" t="s">
        <v>1816</v>
      </c>
      <c r="D394">
        <v>41467</v>
      </c>
      <c r="E394">
        <v>2.5499999999999998</v>
      </c>
      <c r="F394">
        <v>25967.642680000001</v>
      </c>
      <c r="G394">
        <v>25.968</v>
      </c>
      <c r="H394">
        <v>0.123</v>
      </c>
      <c r="I394">
        <v>1</v>
      </c>
      <c r="J394">
        <v>1077</v>
      </c>
      <c r="K394">
        <v>0.49769631199999997</v>
      </c>
      <c r="L394">
        <v>0.83899999999999997</v>
      </c>
      <c r="M394">
        <v>5</v>
      </c>
      <c r="N394">
        <v>0.89200000000000002</v>
      </c>
      <c r="O394">
        <v>5</v>
      </c>
      <c r="P394">
        <v>5</v>
      </c>
      <c r="S394" s="59" t="s">
        <v>936</v>
      </c>
    </row>
    <row r="395" spans="1:19" x14ac:dyDescent="0.2">
      <c r="A395" t="s">
        <v>1817</v>
      </c>
      <c r="B395">
        <v>9003510700</v>
      </c>
      <c r="C395" t="s">
        <v>1818</v>
      </c>
      <c r="D395">
        <v>58029</v>
      </c>
      <c r="E395">
        <v>2.41</v>
      </c>
      <c r="F395">
        <v>37379.764869999999</v>
      </c>
      <c r="G395">
        <v>37.380000000000003</v>
      </c>
      <c r="H395">
        <v>0.26100000000000001</v>
      </c>
      <c r="I395">
        <v>2</v>
      </c>
      <c r="J395">
        <v>1201</v>
      </c>
      <c r="K395">
        <v>0.38555619699999999</v>
      </c>
      <c r="L395">
        <v>0.64700000000000002</v>
      </c>
      <c r="M395">
        <v>4</v>
      </c>
      <c r="N395">
        <v>0.76300000000000001</v>
      </c>
      <c r="O395">
        <v>4</v>
      </c>
      <c r="P395">
        <v>4</v>
      </c>
      <c r="S395" s="57" t="s">
        <v>944</v>
      </c>
    </row>
    <row r="396" spans="1:19" x14ac:dyDescent="0.2">
      <c r="A396" t="s">
        <v>1819</v>
      </c>
      <c r="B396">
        <v>9003510800</v>
      </c>
      <c r="C396" t="s">
        <v>1820</v>
      </c>
      <c r="D396">
        <v>59018</v>
      </c>
      <c r="E396">
        <v>2.2999999999999998</v>
      </c>
      <c r="F396">
        <v>38915.316780000001</v>
      </c>
      <c r="G396">
        <v>38.914999999999999</v>
      </c>
      <c r="H396">
        <v>0.27800000000000002</v>
      </c>
      <c r="I396">
        <v>2</v>
      </c>
      <c r="J396">
        <v>1070</v>
      </c>
      <c r="K396">
        <v>0.32994720500000002</v>
      </c>
      <c r="L396">
        <v>0.35699999999999998</v>
      </c>
      <c r="M396">
        <v>2</v>
      </c>
      <c r="N396">
        <v>0.89600000000000002</v>
      </c>
      <c r="O396">
        <v>5</v>
      </c>
      <c r="P396">
        <v>5</v>
      </c>
      <c r="S396" s="59" t="s">
        <v>944</v>
      </c>
    </row>
    <row r="397" spans="1:19" x14ac:dyDescent="0.2">
      <c r="A397" t="s">
        <v>1821</v>
      </c>
      <c r="B397">
        <v>9003510900</v>
      </c>
      <c r="C397" t="s">
        <v>1822</v>
      </c>
      <c r="D397">
        <v>91170</v>
      </c>
      <c r="E397">
        <v>2.81</v>
      </c>
      <c r="F397">
        <v>54387.462249999997</v>
      </c>
      <c r="G397">
        <v>54.387</v>
      </c>
      <c r="H397">
        <v>0.54900000000000004</v>
      </c>
      <c r="I397">
        <v>3</v>
      </c>
      <c r="J397">
        <v>1516</v>
      </c>
      <c r="K397">
        <v>0.33448885499999997</v>
      </c>
      <c r="L397">
        <v>0.39100000000000001</v>
      </c>
      <c r="M397">
        <v>2</v>
      </c>
      <c r="N397">
        <v>0.45500000000000002</v>
      </c>
      <c r="O397">
        <v>3</v>
      </c>
      <c r="P397">
        <v>3</v>
      </c>
      <c r="S397" s="57" t="s">
        <v>944</v>
      </c>
    </row>
    <row r="398" spans="1:19" x14ac:dyDescent="0.2">
      <c r="A398" t="s">
        <v>1823</v>
      </c>
      <c r="B398">
        <v>9003511000</v>
      </c>
      <c r="C398" t="s">
        <v>1824</v>
      </c>
      <c r="D398">
        <v>84648</v>
      </c>
      <c r="E398">
        <v>2.65</v>
      </c>
      <c r="F398">
        <v>51998.853049999998</v>
      </c>
      <c r="G398">
        <v>51.999000000000002</v>
      </c>
      <c r="H398">
        <v>0.5</v>
      </c>
      <c r="I398">
        <v>3</v>
      </c>
      <c r="J398">
        <v>1460</v>
      </c>
      <c r="K398">
        <v>0.33693050899999999</v>
      </c>
      <c r="L398">
        <v>0.40600000000000003</v>
      </c>
      <c r="M398">
        <v>3</v>
      </c>
      <c r="N398">
        <v>0.51400000000000001</v>
      </c>
      <c r="O398">
        <v>3</v>
      </c>
      <c r="P398">
        <v>3</v>
      </c>
      <c r="S398" s="59" t="s">
        <v>944</v>
      </c>
    </row>
    <row r="399" spans="1:19" x14ac:dyDescent="0.2">
      <c r="A399" t="s">
        <v>1825</v>
      </c>
      <c r="B399">
        <v>9003511100</v>
      </c>
      <c r="C399" t="s">
        <v>1826</v>
      </c>
      <c r="D399">
        <v>93403</v>
      </c>
      <c r="E399">
        <v>2.72</v>
      </c>
      <c r="F399">
        <v>56633.887459999998</v>
      </c>
      <c r="G399">
        <v>56.634</v>
      </c>
      <c r="H399">
        <v>0.59099999999999997</v>
      </c>
      <c r="I399">
        <v>3</v>
      </c>
      <c r="J399">
        <v>1502</v>
      </c>
      <c r="K399">
        <v>0.31825468499999998</v>
      </c>
      <c r="L399">
        <v>0.27600000000000002</v>
      </c>
      <c r="M399">
        <v>2</v>
      </c>
      <c r="N399">
        <v>0.47</v>
      </c>
      <c r="O399">
        <v>3</v>
      </c>
      <c r="P399">
        <v>3</v>
      </c>
      <c r="S399" s="57" t="s">
        <v>944</v>
      </c>
    </row>
    <row r="400" spans="1:19" x14ac:dyDescent="0.2">
      <c r="A400" t="s">
        <v>1827</v>
      </c>
      <c r="B400">
        <v>9003511200</v>
      </c>
      <c r="C400" t="s">
        <v>1828</v>
      </c>
      <c r="D400">
        <v>50000</v>
      </c>
      <c r="E400">
        <v>2.67</v>
      </c>
      <c r="F400">
        <v>30599.503069999999</v>
      </c>
      <c r="G400">
        <v>30.6</v>
      </c>
      <c r="H400">
        <v>0.17699999999999999</v>
      </c>
      <c r="I400">
        <v>1</v>
      </c>
      <c r="J400">
        <v>1359</v>
      </c>
      <c r="K400">
        <v>0.53294983100000004</v>
      </c>
      <c r="L400">
        <v>0.874</v>
      </c>
      <c r="M400">
        <v>5</v>
      </c>
      <c r="N400">
        <v>0.6</v>
      </c>
      <c r="O400">
        <v>3</v>
      </c>
      <c r="P400">
        <v>4</v>
      </c>
      <c r="S400" s="59" t="s">
        <v>944</v>
      </c>
    </row>
    <row r="401" spans="1:19" x14ac:dyDescent="0.2">
      <c r="A401" t="s">
        <v>1829</v>
      </c>
      <c r="B401">
        <v>9003511300</v>
      </c>
      <c r="C401" t="s">
        <v>1830</v>
      </c>
      <c r="D401">
        <v>46646</v>
      </c>
      <c r="E401">
        <v>2.76</v>
      </c>
      <c r="F401">
        <v>28077.592519999998</v>
      </c>
      <c r="G401">
        <v>28.077999999999999</v>
      </c>
      <c r="H401">
        <v>0.14299999999999999</v>
      </c>
      <c r="I401">
        <v>1</v>
      </c>
      <c r="J401">
        <v>1166</v>
      </c>
      <c r="K401">
        <v>0.49833332400000002</v>
      </c>
      <c r="L401">
        <v>0.84099999999999997</v>
      </c>
      <c r="M401">
        <v>5</v>
      </c>
      <c r="N401">
        <v>0.80800000000000005</v>
      </c>
      <c r="O401">
        <v>5</v>
      </c>
      <c r="P401">
        <v>5</v>
      </c>
      <c r="S401" s="57" t="s">
        <v>936</v>
      </c>
    </row>
    <row r="402" spans="1:19" x14ac:dyDescent="0.2">
      <c r="A402" t="s">
        <v>1831</v>
      </c>
      <c r="B402">
        <v>9003511400</v>
      </c>
      <c r="C402" t="s">
        <v>1832</v>
      </c>
      <c r="D402">
        <v>81270</v>
      </c>
      <c r="E402">
        <v>2.72</v>
      </c>
      <c r="F402">
        <v>49277.175620000002</v>
      </c>
      <c r="G402">
        <v>49.277000000000001</v>
      </c>
      <c r="H402">
        <v>0.45900000000000002</v>
      </c>
      <c r="I402">
        <v>3</v>
      </c>
      <c r="J402">
        <v>1503</v>
      </c>
      <c r="K402">
        <v>0.36601123699999999</v>
      </c>
      <c r="L402">
        <v>0.56799999999999995</v>
      </c>
      <c r="M402">
        <v>3</v>
      </c>
      <c r="N402">
        <v>0.46899999999999997</v>
      </c>
      <c r="O402">
        <v>3</v>
      </c>
      <c r="P402">
        <v>3</v>
      </c>
      <c r="S402" s="59" t="s">
        <v>944</v>
      </c>
    </row>
    <row r="403" spans="1:19" x14ac:dyDescent="0.2">
      <c r="A403" t="s">
        <v>1833</v>
      </c>
      <c r="B403">
        <v>9003514101</v>
      </c>
      <c r="C403" t="s">
        <v>1834</v>
      </c>
      <c r="D403">
        <v>93571</v>
      </c>
      <c r="E403">
        <v>2.44</v>
      </c>
      <c r="F403">
        <v>59902.694459999999</v>
      </c>
      <c r="G403">
        <v>59.902999999999999</v>
      </c>
      <c r="H403">
        <v>0.65200000000000002</v>
      </c>
      <c r="I403">
        <v>4</v>
      </c>
      <c r="J403">
        <v>1586</v>
      </c>
      <c r="K403">
        <v>0.317715258</v>
      </c>
      <c r="L403">
        <v>0.27100000000000002</v>
      </c>
      <c r="M403">
        <v>2</v>
      </c>
      <c r="N403">
        <v>0.40100000000000002</v>
      </c>
      <c r="O403">
        <v>3</v>
      </c>
      <c r="P403">
        <v>3</v>
      </c>
      <c r="S403" s="57" t="s">
        <v>944</v>
      </c>
    </row>
    <row r="404" spans="1:19" x14ac:dyDescent="0.2">
      <c r="A404" t="s">
        <v>1835</v>
      </c>
      <c r="B404">
        <v>9003514102</v>
      </c>
      <c r="C404" t="s">
        <v>1836</v>
      </c>
      <c r="D404">
        <v>83929</v>
      </c>
      <c r="E404">
        <v>2.3199999999999998</v>
      </c>
      <c r="F404">
        <v>55102.088020000003</v>
      </c>
      <c r="G404">
        <v>55.101999999999997</v>
      </c>
      <c r="H404">
        <v>0.56599999999999995</v>
      </c>
      <c r="I404">
        <v>3</v>
      </c>
      <c r="J404">
        <v>1576</v>
      </c>
      <c r="K404">
        <v>0.34321748400000002</v>
      </c>
      <c r="L404">
        <v>0.437</v>
      </c>
      <c r="M404">
        <v>3</v>
      </c>
      <c r="N404">
        <v>0.40699999999999997</v>
      </c>
      <c r="O404">
        <v>3</v>
      </c>
      <c r="P404">
        <v>3</v>
      </c>
      <c r="S404" s="59" t="s">
        <v>944</v>
      </c>
    </row>
    <row r="405" spans="1:19" x14ac:dyDescent="0.2">
      <c r="A405" t="s">
        <v>1837</v>
      </c>
      <c r="B405">
        <v>9003514200</v>
      </c>
      <c r="C405" t="s">
        <v>1838</v>
      </c>
      <c r="D405">
        <v>63190</v>
      </c>
      <c r="E405">
        <v>2.1</v>
      </c>
      <c r="F405">
        <v>43605.242689999999</v>
      </c>
      <c r="G405">
        <v>43.604999999999997</v>
      </c>
      <c r="H405">
        <v>0.34499999999999997</v>
      </c>
      <c r="I405">
        <v>2</v>
      </c>
      <c r="J405">
        <v>1310</v>
      </c>
      <c r="K405">
        <v>0.36050710899999999</v>
      </c>
      <c r="L405">
        <v>0.54100000000000004</v>
      </c>
      <c r="M405">
        <v>3</v>
      </c>
      <c r="N405">
        <v>0.64600000000000002</v>
      </c>
      <c r="O405">
        <v>4</v>
      </c>
      <c r="P405">
        <v>4</v>
      </c>
      <c r="S405" s="57" t="s">
        <v>944</v>
      </c>
    </row>
    <row r="406" spans="1:19" x14ac:dyDescent="0.2">
      <c r="A406" t="s">
        <v>1839</v>
      </c>
      <c r="B406">
        <v>9003514300</v>
      </c>
      <c r="C406" t="s">
        <v>1840</v>
      </c>
      <c r="D406">
        <v>75685</v>
      </c>
      <c r="E406">
        <v>2.37</v>
      </c>
      <c r="F406">
        <v>49162.690499999997</v>
      </c>
      <c r="G406">
        <v>49.162999999999997</v>
      </c>
      <c r="H406">
        <v>0.45500000000000002</v>
      </c>
      <c r="I406">
        <v>3</v>
      </c>
      <c r="J406">
        <v>1341</v>
      </c>
      <c r="K406">
        <v>0.32732138599999999</v>
      </c>
      <c r="L406">
        <v>0.33800000000000002</v>
      </c>
      <c r="M406">
        <v>2</v>
      </c>
      <c r="N406">
        <v>0.61599999999999999</v>
      </c>
      <c r="O406">
        <v>4</v>
      </c>
      <c r="P406">
        <v>4</v>
      </c>
      <c r="S406" s="59" t="s">
        <v>944</v>
      </c>
    </row>
    <row r="407" spans="1:19" x14ac:dyDescent="0.2">
      <c r="A407" t="s">
        <v>1841</v>
      </c>
      <c r="B407">
        <v>9003514400</v>
      </c>
      <c r="C407" t="s">
        <v>1842</v>
      </c>
      <c r="D407">
        <v>62700</v>
      </c>
      <c r="E407">
        <v>2.5099999999999998</v>
      </c>
      <c r="F407">
        <v>39575.889069999997</v>
      </c>
      <c r="G407">
        <v>39.576000000000001</v>
      </c>
      <c r="H407">
        <v>0.28999999999999998</v>
      </c>
      <c r="I407">
        <v>2</v>
      </c>
      <c r="J407">
        <v>1198</v>
      </c>
      <c r="K407">
        <v>0.36325147299999999</v>
      </c>
      <c r="L407">
        <v>0.55500000000000005</v>
      </c>
      <c r="M407">
        <v>3</v>
      </c>
      <c r="N407">
        <v>0.76700000000000002</v>
      </c>
      <c r="O407">
        <v>4</v>
      </c>
      <c r="P407">
        <v>4</v>
      </c>
      <c r="S407" s="57" t="s">
        <v>944</v>
      </c>
    </row>
    <row r="408" spans="1:19" x14ac:dyDescent="0.2">
      <c r="A408" t="s">
        <v>1843</v>
      </c>
      <c r="B408">
        <v>9003514500</v>
      </c>
      <c r="C408" t="s">
        <v>1844</v>
      </c>
      <c r="D408">
        <v>70875</v>
      </c>
      <c r="E408">
        <v>2.59</v>
      </c>
      <c r="F408">
        <v>44039.582170000001</v>
      </c>
      <c r="G408">
        <v>44.04</v>
      </c>
      <c r="H408">
        <v>0.35299999999999998</v>
      </c>
      <c r="I408">
        <v>2</v>
      </c>
      <c r="J408">
        <v>1332</v>
      </c>
      <c r="K408">
        <v>0.36294622300000001</v>
      </c>
      <c r="L408">
        <v>0.55300000000000005</v>
      </c>
      <c r="M408">
        <v>3</v>
      </c>
      <c r="N408">
        <v>0.626</v>
      </c>
      <c r="O408">
        <v>4</v>
      </c>
      <c r="P408">
        <v>4</v>
      </c>
      <c r="S408" s="59" t="s">
        <v>944</v>
      </c>
    </row>
    <row r="409" spans="1:19" x14ac:dyDescent="0.2">
      <c r="A409" t="s">
        <v>1845</v>
      </c>
      <c r="B409">
        <v>9003514600</v>
      </c>
      <c r="C409" t="s">
        <v>1846</v>
      </c>
      <c r="D409">
        <v>52932</v>
      </c>
      <c r="E409">
        <v>2.15</v>
      </c>
      <c r="F409">
        <v>36099.324379999998</v>
      </c>
      <c r="G409">
        <v>36.098999999999997</v>
      </c>
      <c r="H409">
        <v>0.25</v>
      </c>
      <c r="I409">
        <v>2</v>
      </c>
      <c r="J409">
        <v>1268</v>
      </c>
      <c r="K409">
        <v>0.42150373299999999</v>
      </c>
      <c r="L409">
        <v>0.72699999999999998</v>
      </c>
      <c r="M409">
        <v>4</v>
      </c>
      <c r="N409">
        <v>0.69499999999999995</v>
      </c>
      <c r="O409">
        <v>4</v>
      </c>
      <c r="P409">
        <v>4</v>
      </c>
      <c r="S409" s="57" t="s">
        <v>944</v>
      </c>
    </row>
    <row r="410" spans="1:19" x14ac:dyDescent="0.2">
      <c r="A410" t="s">
        <v>1847</v>
      </c>
      <c r="B410">
        <v>9003514700</v>
      </c>
      <c r="C410" t="s">
        <v>1848</v>
      </c>
      <c r="D410">
        <v>44015</v>
      </c>
      <c r="E410">
        <v>2.23</v>
      </c>
      <c r="F410">
        <v>29474.624070000002</v>
      </c>
      <c r="G410">
        <v>29.475000000000001</v>
      </c>
      <c r="H410">
        <v>0.16200000000000001</v>
      </c>
      <c r="I410">
        <v>1</v>
      </c>
      <c r="J410">
        <v>1189</v>
      </c>
      <c r="K410">
        <v>0.48407742100000001</v>
      </c>
      <c r="L410">
        <v>0.82799999999999996</v>
      </c>
      <c r="M410">
        <v>5</v>
      </c>
      <c r="N410">
        <v>0.78300000000000003</v>
      </c>
      <c r="O410">
        <v>4</v>
      </c>
      <c r="P410">
        <v>5</v>
      </c>
      <c r="S410" s="59" t="s">
        <v>936</v>
      </c>
    </row>
    <row r="411" spans="1:19" x14ac:dyDescent="0.2">
      <c r="A411" t="s">
        <v>1849</v>
      </c>
      <c r="B411">
        <v>9003514800</v>
      </c>
      <c r="C411" t="s">
        <v>1850</v>
      </c>
      <c r="D411">
        <v>53083</v>
      </c>
      <c r="E411">
        <v>2.61</v>
      </c>
      <c r="F411">
        <v>32857.55212</v>
      </c>
      <c r="G411">
        <v>32.857999999999997</v>
      </c>
      <c r="H411">
        <v>0.21099999999999999</v>
      </c>
      <c r="I411">
        <v>2</v>
      </c>
      <c r="J411">
        <v>1192</v>
      </c>
      <c r="K411">
        <v>0.43533370799999999</v>
      </c>
      <c r="L411">
        <v>0.76</v>
      </c>
      <c r="M411">
        <v>4</v>
      </c>
      <c r="N411">
        <v>0.77700000000000002</v>
      </c>
      <c r="O411">
        <v>4</v>
      </c>
      <c r="P411">
        <v>4</v>
      </c>
      <c r="S411" s="57" t="s">
        <v>944</v>
      </c>
    </row>
    <row r="412" spans="1:19" x14ac:dyDescent="0.2">
      <c r="A412" t="s">
        <v>1851</v>
      </c>
      <c r="B412">
        <v>9003514900</v>
      </c>
      <c r="C412" t="s">
        <v>1852</v>
      </c>
      <c r="D412">
        <v>86714</v>
      </c>
      <c r="E412">
        <v>2.4300000000000002</v>
      </c>
      <c r="F412">
        <v>55627.056940000002</v>
      </c>
      <c r="G412">
        <v>55.627000000000002</v>
      </c>
      <c r="H412">
        <v>0.57299999999999995</v>
      </c>
      <c r="I412">
        <v>3</v>
      </c>
      <c r="J412">
        <v>1345</v>
      </c>
      <c r="K412">
        <v>0.29014657399999999</v>
      </c>
      <c r="L412">
        <v>0.11799999999999999</v>
      </c>
      <c r="M412">
        <v>1</v>
      </c>
      <c r="N412">
        <v>0.61099999999999999</v>
      </c>
      <c r="O412">
        <v>4</v>
      </c>
      <c r="P412">
        <v>4</v>
      </c>
      <c r="S412" s="59" t="s">
        <v>944</v>
      </c>
    </row>
    <row r="413" spans="1:19" x14ac:dyDescent="0.2">
      <c r="A413" t="s">
        <v>1853</v>
      </c>
      <c r="B413">
        <v>9003515000</v>
      </c>
      <c r="C413" t="s">
        <v>1854</v>
      </c>
      <c r="D413">
        <v>104500</v>
      </c>
      <c r="E413">
        <v>2.78</v>
      </c>
      <c r="F413">
        <v>62674.935039999997</v>
      </c>
      <c r="G413">
        <v>62.674999999999997</v>
      </c>
      <c r="H413">
        <v>0.70299999999999996</v>
      </c>
      <c r="I413">
        <v>4</v>
      </c>
      <c r="J413">
        <v>1647</v>
      </c>
      <c r="K413">
        <v>0.31534137200000001</v>
      </c>
      <c r="L413">
        <v>0.255</v>
      </c>
      <c r="M413">
        <v>2</v>
      </c>
      <c r="N413">
        <v>0.35299999999999998</v>
      </c>
      <c r="O413">
        <v>2</v>
      </c>
      <c r="P413">
        <v>2</v>
      </c>
      <c r="S413" s="57" t="s">
        <v>944</v>
      </c>
    </row>
    <row r="414" spans="1:19" x14ac:dyDescent="0.2">
      <c r="A414" t="s">
        <v>1855</v>
      </c>
      <c r="B414">
        <v>9003515101</v>
      </c>
      <c r="C414" t="s">
        <v>1856</v>
      </c>
      <c r="D414">
        <v>82454</v>
      </c>
      <c r="E414">
        <v>2.54</v>
      </c>
      <c r="F414">
        <v>51736.240960000003</v>
      </c>
      <c r="G414">
        <v>51.735999999999997</v>
      </c>
      <c r="H414">
        <v>0.495</v>
      </c>
      <c r="I414">
        <v>3</v>
      </c>
      <c r="J414">
        <v>1312</v>
      </c>
      <c r="K414">
        <v>0.30431279300000003</v>
      </c>
      <c r="L414">
        <v>0.19800000000000001</v>
      </c>
      <c r="M414">
        <v>1</v>
      </c>
      <c r="N414">
        <v>0.64400000000000002</v>
      </c>
      <c r="O414">
        <v>4</v>
      </c>
      <c r="P414">
        <v>4</v>
      </c>
      <c r="S414" s="59" t="s">
        <v>944</v>
      </c>
    </row>
    <row r="415" spans="1:19" x14ac:dyDescent="0.2">
      <c r="A415" t="s">
        <v>1857</v>
      </c>
      <c r="B415">
        <v>9003515102</v>
      </c>
      <c r="C415" t="s">
        <v>1858</v>
      </c>
      <c r="D415">
        <v>78254</v>
      </c>
      <c r="E415">
        <v>2.69</v>
      </c>
      <c r="F415">
        <v>47712.30588</v>
      </c>
      <c r="G415">
        <v>47.712000000000003</v>
      </c>
      <c r="H415">
        <v>0.41699999999999998</v>
      </c>
      <c r="I415">
        <v>3</v>
      </c>
      <c r="J415">
        <v>1259</v>
      </c>
      <c r="K415">
        <v>0.31664786900000003</v>
      </c>
      <c r="L415">
        <v>0.26100000000000001</v>
      </c>
      <c r="M415">
        <v>2</v>
      </c>
      <c r="N415">
        <v>0.70499999999999996</v>
      </c>
      <c r="O415">
        <v>4</v>
      </c>
      <c r="P415">
        <v>4</v>
      </c>
      <c r="S415" s="57" t="s">
        <v>944</v>
      </c>
    </row>
    <row r="416" spans="1:19" x14ac:dyDescent="0.2">
      <c r="A416" t="s">
        <v>1859</v>
      </c>
      <c r="B416">
        <v>9003515200</v>
      </c>
      <c r="C416" t="s">
        <v>1860</v>
      </c>
      <c r="D416">
        <v>111809</v>
      </c>
      <c r="E416">
        <v>2.36</v>
      </c>
      <c r="F416">
        <v>72781.459740000006</v>
      </c>
      <c r="G416">
        <v>72.781000000000006</v>
      </c>
      <c r="H416">
        <v>0.83299999999999996</v>
      </c>
      <c r="I416">
        <v>5</v>
      </c>
      <c r="J416">
        <v>1678</v>
      </c>
      <c r="K416">
        <v>0.27666386599999998</v>
      </c>
      <c r="L416">
        <v>7.6999999999999999E-2</v>
      </c>
      <c r="M416">
        <v>1</v>
      </c>
      <c r="N416">
        <v>0.32300000000000001</v>
      </c>
      <c r="O416">
        <v>2</v>
      </c>
      <c r="P416">
        <v>2</v>
      </c>
      <c r="S416" s="59" t="s">
        <v>944</v>
      </c>
    </row>
    <row r="417" spans="1:19" x14ac:dyDescent="0.2">
      <c r="A417" t="s">
        <v>1861</v>
      </c>
      <c r="B417">
        <v>9003520100</v>
      </c>
      <c r="C417" t="s">
        <v>1862</v>
      </c>
      <c r="D417">
        <v>141914</v>
      </c>
      <c r="E417">
        <v>2.69</v>
      </c>
      <c r="F417">
        <v>86526.492920000004</v>
      </c>
      <c r="G417">
        <v>86.525999999999996</v>
      </c>
      <c r="H417">
        <v>0.91400000000000003</v>
      </c>
      <c r="I417">
        <v>5</v>
      </c>
      <c r="J417">
        <v>1960</v>
      </c>
      <c r="K417">
        <v>0.27182426100000001</v>
      </c>
      <c r="L417">
        <v>6.6000000000000003E-2</v>
      </c>
      <c r="M417">
        <v>1</v>
      </c>
      <c r="N417">
        <v>0.17899999999999999</v>
      </c>
      <c r="O417">
        <v>1</v>
      </c>
      <c r="P417">
        <v>1</v>
      </c>
      <c r="S417" s="57" t="s">
        <v>944</v>
      </c>
    </row>
    <row r="418" spans="1:19" x14ac:dyDescent="0.2">
      <c r="A418" t="s">
        <v>1863</v>
      </c>
      <c r="B418">
        <v>9003520201</v>
      </c>
      <c r="C418" t="s">
        <v>1864</v>
      </c>
      <c r="D418">
        <v>168672</v>
      </c>
      <c r="E418">
        <v>3.01</v>
      </c>
      <c r="F418">
        <v>97220.924540000007</v>
      </c>
      <c r="G418">
        <v>97.221000000000004</v>
      </c>
      <c r="H418">
        <v>0.94</v>
      </c>
      <c r="I418">
        <v>5</v>
      </c>
      <c r="J418">
        <v>2397</v>
      </c>
      <c r="K418">
        <v>0.29586223499999997</v>
      </c>
      <c r="L418">
        <v>0.14499999999999999</v>
      </c>
      <c r="M418">
        <v>1</v>
      </c>
      <c r="N418">
        <v>9.1999999999999998E-2</v>
      </c>
      <c r="O418">
        <v>1</v>
      </c>
      <c r="P418">
        <v>1</v>
      </c>
      <c r="S418" s="59" t="s">
        <v>944</v>
      </c>
    </row>
    <row r="419" spans="1:19" x14ac:dyDescent="0.2">
      <c r="A419" t="s">
        <v>1865</v>
      </c>
      <c r="B419">
        <v>9003520202</v>
      </c>
      <c r="C419" t="s">
        <v>1866</v>
      </c>
      <c r="D419">
        <v>153878</v>
      </c>
      <c r="E419">
        <v>2.77</v>
      </c>
      <c r="F419">
        <v>92456.329599999997</v>
      </c>
      <c r="G419">
        <v>92.456000000000003</v>
      </c>
      <c r="H419">
        <v>0.93100000000000005</v>
      </c>
      <c r="I419">
        <v>5</v>
      </c>
      <c r="J419">
        <v>2253</v>
      </c>
      <c r="K419">
        <v>0.29241913600000002</v>
      </c>
      <c r="L419">
        <v>0.13</v>
      </c>
      <c r="M419">
        <v>1</v>
      </c>
      <c r="N419">
        <v>0.122</v>
      </c>
      <c r="O419">
        <v>1</v>
      </c>
      <c r="P419">
        <v>1</v>
      </c>
      <c r="S419" s="57" t="s">
        <v>944</v>
      </c>
    </row>
    <row r="420" spans="1:19" x14ac:dyDescent="0.2">
      <c r="A420" t="s">
        <v>1867</v>
      </c>
      <c r="B420">
        <v>9003520301</v>
      </c>
      <c r="C420" t="s">
        <v>1868</v>
      </c>
      <c r="D420">
        <v>87500</v>
      </c>
      <c r="E420">
        <v>2.2799999999999998</v>
      </c>
      <c r="F420">
        <v>57948.29062</v>
      </c>
      <c r="G420">
        <v>57.948</v>
      </c>
      <c r="H420">
        <v>0.61599999999999999</v>
      </c>
      <c r="I420">
        <v>4</v>
      </c>
      <c r="J420">
        <v>1458</v>
      </c>
      <c r="K420">
        <v>0.30192435000000001</v>
      </c>
      <c r="L420">
        <v>0.18099999999999999</v>
      </c>
      <c r="M420">
        <v>1</v>
      </c>
      <c r="N420">
        <v>0.51600000000000001</v>
      </c>
      <c r="O420">
        <v>3</v>
      </c>
      <c r="P420">
        <v>3</v>
      </c>
      <c r="S420" s="59" t="s">
        <v>944</v>
      </c>
    </row>
    <row r="421" spans="1:19" x14ac:dyDescent="0.2">
      <c r="A421" t="s">
        <v>1869</v>
      </c>
      <c r="B421">
        <v>9003520302</v>
      </c>
      <c r="C421" t="s">
        <v>1870</v>
      </c>
      <c r="D421">
        <v>63821</v>
      </c>
      <c r="E421">
        <v>1.97</v>
      </c>
      <c r="F421">
        <v>45470.579769999997</v>
      </c>
      <c r="G421">
        <v>45.470999999999997</v>
      </c>
      <c r="H421">
        <v>0.373</v>
      </c>
      <c r="I421">
        <v>2</v>
      </c>
      <c r="J421">
        <v>1337</v>
      </c>
      <c r="K421">
        <v>0.35284353299999999</v>
      </c>
      <c r="L421">
        <v>0.496</v>
      </c>
      <c r="M421">
        <v>3</v>
      </c>
      <c r="N421">
        <v>0.61899999999999999</v>
      </c>
      <c r="O421">
        <v>4</v>
      </c>
      <c r="P421">
        <v>4</v>
      </c>
      <c r="S421" s="57" t="s">
        <v>944</v>
      </c>
    </row>
    <row r="422" spans="1:19" x14ac:dyDescent="0.2">
      <c r="A422" t="s">
        <v>1871</v>
      </c>
      <c r="B422">
        <v>9003520400</v>
      </c>
      <c r="C422" t="s">
        <v>1872</v>
      </c>
      <c r="D422">
        <v>123480</v>
      </c>
      <c r="E422">
        <v>2.64</v>
      </c>
      <c r="F422">
        <v>75996.686530000006</v>
      </c>
      <c r="G422">
        <v>75.997</v>
      </c>
      <c r="H422">
        <v>0.85699999999999998</v>
      </c>
      <c r="I422">
        <v>5</v>
      </c>
      <c r="J422">
        <v>1929</v>
      </c>
      <c r="K422">
        <v>0.30459222699999999</v>
      </c>
      <c r="L422">
        <v>0.19900000000000001</v>
      </c>
      <c r="M422">
        <v>1</v>
      </c>
      <c r="N422">
        <v>0.19400000000000001</v>
      </c>
      <c r="O422">
        <v>1</v>
      </c>
      <c r="P422">
        <v>1</v>
      </c>
      <c r="S422" s="59" t="s">
        <v>944</v>
      </c>
    </row>
    <row r="423" spans="1:19" x14ac:dyDescent="0.2">
      <c r="A423" t="s">
        <v>1873</v>
      </c>
      <c r="B423">
        <v>9003520501</v>
      </c>
      <c r="C423" t="s">
        <v>1874</v>
      </c>
      <c r="D423">
        <v>174375</v>
      </c>
      <c r="E423">
        <v>2.7</v>
      </c>
      <c r="F423">
        <v>106121.2455</v>
      </c>
      <c r="G423">
        <v>106.121</v>
      </c>
      <c r="H423">
        <v>0.95499999999999996</v>
      </c>
      <c r="I423">
        <v>5</v>
      </c>
      <c r="J423">
        <v>2346</v>
      </c>
      <c r="K423">
        <v>0.26528147000000002</v>
      </c>
      <c r="L423">
        <v>4.9000000000000002E-2</v>
      </c>
      <c r="M423">
        <v>1</v>
      </c>
      <c r="N423">
        <v>0.105</v>
      </c>
      <c r="O423">
        <v>1</v>
      </c>
      <c r="P423">
        <v>1</v>
      </c>
      <c r="S423" s="57" t="s">
        <v>944</v>
      </c>
    </row>
    <row r="424" spans="1:19" x14ac:dyDescent="0.2">
      <c r="A424" t="s">
        <v>1875</v>
      </c>
      <c r="B424">
        <v>9003524100</v>
      </c>
      <c r="C424" t="s">
        <v>1876</v>
      </c>
      <c r="D424">
        <v>112557</v>
      </c>
      <c r="E424">
        <v>2.68</v>
      </c>
      <c r="F424">
        <v>68755.130739999993</v>
      </c>
      <c r="G424">
        <v>68.754999999999995</v>
      </c>
      <c r="H424">
        <v>0.78300000000000003</v>
      </c>
      <c r="I424">
        <v>4</v>
      </c>
      <c r="J424">
        <v>1849</v>
      </c>
      <c r="K424">
        <v>0.32271046199999998</v>
      </c>
      <c r="L424">
        <v>0.318</v>
      </c>
      <c r="M424">
        <v>2</v>
      </c>
      <c r="N424">
        <v>0.23400000000000001</v>
      </c>
      <c r="O424">
        <v>2</v>
      </c>
      <c r="P424">
        <v>2</v>
      </c>
      <c r="S424" s="59" t="s">
        <v>944</v>
      </c>
    </row>
    <row r="425" spans="1:19" x14ac:dyDescent="0.2">
      <c r="A425" t="s">
        <v>1877</v>
      </c>
      <c r="B425">
        <v>9003524200</v>
      </c>
      <c r="C425" t="s">
        <v>1878</v>
      </c>
      <c r="D425">
        <v>89076</v>
      </c>
      <c r="E425">
        <v>2.31</v>
      </c>
      <c r="F425">
        <v>58607.705179999997</v>
      </c>
      <c r="G425">
        <v>58.607999999999997</v>
      </c>
      <c r="H425">
        <v>0.625</v>
      </c>
      <c r="I425">
        <v>4</v>
      </c>
      <c r="J425">
        <v>1346</v>
      </c>
      <c r="K425">
        <v>0.275595162</v>
      </c>
      <c r="L425">
        <v>7.1999999999999995E-2</v>
      </c>
      <c r="M425">
        <v>1</v>
      </c>
      <c r="N425">
        <v>0.60799999999999998</v>
      </c>
      <c r="O425">
        <v>4</v>
      </c>
      <c r="P425">
        <v>3</v>
      </c>
      <c r="S425" s="57" t="s">
        <v>944</v>
      </c>
    </row>
    <row r="426" spans="1:19" x14ac:dyDescent="0.2">
      <c r="A426" t="s">
        <v>1879</v>
      </c>
      <c r="B426">
        <v>9003524300</v>
      </c>
      <c r="C426" t="s">
        <v>1880</v>
      </c>
      <c r="D426">
        <v>89079</v>
      </c>
      <c r="E426">
        <v>2.23</v>
      </c>
      <c r="F426">
        <v>59651.710500000001</v>
      </c>
      <c r="G426">
        <v>59.652000000000001</v>
      </c>
      <c r="H426">
        <v>0.64200000000000002</v>
      </c>
      <c r="I426">
        <v>4</v>
      </c>
      <c r="J426">
        <v>1336</v>
      </c>
      <c r="K426">
        <v>0.26876010500000003</v>
      </c>
      <c r="L426">
        <v>5.8999999999999997E-2</v>
      </c>
      <c r="M426">
        <v>1</v>
      </c>
      <c r="N426">
        <v>0.62</v>
      </c>
      <c r="O426">
        <v>4</v>
      </c>
      <c r="P426">
        <v>3</v>
      </c>
      <c r="S426" s="59" t="s">
        <v>944</v>
      </c>
    </row>
    <row r="427" spans="1:19" x14ac:dyDescent="0.2">
      <c r="A427" t="s">
        <v>1881</v>
      </c>
      <c r="B427">
        <v>9003524400</v>
      </c>
      <c r="C427" t="s">
        <v>1882</v>
      </c>
      <c r="D427">
        <v>46155</v>
      </c>
      <c r="E427">
        <v>2.95</v>
      </c>
      <c r="F427">
        <v>26872.479940000001</v>
      </c>
      <c r="G427">
        <v>26.872</v>
      </c>
      <c r="H427">
        <v>0.13200000000000001</v>
      </c>
      <c r="I427">
        <v>1</v>
      </c>
      <c r="J427">
        <v>1123</v>
      </c>
      <c r="K427">
        <v>0.50147958199999998</v>
      </c>
      <c r="L427">
        <v>0.84599999999999997</v>
      </c>
      <c r="M427">
        <v>5</v>
      </c>
      <c r="N427">
        <v>0.85099999999999998</v>
      </c>
      <c r="O427">
        <v>5</v>
      </c>
      <c r="P427">
        <v>5</v>
      </c>
      <c r="S427" s="57" t="s">
        <v>936</v>
      </c>
    </row>
    <row r="428" spans="1:19" x14ac:dyDescent="0.2">
      <c r="A428" t="s">
        <v>1883</v>
      </c>
      <c r="B428">
        <v>9003524501</v>
      </c>
      <c r="C428" t="s">
        <v>1884</v>
      </c>
      <c r="D428">
        <v>42021</v>
      </c>
      <c r="E428">
        <v>2.06</v>
      </c>
      <c r="F428">
        <v>29277.417990000002</v>
      </c>
      <c r="G428">
        <v>29.277000000000001</v>
      </c>
      <c r="H428">
        <v>0.159</v>
      </c>
      <c r="I428">
        <v>1</v>
      </c>
      <c r="J428">
        <v>1142</v>
      </c>
      <c r="K428">
        <v>0.46807406299999998</v>
      </c>
      <c r="L428">
        <v>0.80900000000000005</v>
      </c>
      <c r="M428">
        <v>5</v>
      </c>
      <c r="N428">
        <v>0.82399999999999995</v>
      </c>
      <c r="O428">
        <v>5</v>
      </c>
      <c r="P428">
        <v>5</v>
      </c>
      <c r="S428" s="59" t="s">
        <v>936</v>
      </c>
    </row>
    <row r="429" spans="1:19" x14ac:dyDescent="0.2">
      <c r="A429" t="s">
        <v>1885</v>
      </c>
      <c r="B429">
        <v>9003524502</v>
      </c>
      <c r="C429" t="s">
        <v>1886</v>
      </c>
      <c r="D429">
        <v>57778</v>
      </c>
      <c r="E429">
        <v>1.89</v>
      </c>
      <c r="F429">
        <v>42027.310870000001</v>
      </c>
      <c r="G429">
        <v>42.027000000000001</v>
      </c>
      <c r="H429">
        <v>0.32100000000000001</v>
      </c>
      <c r="I429">
        <v>2</v>
      </c>
      <c r="J429">
        <v>1109</v>
      </c>
      <c r="K429">
        <v>0.316651238</v>
      </c>
      <c r="L429">
        <v>0.26200000000000001</v>
      </c>
      <c r="M429">
        <v>2</v>
      </c>
      <c r="N429">
        <v>0.86499999999999999</v>
      </c>
      <c r="O429">
        <v>5</v>
      </c>
      <c r="P429">
        <v>5</v>
      </c>
      <c r="S429" s="57" t="s">
        <v>944</v>
      </c>
    </row>
    <row r="430" spans="1:19" x14ac:dyDescent="0.2">
      <c r="A430" t="s">
        <v>1887</v>
      </c>
      <c r="B430">
        <v>9003524600</v>
      </c>
      <c r="C430" t="s">
        <v>1888</v>
      </c>
      <c r="D430">
        <v>36120</v>
      </c>
      <c r="E430">
        <v>2.02</v>
      </c>
      <c r="F430">
        <v>25413.943319999998</v>
      </c>
      <c r="G430">
        <v>25.414000000000001</v>
      </c>
      <c r="H430">
        <v>0.115</v>
      </c>
      <c r="I430">
        <v>1</v>
      </c>
      <c r="J430">
        <v>1020</v>
      </c>
      <c r="K430">
        <v>0.48162537599999999</v>
      </c>
      <c r="L430">
        <v>0.82399999999999995</v>
      </c>
      <c r="M430">
        <v>5</v>
      </c>
      <c r="N430">
        <v>0.92600000000000005</v>
      </c>
      <c r="O430">
        <v>5</v>
      </c>
      <c r="P430">
        <v>5</v>
      </c>
      <c r="S430" s="59" t="s">
        <v>936</v>
      </c>
    </row>
    <row r="431" spans="1:19" x14ac:dyDescent="0.2">
      <c r="A431" t="s">
        <v>1889</v>
      </c>
      <c r="B431">
        <v>9003524700</v>
      </c>
      <c r="C431" t="s">
        <v>1890</v>
      </c>
      <c r="D431">
        <v>75110</v>
      </c>
      <c r="E431">
        <v>2.84</v>
      </c>
      <c r="F431">
        <v>44569.585169999998</v>
      </c>
      <c r="G431">
        <v>44.57</v>
      </c>
      <c r="H431">
        <v>0.36</v>
      </c>
      <c r="I431">
        <v>2</v>
      </c>
      <c r="J431">
        <v>1319</v>
      </c>
      <c r="K431">
        <v>0.35513007200000002</v>
      </c>
      <c r="L431">
        <v>0.50900000000000001</v>
      </c>
      <c r="M431">
        <v>3</v>
      </c>
      <c r="N431">
        <v>0.63800000000000001</v>
      </c>
      <c r="O431">
        <v>4</v>
      </c>
      <c r="P431">
        <v>4</v>
      </c>
      <c r="S431" s="57" t="s">
        <v>944</v>
      </c>
    </row>
    <row r="432" spans="1:19" x14ac:dyDescent="0.2">
      <c r="A432" t="s">
        <v>1891</v>
      </c>
      <c r="B432">
        <v>9005250100</v>
      </c>
      <c r="C432" t="s">
        <v>1892</v>
      </c>
      <c r="D432">
        <v>111250</v>
      </c>
      <c r="E432">
        <v>2.4300000000000002</v>
      </c>
      <c r="F432">
        <v>71366.90827</v>
      </c>
      <c r="G432">
        <v>71.367000000000004</v>
      </c>
      <c r="H432">
        <v>0.82</v>
      </c>
      <c r="I432">
        <v>5</v>
      </c>
      <c r="J432">
        <v>1890</v>
      </c>
      <c r="K432">
        <v>0.31779434699999998</v>
      </c>
      <c r="L432">
        <v>0.27200000000000002</v>
      </c>
      <c r="M432">
        <v>2</v>
      </c>
      <c r="N432">
        <v>0.216</v>
      </c>
      <c r="O432">
        <v>2</v>
      </c>
      <c r="P432">
        <v>2</v>
      </c>
      <c r="S432" s="59" t="s">
        <v>944</v>
      </c>
    </row>
    <row r="433" spans="1:19" x14ac:dyDescent="0.2">
      <c r="A433" t="s">
        <v>1893</v>
      </c>
      <c r="B433">
        <v>9005253100</v>
      </c>
      <c r="C433" t="s">
        <v>1894</v>
      </c>
      <c r="D433">
        <v>57072</v>
      </c>
      <c r="E433">
        <v>2.35</v>
      </c>
      <c r="F433">
        <v>37229.66779</v>
      </c>
      <c r="G433">
        <v>37.229999999999997</v>
      </c>
      <c r="H433">
        <v>0.26</v>
      </c>
      <c r="I433">
        <v>2</v>
      </c>
      <c r="J433">
        <v>1136</v>
      </c>
      <c r="K433">
        <v>0.36615959300000001</v>
      </c>
      <c r="L433">
        <v>0.56899999999999995</v>
      </c>
      <c r="M433">
        <v>3</v>
      </c>
      <c r="N433">
        <v>0.83</v>
      </c>
      <c r="O433">
        <v>5</v>
      </c>
      <c r="P433">
        <v>5</v>
      </c>
      <c r="S433" s="57" t="s">
        <v>944</v>
      </c>
    </row>
    <row r="434" spans="1:19" x14ac:dyDescent="0.2">
      <c r="A434" t="s">
        <v>1895</v>
      </c>
      <c r="B434">
        <v>9005253200</v>
      </c>
      <c r="C434" t="s">
        <v>1896</v>
      </c>
      <c r="D434">
        <v>101974</v>
      </c>
      <c r="E434">
        <v>2.76</v>
      </c>
      <c r="F434">
        <v>61381.134910000001</v>
      </c>
      <c r="G434">
        <v>61.381</v>
      </c>
      <c r="H434">
        <v>0.67900000000000005</v>
      </c>
      <c r="I434">
        <v>4</v>
      </c>
      <c r="J434">
        <v>1923</v>
      </c>
      <c r="K434">
        <v>0.37594612799999999</v>
      </c>
      <c r="L434">
        <v>0.61799999999999999</v>
      </c>
      <c r="M434">
        <v>4</v>
      </c>
      <c r="N434">
        <v>0.19800000000000001</v>
      </c>
      <c r="O434">
        <v>1</v>
      </c>
      <c r="P434">
        <v>2</v>
      </c>
      <c r="S434" s="59" t="s">
        <v>944</v>
      </c>
    </row>
    <row r="435" spans="1:19" x14ac:dyDescent="0.2">
      <c r="A435" t="s">
        <v>1897</v>
      </c>
      <c r="B435">
        <v>9005253300</v>
      </c>
      <c r="C435" t="s">
        <v>1898</v>
      </c>
      <c r="D435">
        <v>90141</v>
      </c>
      <c r="E435">
        <v>2.37</v>
      </c>
      <c r="F435">
        <v>58552.87156</v>
      </c>
      <c r="G435">
        <v>58.552999999999997</v>
      </c>
      <c r="H435">
        <v>0.624</v>
      </c>
      <c r="I435">
        <v>4</v>
      </c>
      <c r="J435">
        <v>1623</v>
      </c>
      <c r="K435">
        <v>0.33262245699999998</v>
      </c>
      <c r="L435">
        <v>0.38</v>
      </c>
      <c r="M435">
        <v>2</v>
      </c>
      <c r="N435">
        <v>0.36699999999999999</v>
      </c>
      <c r="O435">
        <v>2</v>
      </c>
      <c r="P435">
        <v>2</v>
      </c>
      <c r="S435" s="57" t="s">
        <v>944</v>
      </c>
    </row>
    <row r="436" spans="1:19" x14ac:dyDescent="0.2">
      <c r="A436" t="s">
        <v>1899</v>
      </c>
      <c r="B436">
        <v>9005253400</v>
      </c>
      <c r="C436" t="s">
        <v>1900</v>
      </c>
      <c r="D436">
        <v>109167</v>
      </c>
      <c r="E436">
        <v>2.59</v>
      </c>
      <c r="F436">
        <v>67833.073250000001</v>
      </c>
      <c r="G436">
        <v>67.832999999999998</v>
      </c>
      <c r="H436">
        <v>0.77500000000000002</v>
      </c>
      <c r="I436">
        <v>4</v>
      </c>
      <c r="J436">
        <v>1878</v>
      </c>
      <c r="K436">
        <v>0.33222731799999999</v>
      </c>
      <c r="L436">
        <v>0.374</v>
      </c>
      <c r="M436">
        <v>2</v>
      </c>
      <c r="N436">
        <v>0.218</v>
      </c>
      <c r="O436">
        <v>2</v>
      </c>
      <c r="P436">
        <v>2</v>
      </c>
      <c r="S436" s="59" t="s">
        <v>944</v>
      </c>
    </row>
    <row r="437" spans="1:19" x14ac:dyDescent="0.2">
      <c r="A437" t="s">
        <v>1901</v>
      </c>
      <c r="B437">
        <v>9005253500</v>
      </c>
      <c r="C437" t="s">
        <v>1902</v>
      </c>
      <c r="D437">
        <v>107109</v>
      </c>
      <c r="E437">
        <v>2.62</v>
      </c>
      <c r="F437">
        <v>66172.161189999999</v>
      </c>
      <c r="G437">
        <v>66.171999999999997</v>
      </c>
      <c r="H437">
        <v>0.755</v>
      </c>
      <c r="I437">
        <v>4</v>
      </c>
      <c r="J437">
        <v>1988</v>
      </c>
      <c r="K437">
        <v>0.36051414300000001</v>
      </c>
      <c r="L437">
        <v>0.54200000000000004</v>
      </c>
      <c r="M437">
        <v>3</v>
      </c>
      <c r="N437">
        <v>0.16600000000000001</v>
      </c>
      <c r="O437">
        <v>1</v>
      </c>
      <c r="P437">
        <v>2</v>
      </c>
      <c r="S437" s="57" t="s">
        <v>944</v>
      </c>
    </row>
    <row r="438" spans="1:19" x14ac:dyDescent="0.2">
      <c r="A438" t="s">
        <v>1903</v>
      </c>
      <c r="B438">
        <v>9005253600</v>
      </c>
      <c r="C438" t="s">
        <v>1904</v>
      </c>
      <c r="D438">
        <v>54482</v>
      </c>
      <c r="E438">
        <v>2.25</v>
      </c>
      <c r="F438">
        <v>36321.333330000001</v>
      </c>
      <c r="G438">
        <v>36.320999999999998</v>
      </c>
      <c r="H438">
        <v>0.255</v>
      </c>
      <c r="I438">
        <v>2</v>
      </c>
      <c r="J438">
        <v>1230</v>
      </c>
      <c r="K438">
        <v>0.40637274699999998</v>
      </c>
      <c r="L438">
        <v>0.69499999999999995</v>
      </c>
      <c r="M438">
        <v>4</v>
      </c>
      <c r="N438">
        <v>0.73499999999999999</v>
      </c>
      <c r="O438">
        <v>4</v>
      </c>
      <c r="P438">
        <v>4</v>
      </c>
      <c r="S438" s="59" t="s">
        <v>944</v>
      </c>
    </row>
    <row r="439" spans="1:19" x14ac:dyDescent="0.2">
      <c r="A439" t="s">
        <v>1905</v>
      </c>
      <c r="B439">
        <v>9005260200</v>
      </c>
      <c r="C439" t="s">
        <v>1906</v>
      </c>
      <c r="D439">
        <v>62432</v>
      </c>
      <c r="E439">
        <v>2.2400000000000002</v>
      </c>
      <c r="F439">
        <v>41714.134639999997</v>
      </c>
      <c r="G439">
        <v>41.713999999999999</v>
      </c>
      <c r="H439">
        <v>0.315</v>
      </c>
      <c r="I439">
        <v>2</v>
      </c>
      <c r="J439">
        <v>1290</v>
      </c>
      <c r="K439">
        <v>0.371097234</v>
      </c>
      <c r="L439">
        <v>0.59599999999999997</v>
      </c>
      <c r="M439">
        <v>3</v>
      </c>
      <c r="N439">
        <v>0.66400000000000003</v>
      </c>
      <c r="O439">
        <v>4</v>
      </c>
      <c r="P439">
        <v>4</v>
      </c>
      <c r="S439" s="57" t="s">
        <v>944</v>
      </c>
    </row>
    <row r="440" spans="1:19" x14ac:dyDescent="0.2">
      <c r="A440" t="s">
        <v>1907</v>
      </c>
      <c r="B440">
        <v>9005261100</v>
      </c>
      <c r="C440" t="s">
        <v>1908</v>
      </c>
      <c r="D440">
        <v>72658</v>
      </c>
      <c r="E440">
        <v>2.08</v>
      </c>
      <c r="F440">
        <v>50379.258569999998</v>
      </c>
      <c r="G440">
        <v>50.378999999999998</v>
      </c>
      <c r="H440">
        <v>0.47599999999999998</v>
      </c>
      <c r="I440">
        <v>3</v>
      </c>
      <c r="J440">
        <v>1373</v>
      </c>
      <c r="K440">
        <v>0.32703935000000001</v>
      </c>
      <c r="L440">
        <v>0.33600000000000002</v>
      </c>
      <c r="M440">
        <v>2</v>
      </c>
      <c r="N440">
        <v>0.58699999999999997</v>
      </c>
      <c r="O440">
        <v>3</v>
      </c>
      <c r="P440">
        <v>3</v>
      </c>
      <c r="S440" s="59" t="s">
        <v>944</v>
      </c>
    </row>
    <row r="441" spans="1:19" x14ac:dyDescent="0.2">
      <c r="A441" t="s">
        <v>1909</v>
      </c>
      <c r="B441">
        <v>9005262100</v>
      </c>
      <c r="C441" t="s">
        <v>1910</v>
      </c>
      <c r="D441">
        <v>81919</v>
      </c>
      <c r="E441">
        <v>2.0299999999999998</v>
      </c>
      <c r="F441">
        <v>57495.866470000001</v>
      </c>
      <c r="G441">
        <v>57.496000000000002</v>
      </c>
      <c r="H441">
        <v>0.60799999999999998</v>
      </c>
      <c r="I441">
        <v>4</v>
      </c>
      <c r="J441">
        <v>1194</v>
      </c>
      <c r="K441">
        <v>0.24920052300000001</v>
      </c>
      <c r="L441">
        <v>1.2E-2</v>
      </c>
      <c r="M441">
        <v>1</v>
      </c>
      <c r="N441">
        <v>0.77400000000000002</v>
      </c>
      <c r="O441">
        <v>4</v>
      </c>
      <c r="P441">
        <v>3</v>
      </c>
      <c r="S441" s="57" t="s">
        <v>944</v>
      </c>
    </row>
    <row r="442" spans="1:19" x14ac:dyDescent="0.2">
      <c r="A442" t="s">
        <v>1911</v>
      </c>
      <c r="B442">
        <v>9005263200</v>
      </c>
      <c r="C442" t="s">
        <v>1912</v>
      </c>
      <c r="D442">
        <v>80000</v>
      </c>
      <c r="E442">
        <v>2.16</v>
      </c>
      <c r="F442">
        <v>54433.1054</v>
      </c>
      <c r="G442">
        <v>54.433</v>
      </c>
      <c r="H442">
        <v>0.55000000000000004</v>
      </c>
      <c r="I442">
        <v>3</v>
      </c>
      <c r="J442">
        <v>1448</v>
      </c>
      <c r="K442">
        <v>0.31921750300000001</v>
      </c>
      <c r="L442">
        <v>0.28299999999999997</v>
      </c>
      <c r="M442">
        <v>2</v>
      </c>
      <c r="N442">
        <v>0.52700000000000002</v>
      </c>
      <c r="O442">
        <v>3</v>
      </c>
      <c r="P442">
        <v>3</v>
      </c>
      <c r="S442" s="59" t="s">
        <v>944</v>
      </c>
    </row>
    <row r="443" spans="1:19" x14ac:dyDescent="0.2">
      <c r="A443" t="s">
        <v>1913</v>
      </c>
      <c r="B443">
        <v>9005265100</v>
      </c>
      <c r="C443" t="s">
        <v>1914</v>
      </c>
      <c r="D443">
        <v>104375</v>
      </c>
      <c r="E443">
        <v>2.4500000000000002</v>
      </c>
      <c r="F443">
        <v>66682.741469999994</v>
      </c>
      <c r="G443">
        <v>66.683000000000007</v>
      </c>
      <c r="H443">
        <v>0.76400000000000001</v>
      </c>
      <c r="I443">
        <v>4</v>
      </c>
      <c r="J443">
        <v>1948</v>
      </c>
      <c r="K443">
        <v>0.35055547300000001</v>
      </c>
      <c r="L443">
        <v>0.48099999999999998</v>
      </c>
      <c r="M443">
        <v>3</v>
      </c>
      <c r="N443">
        <v>0.187</v>
      </c>
      <c r="O443">
        <v>1</v>
      </c>
      <c r="P443">
        <v>2</v>
      </c>
      <c r="S443" s="57" t="s">
        <v>944</v>
      </c>
    </row>
    <row r="444" spans="1:19" x14ac:dyDescent="0.2">
      <c r="A444" t="s">
        <v>1915</v>
      </c>
      <c r="B444">
        <v>9005266100</v>
      </c>
      <c r="C444" t="s">
        <v>1916</v>
      </c>
      <c r="D444">
        <v>78125</v>
      </c>
      <c r="E444">
        <v>2.11</v>
      </c>
      <c r="F444">
        <v>53783.468030000004</v>
      </c>
      <c r="G444">
        <v>53.783000000000001</v>
      </c>
      <c r="H444">
        <v>0.53900000000000003</v>
      </c>
      <c r="I444">
        <v>3</v>
      </c>
      <c r="J444">
        <v>1549</v>
      </c>
      <c r="K444">
        <v>0.34560805900000002</v>
      </c>
      <c r="L444">
        <v>0.45700000000000002</v>
      </c>
      <c r="M444">
        <v>3</v>
      </c>
      <c r="N444">
        <v>0.43</v>
      </c>
      <c r="O444">
        <v>3</v>
      </c>
      <c r="P444">
        <v>3</v>
      </c>
      <c r="S444" s="59" t="s">
        <v>944</v>
      </c>
    </row>
    <row r="445" spans="1:19" x14ac:dyDescent="0.2">
      <c r="A445" t="s">
        <v>1917</v>
      </c>
      <c r="B445">
        <v>9005267100</v>
      </c>
      <c r="C445" t="s">
        <v>1918</v>
      </c>
      <c r="D445">
        <v>108250</v>
      </c>
      <c r="E445">
        <v>2.27</v>
      </c>
      <c r="F445">
        <v>71848.048479999998</v>
      </c>
      <c r="G445">
        <v>71.847999999999999</v>
      </c>
      <c r="H445">
        <v>0.82299999999999995</v>
      </c>
      <c r="I445">
        <v>5</v>
      </c>
      <c r="J445">
        <v>1915</v>
      </c>
      <c r="K445">
        <v>0.31984167299999999</v>
      </c>
      <c r="L445">
        <v>0.28699999999999998</v>
      </c>
      <c r="M445">
        <v>2</v>
      </c>
      <c r="N445">
        <v>0.20200000000000001</v>
      </c>
      <c r="O445">
        <v>2</v>
      </c>
      <c r="P445">
        <v>2</v>
      </c>
      <c r="S445" s="57" t="s">
        <v>944</v>
      </c>
    </row>
    <row r="446" spans="1:19" x14ac:dyDescent="0.2">
      <c r="A446" t="s">
        <v>1919</v>
      </c>
      <c r="B446">
        <v>9005268100</v>
      </c>
      <c r="C446" t="s">
        <v>1920</v>
      </c>
      <c r="D446">
        <v>118971</v>
      </c>
      <c r="E446">
        <v>2.36</v>
      </c>
      <c r="F446">
        <v>77443.524640000003</v>
      </c>
      <c r="G446">
        <v>77.444000000000003</v>
      </c>
      <c r="H446">
        <v>0.86099999999999999</v>
      </c>
      <c r="I446">
        <v>5</v>
      </c>
      <c r="J446">
        <v>2036</v>
      </c>
      <c r="K446">
        <v>0.31548150899999999</v>
      </c>
      <c r="L446">
        <v>0.25600000000000001</v>
      </c>
      <c r="M446">
        <v>2</v>
      </c>
      <c r="N446">
        <v>0.155</v>
      </c>
      <c r="O446">
        <v>1</v>
      </c>
      <c r="P446">
        <v>1</v>
      </c>
      <c r="S446" s="59" t="s">
        <v>944</v>
      </c>
    </row>
    <row r="447" spans="1:19" x14ac:dyDescent="0.2">
      <c r="A447" t="s">
        <v>1921</v>
      </c>
      <c r="B447">
        <v>9005290100</v>
      </c>
      <c r="C447" t="s">
        <v>1922</v>
      </c>
      <c r="D447">
        <v>109688</v>
      </c>
      <c r="E447">
        <v>2.72</v>
      </c>
      <c r="F447">
        <v>66508.119099999996</v>
      </c>
      <c r="G447">
        <v>66.507999999999996</v>
      </c>
      <c r="H447">
        <v>0.76</v>
      </c>
      <c r="I447">
        <v>4</v>
      </c>
      <c r="J447">
        <v>1739</v>
      </c>
      <c r="K447">
        <v>0.31376620300000002</v>
      </c>
      <c r="L447">
        <v>0.248</v>
      </c>
      <c r="M447">
        <v>2</v>
      </c>
      <c r="N447">
        <v>0.28899999999999998</v>
      </c>
      <c r="O447">
        <v>2</v>
      </c>
      <c r="P447">
        <v>2</v>
      </c>
      <c r="S447" s="57" t="s">
        <v>944</v>
      </c>
    </row>
    <row r="448" spans="1:19" x14ac:dyDescent="0.2">
      <c r="A448" t="s">
        <v>1923</v>
      </c>
      <c r="B448">
        <v>9005293100</v>
      </c>
      <c r="C448" t="s">
        <v>1924</v>
      </c>
      <c r="D448">
        <v>98250</v>
      </c>
      <c r="E448">
        <v>2.44</v>
      </c>
      <c r="F448">
        <v>62898.117270000002</v>
      </c>
      <c r="G448">
        <v>62.898000000000003</v>
      </c>
      <c r="H448">
        <v>0.70699999999999996</v>
      </c>
      <c r="I448">
        <v>4</v>
      </c>
      <c r="J448">
        <v>1570</v>
      </c>
      <c r="K448">
        <v>0.29953201800000001</v>
      </c>
      <c r="L448">
        <v>0.16600000000000001</v>
      </c>
      <c r="M448">
        <v>1</v>
      </c>
      <c r="N448">
        <v>0.41499999999999998</v>
      </c>
      <c r="O448">
        <v>3</v>
      </c>
      <c r="P448">
        <v>3</v>
      </c>
      <c r="S448" s="59" t="s">
        <v>944</v>
      </c>
    </row>
    <row r="449" spans="1:19" x14ac:dyDescent="0.2">
      <c r="A449" t="s">
        <v>1925</v>
      </c>
      <c r="B449">
        <v>9005296100</v>
      </c>
      <c r="C449" t="s">
        <v>1926</v>
      </c>
      <c r="D449">
        <v>109886</v>
      </c>
      <c r="E449">
        <v>2.62</v>
      </c>
      <c r="F449">
        <v>67887.797519999993</v>
      </c>
      <c r="G449">
        <v>67.888000000000005</v>
      </c>
      <c r="H449">
        <v>0.77600000000000002</v>
      </c>
      <c r="I449">
        <v>4</v>
      </c>
      <c r="J449">
        <v>1464</v>
      </c>
      <c r="K449">
        <v>0.25877993799999999</v>
      </c>
      <c r="L449">
        <v>2.5999999999999999E-2</v>
      </c>
      <c r="M449">
        <v>1</v>
      </c>
      <c r="N449">
        <v>0.50900000000000001</v>
      </c>
      <c r="O449">
        <v>3</v>
      </c>
      <c r="P449">
        <v>3</v>
      </c>
      <c r="S449" s="57" t="s">
        <v>944</v>
      </c>
    </row>
    <row r="450" spans="1:19" x14ac:dyDescent="0.2">
      <c r="A450" t="s">
        <v>1927</v>
      </c>
      <c r="B450">
        <v>9005298300</v>
      </c>
      <c r="C450" t="s">
        <v>1928</v>
      </c>
      <c r="D450">
        <v>105708</v>
      </c>
      <c r="E450">
        <v>2.66</v>
      </c>
      <c r="F450">
        <v>64813.7333</v>
      </c>
      <c r="G450">
        <v>64.813999999999993</v>
      </c>
      <c r="H450">
        <v>0.73299999999999998</v>
      </c>
      <c r="I450">
        <v>4</v>
      </c>
      <c r="J450">
        <v>1281</v>
      </c>
      <c r="K450">
        <v>0.23717195799999999</v>
      </c>
      <c r="L450">
        <v>3.0000000000000001E-3</v>
      </c>
      <c r="M450">
        <v>1</v>
      </c>
      <c r="N450">
        <v>0.67600000000000005</v>
      </c>
      <c r="O450">
        <v>4</v>
      </c>
      <c r="P450">
        <v>3</v>
      </c>
      <c r="S450" s="59" t="s">
        <v>944</v>
      </c>
    </row>
    <row r="451" spans="1:19" x14ac:dyDescent="0.2">
      <c r="A451" t="s">
        <v>1929</v>
      </c>
      <c r="B451">
        <v>9005298400</v>
      </c>
      <c r="C451" t="s">
        <v>1930</v>
      </c>
      <c r="D451">
        <v>136855</v>
      </c>
      <c r="E451">
        <v>2.93</v>
      </c>
      <c r="F451">
        <v>79951.544680000006</v>
      </c>
      <c r="G451">
        <v>79.951999999999998</v>
      </c>
      <c r="H451">
        <v>0.877</v>
      </c>
      <c r="I451">
        <v>5</v>
      </c>
      <c r="J451">
        <v>1528</v>
      </c>
      <c r="K451">
        <v>0.22933890900000001</v>
      </c>
      <c r="L451">
        <v>2E-3</v>
      </c>
      <c r="M451">
        <v>1</v>
      </c>
      <c r="N451">
        <v>0.44500000000000001</v>
      </c>
      <c r="O451">
        <v>3</v>
      </c>
      <c r="P451">
        <v>2</v>
      </c>
      <c r="S451" s="57" t="s">
        <v>944</v>
      </c>
    </row>
    <row r="452" spans="1:19" x14ac:dyDescent="0.2">
      <c r="A452" t="s">
        <v>1931</v>
      </c>
      <c r="B452">
        <v>9005300100</v>
      </c>
      <c r="C452" t="s">
        <v>1932</v>
      </c>
      <c r="D452">
        <v>95795</v>
      </c>
      <c r="E452">
        <v>2.13</v>
      </c>
      <c r="F452">
        <v>65637.652459999998</v>
      </c>
      <c r="G452">
        <v>65.638000000000005</v>
      </c>
      <c r="H452">
        <v>0.747</v>
      </c>
      <c r="I452">
        <v>4</v>
      </c>
      <c r="J452">
        <v>1421</v>
      </c>
      <c r="K452">
        <v>0.25978991299999998</v>
      </c>
      <c r="L452">
        <v>3.5000000000000003E-2</v>
      </c>
      <c r="M452">
        <v>1</v>
      </c>
      <c r="N452">
        <v>0.54900000000000004</v>
      </c>
      <c r="O452">
        <v>3</v>
      </c>
      <c r="P452">
        <v>3</v>
      </c>
      <c r="S452" s="59" t="s">
        <v>944</v>
      </c>
    </row>
    <row r="453" spans="1:19" x14ac:dyDescent="0.2">
      <c r="A453" t="s">
        <v>1933</v>
      </c>
      <c r="B453">
        <v>9005300400</v>
      </c>
      <c r="C453" t="s">
        <v>1934</v>
      </c>
      <c r="D453">
        <v>91591</v>
      </c>
      <c r="E453">
        <v>2.39</v>
      </c>
      <c r="F453">
        <v>59245.292809999999</v>
      </c>
      <c r="G453">
        <v>59.244999999999997</v>
      </c>
      <c r="H453">
        <v>0.63700000000000001</v>
      </c>
      <c r="I453">
        <v>4</v>
      </c>
      <c r="J453">
        <v>1429</v>
      </c>
      <c r="K453">
        <v>0.28944071599999999</v>
      </c>
      <c r="L453">
        <v>0.113</v>
      </c>
      <c r="M453">
        <v>1</v>
      </c>
      <c r="N453">
        <v>0.54300000000000004</v>
      </c>
      <c r="O453">
        <v>3</v>
      </c>
      <c r="P453">
        <v>3</v>
      </c>
      <c r="S453" s="57" t="s">
        <v>944</v>
      </c>
    </row>
    <row r="454" spans="1:19" x14ac:dyDescent="0.2">
      <c r="A454" t="s">
        <v>1935</v>
      </c>
      <c r="B454">
        <v>9005300500</v>
      </c>
      <c r="C454" t="s">
        <v>1936</v>
      </c>
      <c r="D454">
        <v>72667</v>
      </c>
      <c r="E454">
        <v>2.37</v>
      </c>
      <c r="F454">
        <v>47202.288840000001</v>
      </c>
      <c r="G454">
        <v>47.201999999999998</v>
      </c>
      <c r="H454">
        <v>0.40200000000000002</v>
      </c>
      <c r="I454">
        <v>3</v>
      </c>
      <c r="J454">
        <v>1446</v>
      </c>
      <c r="K454">
        <v>0.36760929199999998</v>
      </c>
      <c r="L454">
        <v>0.57699999999999996</v>
      </c>
      <c r="M454">
        <v>3</v>
      </c>
      <c r="N454">
        <v>0.53300000000000003</v>
      </c>
      <c r="O454">
        <v>3</v>
      </c>
      <c r="P454">
        <v>3</v>
      </c>
      <c r="S454" s="59" t="s">
        <v>944</v>
      </c>
    </row>
    <row r="455" spans="1:19" x14ac:dyDescent="0.2">
      <c r="A455" t="s">
        <v>1937</v>
      </c>
      <c r="B455">
        <v>9005303100</v>
      </c>
      <c r="C455" t="s">
        <v>1938</v>
      </c>
      <c r="D455">
        <v>87308</v>
      </c>
      <c r="E455">
        <v>2.58</v>
      </c>
      <c r="F455">
        <v>54355.586580000003</v>
      </c>
      <c r="G455">
        <v>54.356000000000002</v>
      </c>
      <c r="H455">
        <v>0.54600000000000004</v>
      </c>
      <c r="I455">
        <v>3</v>
      </c>
      <c r="J455">
        <v>1569</v>
      </c>
      <c r="K455">
        <v>0.34638573900000003</v>
      </c>
      <c r="L455">
        <v>0.45900000000000002</v>
      </c>
      <c r="M455">
        <v>3</v>
      </c>
      <c r="N455">
        <v>0.41699999999999998</v>
      </c>
      <c r="O455">
        <v>3</v>
      </c>
      <c r="P455">
        <v>3</v>
      </c>
      <c r="S455" s="57" t="s">
        <v>944</v>
      </c>
    </row>
    <row r="456" spans="1:19" x14ac:dyDescent="0.2">
      <c r="A456" t="s">
        <v>1939</v>
      </c>
      <c r="B456">
        <v>9005306100</v>
      </c>
      <c r="C456" t="s">
        <v>1940</v>
      </c>
      <c r="D456">
        <v>106765</v>
      </c>
      <c r="E456">
        <v>2.59</v>
      </c>
      <c r="F456">
        <v>66340.54307</v>
      </c>
      <c r="G456">
        <v>66.340999999999994</v>
      </c>
      <c r="H456">
        <v>0.75600000000000001</v>
      </c>
      <c r="I456">
        <v>4</v>
      </c>
      <c r="J456">
        <v>1649</v>
      </c>
      <c r="K456">
        <v>0.298279138</v>
      </c>
      <c r="L456">
        <v>0.158</v>
      </c>
      <c r="M456">
        <v>1</v>
      </c>
      <c r="N456">
        <v>0.35</v>
      </c>
      <c r="O456">
        <v>2</v>
      </c>
      <c r="P456">
        <v>2</v>
      </c>
      <c r="S456" s="59" t="s">
        <v>944</v>
      </c>
    </row>
    <row r="457" spans="1:19" x14ac:dyDescent="0.2">
      <c r="A457" t="s">
        <v>1941</v>
      </c>
      <c r="B457">
        <v>9005310100</v>
      </c>
      <c r="C457" t="s">
        <v>1942</v>
      </c>
      <c r="D457">
        <v>60694</v>
      </c>
      <c r="E457">
        <v>2.2200000000000002</v>
      </c>
      <c r="F457">
        <v>40735.145620000003</v>
      </c>
      <c r="G457">
        <v>40.734999999999999</v>
      </c>
      <c r="H457">
        <v>0.30199999999999999</v>
      </c>
      <c r="I457">
        <v>2</v>
      </c>
      <c r="J457">
        <v>1066</v>
      </c>
      <c r="K457">
        <v>0.314028582</v>
      </c>
      <c r="L457">
        <v>0.25</v>
      </c>
      <c r="M457">
        <v>2</v>
      </c>
      <c r="N457">
        <v>0.9</v>
      </c>
      <c r="O457">
        <v>5</v>
      </c>
      <c r="P457">
        <v>5</v>
      </c>
      <c r="S457" s="57" t="s">
        <v>944</v>
      </c>
    </row>
    <row r="458" spans="1:19" x14ac:dyDescent="0.2">
      <c r="A458" t="s">
        <v>1943</v>
      </c>
      <c r="B458">
        <v>9005310200</v>
      </c>
      <c r="C458" t="s">
        <v>1944</v>
      </c>
      <c r="D458">
        <v>40169</v>
      </c>
      <c r="E458">
        <v>2.2400000000000002</v>
      </c>
      <c r="F458">
        <v>26839.04207</v>
      </c>
      <c r="G458">
        <v>26.838999999999999</v>
      </c>
      <c r="H458">
        <v>0.13100000000000001</v>
      </c>
      <c r="I458">
        <v>1</v>
      </c>
      <c r="J458">
        <v>1058</v>
      </c>
      <c r="K458">
        <v>0.47304221800000001</v>
      </c>
      <c r="L458">
        <v>0.81499999999999995</v>
      </c>
      <c r="M458">
        <v>5</v>
      </c>
      <c r="N458">
        <v>0.90300000000000002</v>
      </c>
      <c r="O458">
        <v>5</v>
      </c>
      <c r="P458">
        <v>5</v>
      </c>
      <c r="S458" s="59" t="s">
        <v>936</v>
      </c>
    </row>
    <row r="459" spans="1:19" x14ac:dyDescent="0.2">
      <c r="A459" t="s">
        <v>1945</v>
      </c>
      <c r="B459">
        <v>9005310300</v>
      </c>
      <c r="C459" t="s">
        <v>1946</v>
      </c>
      <c r="D459">
        <v>42188</v>
      </c>
      <c r="E459">
        <v>2.14</v>
      </c>
      <c r="F459">
        <v>28839.123090000001</v>
      </c>
      <c r="G459">
        <v>28.838999999999999</v>
      </c>
      <c r="H459">
        <v>0.15</v>
      </c>
      <c r="I459">
        <v>1</v>
      </c>
      <c r="J459">
        <v>882</v>
      </c>
      <c r="K459">
        <v>0.36700145000000001</v>
      </c>
      <c r="L459">
        <v>0.57399999999999995</v>
      </c>
      <c r="M459">
        <v>3</v>
      </c>
      <c r="N459">
        <v>0.97699999999999998</v>
      </c>
      <c r="O459">
        <v>5</v>
      </c>
      <c r="P459">
        <v>5</v>
      </c>
      <c r="S459" s="57" t="s">
        <v>936</v>
      </c>
    </row>
    <row r="460" spans="1:19" x14ac:dyDescent="0.2">
      <c r="A460" t="s">
        <v>1947</v>
      </c>
      <c r="B460">
        <v>9005310400</v>
      </c>
      <c r="C460" t="s">
        <v>1948</v>
      </c>
      <c r="D460">
        <v>71159</v>
      </c>
      <c r="E460">
        <v>2.25</v>
      </c>
      <c r="F460">
        <v>47439.333330000001</v>
      </c>
      <c r="G460">
        <v>47.439</v>
      </c>
      <c r="H460">
        <v>0.40899999999999997</v>
      </c>
      <c r="I460">
        <v>3</v>
      </c>
      <c r="J460">
        <v>1151</v>
      </c>
      <c r="K460">
        <v>0.29115080300000001</v>
      </c>
      <c r="L460">
        <v>0.121</v>
      </c>
      <c r="M460">
        <v>1</v>
      </c>
      <c r="N460">
        <v>0.82</v>
      </c>
      <c r="O460">
        <v>5</v>
      </c>
      <c r="P460">
        <v>4</v>
      </c>
      <c r="S460" s="59" t="s">
        <v>944</v>
      </c>
    </row>
    <row r="461" spans="1:19" x14ac:dyDescent="0.2">
      <c r="A461" t="s">
        <v>1949</v>
      </c>
      <c r="B461">
        <v>9005310500</v>
      </c>
      <c r="C461" t="s">
        <v>1950</v>
      </c>
      <c r="D461">
        <v>53333</v>
      </c>
      <c r="E461">
        <v>2.2400000000000002</v>
      </c>
      <c r="F461">
        <v>35634.609539999998</v>
      </c>
      <c r="G461">
        <v>35.634999999999998</v>
      </c>
      <c r="H461">
        <v>0.24099999999999999</v>
      </c>
      <c r="I461">
        <v>2</v>
      </c>
      <c r="J461">
        <v>1127</v>
      </c>
      <c r="K461">
        <v>0.37951868100000002</v>
      </c>
      <c r="L461">
        <v>0.63100000000000001</v>
      </c>
      <c r="M461">
        <v>4</v>
      </c>
      <c r="N461">
        <v>0.84399999999999997</v>
      </c>
      <c r="O461">
        <v>5</v>
      </c>
      <c r="P461">
        <v>5</v>
      </c>
      <c r="S461" s="57" t="s">
        <v>944</v>
      </c>
    </row>
    <row r="462" spans="1:19" x14ac:dyDescent="0.2">
      <c r="A462" t="s">
        <v>1951</v>
      </c>
      <c r="B462">
        <v>9005310601</v>
      </c>
      <c r="C462" t="s">
        <v>1952</v>
      </c>
      <c r="D462">
        <v>87039</v>
      </c>
      <c r="E462">
        <v>2.72</v>
      </c>
      <c r="F462">
        <v>52775.145669999998</v>
      </c>
      <c r="G462">
        <v>52.774999999999999</v>
      </c>
      <c r="H462">
        <v>0.51800000000000002</v>
      </c>
      <c r="I462">
        <v>3</v>
      </c>
      <c r="J462">
        <v>1574</v>
      </c>
      <c r="K462">
        <v>0.35789574400000002</v>
      </c>
      <c r="L462">
        <v>0.52400000000000002</v>
      </c>
      <c r="M462">
        <v>3</v>
      </c>
      <c r="N462">
        <v>0.41</v>
      </c>
      <c r="O462">
        <v>3</v>
      </c>
      <c r="P462">
        <v>3</v>
      </c>
      <c r="S462" s="59" t="s">
        <v>944</v>
      </c>
    </row>
    <row r="463" spans="1:19" x14ac:dyDescent="0.2">
      <c r="A463" t="s">
        <v>1953</v>
      </c>
      <c r="B463">
        <v>9005310602</v>
      </c>
      <c r="C463" t="s">
        <v>1954</v>
      </c>
      <c r="D463">
        <v>80000</v>
      </c>
      <c r="E463">
        <v>2.27</v>
      </c>
      <c r="F463">
        <v>53097.864930000003</v>
      </c>
      <c r="G463">
        <v>53.097999999999999</v>
      </c>
      <c r="H463">
        <v>0.52300000000000002</v>
      </c>
      <c r="I463">
        <v>3</v>
      </c>
      <c r="J463">
        <v>1181</v>
      </c>
      <c r="K463">
        <v>0.26690338699999999</v>
      </c>
      <c r="L463">
        <v>5.7000000000000002E-2</v>
      </c>
      <c r="M463">
        <v>1</v>
      </c>
      <c r="N463">
        <v>0.79700000000000004</v>
      </c>
      <c r="O463">
        <v>4</v>
      </c>
      <c r="P463">
        <v>4</v>
      </c>
      <c r="S463" s="57" t="s">
        <v>944</v>
      </c>
    </row>
    <row r="464" spans="1:19" x14ac:dyDescent="0.2">
      <c r="A464" t="s">
        <v>1955</v>
      </c>
      <c r="B464">
        <v>9005310700</v>
      </c>
      <c r="C464" t="s">
        <v>1956</v>
      </c>
      <c r="D464">
        <v>64341</v>
      </c>
      <c r="E464">
        <v>1.99</v>
      </c>
      <c r="F464">
        <v>45610.125610000003</v>
      </c>
      <c r="G464">
        <v>45.61</v>
      </c>
      <c r="H464">
        <v>0.376</v>
      </c>
      <c r="I464">
        <v>2</v>
      </c>
      <c r="J464">
        <v>1169</v>
      </c>
      <c r="K464">
        <v>0.30756328399999999</v>
      </c>
      <c r="L464">
        <v>0.214</v>
      </c>
      <c r="M464">
        <v>2</v>
      </c>
      <c r="N464">
        <v>0.80500000000000005</v>
      </c>
      <c r="O464">
        <v>5</v>
      </c>
      <c r="P464">
        <v>5</v>
      </c>
      <c r="S464" s="59" t="s">
        <v>944</v>
      </c>
    </row>
    <row r="465" spans="1:19" x14ac:dyDescent="0.2">
      <c r="A465" t="s">
        <v>1957</v>
      </c>
      <c r="B465">
        <v>9005310801</v>
      </c>
      <c r="C465" t="s">
        <v>1958</v>
      </c>
      <c r="D465">
        <v>57917</v>
      </c>
      <c r="E465">
        <v>2.56</v>
      </c>
      <c r="F465">
        <v>36198.125</v>
      </c>
      <c r="G465">
        <v>36.198</v>
      </c>
      <c r="H465">
        <v>0.252</v>
      </c>
      <c r="I465">
        <v>2</v>
      </c>
      <c r="J465">
        <v>1032</v>
      </c>
      <c r="K465">
        <v>0.34211716800000003</v>
      </c>
      <c r="L465">
        <v>0.434</v>
      </c>
      <c r="M465">
        <v>3</v>
      </c>
      <c r="N465">
        <v>0.92100000000000004</v>
      </c>
      <c r="O465">
        <v>5</v>
      </c>
      <c r="P465">
        <v>5</v>
      </c>
      <c r="S465" s="57" t="s">
        <v>944</v>
      </c>
    </row>
    <row r="466" spans="1:19" x14ac:dyDescent="0.2">
      <c r="A466" t="s">
        <v>1959</v>
      </c>
      <c r="B466">
        <v>9005310803</v>
      </c>
      <c r="C466" t="s">
        <v>1960</v>
      </c>
      <c r="D466">
        <v>48981</v>
      </c>
      <c r="E466">
        <v>2.52</v>
      </c>
      <c r="F466">
        <v>30855.12975</v>
      </c>
      <c r="G466">
        <v>30.855</v>
      </c>
      <c r="H466">
        <v>0.183</v>
      </c>
      <c r="I466">
        <v>1</v>
      </c>
      <c r="J466">
        <v>1052</v>
      </c>
      <c r="K466">
        <v>0.40913780300000002</v>
      </c>
      <c r="L466">
        <v>0.70099999999999996</v>
      </c>
      <c r="M466">
        <v>4</v>
      </c>
      <c r="N466">
        <v>0.90700000000000003</v>
      </c>
      <c r="O466">
        <v>5</v>
      </c>
      <c r="P466">
        <v>5</v>
      </c>
      <c r="S466" s="59" t="s">
        <v>944</v>
      </c>
    </row>
    <row r="467" spans="1:19" x14ac:dyDescent="0.2">
      <c r="A467" t="s">
        <v>1961</v>
      </c>
      <c r="B467">
        <v>9005310804</v>
      </c>
      <c r="C467" t="s">
        <v>1962</v>
      </c>
      <c r="D467">
        <v>73594</v>
      </c>
      <c r="E467">
        <v>2.58</v>
      </c>
      <c r="F467">
        <v>45817.62311</v>
      </c>
      <c r="G467">
        <v>45.817999999999998</v>
      </c>
      <c r="H467">
        <v>0.379</v>
      </c>
      <c r="I467">
        <v>2</v>
      </c>
      <c r="J467">
        <v>1118</v>
      </c>
      <c r="K467">
        <v>0.292813094</v>
      </c>
      <c r="L467">
        <v>0.13500000000000001</v>
      </c>
      <c r="M467">
        <v>1</v>
      </c>
      <c r="N467">
        <v>0.85699999999999998</v>
      </c>
      <c r="O467">
        <v>5</v>
      </c>
      <c r="P467">
        <v>5</v>
      </c>
      <c r="S467" s="57" t="s">
        <v>944</v>
      </c>
    </row>
    <row r="468" spans="1:19" x14ac:dyDescent="0.2">
      <c r="A468" t="s">
        <v>1963</v>
      </c>
      <c r="B468">
        <v>9005320100</v>
      </c>
      <c r="C468" t="s">
        <v>1964</v>
      </c>
      <c r="D468">
        <v>60160</v>
      </c>
      <c r="E468">
        <v>2.34</v>
      </c>
      <c r="F468">
        <v>39327.8223</v>
      </c>
      <c r="G468">
        <v>39.328000000000003</v>
      </c>
      <c r="H468">
        <v>0.28499999999999998</v>
      </c>
      <c r="I468">
        <v>2</v>
      </c>
      <c r="J468">
        <v>1013</v>
      </c>
      <c r="K468">
        <v>0.30909415499999998</v>
      </c>
      <c r="L468">
        <v>0.222</v>
      </c>
      <c r="M468">
        <v>2</v>
      </c>
      <c r="N468">
        <v>0.93400000000000005</v>
      </c>
      <c r="O468">
        <v>5</v>
      </c>
      <c r="P468">
        <v>5</v>
      </c>
      <c r="S468" s="59" t="s">
        <v>944</v>
      </c>
    </row>
    <row r="469" spans="1:19" x14ac:dyDescent="0.2">
      <c r="A469" t="s">
        <v>1965</v>
      </c>
      <c r="B469">
        <v>9005320200</v>
      </c>
      <c r="C469" t="s">
        <v>1966</v>
      </c>
      <c r="D469">
        <v>74044</v>
      </c>
      <c r="E469">
        <v>2.35</v>
      </c>
      <c r="F469">
        <v>48300.97984</v>
      </c>
      <c r="G469">
        <v>48.301000000000002</v>
      </c>
      <c r="H469">
        <v>0.437</v>
      </c>
      <c r="I469">
        <v>3</v>
      </c>
      <c r="J469">
        <v>1302</v>
      </c>
      <c r="K469">
        <v>0.323471699</v>
      </c>
      <c r="L469">
        <v>0.32200000000000001</v>
      </c>
      <c r="M469">
        <v>2</v>
      </c>
      <c r="N469">
        <v>0.65600000000000003</v>
      </c>
      <c r="O469">
        <v>4</v>
      </c>
      <c r="P469">
        <v>4</v>
      </c>
      <c r="S469" s="57" t="s">
        <v>944</v>
      </c>
    </row>
    <row r="470" spans="1:19" x14ac:dyDescent="0.2">
      <c r="A470" t="s">
        <v>1967</v>
      </c>
      <c r="B470">
        <v>9005342100</v>
      </c>
      <c r="C470" t="s">
        <v>1968</v>
      </c>
      <c r="D470">
        <v>98409</v>
      </c>
      <c r="E470">
        <v>2.8</v>
      </c>
      <c r="F470">
        <v>58810.626109999997</v>
      </c>
      <c r="G470">
        <v>58.811</v>
      </c>
      <c r="H470">
        <v>0.63100000000000001</v>
      </c>
      <c r="I470">
        <v>4</v>
      </c>
      <c r="J470">
        <v>1623</v>
      </c>
      <c r="K470">
        <v>0.33116464299999998</v>
      </c>
      <c r="L470">
        <v>0.36799999999999999</v>
      </c>
      <c r="M470">
        <v>2</v>
      </c>
      <c r="N470">
        <v>0.36699999999999999</v>
      </c>
      <c r="O470">
        <v>2</v>
      </c>
      <c r="P470">
        <v>2</v>
      </c>
      <c r="S470" s="59" t="s">
        <v>944</v>
      </c>
    </row>
    <row r="471" spans="1:19" x14ac:dyDescent="0.2">
      <c r="A471" t="s">
        <v>1969</v>
      </c>
      <c r="B471">
        <v>9005349100</v>
      </c>
      <c r="C471" t="s">
        <v>1970</v>
      </c>
      <c r="D471">
        <v>82688</v>
      </c>
      <c r="E471">
        <v>2.5299999999999998</v>
      </c>
      <c r="F471">
        <v>51985.500200000002</v>
      </c>
      <c r="G471">
        <v>51.985999999999997</v>
      </c>
      <c r="H471">
        <v>0.499</v>
      </c>
      <c r="I471">
        <v>3</v>
      </c>
      <c r="J471">
        <v>1536</v>
      </c>
      <c r="K471">
        <v>0.35456040500000002</v>
      </c>
      <c r="L471">
        <v>0.504</v>
      </c>
      <c r="M471">
        <v>3</v>
      </c>
      <c r="N471">
        <v>0.437</v>
      </c>
      <c r="O471">
        <v>3</v>
      </c>
      <c r="P471">
        <v>3</v>
      </c>
      <c r="S471" s="57" t="s">
        <v>944</v>
      </c>
    </row>
    <row r="472" spans="1:19" x14ac:dyDescent="0.2">
      <c r="A472" t="s">
        <v>1971</v>
      </c>
      <c r="B472">
        <v>9005349200</v>
      </c>
      <c r="C472" t="s">
        <v>1972</v>
      </c>
      <c r="D472">
        <v>64550</v>
      </c>
      <c r="E472">
        <v>2.19</v>
      </c>
      <c r="F472">
        <v>43618.847779999996</v>
      </c>
      <c r="G472">
        <v>43.619</v>
      </c>
      <c r="H472">
        <v>0.34599999999999997</v>
      </c>
      <c r="I472">
        <v>2</v>
      </c>
      <c r="J472">
        <v>1181</v>
      </c>
      <c r="K472">
        <v>0.32490541899999997</v>
      </c>
      <c r="L472">
        <v>0.32900000000000001</v>
      </c>
      <c r="M472">
        <v>2</v>
      </c>
      <c r="N472">
        <v>0.79700000000000004</v>
      </c>
      <c r="O472">
        <v>4</v>
      </c>
      <c r="P472">
        <v>4</v>
      </c>
      <c r="S472" s="59" t="s">
        <v>944</v>
      </c>
    </row>
    <row r="473" spans="1:19" x14ac:dyDescent="0.2">
      <c r="A473" t="s">
        <v>1973</v>
      </c>
      <c r="B473">
        <v>9005360100</v>
      </c>
      <c r="C473" t="s">
        <v>1974</v>
      </c>
      <c r="D473">
        <v>69118</v>
      </c>
      <c r="E473">
        <v>2.3199999999999998</v>
      </c>
      <c r="F473">
        <v>45378.190130000003</v>
      </c>
      <c r="G473">
        <v>45.378</v>
      </c>
      <c r="H473">
        <v>0.371</v>
      </c>
      <c r="I473">
        <v>2</v>
      </c>
      <c r="J473">
        <v>1310</v>
      </c>
      <c r="K473">
        <v>0.34642192500000002</v>
      </c>
      <c r="L473">
        <v>0.46100000000000002</v>
      </c>
      <c r="M473">
        <v>3</v>
      </c>
      <c r="N473">
        <v>0.64600000000000002</v>
      </c>
      <c r="O473">
        <v>4</v>
      </c>
      <c r="P473">
        <v>4</v>
      </c>
      <c r="S473" s="57" t="s">
        <v>944</v>
      </c>
    </row>
    <row r="474" spans="1:19" x14ac:dyDescent="0.2">
      <c r="A474" t="s">
        <v>1975</v>
      </c>
      <c r="B474">
        <v>9005360200</v>
      </c>
      <c r="C474" t="s">
        <v>1976</v>
      </c>
      <c r="D474">
        <v>105701</v>
      </c>
      <c r="E474">
        <v>2.86</v>
      </c>
      <c r="F474">
        <v>62502.311569999998</v>
      </c>
      <c r="G474">
        <v>62.502000000000002</v>
      </c>
      <c r="H474">
        <v>0.69899999999999995</v>
      </c>
      <c r="I474">
        <v>4</v>
      </c>
      <c r="J474">
        <v>1769</v>
      </c>
      <c r="K474">
        <v>0.33963543899999998</v>
      </c>
      <c r="L474">
        <v>0.41699999999999998</v>
      </c>
      <c r="M474">
        <v>3</v>
      </c>
      <c r="N474">
        <v>0.26800000000000002</v>
      </c>
      <c r="O474">
        <v>2</v>
      </c>
      <c r="P474">
        <v>2</v>
      </c>
      <c r="S474" s="59" t="s">
        <v>944</v>
      </c>
    </row>
    <row r="475" spans="1:19" x14ac:dyDescent="0.2">
      <c r="A475" t="s">
        <v>1977</v>
      </c>
      <c r="B475">
        <v>9005360300</v>
      </c>
      <c r="C475" t="s">
        <v>1978</v>
      </c>
      <c r="D475">
        <v>74634</v>
      </c>
      <c r="E475">
        <v>2.42</v>
      </c>
      <c r="F475">
        <v>47976.552280000004</v>
      </c>
      <c r="G475">
        <v>47.976999999999997</v>
      </c>
      <c r="H475">
        <v>0.42799999999999999</v>
      </c>
      <c r="I475">
        <v>3</v>
      </c>
      <c r="J475">
        <v>1184</v>
      </c>
      <c r="K475">
        <v>0.29614466499999997</v>
      </c>
      <c r="L475">
        <v>0.14799999999999999</v>
      </c>
      <c r="M475">
        <v>1</v>
      </c>
      <c r="N475">
        <v>0.78900000000000003</v>
      </c>
      <c r="O475">
        <v>4</v>
      </c>
      <c r="P475">
        <v>4</v>
      </c>
      <c r="S475" s="57" t="s">
        <v>944</v>
      </c>
    </row>
    <row r="476" spans="1:19" x14ac:dyDescent="0.2">
      <c r="A476" t="s">
        <v>1979</v>
      </c>
      <c r="B476">
        <v>9005360400</v>
      </c>
      <c r="C476" t="s">
        <v>1980</v>
      </c>
      <c r="D476">
        <v>63667</v>
      </c>
      <c r="E476">
        <v>2.36</v>
      </c>
      <c r="F476">
        <v>41443.686979999999</v>
      </c>
      <c r="G476">
        <v>41.444000000000003</v>
      </c>
      <c r="H476">
        <v>0.307</v>
      </c>
      <c r="I476">
        <v>2</v>
      </c>
      <c r="J476">
        <v>1214</v>
      </c>
      <c r="K476">
        <v>0.35151312699999998</v>
      </c>
      <c r="L476">
        <v>0.48699999999999999</v>
      </c>
      <c r="M476">
        <v>3</v>
      </c>
      <c r="N476">
        <v>0.749</v>
      </c>
      <c r="O476">
        <v>4</v>
      </c>
      <c r="P476">
        <v>4</v>
      </c>
      <c r="S476" s="59" t="s">
        <v>944</v>
      </c>
    </row>
    <row r="477" spans="1:19" x14ac:dyDescent="0.2">
      <c r="A477" t="s">
        <v>1981</v>
      </c>
      <c r="B477">
        <v>9005362101</v>
      </c>
      <c r="C477" t="s">
        <v>1982</v>
      </c>
      <c r="D477">
        <v>74519</v>
      </c>
      <c r="E477">
        <v>2.11</v>
      </c>
      <c r="F477">
        <v>51300.995260000003</v>
      </c>
      <c r="G477">
        <v>51.301000000000002</v>
      </c>
      <c r="H477">
        <v>0.48799999999999999</v>
      </c>
      <c r="I477">
        <v>3</v>
      </c>
      <c r="J477">
        <v>1553</v>
      </c>
      <c r="K477">
        <v>0.36326780600000003</v>
      </c>
      <c r="L477">
        <v>0.55700000000000005</v>
      </c>
      <c r="M477">
        <v>3</v>
      </c>
      <c r="N477">
        <v>0.42099999999999999</v>
      </c>
      <c r="O477">
        <v>3</v>
      </c>
      <c r="P477">
        <v>3</v>
      </c>
      <c r="S477" s="57" t="s">
        <v>944</v>
      </c>
    </row>
    <row r="478" spans="1:19" x14ac:dyDescent="0.2">
      <c r="A478" t="s">
        <v>1983</v>
      </c>
      <c r="B478">
        <v>9005362102</v>
      </c>
      <c r="C478" t="s">
        <v>1984</v>
      </c>
      <c r="D478">
        <v>91383</v>
      </c>
      <c r="E478">
        <v>2.4900000000000002</v>
      </c>
      <c r="F478">
        <v>57911.623189999998</v>
      </c>
      <c r="G478">
        <v>57.911999999999999</v>
      </c>
      <c r="H478">
        <v>0.61399999999999999</v>
      </c>
      <c r="I478">
        <v>4</v>
      </c>
      <c r="J478">
        <v>1648</v>
      </c>
      <c r="K478">
        <v>0.34148585199999998</v>
      </c>
      <c r="L478">
        <v>0.42799999999999999</v>
      </c>
      <c r="M478">
        <v>3</v>
      </c>
      <c r="N478">
        <v>0.35199999999999998</v>
      </c>
      <c r="O478">
        <v>2</v>
      </c>
      <c r="P478">
        <v>2</v>
      </c>
      <c r="S478" s="59" t="s">
        <v>944</v>
      </c>
    </row>
    <row r="479" spans="1:19" x14ac:dyDescent="0.2">
      <c r="A479" t="s">
        <v>1985</v>
      </c>
      <c r="B479">
        <v>9005425300</v>
      </c>
      <c r="C479" t="s">
        <v>1986</v>
      </c>
      <c r="D479">
        <v>95240</v>
      </c>
      <c r="E479">
        <v>2.4</v>
      </c>
      <c r="F479">
        <v>61477.155650000001</v>
      </c>
      <c r="G479">
        <v>61.476999999999997</v>
      </c>
      <c r="H479">
        <v>0.68100000000000005</v>
      </c>
      <c r="I479">
        <v>4</v>
      </c>
      <c r="J479">
        <v>1358</v>
      </c>
      <c r="K479">
        <v>0.26507407199999999</v>
      </c>
      <c r="L479">
        <v>4.7E-2</v>
      </c>
      <c r="M479">
        <v>1</v>
      </c>
      <c r="N479">
        <v>0.60099999999999998</v>
      </c>
      <c r="O479">
        <v>4</v>
      </c>
      <c r="P479">
        <v>3</v>
      </c>
      <c r="S479" s="57" t="s">
        <v>944</v>
      </c>
    </row>
    <row r="480" spans="1:19" x14ac:dyDescent="0.2">
      <c r="A480" t="s">
        <v>1987</v>
      </c>
      <c r="B480">
        <v>9005425400</v>
      </c>
      <c r="C480" t="s">
        <v>1988</v>
      </c>
      <c r="D480">
        <v>84167</v>
      </c>
      <c r="E480">
        <v>2.63</v>
      </c>
      <c r="F480">
        <v>51899.595549999998</v>
      </c>
      <c r="G480">
        <v>51.9</v>
      </c>
      <c r="H480">
        <v>0.496</v>
      </c>
      <c r="I480">
        <v>3</v>
      </c>
      <c r="J480">
        <v>1524</v>
      </c>
      <c r="K480">
        <v>0.35237268799999999</v>
      </c>
      <c r="L480">
        <v>0.49299999999999999</v>
      </c>
      <c r="M480">
        <v>3</v>
      </c>
      <c r="N480">
        <v>0.44800000000000001</v>
      </c>
      <c r="O480">
        <v>3</v>
      </c>
      <c r="P480">
        <v>3</v>
      </c>
      <c r="S480" s="59" t="s">
        <v>944</v>
      </c>
    </row>
    <row r="481" spans="1:19" x14ac:dyDescent="0.2">
      <c r="A481" t="s">
        <v>1989</v>
      </c>
      <c r="B481">
        <v>9005425500</v>
      </c>
      <c r="C481" t="s">
        <v>1990</v>
      </c>
      <c r="D481">
        <v>68365</v>
      </c>
      <c r="E481">
        <v>2.1</v>
      </c>
      <c r="F481">
        <v>47176.331960000003</v>
      </c>
      <c r="G481">
        <v>47.176000000000002</v>
      </c>
      <c r="H481">
        <v>0.4</v>
      </c>
      <c r="I481">
        <v>2</v>
      </c>
      <c r="J481">
        <v>1113</v>
      </c>
      <c r="K481">
        <v>0.28310806399999999</v>
      </c>
      <c r="L481">
        <v>8.7999999999999995E-2</v>
      </c>
      <c r="M481">
        <v>1</v>
      </c>
      <c r="N481">
        <v>0.86199999999999999</v>
      </c>
      <c r="O481">
        <v>5</v>
      </c>
      <c r="P481">
        <v>4</v>
      </c>
      <c r="S481" s="57" t="s">
        <v>944</v>
      </c>
    </row>
    <row r="482" spans="1:19" x14ac:dyDescent="0.2">
      <c r="A482" t="s">
        <v>1991</v>
      </c>
      <c r="B482">
        <v>9005425600</v>
      </c>
      <c r="C482" t="s">
        <v>1992</v>
      </c>
      <c r="D482">
        <v>77083</v>
      </c>
      <c r="E482">
        <v>2.29</v>
      </c>
      <c r="F482">
        <v>50937.88018</v>
      </c>
      <c r="G482">
        <v>50.938000000000002</v>
      </c>
      <c r="H482">
        <v>0.48099999999999998</v>
      </c>
      <c r="I482">
        <v>3</v>
      </c>
      <c r="J482">
        <v>1328</v>
      </c>
      <c r="K482">
        <v>0.31285165300000001</v>
      </c>
      <c r="L482">
        <v>0.24199999999999999</v>
      </c>
      <c r="M482">
        <v>2</v>
      </c>
      <c r="N482">
        <v>0.627</v>
      </c>
      <c r="O482">
        <v>4</v>
      </c>
      <c r="P482">
        <v>4</v>
      </c>
      <c r="S482" s="59" t="s">
        <v>944</v>
      </c>
    </row>
    <row r="483" spans="1:19" x14ac:dyDescent="0.2">
      <c r="A483" t="s">
        <v>1993</v>
      </c>
      <c r="B483">
        <v>9007541100</v>
      </c>
      <c r="C483" t="s">
        <v>1994</v>
      </c>
      <c r="D483">
        <v>35234</v>
      </c>
      <c r="E483">
        <v>2.1800000000000002</v>
      </c>
      <c r="F483">
        <v>23863.47595</v>
      </c>
      <c r="G483">
        <v>23.863</v>
      </c>
      <c r="H483">
        <v>0.10299999999999999</v>
      </c>
      <c r="I483">
        <v>1</v>
      </c>
      <c r="J483">
        <v>1033</v>
      </c>
      <c r="K483">
        <v>0.51945492000000004</v>
      </c>
      <c r="L483">
        <v>0.86599999999999999</v>
      </c>
      <c r="M483">
        <v>5</v>
      </c>
      <c r="N483">
        <v>0.91900000000000004</v>
      </c>
      <c r="O483">
        <v>5</v>
      </c>
      <c r="P483">
        <v>5</v>
      </c>
      <c r="S483" s="57" t="s">
        <v>936</v>
      </c>
    </row>
    <row r="484" spans="1:19" x14ac:dyDescent="0.2">
      <c r="A484" t="s">
        <v>1995</v>
      </c>
      <c r="B484">
        <v>9007541200</v>
      </c>
      <c r="C484" t="s">
        <v>1996</v>
      </c>
      <c r="D484">
        <v>71825</v>
      </c>
      <c r="E484">
        <v>2.29</v>
      </c>
      <c r="F484">
        <v>47463.295980000003</v>
      </c>
      <c r="G484">
        <v>47.463000000000001</v>
      </c>
      <c r="H484">
        <v>0.41</v>
      </c>
      <c r="I484">
        <v>3</v>
      </c>
      <c r="J484">
        <v>1273</v>
      </c>
      <c r="K484">
        <v>0.32184869799999999</v>
      </c>
      <c r="L484">
        <v>0.313</v>
      </c>
      <c r="M484">
        <v>2</v>
      </c>
      <c r="N484">
        <v>0.68200000000000005</v>
      </c>
      <c r="O484">
        <v>4</v>
      </c>
      <c r="P484">
        <v>4</v>
      </c>
      <c r="S484" s="59" t="s">
        <v>944</v>
      </c>
    </row>
    <row r="485" spans="1:19" x14ac:dyDescent="0.2">
      <c r="A485" t="s">
        <v>1997</v>
      </c>
      <c r="B485">
        <v>9007541300</v>
      </c>
      <c r="C485" t="s">
        <v>1998</v>
      </c>
      <c r="D485">
        <v>65781</v>
      </c>
      <c r="E485">
        <v>1.82</v>
      </c>
      <c r="F485">
        <v>48760.121299999999</v>
      </c>
      <c r="G485">
        <v>48.76</v>
      </c>
      <c r="H485">
        <v>0.44500000000000001</v>
      </c>
      <c r="I485">
        <v>3</v>
      </c>
      <c r="J485">
        <v>1454</v>
      </c>
      <c r="K485">
        <v>0.35783340000000002</v>
      </c>
      <c r="L485">
        <v>0.52300000000000002</v>
      </c>
      <c r="M485">
        <v>3</v>
      </c>
      <c r="N485">
        <v>0.52400000000000002</v>
      </c>
      <c r="O485">
        <v>3</v>
      </c>
      <c r="P485">
        <v>3</v>
      </c>
      <c r="S485" s="57" t="s">
        <v>944</v>
      </c>
    </row>
    <row r="486" spans="1:19" x14ac:dyDescent="0.2">
      <c r="A486" t="s">
        <v>1999</v>
      </c>
      <c r="B486">
        <v>9007541401</v>
      </c>
      <c r="C486" t="s">
        <v>2000</v>
      </c>
      <c r="D486">
        <v>120893</v>
      </c>
      <c r="E486">
        <v>2.86</v>
      </c>
      <c r="F486">
        <v>71485.529490000001</v>
      </c>
      <c r="G486">
        <v>71.486000000000004</v>
      </c>
      <c r="H486">
        <v>0.82199999999999995</v>
      </c>
      <c r="I486">
        <v>5</v>
      </c>
      <c r="J486">
        <v>2028</v>
      </c>
      <c r="K486">
        <v>0.34043253499999998</v>
      </c>
      <c r="L486">
        <v>0.41799999999999998</v>
      </c>
      <c r="M486">
        <v>3</v>
      </c>
      <c r="N486">
        <v>0.159</v>
      </c>
      <c r="O486">
        <v>1</v>
      </c>
      <c r="P486">
        <v>1</v>
      </c>
      <c r="S486" s="59" t="s">
        <v>944</v>
      </c>
    </row>
    <row r="487" spans="1:19" x14ac:dyDescent="0.2">
      <c r="A487" t="s">
        <v>2001</v>
      </c>
      <c r="B487">
        <v>9007541402</v>
      </c>
      <c r="C487" t="s">
        <v>2002</v>
      </c>
      <c r="D487">
        <v>79611</v>
      </c>
      <c r="E487">
        <v>2.21</v>
      </c>
      <c r="F487">
        <v>53552.1538</v>
      </c>
      <c r="G487">
        <v>53.552</v>
      </c>
      <c r="H487">
        <v>0.53</v>
      </c>
      <c r="I487">
        <v>3</v>
      </c>
      <c r="J487">
        <v>1216</v>
      </c>
      <c r="K487">
        <v>0.27248203799999998</v>
      </c>
      <c r="L487">
        <v>6.8000000000000005E-2</v>
      </c>
      <c r="M487">
        <v>1</v>
      </c>
      <c r="N487">
        <v>0.745</v>
      </c>
      <c r="O487">
        <v>4</v>
      </c>
      <c r="P487">
        <v>4</v>
      </c>
      <c r="S487" s="57" t="s">
        <v>944</v>
      </c>
    </row>
    <row r="488" spans="1:19" x14ac:dyDescent="0.2">
      <c r="A488" t="s">
        <v>2003</v>
      </c>
      <c r="B488">
        <v>9007541500</v>
      </c>
      <c r="C488" t="s">
        <v>2004</v>
      </c>
      <c r="D488">
        <v>55565</v>
      </c>
      <c r="E488">
        <v>2.0299999999999998</v>
      </c>
      <c r="F488">
        <v>38998.98461</v>
      </c>
      <c r="G488">
        <v>38.999000000000002</v>
      </c>
      <c r="H488">
        <v>0.28000000000000003</v>
      </c>
      <c r="I488">
        <v>2</v>
      </c>
      <c r="J488">
        <v>1268</v>
      </c>
      <c r="K488">
        <v>0.39016400400000001</v>
      </c>
      <c r="L488">
        <v>0.66300000000000003</v>
      </c>
      <c r="M488">
        <v>4</v>
      </c>
      <c r="N488">
        <v>0.69499999999999995</v>
      </c>
      <c r="O488">
        <v>4</v>
      </c>
      <c r="P488">
        <v>4</v>
      </c>
      <c r="S488" s="59" t="s">
        <v>944</v>
      </c>
    </row>
    <row r="489" spans="1:19" x14ac:dyDescent="0.2">
      <c r="A489" t="s">
        <v>2005</v>
      </c>
      <c r="B489">
        <v>9007541600</v>
      </c>
      <c r="C489" t="s">
        <v>2006</v>
      </c>
      <c r="D489">
        <v>18304</v>
      </c>
      <c r="E489">
        <v>1.83</v>
      </c>
      <c r="F489">
        <v>13530.70614</v>
      </c>
      <c r="G489">
        <v>13.531000000000001</v>
      </c>
      <c r="H489">
        <v>8.9999999999999993E-3</v>
      </c>
      <c r="I489">
        <v>1</v>
      </c>
      <c r="J489">
        <v>783</v>
      </c>
      <c r="K489">
        <v>0.69442051999999999</v>
      </c>
      <c r="L489">
        <v>0.96199999999999997</v>
      </c>
      <c r="M489">
        <v>5</v>
      </c>
      <c r="N489">
        <v>0.99</v>
      </c>
      <c r="O489">
        <v>5</v>
      </c>
      <c r="P489">
        <v>5</v>
      </c>
      <c r="S489" s="57" t="s">
        <v>936</v>
      </c>
    </row>
    <row r="490" spans="1:19" x14ac:dyDescent="0.2">
      <c r="A490" t="s">
        <v>2007</v>
      </c>
      <c r="B490">
        <v>9007541700</v>
      </c>
      <c r="C490" t="s">
        <v>2008</v>
      </c>
      <c r="D490">
        <v>31618</v>
      </c>
      <c r="E490">
        <v>1.84</v>
      </c>
      <c r="F490">
        <v>23309.098849999998</v>
      </c>
      <c r="G490">
        <v>23.309000000000001</v>
      </c>
      <c r="H490">
        <v>9.5000000000000001E-2</v>
      </c>
      <c r="I490">
        <v>1</v>
      </c>
      <c r="J490">
        <v>927</v>
      </c>
      <c r="K490">
        <v>0.47723852700000002</v>
      </c>
      <c r="L490">
        <v>0.81899999999999995</v>
      </c>
      <c r="M490">
        <v>5</v>
      </c>
      <c r="N490">
        <v>0.96499999999999997</v>
      </c>
      <c r="O490">
        <v>5</v>
      </c>
      <c r="P490">
        <v>5</v>
      </c>
      <c r="S490" s="59" t="s">
        <v>936</v>
      </c>
    </row>
    <row r="491" spans="1:19" x14ac:dyDescent="0.2">
      <c r="A491" t="s">
        <v>2009</v>
      </c>
      <c r="B491">
        <v>9007542000</v>
      </c>
      <c r="C491" t="s">
        <v>2010</v>
      </c>
      <c r="D491">
        <v>70857</v>
      </c>
      <c r="E491">
        <v>2.2000000000000002</v>
      </c>
      <c r="F491">
        <v>47771.779649999997</v>
      </c>
      <c r="G491">
        <v>47.771999999999998</v>
      </c>
      <c r="H491">
        <v>0.42099999999999999</v>
      </c>
      <c r="I491">
        <v>3</v>
      </c>
      <c r="J491">
        <v>1195</v>
      </c>
      <c r="K491">
        <v>0.30017722000000002</v>
      </c>
      <c r="L491">
        <v>0.16900000000000001</v>
      </c>
      <c r="M491">
        <v>1</v>
      </c>
      <c r="N491">
        <v>0.77300000000000002</v>
      </c>
      <c r="O491">
        <v>4</v>
      </c>
      <c r="P491">
        <v>4</v>
      </c>
      <c r="S491" s="57" t="s">
        <v>944</v>
      </c>
    </row>
    <row r="492" spans="1:19" x14ac:dyDescent="0.2">
      <c r="A492" t="s">
        <v>2011</v>
      </c>
      <c r="B492">
        <v>9007542100</v>
      </c>
      <c r="C492" t="s">
        <v>2012</v>
      </c>
      <c r="D492">
        <v>63036</v>
      </c>
      <c r="E492">
        <v>2.2999999999999998</v>
      </c>
      <c r="F492">
        <v>41564.707520000004</v>
      </c>
      <c r="G492">
        <v>41.564999999999998</v>
      </c>
      <c r="H492">
        <v>0.312</v>
      </c>
      <c r="I492">
        <v>2</v>
      </c>
      <c r="J492">
        <v>1161</v>
      </c>
      <c r="K492">
        <v>0.33518821199999999</v>
      </c>
      <c r="L492">
        <v>0.39600000000000002</v>
      </c>
      <c r="M492">
        <v>2</v>
      </c>
      <c r="N492">
        <v>0.81599999999999995</v>
      </c>
      <c r="O492">
        <v>5</v>
      </c>
      <c r="P492">
        <v>5</v>
      </c>
      <c r="S492" s="59" t="s">
        <v>944</v>
      </c>
    </row>
    <row r="493" spans="1:19" x14ac:dyDescent="0.2">
      <c r="A493" t="s">
        <v>2013</v>
      </c>
      <c r="B493">
        <v>9007542200</v>
      </c>
      <c r="C493" t="s">
        <v>2014</v>
      </c>
      <c r="D493">
        <v>91375</v>
      </c>
      <c r="E493">
        <v>2.36</v>
      </c>
      <c r="F493">
        <v>59480.058700000001</v>
      </c>
      <c r="G493">
        <v>59.48</v>
      </c>
      <c r="H493">
        <v>0.64</v>
      </c>
      <c r="I493">
        <v>4</v>
      </c>
      <c r="J493">
        <v>1709</v>
      </c>
      <c r="K493">
        <v>0.34478782400000002</v>
      </c>
      <c r="L493">
        <v>0.45100000000000001</v>
      </c>
      <c r="M493">
        <v>3</v>
      </c>
      <c r="N493">
        <v>0.30599999999999999</v>
      </c>
      <c r="O493">
        <v>2</v>
      </c>
      <c r="P493">
        <v>2</v>
      </c>
      <c r="S493" s="57" t="s">
        <v>944</v>
      </c>
    </row>
    <row r="494" spans="1:19" x14ac:dyDescent="0.2">
      <c r="A494" t="s">
        <v>2015</v>
      </c>
      <c r="B494">
        <v>9007550100</v>
      </c>
      <c r="C494" t="s">
        <v>2016</v>
      </c>
      <c r="D494">
        <v>91836</v>
      </c>
      <c r="E494">
        <v>2.5</v>
      </c>
      <c r="F494">
        <v>58082.186240000003</v>
      </c>
      <c r="G494">
        <v>58.082000000000001</v>
      </c>
      <c r="H494">
        <v>0.61799999999999999</v>
      </c>
      <c r="I494">
        <v>4</v>
      </c>
      <c r="J494">
        <v>1586</v>
      </c>
      <c r="K494">
        <v>0.327673616</v>
      </c>
      <c r="L494">
        <v>0.34100000000000003</v>
      </c>
      <c r="M494">
        <v>2</v>
      </c>
      <c r="N494">
        <v>0.40100000000000002</v>
      </c>
      <c r="O494">
        <v>3</v>
      </c>
      <c r="P494">
        <v>3</v>
      </c>
      <c r="S494" s="59" t="s">
        <v>944</v>
      </c>
    </row>
    <row r="495" spans="1:19" x14ac:dyDescent="0.2">
      <c r="A495" t="s">
        <v>2017</v>
      </c>
      <c r="B495">
        <v>9007550201</v>
      </c>
      <c r="C495" t="s">
        <v>2018</v>
      </c>
      <c r="D495">
        <v>113466</v>
      </c>
      <c r="E495">
        <v>2.86</v>
      </c>
      <c r="F495">
        <v>67093.852320000005</v>
      </c>
      <c r="G495">
        <v>67.093999999999994</v>
      </c>
      <c r="H495">
        <v>0.76700000000000002</v>
      </c>
      <c r="I495">
        <v>4</v>
      </c>
      <c r="J495">
        <v>1955</v>
      </c>
      <c r="K495">
        <v>0.34965945700000001</v>
      </c>
      <c r="L495">
        <v>0.47399999999999998</v>
      </c>
      <c r="M495">
        <v>3</v>
      </c>
      <c r="N495">
        <v>0.183</v>
      </c>
      <c r="O495">
        <v>1</v>
      </c>
      <c r="P495">
        <v>2</v>
      </c>
      <c r="S495" s="57" t="s">
        <v>944</v>
      </c>
    </row>
    <row r="496" spans="1:19" x14ac:dyDescent="0.2">
      <c r="A496" t="s">
        <v>2019</v>
      </c>
      <c r="B496">
        <v>9007550202</v>
      </c>
      <c r="C496" t="s">
        <v>2020</v>
      </c>
      <c r="D496">
        <v>89141</v>
      </c>
      <c r="E496">
        <v>2.61</v>
      </c>
      <c r="F496">
        <v>55176.893799999998</v>
      </c>
      <c r="G496">
        <v>55.177</v>
      </c>
      <c r="H496">
        <v>0.56699999999999995</v>
      </c>
      <c r="I496">
        <v>3</v>
      </c>
      <c r="J496">
        <v>1506</v>
      </c>
      <c r="K496">
        <v>0.32752840500000002</v>
      </c>
      <c r="L496">
        <v>0.33900000000000002</v>
      </c>
      <c r="M496">
        <v>2</v>
      </c>
      <c r="N496">
        <v>0.46800000000000003</v>
      </c>
      <c r="O496">
        <v>3</v>
      </c>
      <c r="P496">
        <v>3</v>
      </c>
      <c r="S496" s="59" t="s">
        <v>944</v>
      </c>
    </row>
    <row r="497" spans="1:19" x14ac:dyDescent="0.2">
      <c r="A497" t="s">
        <v>2021</v>
      </c>
      <c r="B497">
        <v>9007560100</v>
      </c>
      <c r="C497" t="s">
        <v>2022</v>
      </c>
      <c r="D497">
        <v>117009</v>
      </c>
      <c r="E497">
        <v>2.6</v>
      </c>
      <c r="F497">
        <v>72565.901299999998</v>
      </c>
      <c r="G497">
        <v>72.566000000000003</v>
      </c>
      <c r="H497">
        <v>0.83099999999999996</v>
      </c>
      <c r="I497">
        <v>5</v>
      </c>
      <c r="J497">
        <v>1522</v>
      </c>
      <c r="K497">
        <v>0.25168846099999997</v>
      </c>
      <c r="L497">
        <v>1.7000000000000001E-2</v>
      </c>
      <c r="M497">
        <v>1</v>
      </c>
      <c r="N497">
        <v>0.45100000000000001</v>
      </c>
      <c r="O497">
        <v>3</v>
      </c>
      <c r="P497">
        <v>2</v>
      </c>
      <c r="S497" s="57" t="s">
        <v>944</v>
      </c>
    </row>
    <row r="498" spans="1:19" x14ac:dyDescent="0.2">
      <c r="A498" t="s">
        <v>2023</v>
      </c>
      <c r="B498">
        <v>9007560200</v>
      </c>
      <c r="C498" t="s">
        <v>2024</v>
      </c>
      <c r="D498">
        <v>74602</v>
      </c>
      <c r="E498">
        <v>2.2599999999999998</v>
      </c>
      <c r="F498">
        <v>49624.51223</v>
      </c>
      <c r="G498">
        <v>49.625</v>
      </c>
      <c r="H498">
        <v>0.46400000000000002</v>
      </c>
      <c r="I498">
        <v>3</v>
      </c>
      <c r="J498">
        <v>1325</v>
      </c>
      <c r="K498">
        <v>0.32040617199999999</v>
      </c>
      <c r="L498">
        <v>0.29099999999999998</v>
      </c>
      <c r="M498">
        <v>2</v>
      </c>
      <c r="N498">
        <v>0.628</v>
      </c>
      <c r="O498">
        <v>4</v>
      </c>
      <c r="P498">
        <v>4</v>
      </c>
      <c r="S498" s="59" t="s">
        <v>944</v>
      </c>
    </row>
    <row r="499" spans="1:19" x14ac:dyDescent="0.2">
      <c r="A499" t="s">
        <v>2025</v>
      </c>
      <c r="B499">
        <v>9007570100</v>
      </c>
      <c r="C499" t="s">
        <v>2026</v>
      </c>
      <c r="D499">
        <v>93945</v>
      </c>
      <c r="E499">
        <v>2.15</v>
      </c>
      <c r="F499">
        <v>64069.95822</v>
      </c>
      <c r="G499">
        <v>64.069999999999993</v>
      </c>
      <c r="H499">
        <v>0.72</v>
      </c>
      <c r="I499">
        <v>4</v>
      </c>
      <c r="J499">
        <v>1594</v>
      </c>
      <c r="K499">
        <v>0.298548657</v>
      </c>
      <c r="L499">
        <v>0.16300000000000001</v>
      </c>
      <c r="M499">
        <v>1</v>
      </c>
      <c r="N499">
        <v>0.38700000000000001</v>
      </c>
      <c r="O499">
        <v>2</v>
      </c>
      <c r="P499">
        <v>2</v>
      </c>
      <c r="S499" s="57" t="s">
        <v>944</v>
      </c>
    </row>
    <row r="500" spans="1:19" x14ac:dyDescent="0.2">
      <c r="A500" t="s">
        <v>2027</v>
      </c>
      <c r="B500">
        <v>9007570200</v>
      </c>
      <c r="C500" t="s">
        <v>2028</v>
      </c>
      <c r="D500">
        <v>109429</v>
      </c>
      <c r="E500">
        <v>2.56</v>
      </c>
      <c r="F500">
        <v>68393.125</v>
      </c>
      <c r="G500">
        <v>68.393000000000001</v>
      </c>
      <c r="H500">
        <v>0.78100000000000003</v>
      </c>
      <c r="I500">
        <v>4</v>
      </c>
      <c r="J500">
        <v>1826</v>
      </c>
      <c r="K500">
        <v>0.32038307900000002</v>
      </c>
      <c r="L500">
        <v>0.28999999999999998</v>
      </c>
      <c r="M500">
        <v>2</v>
      </c>
      <c r="N500">
        <v>0.245</v>
      </c>
      <c r="O500">
        <v>2</v>
      </c>
      <c r="P500">
        <v>2</v>
      </c>
      <c r="S500" s="59" t="s">
        <v>944</v>
      </c>
    </row>
    <row r="501" spans="1:19" x14ac:dyDescent="0.2">
      <c r="A501" t="s">
        <v>2029</v>
      </c>
      <c r="B501">
        <v>9007570300</v>
      </c>
      <c r="C501" t="s">
        <v>2030</v>
      </c>
      <c r="D501">
        <v>68125</v>
      </c>
      <c r="E501">
        <v>2.2400000000000002</v>
      </c>
      <c r="F501">
        <v>45517.930260000001</v>
      </c>
      <c r="G501">
        <v>45.518000000000001</v>
      </c>
      <c r="H501">
        <v>0.374</v>
      </c>
      <c r="I501">
        <v>2</v>
      </c>
      <c r="J501">
        <v>1408</v>
      </c>
      <c r="K501">
        <v>0.37119438199999999</v>
      </c>
      <c r="L501">
        <v>0.59899999999999998</v>
      </c>
      <c r="M501">
        <v>3</v>
      </c>
      <c r="N501">
        <v>0.56100000000000005</v>
      </c>
      <c r="O501">
        <v>3</v>
      </c>
      <c r="P501">
        <v>4</v>
      </c>
      <c r="S501" s="57" t="s">
        <v>944</v>
      </c>
    </row>
    <row r="502" spans="1:19" x14ac:dyDescent="0.2">
      <c r="A502" t="s">
        <v>2031</v>
      </c>
      <c r="B502">
        <v>9007580100</v>
      </c>
      <c r="C502" t="s">
        <v>2032</v>
      </c>
      <c r="D502">
        <v>96111</v>
      </c>
      <c r="E502">
        <v>2.48</v>
      </c>
      <c r="F502">
        <v>61030.546029999998</v>
      </c>
      <c r="G502">
        <v>61.030999999999999</v>
      </c>
      <c r="H502">
        <v>0.67100000000000004</v>
      </c>
      <c r="I502">
        <v>4</v>
      </c>
      <c r="J502">
        <v>1576</v>
      </c>
      <c r="K502">
        <v>0.30987761400000002</v>
      </c>
      <c r="L502">
        <v>0.22500000000000001</v>
      </c>
      <c r="M502">
        <v>2</v>
      </c>
      <c r="N502">
        <v>0.40699999999999997</v>
      </c>
      <c r="O502">
        <v>3</v>
      </c>
      <c r="P502">
        <v>3</v>
      </c>
      <c r="S502" s="59" t="s">
        <v>944</v>
      </c>
    </row>
    <row r="503" spans="1:19" x14ac:dyDescent="0.2">
      <c r="A503" t="s">
        <v>2033</v>
      </c>
      <c r="B503">
        <v>9007585100</v>
      </c>
      <c r="C503" t="s">
        <v>2034</v>
      </c>
      <c r="D503">
        <v>119905</v>
      </c>
      <c r="E503">
        <v>2.58</v>
      </c>
      <c r="F503">
        <v>74649.592350000006</v>
      </c>
      <c r="G503">
        <v>74.650000000000006</v>
      </c>
      <c r="H503">
        <v>0.84799999999999998</v>
      </c>
      <c r="I503">
        <v>5</v>
      </c>
      <c r="J503">
        <v>1897</v>
      </c>
      <c r="K503">
        <v>0.30494473300000002</v>
      </c>
      <c r="L503">
        <v>0.2</v>
      </c>
      <c r="M503">
        <v>1</v>
      </c>
      <c r="N503">
        <v>0.21199999999999999</v>
      </c>
      <c r="O503">
        <v>2</v>
      </c>
      <c r="P503">
        <v>2</v>
      </c>
      <c r="S503" s="57" t="s">
        <v>944</v>
      </c>
    </row>
    <row r="504" spans="1:19" x14ac:dyDescent="0.2">
      <c r="A504" t="s">
        <v>2035</v>
      </c>
      <c r="B504">
        <v>9007590100</v>
      </c>
      <c r="C504" t="s">
        <v>2036</v>
      </c>
      <c r="D504">
        <v>110497</v>
      </c>
      <c r="E504">
        <v>2.61</v>
      </c>
      <c r="F504">
        <v>68395.925940000001</v>
      </c>
      <c r="G504">
        <v>68.396000000000001</v>
      </c>
      <c r="H504">
        <v>0.78200000000000003</v>
      </c>
      <c r="I504">
        <v>4</v>
      </c>
      <c r="J504">
        <v>1867</v>
      </c>
      <c r="K504">
        <v>0.32756337000000002</v>
      </c>
      <c r="L504">
        <v>0.34</v>
      </c>
      <c r="M504">
        <v>2</v>
      </c>
      <c r="N504">
        <v>0.223</v>
      </c>
      <c r="O504">
        <v>2</v>
      </c>
      <c r="P504">
        <v>2</v>
      </c>
      <c r="S504" s="59" t="s">
        <v>944</v>
      </c>
    </row>
    <row r="505" spans="1:19" x14ac:dyDescent="0.2">
      <c r="A505" t="s">
        <v>2037</v>
      </c>
      <c r="B505">
        <v>9007595101</v>
      </c>
      <c r="C505" t="s">
        <v>2038</v>
      </c>
      <c r="D505">
        <v>105441</v>
      </c>
      <c r="E505">
        <v>2.67</v>
      </c>
      <c r="F505">
        <v>64528.844060000003</v>
      </c>
      <c r="G505">
        <v>64.528999999999996</v>
      </c>
      <c r="H505">
        <v>0.72699999999999998</v>
      </c>
      <c r="I505">
        <v>4</v>
      </c>
      <c r="J505">
        <v>1838</v>
      </c>
      <c r="K505">
        <v>0.34180063700000002</v>
      </c>
      <c r="L505">
        <v>0.43</v>
      </c>
      <c r="M505">
        <v>3</v>
      </c>
      <c r="N505">
        <v>0.23899999999999999</v>
      </c>
      <c r="O505">
        <v>2</v>
      </c>
      <c r="P505">
        <v>2</v>
      </c>
      <c r="S505" s="57" t="s">
        <v>944</v>
      </c>
    </row>
    <row r="506" spans="1:19" x14ac:dyDescent="0.2">
      <c r="A506" t="s">
        <v>2039</v>
      </c>
      <c r="B506">
        <v>9007595102</v>
      </c>
      <c r="C506" t="s">
        <v>2040</v>
      </c>
      <c r="D506">
        <v>93125</v>
      </c>
      <c r="E506">
        <v>2.2799999999999998</v>
      </c>
      <c r="F506">
        <v>61673.537880000003</v>
      </c>
      <c r="G506">
        <v>61.673999999999999</v>
      </c>
      <c r="H506">
        <v>0.68700000000000006</v>
      </c>
      <c r="I506">
        <v>4</v>
      </c>
      <c r="J506">
        <v>1552</v>
      </c>
      <c r="K506">
        <v>0.30197716299999999</v>
      </c>
      <c r="L506">
        <v>0.182</v>
      </c>
      <c r="M506">
        <v>1</v>
      </c>
      <c r="N506">
        <v>0.42499999999999999</v>
      </c>
      <c r="O506">
        <v>3</v>
      </c>
      <c r="P506">
        <v>3</v>
      </c>
      <c r="S506" s="59" t="s">
        <v>944</v>
      </c>
    </row>
    <row r="507" spans="1:19" x14ac:dyDescent="0.2">
      <c r="A507" t="s">
        <v>2041</v>
      </c>
      <c r="B507">
        <v>9007600100</v>
      </c>
      <c r="C507" t="s">
        <v>2042</v>
      </c>
      <c r="D507">
        <v>88167</v>
      </c>
      <c r="E507">
        <v>2.2999999999999998</v>
      </c>
      <c r="F507">
        <v>58135.5982</v>
      </c>
      <c r="G507">
        <v>58.136000000000003</v>
      </c>
      <c r="H507">
        <v>0.62</v>
      </c>
      <c r="I507">
        <v>4</v>
      </c>
      <c r="J507">
        <v>1657</v>
      </c>
      <c r="K507">
        <v>0.34202795899999999</v>
      </c>
      <c r="L507">
        <v>0.433</v>
      </c>
      <c r="M507">
        <v>3</v>
      </c>
      <c r="N507">
        <v>0.34200000000000003</v>
      </c>
      <c r="O507">
        <v>2</v>
      </c>
      <c r="P507">
        <v>2</v>
      </c>
      <c r="S507" s="57" t="s">
        <v>944</v>
      </c>
    </row>
    <row r="508" spans="1:19" x14ac:dyDescent="0.2">
      <c r="A508" t="s">
        <v>2043</v>
      </c>
      <c r="B508">
        <v>9007610100</v>
      </c>
      <c r="C508" t="s">
        <v>2044</v>
      </c>
      <c r="D508">
        <v>75938</v>
      </c>
      <c r="E508">
        <v>2.08</v>
      </c>
      <c r="F508">
        <v>52653.52938</v>
      </c>
      <c r="G508">
        <v>52.654000000000003</v>
      </c>
      <c r="H508">
        <v>0.51300000000000001</v>
      </c>
      <c r="I508">
        <v>3</v>
      </c>
      <c r="J508">
        <v>1408</v>
      </c>
      <c r="K508">
        <v>0.32089016999999997</v>
      </c>
      <c r="L508">
        <v>0.29899999999999999</v>
      </c>
      <c r="M508">
        <v>2</v>
      </c>
      <c r="N508">
        <v>0.56100000000000005</v>
      </c>
      <c r="O508">
        <v>3</v>
      </c>
      <c r="P508">
        <v>3</v>
      </c>
      <c r="S508" s="59" t="s">
        <v>944</v>
      </c>
    </row>
    <row r="509" spans="1:19" x14ac:dyDescent="0.2">
      <c r="A509" t="s">
        <v>2045</v>
      </c>
      <c r="B509">
        <v>9007610200</v>
      </c>
      <c r="C509" t="s">
        <v>2046</v>
      </c>
      <c r="D509">
        <v>64406</v>
      </c>
      <c r="E509">
        <v>2.14</v>
      </c>
      <c r="F509">
        <v>44027.035219999998</v>
      </c>
      <c r="G509">
        <v>44.027000000000001</v>
      </c>
      <c r="H509">
        <v>0.35199999999999998</v>
      </c>
      <c r="I509">
        <v>2</v>
      </c>
      <c r="J509">
        <v>1319</v>
      </c>
      <c r="K509">
        <v>0.35950637899999999</v>
      </c>
      <c r="L509">
        <v>0.53400000000000003</v>
      </c>
      <c r="M509">
        <v>3</v>
      </c>
      <c r="N509">
        <v>0.63800000000000001</v>
      </c>
      <c r="O509">
        <v>4</v>
      </c>
      <c r="P509">
        <v>4</v>
      </c>
      <c r="S509" s="57" t="s">
        <v>944</v>
      </c>
    </row>
    <row r="510" spans="1:19" x14ac:dyDescent="0.2">
      <c r="A510" t="s">
        <v>2047</v>
      </c>
      <c r="B510">
        <v>9007610300</v>
      </c>
      <c r="C510" t="s">
        <v>2048</v>
      </c>
      <c r="D510">
        <v>89545</v>
      </c>
      <c r="E510">
        <v>2.65</v>
      </c>
      <c r="F510">
        <v>55007.056239999998</v>
      </c>
      <c r="G510">
        <v>55.006999999999998</v>
      </c>
      <c r="H510">
        <v>0.56200000000000006</v>
      </c>
      <c r="I510">
        <v>3</v>
      </c>
      <c r="J510">
        <v>1634</v>
      </c>
      <c r="K510">
        <v>0.35646335800000001</v>
      </c>
      <c r="L510">
        <v>0.51700000000000002</v>
      </c>
      <c r="M510">
        <v>3</v>
      </c>
      <c r="N510">
        <v>0.35899999999999999</v>
      </c>
      <c r="O510">
        <v>2</v>
      </c>
      <c r="P510">
        <v>3</v>
      </c>
      <c r="S510" s="59" t="s">
        <v>944</v>
      </c>
    </row>
    <row r="511" spans="1:19" x14ac:dyDescent="0.2">
      <c r="A511" t="s">
        <v>2049</v>
      </c>
      <c r="B511">
        <v>9007610400</v>
      </c>
      <c r="C511" t="s">
        <v>2050</v>
      </c>
      <c r="D511">
        <v>95057</v>
      </c>
      <c r="E511">
        <v>2.63</v>
      </c>
      <c r="F511">
        <v>58614.657220000001</v>
      </c>
      <c r="G511">
        <v>58.615000000000002</v>
      </c>
      <c r="H511">
        <v>0.626</v>
      </c>
      <c r="I511">
        <v>4</v>
      </c>
      <c r="J511">
        <v>1694</v>
      </c>
      <c r="K511">
        <v>0.34680745299999999</v>
      </c>
      <c r="L511">
        <v>0.46200000000000002</v>
      </c>
      <c r="M511">
        <v>3</v>
      </c>
      <c r="N511">
        <v>0.316</v>
      </c>
      <c r="O511">
        <v>2</v>
      </c>
      <c r="P511">
        <v>2</v>
      </c>
      <c r="S511" s="57" t="s">
        <v>944</v>
      </c>
    </row>
    <row r="512" spans="1:19" x14ac:dyDescent="0.2">
      <c r="A512" t="s">
        <v>2051</v>
      </c>
      <c r="B512">
        <v>9007620100</v>
      </c>
      <c r="C512" t="s">
        <v>2052</v>
      </c>
      <c r="D512">
        <v>85960</v>
      </c>
      <c r="E512">
        <v>2.36</v>
      </c>
      <c r="F512">
        <v>55955.193939999997</v>
      </c>
      <c r="G512">
        <v>55.954999999999998</v>
      </c>
      <c r="H512">
        <v>0.57899999999999996</v>
      </c>
      <c r="I512">
        <v>3</v>
      </c>
      <c r="J512">
        <v>1509</v>
      </c>
      <c r="K512">
        <v>0.32361607100000001</v>
      </c>
      <c r="L512">
        <v>0.32400000000000001</v>
      </c>
      <c r="M512">
        <v>2</v>
      </c>
      <c r="N512">
        <v>0.46300000000000002</v>
      </c>
      <c r="O512">
        <v>3</v>
      </c>
      <c r="P512">
        <v>3</v>
      </c>
      <c r="S512" s="59" t="s">
        <v>944</v>
      </c>
    </row>
    <row r="513" spans="1:19" x14ac:dyDescent="0.2">
      <c r="A513" t="s">
        <v>2053</v>
      </c>
      <c r="B513">
        <v>9007630100</v>
      </c>
      <c r="C513" t="s">
        <v>2054</v>
      </c>
      <c r="D513">
        <v>89261</v>
      </c>
      <c r="E513">
        <v>2.13</v>
      </c>
      <c r="F513">
        <v>61160.629430000001</v>
      </c>
      <c r="G513">
        <v>61.161000000000001</v>
      </c>
      <c r="H513">
        <v>0.67500000000000004</v>
      </c>
      <c r="I513">
        <v>4</v>
      </c>
      <c r="J513">
        <v>1605</v>
      </c>
      <c r="K513">
        <v>0.314908466</v>
      </c>
      <c r="L513">
        <v>0.254</v>
      </c>
      <c r="M513">
        <v>2</v>
      </c>
      <c r="N513">
        <v>0.379</v>
      </c>
      <c r="O513">
        <v>2</v>
      </c>
      <c r="P513">
        <v>2</v>
      </c>
      <c r="S513" s="57" t="s">
        <v>944</v>
      </c>
    </row>
    <row r="514" spans="1:19" x14ac:dyDescent="0.2">
      <c r="A514" t="s">
        <v>2055</v>
      </c>
      <c r="B514">
        <v>9007640100</v>
      </c>
      <c r="C514" t="s">
        <v>2056</v>
      </c>
      <c r="D514">
        <v>110543</v>
      </c>
      <c r="E514">
        <v>2.77</v>
      </c>
      <c r="F514">
        <v>66418.851569999999</v>
      </c>
      <c r="G514">
        <v>66.418999999999997</v>
      </c>
      <c r="H514">
        <v>0.75800000000000001</v>
      </c>
      <c r="I514">
        <v>4</v>
      </c>
      <c r="J514">
        <v>1948</v>
      </c>
      <c r="K514">
        <v>0.35194827099999998</v>
      </c>
      <c r="L514">
        <v>0.48899999999999999</v>
      </c>
      <c r="M514">
        <v>3</v>
      </c>
      <c r="N514">
        <v>0.187</v>
      </c>
      <c r="O514">
        <v>1</v>
      </c>
      <c r="P514">
        <v>2</v>
      </c>
      <c r="S514" s="59" t="s">
        <v>944</v>
      </c>
    </row>
    <row r="515" spans="1:19" x14ac:dyDescent="0.2">
      <c r="A515" t="s">
        <v>2057</v>
      </c>
      <c r="B515">
        <v>9007670100</v>
      </c>
      <c r="C515" t="s">
        <v>2058</v>
      </c>
      <c r="D515">
        <v>99779</v>
      </c>
      <c r="E515">
        <v>2.44</v>
      </c>
      <c r="F515">
        <v>63876.959210000001</v>
      </c>
      <c r="G515">
        <v>63.877000000000002</v>
      </c>
      <c r="H515">
        <v>0.71499999999999997</v>
      </c>
      <c r="I515">
        <v>4</v>
      </c>
      <c r="J515">
        <v>1823</v>
      </c>
      <c r="K515">
        <v>0.34247090499999999</v>
      </c>
      <c r="L515">
        <v>0.435</v>
      </c>
      <c r="M515">
        <v>3</v>
      </c>
      <c r="N515">
        <v>0.247</v>
      </c>
      <c r="O515">
        <v>2</v>
      </c>
      <c r="P515">
        <v>2</v>
      </c>
      <c r="S515" s="57" t="s">
        <v>944</v>
      </c>
    </row>
    <row r="516" spans="1:19" x14ac:dyDescent="0.2">
      <c r="A516" t="s">
        <v>2059</v>
      </c>
      <c r="B516">
        <v>9007670200</v>
      </c>
      <c r="C516" t="s">
        <v>2060</v>
      </c>
      <c r="D516">
        <v>74202</v>
      </c>
      <c r="E516">
        <v>2.2000000000000002</v>
      </c>
      <c r="F516">
        <v>50026.978190000002</v>
      </c>
      <c r="G516">
        <v>50.027000000000001</v>
      </c>
      <c r="H516">
        <v>0.47099999999999997</v>
      </c>
      <c r="I516">
        <v>3</v>
      </c>
      <c r="J516">
        <v>1498</v>
      </c>
      <c r="K516">
        <v>0.359326121</v>
      </c>
      <c r="L516">
        <v>0.53100000000000003</v>
      </c>
      <c r="M516">
        <v>3</v>
      </c>
      <c r="N516">
        <v>0.47099999999999997</v>
      </c>
      <c r="O516">
        <v>3</v>
      </c>
      <c r="P516">
        <v>3</v>
      </c>
      <c r="S516" s="59" t="s">
        <v>944</v>
      </c>
    </row>
    <row r="517" spans="1:19" x14ac:dyDescent="0.2">
      <c r="A517" t="s">
        <v>2061</v>
      </c>
      <c r="B517">
        <v>9007680100</v>
      </c>
      <c r="C517" t="s">
        <v>2062</v>
      </c>
      <c r="D517">
        <v>79707</v>
      </c>
      <c r="E517">
        <v>2.15</v>
      </c>
      <c r="F517">
        <v>54359.722820000003</v>
      </c>
      <c r="G517">
        <v>54.36</v>
      </c>
      <c r="H517">
        <v>0.54700000000000004</v>
      </c>
      <c r="I517">
        <v>3</v>
      </c>
      <c r="J517">
        <v>1654</v>
      </c>
      <c r="K517">
        <v>0.36512327500000002</v>
      </c>
      <c r="L517">
        <v>0.56499999999999995</v>
      </c>
      <c r="M517">
        <v>3</v>
      </c>
      <c r="N517">
        <v>0.34399999999999997</v>
      </c>
      <c r="O517">
        <v>2</v>
      </c>
      <c r="P517">
        <v>3</v>
      </c>
      <c r="S517" s="57" t="s">
        <v>944</v>
      </c>
    </row>
    <row r="518" spans="1:19" x14ac:dyDescent="0.2">
      <c r="A518" t="s">
        <v>2063</v>
      </c>
      <c r="B518">
        <v>9007680200</v>
      </c>
      <c r="C518" t="s">
        <v>2064</v>
      </c>
      <c r="D518">
        <v>82790</v>
      </c>
      <c r="E518">
        <v>2.4300000000000002</v>
      </c>
      <c r="F518">
        <v>53109.809759999996</v>
      </c>
      <c r="G518">
        <v>53.11</v>
      </c>
      <c r="H518">
        <v>0.52400000000000002</v>
      </c>
      <c r="I518">
        <v>3</v>
      </c>
      <c r="J518">
        <v>1302</v>
      </c>
      <c r="K518">
        <v>0.29418294</v>
      </c>
      <c r="L518">
        <v>0.13900000000000001</v>
      </c>
      <c r="M518">
        <v>1</v>
      </c>
      <c r="N518">
        <v>0.65600000000000003</v>
      </c>
      <c r="O518">
        <v>4</v>
      </c>
      <c r="P518">
        <v>4</v>
      </c>
      <c r="S518" s="59" t="s">
        <v>944</v>
      </c>
    </row>
    <row r="519" spans="1:19" x14ac:dyDescent="0.2">
      <c r="A519" t="s">
        <v>2065</v>
      </c>
      <c r="B519">
        <v>9009120100</v>
      </c>
      <c r="C519" t="s">
        <v>2066</v>
      </c>
      <c r="D519">
        <v>65927</v>
      </c>
      <c r="E519">
        <v>2.38</v>
      </c>
      <c r="F519">
        <v>42734.126880000003</v>
      </c>
      <c r="G519">
        <v>42.734000000000002</v>
      </c>
      <c r="H519">
        <v>0.33500000000000002</v>
      </c>
      <c r="I519">
        <v>2</v>
      </c>
      <c r="J519">
        <v>1319</v>
      </c>
      <c r="K519">
        <v>0.370383138</v>
      </c>
      <c r="L519">
        <v>0.59299999999999997</v>
      </c>
      <c r="M519">
        <v>3</v>
      </c>
      <c r="N519">
        <v>0.63800000000000001</v>
      </c>
      <c r="O519">
        <v>4</v>
      </c>
      <c r="P519">
        <v>4</v>
      </c>
      <c r="S519" s="57" t="s">
        <v>944</v>
      </c>
    </row>
    <row r="520" spans="1:19" x14ac:dyDescent="0.2">
      <c r="A520" t="s">
        <v>2067</v>
      </c>
      <c r="B520">
        <v>9009120200</v>
      </c>
      <c r="C520" t="s">
        <v>2068</v>
      </c>
      <c r="D520">
        <v>44915</v>
      </c>
      <c r="E520">
        <v>2.38</v>
      </c>
      <c r="F520">
        <v>29114.070240000001</v>
      </c>
      <c r="G520">
        <v>29.114000000000001</v>
      </c>
      <c r="H520">
        <v>0.154</v>
      </c>
      <c r="I520">
        <v>1</v>
      </c>
      <c r="J520">
        <v>1226</v>
      </c>
      <c r="K520">
        <v>0.50532268000000002</v>
      </c>
      <c r="L520">
        <v>0.85199999999999998</v>
      </c>
      <c r="M520">
        <v>5</v>
      </c>
      <c r="N520">
        <v>0.74299999999999999</v>
      </c>
      <c r="O520">
        <v>4</v>
      </c>
      <c r="P520">
        <v>5</v>
      </c>
      <c r="S520" s="59" t="s">
        <v>936</v>
      </c>
    </row>
    <row r="521" spans="1:19" x14ac:dyDescent="0.2">
      <c r="A521" t="s">
        <v>2069</v>
      </c>
      <c r="B521">
        <v>9009125100</v>
      </c>
      <c r="C521" t="s">
        <v>2070</v>
      </c>
      <c r="D521">
        <v>90150</v>
      </c>
      <c r="E521">
        <v>2.69</v>
      </c>
      <c r="F521">
        <v>54965.425089999997</v>
      </c>
      <c r="G521">
        <v>54.965000000000003</v>
      </c>
      <c r="H521">
        <v>0.56000000000000005</v>
      </c>
      <c r="I521">
        <v>3</v>
      </c>
      <c r="J521">
        <v>1651</v>
      </c>
      <c r="K521">
        <v>0.36044477000000003</v>
      </c>
      <c r="L521">
        <v>0.54</v>
      </c>
      <c r="M521">
        <v>3</v>
      </c>
      <c r="N521">
        <v>0.34599999999999997</v>
      </c>
      <c r="O521">
        <v>2</v>
      </c>
      <c r="P521">
        <v>3</v>
      </c>
      <c r="S521" s="57" t="s">
        <v>944</v>
      </c>
    </row>
    <row r="522" spans="1:19" x14ac:dyDescent="0.2">
      <c r="A522" t="s">
        <v>2071</v>
      </c>
      <c r="B522">
        <v>9009125200</v>
      </c>
      <c r="C522" t="s">
        <v>2072</v>
      </c>
      <c r="D522">
        <v>46184</v>
      </c>
      <c r="E522">
        <v>2.2599999999999998</v>
      </c>
      <c r="F522">
        <v>30721.13982</v>
      </c>
      <c r="G522">
        <v>30.721</v>
      </c>
      <c r="H522">
        <v>0.17899999999999999</v>
      </c>
      <c r="I522">
        <v>1</v>
      </c>
      <c r="J522">
        <v>1164</v>
      </c>
      <c r="K522">
        <v>0.45467063000000002</v>
      </c>
      <c r="L522">
        <v>0.79</v>
      </c>
      <c r="M522">
        <v>4</v>
      </c>
      <c r="N522">
        <v>0.81299999999999994</v>
      </c>
      <c r="O522">
        <v>5</v>
      </c>
      <c r="P522">
        <v>5</v>
      </c>
      <c r="S522" s="59" t="s">
        <v>936</v>
      </c>
    </row>
    <row r="523" spans="1:19" x14ac:dyDescent="0.2">
      <c r="A523" t="s">
        <v>2073</v>
      </c>
      <c r="B523">
        <v>9009125300</v>
      </c>
      <c r="C523" t="s">
        <v>2074</v>
      </c>
      <c r="D523">
        <v>52586</v>
      </c>
      <c r="E523">
        <v>2.38</v>
      </c>
      <c r="F523">
        <v>34086.441010000002</v>
      </c>
      <c r="G523">
        <v>34.085999999999999</v>
      </c>
      <c r="H523">
        <v>0.223</v>
      </c>
      <c r="I523">
        <v>2</v>
      </c>
      <c r="J523">
        <v>1151</v>
      </c>
      <c r="K523">
        <v>0.40520510799999998</v>
      </c>
      <c r="L523">
        <v>0.68899999999999995</v>
      </c>
      <c r="M523">
        <v>4</v>
      </c>
      <c r="N523">
        <v>0.82</v>
      </c>
      <c r="O523">
        <v>5</v>
      </c>
      <c r="P523">
        <v>5</v>
      </c>
      <c r="S523" s="57" t="s">
        <v>944</v>
      </c>
    </row>
    <row r="524" spans="1:19" x14ac:dyDescent="0.2">
      <c r="A524" t="s">
        <v>2075</v>
      </c>
      <c r="B524">
        <v>9009125400</v>
      </c>
      <c r="C524" t="s">
        <v>2076</v>
      </c>
      <c r="D524">
        <v>39196</v>
      </c>
      <c r="E524">
        <v>2.35</v>
      </c>
      <c r="F524">
        <v>25568.651150000002</v>
      </c>
      <c r="G524">
        <v>25.568999999999999</v>
      </c>
      <c r="H524">
        <v>0.11700000000000001</v>
      </c>
      <c r="I524">
        <v>1</v>
      </c>
      <c r="J524">
        <v>1097</v>
      </c>
      <c r="K524">
        <v>0.514849216</v>
      </c>
      <c r="L524">
        <v>0.86099999999999999</v>
      </c>
      <c r="M524">
        <v>5</v>
      </c>
      <c r="N524">
        <v>0.879</v>
      </c>
      <c r="O524">
        <v>5</v>
      </c>
      <c r="P524">
        <v>5</v>
      </c>
      <c r="S524" s="59" t="s">
        <v>936</v>
      </c>
    </row>
    <row r="525" spans="1:19" x14ac:dyDescent="0.2">
      <c r="A525" t="s">
        <v>2077</v>
      </c>
      <c r="B525">
        <v>9009130101</v>
      </c>
      <c r="C525" t="s">
        <v>2078</v>
      </c>
      <c r="D525">
        <v>67262</v>
      </c>
      <c r="E525">
        <v>2.6</v>
      </c>
      <c r="F525">
        <v>41714.121590000002</v>
      </c>
      <c r="G525">
        <v>41.713999999999999</v>
      </c>
      <c r="H525">
        <v>0.314</v>
      </c>
      <c r="I525">
        <v>2</v>
      </c>
      <c r="J525">
        <v>1245</v>
      </c>
      <c r="K525">
        <v>0.35815209399999998</v>
      </c>
      <c r="L525">
        <v>0.52500000000000002</v>
      </c>
      <c r="M525">
        <v>3</v>
      </c>
      <c r="N525">
        <v>0.71799999999999997</v>
      </c>
      <c r="O525">
        <v>4</v>
      </c>
      <c r="P525">
        <v>4</v>
      </c>
      <c r="S525" s="57" t="s">
        <v>944</v>
      </c>
    </row>
    <row r="526" spans="1:19" x14ac:dyDescent="0.2">
      <c r="A526" t="s">
        <v>2079</v>
      </c>
      <c r="B526">
        <v>9009130102</v>
      </c>
      <c r="C526" t="s">
        <v>2080</v>
      </c>
      <c r="D526">
        <v>71734</v>
      </c>
      <c r="E526">
        <v>2.54</v>
      </c>
      <c r="F526">
        <v>45009.914729999997</v>
      </c>
      <c r="G526">
        <v>45.01</v>
      </c>
      <c r="H526">
        <v>0.36899999999999999</v>
      </c>
      <c r="I526">
        <v>2</v>
      </c>
      <c r="J526">
        <v>1409</v>
      </c>
      <c r="K526">
        <v>0.37565056699999999</v>
      </c>
      <c r="L526">
        <v>0.61599999999999999</v>
      </c>
      <c r="M526">
        <v>4</v>
      </c>
      <c r="N526">
        <v>0.55600000000000005</v>
      </c>
      <c r="O526">
        <v>3</v>
      </c>
      <c r="P526">
        <v>4</v>
      </c>
      <c r="S526" s="59" t="s">
        <v>944</v>
      </c>
    </row>
    <row r="527" spans="1:19" x14ac:dyDescent="0.2">
      <c r="A527" t="s">
        <v>2081</v>
      </c>
      <c r="B527">
        <v>9009130200</v>
      </c>
      <c r="C527" t="s">
        <v>2082</v>
      </c>
      <c r="D527">
        <v>84340</v>
      </c>
      <c r="E527">
        <v>2.69</v>
      </c>
      <c r="F527">
        <v>51423.005570000001</v>
      </c>
      <c r="G527">
        <v>51.423000000000002</v>
      </c>
      <c r="H527">
        <v>0.48899999999999999</v>
      </c>
      <c r="I527">
        <v>3</v>
      </c>
      <c r="J527">
        <v>1665</v>
      </c>
      <c r="K527">
        <v>0.38854205000000003</v>
      </c>
      <c r="L527">
        <v>0.65600000000000003</v>
      </c>
      <c r="M527">
        <v>4</v>
      </c>
      <c r="N527">
        <v>0.33100000000000002</v>
      </c>
      <c r="O527">
        <v>2</v>
      </c>
      <c r="P527">
        <v>3</v>
      </c>
      <c r="S527" s="57" t="s">
        <v>944</v>
      </c>
    </row>
    <row r="528" spans="1:19" x14ac:dyDescent="0.2">
      <c r="A528" t="s">
        <v>2083</v>
      </c>
      <c r="B528">
        <v>9009140100</v>
      </c>
      <c r="C528" t="s">
        <v>2084</v>
      </c>
      <c r="D528">
        <v>75881</v>
      </c>
      <c r="E528">
        <v>1.44</v>
      </c>
      <c r="F528">
        <v>63234.166669999999</v>
      </c>
      <c r="G528">
        <v>63.234000000000002</v>
      </c>
      <c r="H528">
        <v>0.71199999999999997</v>
      </c>
      <c r="I528">
        <v>4</v>
      </c>
      <c r="J528">
        <v>1690</v>
      </c>
      <c r="K528">
        <v>0.32071269499999999</v>
      </c>
      <c r="L528">
        <v>0.29799999999999999</v>
      </c>
      <c r="M528">
        <v>2</v>
      </c>
      <c r="N528">
        <v>0.318</v>
      </c>
      <c r="O528">
        <v>2</v>
      </c>
      <c r="P528">
        <v>2</v>
      </c>
      <c r="S528" s="59" t="s">
        <v>944</v>
      </c>
    </row>
    <row r="529" spans="1:19" x14ac:dyDescent="0.2">
      <c r="A529" t="s">
        <v>2085</v>
      </c>
      <c r="B529">
        <v>9009140200</v>
      </c>
      <c r="C529" t="s">
        <v>2086</v>
      </c>
      <c r="D529">
        <v>15000</v>
      </c>
      <c r="E529">
        <v>1.4</v>
      </c>
      <c r="F529">
        <v>12677.313819999999</v>
      </c>
      <c r="G529">
        <v>12.677</v>
      </c>
      <c r="H529">
        <v>4.0000000000000001E-3</v>
      </c>
      <c r="I529">
        <v>1</v>
      </c>
      <c r="J529">
        <v>440</v>
      </c>
      <c r="K529">
        <v>0.41649201699999999</v>
      </c>
      <c r="L529">
        <v>0.71399999999999997</v>
      </c>
      <c r="M529">
        <v>4</v>
      </c>
      <c r="N529">
        <v>0.999</v>
      </c>
      <c r="O529">
        <v>5</v>
      </c>
      <c r="P529">
        <v>5</v>
      </c>
      <c r="S529" s="57" t="s">
        <v>936</v>
      </c>
    </row>
    <row r="530" spans="1:19" x14ac:dyDescent="0.2">
      <c r="A530" t="s">
        <v>2087</v>
      </c>
      <c r="B530">
        <v>9009140300</v>
      </c>
      <c r="C530" t="s">
        <v>2088</v>
      </c>
      <c r="D530">
        <v>33942</v>
      </c>
      <c r="E530">
        <v>3.38</v>
      </c>
      <c r="F530">
        <v>18462.01413</v>
      </c>
      <c r="G530">
        <v>18.462</v>
      </c>
      <c r="H530">
        <v>4.2999999999999997E-2</v>
      </c>
      <c r="I530">
        <v>1</v>
      </c>
      <c r="J530">
        <v>1146</v>
      </c>
      <c r="K530">
        <v>0.74488080800000001</v>
      </c>
      <c r="L530">
        <v>0.97499999999999998</v>
      </c>
      <c r="M530">
        <v>5</v>
      </c>
      <c r="N530">
        <v>0.82299999999999995</v>
      </c>
      <c r="O530">
        <v>5</v>
      </c>
      <c r="P530">
        <v>5</v>
      </c>
      <c r="S530" s="59" t="s">
        <v>936</v>
      </c>
    </row>
    <row r="531" spans="1:19" x14ac:dyDescent="0.2">
      <c r="A531" t="s">
        <v>2089</v>
      </c>
      <c r="B531">
        <v>9009140400</v>
      </c>
      <c r="C531" t="s">
        <v>2090</v>
      </c>
      <c r="D531">
        <v>42826</v>
      </c>
      <c r="E531">
        <v>2.92</v>
      </c>
      <c r="F531">
        <v>25062.020850000001</v>
      </c>
      <c r="G531">
        <v>25.062000000000001</v>
      </c>
      <c r="H531">
        <v>0.113</v>
      </c>
      <c r="I531">
        <v>1</v>
      </c>
      <c r="J531">
        <v>1318</v>
      </c>
      <c r="K531">
        <v>0.631074409</v>
      </c>
      <c r="L531">
        <v>0.93899999999999995</v>
      </c>
      <c r="M531">
        <v>5</v>
      </c>
      <c r="N531">
        <v>0.63900000000000001</v>
      </c>
      <c r="O531">
        <v>4</v>
      </c>
      <c r="P531">
        <v>5</v>
      </c>
      <c r="S531" s="57" t="s">
        <v>936</v>
      </c>
    </row>
    <row r="532" spans="1:19" x14ac:dyDescent="0.2">
      <c r="A532" t="s">
        <v>2091</v>
      </c>
      <c r="B532">
        <v>9009140500</v>
      </c>
      <c r="C532" t="s">
        <v>2092</v>
      </c>
      <c r="D532">
        <v>29167</v>
      </c>
      <c r="E532">
        <v>3.25</v>
      </c>
      <c r="F532">
        <v>16178.940619999999</v>
      </c>
      <c r="G532">
        <v>16.178999999999998</v>
      </c>
      <c r="H532">
        <v>2.7E-2</v>
      </c>
      <c r="I532">
        <v>1</v>
      </c>
      <c r="J532">
        <v>1084</v>
      </c>
      <c r="K532">
        <v>0.80400814300000001</v>
      </c>
      <c r="L532">
        <v>0.98499999999999999</v>
      </c>
      <c r="M532">
        <v>5</v>
      </c>
      <c r="N532">
        <v>0.88600000000000001</v>
      </c>
      <c r="O532">
        <v>5</v>
      </c>
      <c r="P532">
        <v>5</v>
      </c>
      <c r="S532" s="59" t="s">
        <v>936</v>
      </c>
    </row>
    <row r="533" spans="1:19" x14ac:dyDescent="0.2">
      <c r="A533" t="s">
        <v>2093</v>
      </c>
      <c r="B533">
        <v>9009140600</v>
      </c>
      <c r="C533" t="s">
        <v>2094</v>
      </c>
      <c r="D533">
        <v>27964</v>
      </c>
      <c r="E533">
        <v>2.83</v>
      </c>
      <c r="F533">
        <v>16622.87257</v>
      </c>
      <c r="G533">
        <v>16.623000000000001</v>
      </c>
      <c r="H533">
        <v>2.9000000000000001E-2</v>
      </c>
      <c r="I533">
        <v>1</v>
      </c>
      <c r="J533">
        <v>1195</v>
      </c>
      <c r="K533">
        <v>0.86266678299999999</v>
      </c>
      <c r="L533">
        <v>0.99</v>
      </c>
      <c r="M533">
        <v>5</v>
      </c>
      <c r="N533">
        <v>0.77300000000000002</v>
      </c>
      <c r="O533">
        <v>4</v>
      </c>
      <c r="P533">
        <v>5</v>
      </c>
      <c r="S533" s="57" t="s">
        <v>936</v>
      </c>
    </row>
    <row r="534" spans="1:19" x14ac:dyDescent="0.2">
      <c r="A534" t="s">
        <v>2095</v>
      </c>
      <c r="B534">
        <v>9009140700</v>
      </c>
      <c r="C534" t="s">
        <v>2096</v>
      </c>
      <c r="D534">
        <v>30383</v>
      </c>
      <c r="E534">
        <v>2.0299999999999998</v>
      </c>
      <c r="F534">
        <v>21324.68549</v>
      </c>
      <c r="G534">
        <v>21.324999999999999</v>
      </c>
      <c r="H534">
        <v>7.6999999999999999E-2</v>
      </c>
      <c r="I534">
        <v>1</v>
      </c>
      <c r="J534">
        <v>1040</v>
      </c>
      <c r="K534">
        <v>0.58523723599999999</v>
      </c>
      <c r="L534">
        <v>0.91300000000000003</v>
      </c>
      <c r="M534">
        <v>5</v>
      </c>
      <c r="N534">
        <v>0.91400000000000003</v>
      </c>
      <c r="O534">
        <v>5</v>
      </c>
      <c r="P534">
        <v>5</v>
      </c>
      <c r="S534" s="59" t="s">
        <v>936</v>
      </c>
    </row>
    <row r="535" spans="1:19" x14ac:dyDescent="0.2">
      <c r="A535" t="s">
        <v>2097</v>
      </c>
      <c r="B535">
        <v>9009140800</v>
      </c>
      <c r="C535" t="s">
        <v>2098</v>
      </c>
      <c r="D535">
        <v>29281</v>
      </c>
      <c r="E535">
        <v>2.46</v>
      </c>
      <c r="F535">
        <v>18668.883740000001</v>
      </c>
      <c r="G535">
        <v>18.669</v>
      </c>
      <c r="H535">
        <v>4.5999999999999999E-2</v>
      </c>
      <c r="I535">
        <v>1</v>
      </c>
      <c r="J535">
        <v>1166</v>
      </c>
      <c r="K535">
        <v>0.74948241100000002</v>
      </c>
      <c r="L535">
        <v>0.97599999999999998</v>
      </c>
      <c r="M535">
        <v>5</v>
      </c>
      <c r="N535">
        <v>0.80800000000000005</v>
      </c>
      <c r="O535">
        <v>5</v>
      </c>
      <c r="P535">
        <v>5</v>
      </c>
      <c r="S535" s="57" t="s">
        <v>936</v>
      </c>
    </row>
    <row r="536" spans="1:19" x14ac:dyDescent="0.2">
      <c r="A536" t="s">
        <v>2099</v>
      </c>
      <c r="B536">
        <v>9009140900</v>
      </c>
      <c r="C536" t="s">
        <v>2100</v>
      </c>
      <c r="D536">
        <v>32444</v>
      </c>
      <c r="E536">
        <v>2.61</v>
      </c>
      <c r="F536">
        <v>20082.331839999999</v>
      </c>
      <c r="G536">
        <v>20.082000000000001</v>
      </c>
      <c r="H536">
        <v>5.8000000000000003E-2</v>
      </c>
      <c r="I536">
        <v>1</v>
      </c>
      <c r="J536">
        <v>1213</v>
      </c>
      <c r="K536">
        <v>0.72481622700000004</v>
      </c>
      <c r="L536">
        <v>0.97</v>
      </c>
      <c r="M536">
        <v>5</v>
      </c>
      <c r="N536">
        <v>0.751</v>
      </c>
      <c r="O536">
        <v>4</v>
      </c>
      <c r="P536">
        <v>5</v>
      </c>
      <c r="S536" s="59" t="s">
        <v>936</v>
      </c>
    </row>
    <row r="537" spans="1:19" x14ac:dyDescent="0.2">
      <c r="A537" t="s">
        <v>2101</v>
      </c>
      <c r="B537">
        <v>9009141000</v>
      </c>
      <c r="C537" t="s">
        <v>2102</v>
      </c>
      <c r="D537">
        <v>91932</v>
      </c>
      <c r="E537">
        <v>2.44</v>
      </c>
      <c r="F537">
        <v>58853.432229999999</v>
      </c>
      <c r="G537">
        <v>58.853000000000002</v>
      </c>
      <c r="H537">
        <v>0.63400000000000001</v>
      </c>
      <c r="I537">
        <v>4</v>
      </c>
      <c r="J537">
        <v>1596</v>
      </c>
      <c r="K537">
        <v>0.32541857400000002</v>
      </c>
      <c r="L537">
        <v>0.33300000000000002</v>
      </c>
      <c r="M537">
        <v>2</v>
      </c>
      <c r="N537">
        <v>0.38500000000000001</v>
      </c>
      <c r="O537">
        <v>2</v>
      </c>
      <c r="P537">
        <v>2</v>
      </c>
      <c r="S537" s="57" t="s">
        <v>944</v>
      </c>
    </row>
    <row r="538" spans="1:19" x14ac:dyDescent="0.2">
      <c r="A538" t="s">
        <v>2103</v>
      </c>
      <c r="B538">
        <v>9009141100</v>
      </c>
      <c r="C538" t="s">
        <v>2104</v>
      </c>
      <c r="D538">
        <v>91829</v>
      </c>
      <c r="E538">
        <v>2.5499999999999998</v>
      </c>
      <c r="F538">
        <v>57505.550430000003</v>
      </c>
      <c r="G538">
        <v>57.506</v>
      </c>
      <c r="H538">
        <v>0.60899999999999999</v>
      </c>
      <c r="I538">
        <v>4</v>
      </c>
      <c r="J538">
        <v>1762</v>
      </c>
      <c r="K538">
        <v>0.36768624700000002</v>
      </c>
      <c r="L538">
        <v>0.57899999999999996</v>
      </c>
      <c r="M538">
        <v>3</v>
      </c>
      <c r="N538">
        <v>0.27700000000000002</v>
      </c>
      <c r="O538">
        <v>2</v>
      </c>
      <c r="P538">
        <v>2</v>
      </c>
      <c r="S538" s="59" t="s">
        <v>944</v>
      </c>
    </row>
    <row r="539" spans="1:19" x14ac:dyDescent="0.2">
      <c r="A539" t="s">
        <v>2105</v>
      </c>
      <c r="B539">
        <v>9009141200</v>
      </c>
      <c r="C539" t="s">
        <v>2106</v>
      </c>
      <c r="D539">
        <v>40625</v>
      </c>
      <c r="E539">
        <v>2.71</v>
      </c>
      <c r="F539">
        <v>24677.93003</v>
      </c>
      <c r="G539">
        <v>24.678000000000001</v>
      </c>
      <c r="H539">
        <v>0.108</v>
      </c>
      <c r="I539">
        <v>1</v>
      </c>
      <c r="J539">
        <v>1226</v>
      </c>
      <c r="K539">
        <v>0.59616021200000002</v>
      </c>
      <c r="L539">
        <v>0.91900000000000004</v>
      </c>
      <c r="M539">
        <v>5</v>
      </c>
      <c r="N539">
        <v>0.74299999999999999</v>
      </c>
      <c r="O539">
        <v>4</v>
      </c>
      <c r="P539">
        <v>5</v>
      </c>
      <c r="S539" s="57" t="s">
        <v>936</v>
      </c>
    </row>
    <row r="540" spans="1:19" x14ac:dyDescent="0.2">
      <c r="A540" t="s">
        <v>2107</v>
      </c>
      <c r="B540">
        <v>9009141300</v>
      </c>
      <c r="C540" t="s">
        <v>2108</v>
      </c>
      <c r="D540">
        <v>36304</v>
      </c>
      <c r="E540">
        <v>2.2200000000000002</v>
      </c>
      <c r="F540">
        <v>24365.649430000001</v>
      </c>
      <c r="G540">
        <v>24.366</v>
      </c>
      <c r="H540">
        <v>0.105</v>
      </c>
      <c r="I540">
        <v>1</v>
      </c>
      <c r="J540">
        <v>1165</v>
      </c>
      <c r="K540">
        <v>0.57375856300000005</v>
      </c>
      <c r="L540">
        <v>0.90600000000000003</v>
      </c>
      <c r="M540">
        <v>5</v>
      </c>
      <c r="N540">
        <v>0.81100000000000005</v>
      </c>
      <c r="O540">
        <v>5</v>
      </c>
      <c r="P540">
        <v>5</v>
      </c>
      <c r="S540" s="59" t="s">
        <v>936</v>
      </c>
    </row>
    <row r="541" spans="1:19" x14ac:dyDescent="0.2">
      <c r="A541" t="s">
        <v>2109</v>
      </c>
      <c r="B541">
        <v>9009141400</v>
      </c>
      <c r="C541" t="s">
        <v>2110</v>
      </c>
      <c r="D541">
        <v>51489</v>
      </c>
      <c r="E541">
        <v>2.87</v>
      </c>
      <c r="F541">
        <v>30392.995709999999</v>
      </c>
      <c r="G541">
        <v>30.393000000000001</v>
      </c>
      <c r="H541">
        <v>0.17599999999999999</v>
      </c>
      <c r="I541">
        <v>1</v>
      </c>
      <c r="J541">
        <v>1400</v>
      </c>
      <c r="K541">
        <v>0.55275893700000001</v>
      </c>
      <c r="L541">
        <v>0.88800000000000001</v>
      </c>
      <c r="M541">
        <v>5</v>
      </c>
      <c r="N541">
        <v>0.56899999999999995</v>
      </c>
      <c r="O541">
        <v>3</v>
      </c>
      <c r="P541">
        <v>4</v>
      </c>
      <c r="S541" s="57" t="s">
        <v>944</v>
      </c>
    </row>
    <row r="542" spans="1:19" x14ac:dyDescent="0.2">
      <c r="A542" t="s">
        <v>2111</v>
      </c>
      <c r="B542">
        <v>9009141500</v>
      </c>
      <c r="C542" t="s">
        <v>2112</v>
      </c>
      <c r="D542">
        <v>26324</v>
      </c>
      <c r="E542">
        <v>2.89</v>
      </c>
      <c r="F542">
        <v>15484.70588</v>
      </c>
      <c r="G542">
        <v>15.484999999999999</v>
      </c>
      <c r="H542">
        <v>2.3E-2</v>
      </c>
      <c r="I542">
        <v>1</v>
      </c>
      <c r="J542">
        <v>1082</v>
      </c>
      <c r="K542">
        <v>0.83850478699999997</v>
      </c>
      <c r="L542">
        <v>0.98899999999999999</v>
      </c>
      <c r="M542">
        <v>5</v>
      </c>
      <c r="N542">
        <v>0.88700000000000001</v>
      </c>
      <c r="O542">
        <v>5</v>
      </c>
      <c r="P542">
        <v>5</v>
      </c>
      <c r="S542" s="59" t="s">
        <v>936</v>
      </c>
    </row>
    <row r="543" spans="1:19" x14ac:dyDescent="0.2">
      <c r="A543" t="s">
        <v>2113</v>
      </c>
      <c r="B543">
        <v>9009141600</v>
      </c>
      <c r="C543" t="s">
        <v>2114</v>
      </c>
      <c r="D543">
        <v>32110</v>
      </c>
      <c r="E543">
        <v>2.3199999999999998</v>
      </c>
      <c r="F543">
        <v>21081.247800000001</v>
      </c>
      <c r="G543">
        <v>21.081</v>
      </c>
      <c r="H543">
        <v>7.0000000000000007E-2</v>
      </c>
      <c r="I543">
        <v>1</v>
      </c>
      <c r="J543">
        <v>1067</v>
      </c>
      <c r="K543">
        <v>0.60736442700000004</v>
      </c>
      <c r="L543">
        <v>0.92500000000000004</v>
      </c>
      <c r="M543">
        <v>5</v>
      </c>
      <c r="N543">
        <v>0.89800000000000002</v>
      </c>
      <c r="O543">
        <v>5</v>
      </c>
      <c r="P543">
        <v>5</v>
      </c>
      <c r="S543" s="57" t="s">
        <v>936</v>
      </c>
    </row>
    <row r="544" spans="1:19" x14ac:dyDescent="0.2">
      <c r="A544" t="s">
        <v>2115</v>
      </c>
      <c r="B544">
        <v>9009141800</v>
      </c>
      <c r="C544" t="s">
        <v>2116</v>
      </c>
      <c r="D544">
        <v>54167</v>
      </c>
      <c r="E544">
        <v>2.56</v>
      </c>
      <c r="F544">
        <v>33854.375</v>
      </c>
      <c r="G544">
        <v>33.853999999999999</v>
      </c>
      <c r="H544">
        <v>0.221</v>
      </c>
      <c r="I544">
        <v>2</v>
      </c>
      <c r="J544">
        <v>1373</v>
      </c>
      <c r="K544">
        <v>0.48667269699999999</v>
      </c>
      <c r="L544">
        <v>0.82899999999999996</v>
      </c>
      <c r="M544">
        <v>5</v>
      </c>
      <c r="N544">
        <v>0.58699999999999997</v>
      </c>
      <c r="O544">
        <v>3</v>
      </c>
      <c r="P544">
        <v>4</v>
      </c>
      <c r="S544" s="59" t="s">
        <v>944</v>
      </c>
    </row>
    <row r="545" spans="1:19" x14ac:dyDescent="0.2">
      <c r="A545" t="s">
        <v>2117</v>
      </c>
      <c r="B545">
        <v>9009141900</v>
      </c>
      <c r="C545" t="s">
        <v>2118</v>
      </c>
      <c r="D545">
        <v>83925</v>
      </c>
      <c r="E545">
        <v>2.35</v>
      </c>
      <c r="F545">
        <v>54746.633529999999</v>
      </c>
      <c r="G545">
        <v>54.747</v>
      </c>
      <c r="H545">
        <v>0.55400000000000005</v>
      </c>
      <c r="I545">
        <v>3</v>
      </c>
      <c r="J545">
        <v>1703</v>
      </c>
      <c r="K545">
        <v>0.37328322600000002</v>
      </c>
      <c r="L545">
        <v>0.60699999999999998</v>
      </c>
      <c r="M545">
        <v>4</v>
      </c>
      <c r="N545">
        <v>0.31</v>
      </c>
      <c r="O545">
        <v>2</v>
      </c>
      <c r="P545">
        <v>3</v>
      </c>
      <c r="S545" s="57" t="s">
        <v>944</v>
      </c>
    </row>
    <row r="546" spans="1:19" x14ac:dyDescent="0.2">
      <c r="A546" t="s">
        <v>2119</v>
      </c>
      <c r="B546">
        <v>9009142000</v>
      </c>
      <c r="C546" t="s">
        <v>2120</v>
      </c>
      <c r="D546">
        <v>51138</v>
      </c>
      <c r="E546">
        <v>1.76</v>
      </c>
      <c r="F546">
        <v>38546.717850000001</v>
      </c>
      <c r="G546">
        <v>38.546999999999997</v>
      </c>
      <c r="H546">
        <v>0.27</v>
      </c>
      <c r="I546">
        <v>2</v>
      </c>
      <c r="J546">
        <v>1446</v>
      </c>
      <c r="K546">
        <v>0.450155058</v>
      </c>
      <c r="L546">
        <v>0.78300000000000003</v>
      </c>
      <c r="M546">
        <v>4</v>
      </c>
      <c r="N546">
        <v>0.53300000000000003</v>
      </c>
      <c r="O546">
        <v>3</v>
      </c>
      <c r="P546">
        <v>4</v>
      </c>
      <c r="S546" s="59" t="s">
        <v>944</v>
      </c>
    </row>
    <row r="547" spans="1:19" x14ac:dyDescent="0.2">
      <c r="A547" t="s">
        <v>2121</v>
      </c>
      <c r="B547">
        <v>9009142100</v>
      </c>
      <c r="C547" t="s">
        <v>2122</v>
      </c>
      <c r="D547">
        <v>44815</v>
      </c>
      <c r="E547">
        <v>2.38</v>
      </c>
      <c r="F547">
        <v>29049.24987</v>
      </c>
      <c r="G547">
        <v>29.048999999999999</v>
      </c>
      <c r="H547">
        <v>0.151</v>
      </c>
      <c r="I547">
        <v>1</v>
      </c>
      <c r="J547">
        <v>1308</v>
      </c>
      <c r="K547">
        <v>0.54032376299999996</v>
      </c>
      <c r="L547">
        <v>0.88</v>
      </c>
      <c r="M547">
        <v>5</v>
      </c>
      <c r="N547">
        <v>0.64800000000000002</v>
      </c>
      <c r="O547">
        <v>4</v>
      </c>
      <c r="P547">
        <v>5</v>
      </c>
      <c r="S547" s="57" t="s">
        <v>936</v>
      </c>
    </row>
    <row r="548" spans="1:19" x14ac:dyDescent="0.2">
      <c r="A548" t="s">
        <v>2123</v>
      </c>
      <c r="B548">
        <v>9009142200</v>
      </c>
      <c r="C548" t="s">
        <v>2124</v>
      </c>
      <c r="D548">
        <v>67917</v>
      </c>
      <c r="E548">
        <v>1.6</v>
      </c>
      <c r="F548">
        <v>53693.102959999997</v>
      </c>
      <c r="G548">
        <v>53.692999999999998</v>
      </c>
      <c r="H548">
        <v>0.53700000000000003</v>
      </c>
      <c r="I548">
        <v>3</v>
      </c>
      <c r="J548">
        <v>1487</v>
      </c>
      <c r="K548">
        <v>0.33233318699999997</v>
      </c>
      <c r="L548">
        <v>0.379</v>
      </c>
      <c r="M548">
        <v>2</v>
      </c>
      <c r="N548">
        <v>0.496</v>
      </c>
      <c r="O548">
        <v>3</v>
      </c>
      <c r="P548">
        <v>3</v>
      </c>
      <c r="S548" s="59" t="s">
        <v>944</v>
      </c>
    </row>
    <row r="549" spans="1:19" x14ac:dyDescent="0.2">
      <c r="A549" t="s">
        <v>2125</v>
      </c>
      <c r="B549">
        <v>9009142300</v>
      </c>
      <c r="C549" t="s">
        <v>2126</v>
      </c>
      <c r="D549">
        <v>37481</v>
      </c>
      <c r="E549">
        <v>2.76</v>
      </c>
      <c r="F549">
        <v>22560.910800000001</v>
      </c>
      <c r="G549">
        <v>22.561</v>
      </c>
      <c r="H549">
        <v>8.7999999999999995E-2</v>
      </c>
      <c r="I549">
        <v>1</v>
      </c>
      <c r="J549">
        <v>1269</v>
      </c>
      <c r="K549">
        <v>0.67497275000000001</v>
      </c>
      <c r="L549">
        <v>0.95399999999999996</v>
      </c>
      <c r="M549">
        <v>5</v>
      </c>
      <c r="N549">
        <v>0.68899999999999995</v>
      </c>
      <c r="O549">
        <v>4</v>
      </c>
      <c r="P549">
        <v>5</v>
      </c>
      <c r="S549" s="57" t="s">
        <v>936</v>
      </c>
    </row>
    <row r="550" spans="1:19" x14ac:dyDescent="0.2">
      <c r="A550" t="s">
        <v>2127</v>
      </c>
      <c r="B550">
        <v>9009142400</v>
      </c>
      <c r="C550" t="s">
        <v>2128</v>
      </c>
      <c r="D550">
        <v>36058</v>
      </c>
      <c r="E550">
        <v>3.28</v>
      </c>
      <c r="F550">
        <v>19909.699840000001</v>
      </c>
      <c r="G550">
        <v>19.91</v>
      </c>
      <c r="H550">
        <v>5.7000000000000002E-2</v>
      </c>
      <c r="I550">
        <v>1</v>
      </c>
      <c r="J550">
        <v>1247</v>
      </c>
      <c r="K550">
        <v>0.75159345</v>
      </c>
      <c r="L550">
        <v>0.97799999999999998</v>
      </c>
      <c r="M550">
        <v>5</v>
      </c>
      <c r="N550">
        <v>0.71699999999999997</v>
      </c>
      <c r="O550">
        <v>4</v>
      </c>
      <c r="P550">
        <v>5</v>
      </c>
      <c r="S550" s="59" t="s">
        <v>936</v>
      </c>
    </row>
    <row r="551" spans="1:19" x14ac:dyDescent="0.2">
      <c r="A551" t="s">
        <v>2129</v>
      </c>
      <c r="B551">
        <v>9009142500</v>
      </c>
      <c r="C551" t="s">
        <v>2130</v>
      </c>
      <c r="D551">
        <v>42095</v>
      </c>
      <c r="E551">
        <v>2.79</v>
      </c>
      <c r="F551">
        <v>25201.617300000002</v>
      </c>
      <c r="G551">
        <v>25.202000000000002</v>
      </c>
      <c r="H551">
        <v>0.114</v>
      </c>
      <c r="I551">
        <v>1</v>
      </c>
      <c r="J551">
        <v>1195</v>
      </c>
      <c r="K551">
        <v>0.56901110099999996</v>
      </c>
      <c r="L551">
        <v>0.90300000000000002</v>
      </c>
      <c r="M551">
        <v>5</v>
      </c>
      <c r="N551">
        <v>0.77300000000000002</v>
      </c>
      <c r="O551">
        <v>4</v>
      </c>
      <c r="P551">
        <v>5</v>
      </c>
      <c r="S551" s="57" t="s">
        <v>936</v>
      </c>
    </row>
    <row r="552" spans="1:19" x14ac:dyDescent="0.2">
      <c r="A552" t="s">
        <v>2131</v>
      </c>
      <c r="B552">
        <v>9009142601</v>
      </c>
      <c r="C552" t="s">
        <v>2132</v>
      </c>
      <c r="D552">
        <v>55399</v>
      </c>
      <c r="E552">
        <v>2.61</v>
      </c>
      <c r="F552">
        <v>34291.120130000003</v>
      </c>
      <c r="G552">
        <v>34.290999999999997</v>
      </c>
      <c r="H552">
        <v>0.23</v>
      </c>
      <c r="I552">
        <v>2</v>
      </c>
      <c r="J552">
        <v>1198</v>
      </c>
      <c r="K552">
        <v>0.41923389900000002</v>
      </c>
      <c r="L552">
        <v>0.71799999999999997</v>
      </c>
      <c r="M552">
        <v>4</v>
      </c>
      <c r="N552">
        <v>0.76700000000000002</v>
      </c>
      <c r="O552">
        <v>4</v>
      </c>
      <c r="P552">
        <v>4</v>
      </c>
      <c r="S552" s="59" t="s">
        <v>944</v>
      </c>
    </row>
    <row r="553" spans="1:19" x14ac:dyDescent="0.2">
      <c r="A553" t="s">
        <v>2133</v>
      </c>
      <c r="B553">
        <v>9009142603</v>
      </c>
      <c r="C553" t="s">
        <v>2134</v>
      </c>
      <c r="D553">
        <v>19593</v>
      </c>
      <c r="E553">
        <v>1.86</v>
      </c>
      <c r="F553">
        <v>14366.28462</v>
      </c>
      <c r="G553">
        <v>14.366</v>
      </c>
      <c r="H553">
        <v>1.4E-2</v>
      </c>
      <c r="I553">
        <v>1</v>
      </c>
      <c r="J553">
        <v>715</v>
      </c>
      <c r="K553">
        <v>0.59723165899999997</v>
      </c>
      <c r="L553">
        <v>0.92200000000000004</v>
      </c>
      <c r="M553">
        <v>5</v>
      </c>
      <c r="N553">
        <v>0.99199999999999999</v>
      </c>
      <c r="O553">
        <v>5</v>
      </c>
      <c r="P553">
        <v>5</v>
      </c>
      <c r="S553" s="57" t="s">
        <v>936</v>
      </c>
    </row>
    <row r="554" spans="1:19" x14ac:dyDescent="0.2">
      <c r="A554" t="s">
        <v>2135</v>
      </c>
      <c r="B554">
        <v>9009142604</v>
      </c>
      <c r="C554" t="s">
        <v>2136</v>
      </c>
      <c r="D554">
        <v>73411</v>
      </c>
      <c r="E554">
        <v>2.5499999999999998</v>
      </c>
      <c r="F554">
        <v>45971.751429999997</v>
      </c>
      <c r="G554">
        <v>45.972000000000001</v>
      </c>
      <c r="H554">
        <v>0.38200000000000001</v>
      </c>
      <c r="I554">
        <v>2</v>
      </c>
      <c r="J554">
        <v>1442</v>
      </c>
      <c r="K554">
        <v>0.37640506299999998</v>
      </c>
      <c r="L554">
        <v>0.62</v>
      </c>
      <c r="M554">
        <v>4</v>
      </c>
      <c r="N554">
        <v>0.53700000000000003</v>
      </c>
      <c r="O554">
        <v>3</v>
      </c>
      <c r="P554">
        <v>4</v>
      </c>
      <c r="S554" s="59" t="s">
        <v>944</v>
      </c>
    </row>
    <row r="555" spans="1:19" x14ac:dyDescent="0.2">
      <c r="A555" t="s">
        <v>2137</v>
      </c>
      <c r="B555">
        <v>9009142700</v>
      </c>
      <c r="C555" t="s">
        <v>2138</v>
      </c>
      <c r="D555">
        <v>41881</v>
      </c>
      <c r="E555">
        <v>3.12</v>
      </c>
      <c r="F555">
        <v>23710.447230000002</v>
      </c>
      <c r="G555">
        <v>23.71</v>
      </c>
      <c r="H555">
        <v>0.10199999999999999</v>
      </c>
      <c r="I555">
        <v>1</v>
      </c>
      <c r="J555">
        <v>1365</v>
      </c>
      <c r="K555">
        <v>0.69083471299999999</v>
      </c>
      <c r="L555">
        <v>0.95799999999999996</v>
      </c>
      <c r="M555">
        <v>5</v>
      </c>
      <c r="N555">
        <v>0.59399999999999997</v>
      </c>
      <c r="O555">
        <v>3</v>
      </c>
      <c r="P555">
        <v>4</v>
      </c>
      <c r="S555" s="57" t="s">
        <v>936</v>
      </c>
    </row>
    <row r="556" spans="1:19" x14ac:dyDescent="0.2">
      <c r="A556" t="s">
        <v>2139</v>
      </c>
      <c r="B556">
        <v>9009142800</v>
      </c>
      <c r="C556" t="s">
        <v>2140</v>
      </c>
      <c r="D556">
        <v>68832</v>
      </c>
      <c r="E556">
        <v>2.13</v>
      </c>
      <c r="F556">
        <v>47162.909269999996</v>
      </c>
      <c r="G556">
        <v>47.162999999999997</v>
      </c>
      <c r="H556">
        <v>0.39900000000000002</v>
      </c>
      <c r="I556">
        <v>2</v>
      </c>
      <c r="J556">
        <v>1506</v>
      </c>
      <c r="K556">
        <v>0.38318246900000003</v>
      </c>
      <c r="L556">
        <v>0.64200000000000002</v>
      </c>
      <c r="M556">
        <v>4</v>
      </c>
      <c r="N556">
        <v>0.46800000000000003</v>
      </c>
      <c r="O556">
        <v>3</v>
      </c>
      <c r="P556">
        <v>4</v>
      </c>
      <c r="S556" s="59" t="s">
        <v>944</v>
      </c>
    </row>
    <row r="557" spans="1:19" x14ac:dyDescent="0.2">
      <c r="A557" t="s">
        <v>2141</v>
      </c>
      <c r="B557">
        <v>9009150100</v>
      </c>
      <c r="C557" t="s">
        <v>2142</v>
      </c>
      <c r="D557">
        <v>100309</v>
      </c>
      <c r="E557">
        <v>2.0699999999999998</v>
      </c>
      <c r="F557">
        <v>69719.574529999998</v>
      </c>
      <c r="G557">
        <v>69.72</v>
      </c>
      <c r="H557">
        <v>0.79800000000000004</v>
      </c>
      <c r="I557">
        <v>4</v>
      </c>
      <c r="J557">
        <v>1797</v>
      </c>
      <c r="K557">
        <v>0.30929620800000002</v>
      </c>
      <c r="L557">
        <v>0.223</v>
      </c>
      <c r="M557">
        <v>2</v>
      </c>
      <c r="N557">
        <v>0.255</v>
      </c>
      <c r="O557">
        <v>2</v>
      </c>
      <c r="P557">
        <v>2</v>
      </c>
      <c r="S557" s="57" t="s">
        <v>944</v>
      </c>
    </row>
    <row r="558" spans="1:19" x14ac:dyDescent="0.2">
      <c r="A558" t="s">
        <v>2143</v>
      </c>
      <c r="B558">
        <v>9009150200</v>
      </c>
      <c r="C558" t="s">
        <v>2144</v>
      </c>
      <c r="D558">
        <v>71295</v>
      </c>
      <c r="E558">
        <v>2.23</v>
      </c>
      <c r="F558">
        <v>47742.663249999998</v>
      </c>
      <c r="G558">
        <v>47.743000000000002</v>
      </c>
      <c r="H558">
        <v>0.42</v>
      </c>
      <c r="I558">
        <v>3</v>
      </c>
      <c r="J558">
        <v>1571</v>
      </c>
      <c r="K558">
        <v>0.39486695399999999</v>
      </c>
      <c r="L558">
        <v>0.67200000000000004</v>
      </c>
      <c r="M558">
        <v>4</v>
      </c>
      <c r="N558">
        <v>0.41399999999999998</v>
      </c>
      <c r="O558">
        <v>3</v>
      </c>
      <c r="P558">
        <v>3</v>
      </c>
      <c r="S558" s="59" t="s">
        <v>944</v>
      </c>
    </row>
    <row r="559" spans="1:19" x14ac:dyDescent="0.2">
      <c r="A559" t="s">
        <v>2145</v>
      </c>
      <c r="B559">
        <v>9009150300</v>
      </c>
      <c r="C559" t="s">
        <v>2146</v>
      </c>
      <c r="D559">
        <v>88063</v>
      </c>
      <c r="E559">
        <v>2.35</v>
      </c>
      <c r="F559">
        <v>57445.967100000002</v>
      </c>
      <c r="G559">
        <v>57.445999999999998</v>
      </c>
      <c r="H559">
        <v>0.60599999999999998</v>
      </c>
      <c r="I559">
        <v>4</v>
      </c>
      <c r="J559">
        <v>1618</v>
      </c>
      <c r="K559">
        <v>0.33798717299999997</v>
      </c>
      <c r="L559">
        <v>0.40899999999999997</v>
      </c>
      <c r="M559">
        <v>3</v>
      </c>
      <c r="N559">
        <v>0.372</v>
      </c>
      <c r="O559">
        <v>2</v>
      </c>
      <c r="P559">
        <v>2</v>
      </c>
      <c r="S559" s="57" t="s">
        <v>944</v>
      </c>
    </row>
    <row r="560" spans="1:19" x14ac:dyDescent="0.2">
      <c r="A560" t="s">
        <v>2147</v>
      </c>
      <c r="B560">
        <v>9009150400</v>
      </c>
      <c r="C560" t="s">
        <v>2148</v>
      </c>
      <c r="D560">
        <v>65218</v>
      </c>
      <c r="E560">
        <v>2.13</v>
      </c>
      <c r="F560">
        <v>44686.637280000003</v>
      </c>
      <c r="G560">
        <v>44.686999999999998</v>
      </c>
      <c r="H560">
        <v>0.36299999999999999</v>
      </c>
      <c r="I560">
        <v>2</v>
      </c>
      <c r="J560">
        <v>1515</v>
      </c>
      <c r="K560">
        <v>0.40683302900000001</v>
      </c>
      <c r="L560">
        <v>0.69699999999999995</v>
      </c>
      <c r="M560">
        <v>4</v>
      </c>
      <c r="N560">
        <v>0.45800000000000002</v>
      </c>
      <c r="O560">
        <v>3</v>
      </c>
      <c r="P560">
        <v>4</v>
      </c>
      <c r="S560" s="59" t="s">
        <v>944</v>
      </c>
    </row>
    <row r="561" spans="1:19" x14ac:dyDescent="0.2">
      <c r="A561" t="s">
        <v>2149</v>
      </c>
      <c r="B561">
        <v>9009150500</v>
      </c>
      <c r="C561" t="s">
        <v>2150</v>
      </c>
      <c r="D561">
        <v>90000</v>
      </c>
      <c r="E561">
        <v>2.56</v>
      </c>
      <c r="F561">
        <v>56250</v>
      </c>
      <c r="G561">
        <v>56.25</v>
      </c>
      <c r="H561">
        <v>0.58399999999999996</v>
      </c>
      <c r="I561">
        <v>3</v>
      </c>
      <c r="J561">
        <v>1798</v>
      </c>
      <c r="K561">
        <v>0.38357333300000002</v>
      </c>
      <c r="L561">
        <v>0.64400000000000002</v>
      </c>
      <c r="M561">
        <v>4</v>
      </c>
      <c r="N561">
        <v>0.252</v>
      </c>
      <c r="O561">
        <v>2</v>
      </c>
      <c r="P561">
        <v>3</v>
      </c>
      <c r="S561" s="57" t="s">
        <v>944</v>
      </c>
    </row>
    <row r="562" spans="1:19" x14ac:dyDescent="0.2">
      <c r="A562" t="s">
        <v>2151</v>
      </c>
      <c r="B562">
        <v>9009150600</v>
      </c>
      <c r="C562" t="s">
        <v>2152</v>
      </c>
      <c r="D562">
        <v>103598</v>
      </c>
      <c r="E562">
        <v>2.69</v>
      </c>
      <c r="F562">
        <v>63164.815399999999</v>
      </c>
      <c r="G562">
        <v>63.164999999999999</v>
      </c>
      <c r="H562">
        <v>0.71</v>
      </c>
      <c r="I562">
        <v>4</v>
      </c>
      <c r="J562">
        <v>1613</v>
      </c>
      <c r="K562">
        <v>0.30643642199999999</v>
      </c>
      <c r="L562">
        <v>0.20799999999999999</v>
      </c>
      <c r="M562">
        <v>2</v>
      </c>
      <c r="N562">
        <v>0.376</v>
      </c>
      <c r="O562">
        <v>2</v>
      </c>
      <c r="P562">
        <v>2</v>
      </c>
      <c r="S562" s="59" t="s">
        <v>944</v>
      </c>
    </row>
    <row r="563" spans="1:19" x14ac:dyDescent="0.2">
      <c r="A563" t="s">
        <v>2153</v>
      </c>
      <c r="B563">
        <v>9009150700</v>
      </c>
      <c r="C563" t="s">
        <v>2154</v>
      </c>
      <c r="D563">
        <v>128750</v>
      </c>
      <c r="E563">
        <v>2.82</v>
      </c>
      <c r="F563">
        <v>76669.509279999998</v>
      </c>
      <c r="G563">
        <v>76.67</v>
      </c>
      <c r="H563">
        <v>0.85899999999999999</v>
      </c>
      <c r="I563">
        <v>5</v>
      </c>
      <c r="J563">
        <v>2032</v>
      </c>
      <c r="K563">
        <v>0.31804038200000001</v>
      </c>
      <c r="L563">
        <v>0.27300000000000002</v>
      </c>
      <c r="M563">
        <v>2</v>
      </c>
      <c r="N563">
        <v>0.157</v>
      </c>
      <c r="O563">
        <v>1</v>
      </c>
      <c r="P563">
        <v>1</v>
      </c>
      <c r="S563" s="57" t="s">
        <v>944</v>
      </c>
    </row>
    <row r="564" spans="1:19" x14ac:dyDescent="0.2">
      <c r="A564" t="s">
        <v>2155</v>
      </c>
      <c r="B564">
        <v>9009150800</v>
      </c>
      <c r="C564" t="s">
        <v>2156</v>
      </c>
      <c r="D564">
        <v>87647</v>
      </c>
      <c r="E564">
        <v>2.33</v>
      </c>
      <c r="F564">
        <v>57419.458830000003</v>
      </c>
      <c r="G564">
        <v>57.418999999999997</v>
      </c>
      <c r="H564">
        <v>0.60499999999999998</v>
      </c>
      <c r="I564">
        <v>4</v>
      </c>
      <c r="J564">
        <v>1661</v>
      </c>
      <c r="K564">
        <v>0.34712970799999998</v>
      </c>
      <c r="L564">
        <v>0.46400000000000002</v>
      </c>
      <c r="M564">
        <v>3</v>
      </c>
      <c r="N564">
        <v>0.33700000000000002</v>
      </c>
      <c r="O564">
        <v>2</v>
      </c>
      <c r="P564">
        <v>2</v>
      </c>
      <c r="S564" s="59" t="s">
        <v>944</v>
      </c>
    </row>
    <row r="565" spans="1:19" x14ac:dyDescent="0.2">
      <c r="A565" t="s">
        <v>2157</v>
      </c>
      <c r="B565">
        <v>9009150900</v>
      </c>
      <c r="C565" t="s">
        <v>2158</v>
      </c>
      <c r="D565">
        <v>117625</v>
      </c>
      <c r="E565">
        <v>2.6</v>
      </c>
      <c r="F565">
        <v>72947.928279999993</v>
      </c>
      <c r="G565">
        <v>72.947999999999993</v>
      </c>
      <c r="H565">
        <v>0.83399999999999996</v>
      </c>
      <c r="I565">
        <v>5</v>
      </c>
      <c r="J565">
        <v>1927</v>
      </c>
      <c r="K565">
        <v>0.31699323800000001</v>
      </c>
      <c r="L565">
        <v>0.26300000000000001</v>
      </c>
      <c r="M565">
        <v>2</v>
      </c>
      <c r="N565">
        <v>0.19500000000000001</v>
      </c>
      <c r="O565">
        <v>1</v>
      </c>
      <c r="P565">
        <v>1</v>
      </c>
      <c r="S565" s="57" t="s">
        <v>944</v>
      </c>
    </row>
    <row r="566" spans="1:19" x14ac:dyDescent="0.2">
      <c r="A566" t="s">
        <v>2159</v>
      </c>
      <c r="B566">
        <v>9009151000</v>
      </c>
      <c r="C566" t="s">
        <v>2160</v>
      </c>
      <c r="D566">
        <v>87227</v>
      </c>
      <c r="E566">
        <v>2.04</v>
      </c>
      <c r="F566">
        <v>61071.115440000001</v>
      </c>
      <c r="G566">
        <v>61.070999999999998</v>
      </c>
      <c r="H566">
        <v>0.67300000000000004</v>
      </c>
      <c r="I566">
        <v>4</v>
      </c>
      <c r="J566">
        <v>1786</v>
      </c>
      <c r="K566">
        <v>0.35093513300000001</v>
      </c>
      <c r="L566">
        <v>0.48499999999999999</v>
      </c>
      <c r="M566">
        <v>3</v>
      </c>
      <c r="N566">
        <v>0.26</v>
      </c>
      <c r="O566">
        <v>2</v>
      </c>
      <c r="P566">
        <v>2</v>
      </c>
      <c r="S566" s="59" t="s">
        <v>944</v>
      </c>
    </row>
    <row r="567" spans="1:19" x14ac:dyDescent="0.2">
      <c r="A567" t="s">
        <v>2161</v>
      </c>
      <c r="B567">
        <v>9009151100</v>
      </c>
      <c r="C567" t="s">
        <v>2162</v>
      </c>
      <c r="D567">
        <v>96916</v>
      </c>
      <c r="E567">
        <v>2.5299999999999998</v>
      </c>
      <c r="F567">
        <v>60930.567159999999</v>
      </c>
      <c r="G567">
        <v>60.930999999999997</v>
      </c>
      <c r="H567">
        <v>0.66900000000000004</v>
      </c>
      <c r="I567">
        <v>4</v>
      </c>
      <c r="J567">
        <v>1905</v>
      </c>
      <c r="K567">
        <v>0.37518114600000002</v>
      </c>
      <c r="L567">
        <v>0.61399999999999999</v>
      </c>
      <c r="M567">
        <v>4</v>
      </c>
      <c r="N567">
        <v>0.21</v>
      </c>
      <c r="O567">
        <v>2</v>
      </c>
      <c r="P567">
        <v>2</v>
      </c>
      <c r="S567" s="57" t="s">
        <v>944</v>
      </c>
    </row>
    <row r="568" spans="1:19" x14ac:dyDescent="0.2">
      <c r="A568" t="s">
        <v>2163</v>
      </c>
      <c r="B568">
        <v>9009151200</v>
      </c>
      <c r="C568" t="s">
        <v>2164</v>
      </c>
      <c r="D568">
        <v>84688</v>
      </c>
      <c r="E568">
        <v>2.4700000000000002</v>
      </c>
      <c r="F568">
        <v>53885.684009999997</v>
      </c>
      <c r="G568">
        <v>53.886000000000003</v>
      </c>
      <c r="H568">
        <v>0.54</v>
      </c>
      <c r="I568">
        <v>3</v>
      </c>
      <c r="J568">
        <v>1663</v>
      </c>
      <c r="K568">
        <v>0.37033955099999999</v>
      </c>
      <c r="L568">
        <v>0.59199999999999997</v>
      </c>
      <c r="M568">
        <v>3</v>
      </c>
      <c r="N568">
        <v>0.33400000000000002</v>
      </c>
      <c r="O568">
        <v>2</v>
      </c>
      <c r="P568">
        <v>3</v>
      </c>
      <c r="S568" s="59" t="s">
        <v>944</v>
      </c>
    </row>
    <row r="569" spans="1:19" x14ac:dyDescent="0.2">
      <c r="A569" t="s">
        <v>2165</v>
      </c>
      <c r="B569">
        <v>9009154100</v>
      </c>
      <c r="C569" t="s">
        <v>2166</v>
      </c>
      <c r="D569">
        <v>67314</v>
      </c>
      <c r="E569">
        <v>2.78</v>
      </c>
      <c r="F569">
        <v>40372.254330000003</v>
      </c>
      <c r="G569">
        <v>40.372</v>
      </c>
      <c r="H569">
        <v>0.30099999999999999</v>
      </c>
      <c r="I569">
        <v>2</v>
      </c>
      <c r="J569">
        <v>1320</v>
      </c>
      <c r="K569">
        <v>0.39234866299999999</v>
      </c>
      <c r="L569">
        <v>0.66900000000000004</v>
      </c>
      <c r="M569">
        <v>4</v>
      </c>
      <c r="N569">
        <v>0.63400000000000001</v>
      </c>
      <c r="O569">
        <v>4</v>
      </c>
      <c r="P569">
        <v>4</v>
      </c>
      <c r="S569" s="57" t="s">
        <v>944</v>
      </c>
    </row>
    <row r="570" spans="1:19" x14ac:dyDescent="0.2">
      <c r="A570" t="s">
        <v>2167</v>
      </c>
      <c r="B570">
        <v>9009154200</v>
      </c>
      <c r="C570" t="s">
        <v>2168</v>
      </c>
      <c r="D570">
        <v>56438</v>
      </c>
      <c r="E570">
        <v>2.48</v>
      </c>
      <c r="F570">
        <v>35838.165840000001</v>
      </c>
      <c r="G570">
        <v>35.838000000000001</v>
      </c>
      <c r="H570">
        <v>0.245</v>
      </c>
      <c r="I570">
        <v>2</v>
      </c>
      <c r="J570">
        <v>1270</v>
      </c>
      <c r="K570">
        <v>0.42524497700000002</v>
      </c>
      <c r="L570">
        <v>0.74199999999999999</v>
      </c>
      <c r="M570">
        <v>4</v>
      </c>
      <c r="N570">
        <v>0.68500000000000005</v>
      </c>
      <c r="O570">
        <v>4</v>
      </c>
      <c r="P570">
        <v>4</v>
      </c>
      <c r="S570" s="59" t="s">
        <v>944</v>
      </c>
    </row>
    <row r="571" spans="1:19" x14ac:dyDescent="0.2">
      <c r="A571" t="s">
        <v>2169</v>
      </c>
      <c r="B571">
        <v>9009154500</v>
      </c>
      <c r="C571" t="s">
        <v>2170</v>
      </c>
      <c r="D571">
        <v>45875</v>
      </c>
      <c r="E571">
        <v>2.46</v>
      </c>
      <c r="F571">
        <v>29248.831709999999</v>
      </c>
      <c r="G571">
        <v>29.248999999999999</v>
      </c>
      <c r="H571">
        <v>0.156</v>
      </c>
      <c r="I571">
        <v>1</v>
      </c>
      <c r="J571">
        <v>1230</v>
      </c>
      <c r="K571">
        <v>0.50463554099999997</v>
      </c>
      <c r="L571">
        <v>0.85099999999999998</v>
      </c>
      <c r="M571">
        <v>5</v>
      </c>
      <c r="N571">
        <v>0.73499999999999999</v>
      </c>
      <c r="O571">
        <v>4</v>
      </c>
      <c r="P571">
        <v>5</v>
      </c>
      <c r="S571" s="57" t="s">
        <v>936</v>
      </c>
    </row>
    <row r="572" spans="1:19" x14ac:dyDescent="0.2">
      <c r="A572" t="s">
        <v>2171</v>
      </c>
      <c r="B572">
        <v>9009154600</v>
      </c>
      <c r="C572" t="s">
        <v>2172</v>
      </c>
      <c r="D572">
        <v>47183</v>
      </c>
      <c r="E572">
        <v>2.52</v>
      </c>
      <c r="F572">
        <v>29722.496220000001</v>
      </c>
      <c r="G572">
        <v>29.722000000000001</v>
      </c>
      <c r="H572">
        <v>0.16500000000000001</v>
      </c>
      <c r="I572">
        <v>1</v>
      </c>
      <c r="J572">
        <v>1210</v>
      </c>
      <c r="K572">
        <v>0.48851886100000003</v>
      </c>
      <c r="L572">
        <v>0.83</v>
      </c>
      <c r="M572">
        <v>5</v>
      </c>
      <c r="N572">
        <v>0.755</v>
      </c>
      <c r="O572">
        <v>4</v>
      </c>
      <c r="P572">
        <v>5</v>
      </c>
      <c r="S572" s="59" t="s">
        <v>944</v>
      </c>
    </row>
    <row r="573" spans="1:19" x14ac:dyDescent="0.2">
      <c r="A573" t="s">
        <v>2173</v>
      </c>
      <c r="B573">
        <v>9009154700</v>
      </c>
      <c r="C573" t="s">
        <v>2174</v>
      </c>
      <c r="D573">
        <v>93632</v>
      </c>
      <c r="E573">
        <v>2.85</v>
      </c>
      <c r="F573">
        <v>55462.810120000002</v>
      </c>
      <c r="G573">
        <v>55.463000000000001</v>
      </c>
      <c r="H573">
        <v>0.57199999999999995</v>
      </c>
      <c r="I573">
        <v>3</v>
      </c>
      <c r="J573">
        <v>1699</v>
      </c>
      <c r="K573">
        <v>0.36759767399999999</v>
      </c>
      <c r="L573">
        <v>0.57599999999999996</v>
      </c>
      <c r="M573">
        <v>3</v>
      </c>
      <c r="N573">
        <v>0.311</v>
      </c>
      <c r="O573">
        <v>2</v>
      </c>
      <c r="P573">
        <v>3</v>
      </c>
      <c r="S573" s="57" t="s">
        <v>944</v>
      </c>
    </row>
    <row r="574" spans="1:19" x14ac:dyDescent="0.2">
      <c r="A574" t="s">
        <v>2175</v>
      </c>
      <c r="B574">
        <v>9009154800</v>
      </c>
      <c r="C574" t="s">
        <v>2176</v>
      </c>
      <c r="D574">
        <v>89167</v>
      </c>
      <c r="E574">
        <v>2.62</v>
      </c>
      <c r="F574">
        <v>55087.556570000001</v>
      </c>
      <c r="G574">
        <v>55.088000000000001</v>
      </c>
      <c r="H574">
        <v>0.56499999999999995</v>
      </c>
      <c r="I574">
        <v>3</v>
      </c>
      <c r="J574">
        <v>1730</v>
      </c>
      <c r="K574">
        <v>0.37685461599999998</v>
      </c>
      <c r="L574">
        <v>0.621</v>
      </c>
      <c r="M574">
        <v>4</v>
      </c>
      <c r="N574">
        <v>0.29099999999999998</v>
      </c>
      <c r="O574">
        <v>2</v>
      </c>
      <c r="P574">
        <v>3</v>
      </c>
      <c r="S574" s="59" t="s">
        <v>944</v>
      </c>
    </row>
    <row r="575" spans="1:19" x14ac:dyDescent="0.2">
      <c r="A575" t="s">
        <v>2177</v>
      </c>
      <c r="B575">
        <v>9009154900</v>
      </c>
      <c r="C575" t="s">
        <v>2178</v>
      </c>
      <c r="D575">
        <v>70350</v>
      </c>
      <c r="E575">
        <v>2.57</v>
      </c>
      <c r="F575">
        <v>43883.124309999999</v>
      </c>
      <c r="G575">
        <v>43.883000000000003</v>
      </c>
      <c r="H575">
        <v>0.34899999999999998</v>
      </c>
      <c r="I575">
        <v>2</v>
      </c>
      <c r="J575">
        <v>1296</v>
      </c>
      <c r="K575">
        <v>0.35439591500000001</v>
      </c>
      <c r="L575">
        <v>0.503</v>
      </c>
      <c r="M575">
        <v>3</v>
      </c>
      <c r="N575">
        <v>0.66</v>
      </c>
      <c r="O575">
        <v>4</v>
      </c>
      <c r="P575">
        <v>4</v>
      </c>
      <c r="S575" s="57" t="s">
        <v>944</v>
      </c>
    </row>
    <row r="576" spans="1:19" x14ac:dyDescent="0.2">
      <c r="A576" t="s">
        <v>2179</v>
      </c>
      <c r="B576">
        <v>9009155000</v>
      </c>
      <c r="C576" t="s">
        <v>2180</v>
      </c>
      <c r="D576">
        <v>63715</v>
      </c>
      <c r="E576">
        <v>2.61</v>
      </c>
      <c r="F576">
        <v>39438.59491</v>
      </c>
      <c r="G576">
        <v>39.439</v>
      </c>
      <c r="H576">
        <v>0.28599999999999998</v>
      </c>
      <c r="I576">
        <v>2</v>
      </c>
      <c r="J576">
        <v>1457</v>
      </c>
      <c r="K576">
        <v>0.44332208200000001</v>
      </c>
      <c r="L576">
        <v>0.77700000000000002</v>
      </c>
      <c r="M576">
        <v>4</v>
      </c>
      <c r="N576">
        <v>0.51900000000000002</v>
      </c>
      <c r="O576">
        <v>3</v>
      </c>
      <c r="P576">
        <v>4</v>
      </c>
      <c r="S576" s="59" t="s">
        <v>944</v>
      </c>
    </row>
    <row r="577" spans="1:19" x14ac:dyDescent="0.2">
      <c r="A577" t="s">
        <v>2181</v>
      </c>
      <c r="B577">
        <v>9009155100</v>
      </c>
      <c r="C577" t="s">
        <v>2182</v>
      </c>
      <c r="D577">
        <v>41477</v>
      </c>
      <c r="E577">
        <v>1.9</v>
      </c>
      <c r="F577">
        <v>30090.578430000001</v>
      </c>
      <c r="G577">
        <v>30.091000000000001</v>
      </c>
      <c r="H577">
        <v>0.17100000000000001</v>
      </c>
      <c r="I577">
        <v>1</v>
      </c>
      <c r="J577">
        <v>1263</v>
      </c>
      <c r="K577">
        <v>0.50367925099999999</v>
      </c>
      <c r="L577">
        <v>0.85</v>
      </c>
      <c r="M577">
        <v>5</v>
      </c>
      <c r="N577">
        <v>0.7</v>
      </c>
      <c r="O577">
        <v>4</v>
      </c>
      <c r="P577">
        <v>5</v>
      </c>
      <c r="S577" s="57" t="s">
        <v>936</v>
      </c>
    </row>
    <row r="578" spans="1:19" x14ac:dyDescent="0.2">
      <c r="A578" t="s">
        <v>2183</v>
      </c>
      <c r="B578">
        <v>9009157100</v>
      </c>
      <c r="C578" t="s">
        <v>2184</v>
      </c>
      <c r="D578">
        <v>67097</v>
      </c>
      <c r="E578">
        <v>2.44</v>
      </c>
      <c r="F578">
        <v>42954.452660000003</v>
      </c>
      <c r="G578">
        <v>42.954000000000001</v>
      </c>
      <c r="H578">
        <v>0.33900000000000002</v>
      </c>
      <c r="I578">
        <v>2</v>
      </c>
      <c r="J578">
        <v>1754</v>
      </c>
      <c r="K578">
        <v>0.49000740799999998</v>
      </c>
      <c r="L578">
        <v>0.83399999999999996</v>
      </c>
      <c r="M578">
        <v>5</v>
      </c>
      <c r="N578">
        <v>0.28299999999999997</v>
      </c>
      <c r="O578">
        <v>2</v>
      </c>
      <c r="P578">
        <v>3</v>
      </c>
      <c r="S578" s="59" t="s">
        <v>944</v>
      </c>
    </row>
    <row r="579" spans="1:19" x14ac:dyDescent="0.2">
      <c r="A579" t="s">
        <v>2185</v>
      </c>
      <c r="B579">
        <v>9009157200</v>
      </c>
      <c r="C579" t="s">
        <v>2186</v>
      </c>
      <c r="D579">
        <v>129559</v>
      </c>
      <c r="E579">
        <v>3.03</v>
      </c>
      <c r="F579">
        <v>74429.700769999996</v>
      </c>
      <c r="G579">
        <v>74.430000000000007</v>
      </c>
      <c r="H579">
        <v>0.84499999999999997</v>
      </c>
      <c r="I579">
        <v>5</v>
      </c>
      <c r="J579">
        <v>2329</v>
      </c>
      <c r="K579">
        <v>0.375495262</v>
      </c>
      <c r="L579">
        <v>0.61499999999999999</v>
      </c>
      <c r="M579">
        <v>4</v>
      </c>
      <c r="N579">
        <v>0.108</v>
      </c>
      <c r="O579">
        <v>1</v>
      </c>
      <c r="P579">
        <v>1</v>
      </c>
      <c r="S579" s="57" t="s">
        <v>944</v>
      </c>
    </row>
    <row r="580" spans="1:19" x14ac:dyDescent="0.2">
      <c r="A580" t="s">
        <v>2187</v>
      </c>
      <c r="B580">
        <v>9009157300</v>
      </c>
      <c r="C580" t="s">
        <v>2188</v>
      </c>
      <c r="D580">
        <v>130888</v>
      </c>
      <c r="E580">
        <v>2.67</v>
      </c>
      <c r="F580">
        <v>80102.155150000006</v>
      </c>
      <c r="G580">
        <v>80.102000000000004</v>
      </c>
      <c r="H580">
        <v>0.878</v>
      </c>
      <c r="I580">
        <v>5</v>
      </c>
      <c r="J580">
        <v>2202</v>
      </c>
      <c r="K580">
        <v>0.32987876500000002</v>
      </c>
      <c r="L580">
        <v>0.35599999999999998</v>
      </c>
      <c r="M580">
        <v>2</v>
      </c>
      <c r="N580">
        <v>0.126</v>
      </c>
      <c r="O580">
        <v>1</v>
      </c>
      <c r="P580">
        <v>1</v>
      </c>
      <c r="S580" s="59" t="s">
        <v>944</v>
      </c>
    </row>
    <row r="581" spans="1:19" x14ac:dyDescent="0.2">
      <c r="A581" t="s">
        <v>2189</v>
      </c>
      <c r="B581">
        <v>9009157400</v>
      </c>
      <c r="C581" t="s">
        <v>2190</v>
      </c>
      <c r="D581">
        <v>138169</v>
      </c>
      <c r="E581">
        <v>2.91</v>
      </c>
      <c r="F581">
        <v>80996.102239999993</v>
      </c>
      <c r="G581">
        <v>80.995999999999995</v>
      </c>
      <c r="H581">
        <v>0.88600000000000001</v>
      </c>
      <c r="I581">
        <v>5</v>
      </c>
      <c r="J581">
        <v>2364</v>
      </c>
      <c r="K581">
        <v>0.35023907599999998</v>
      </c>
      <c r="L581">
        <v>0.47899999999999998</v>
      </c>
      <c r="M581">
        <v>3</v>
      </c>
      <c r="N581">
        <v>9.7000000000000003E-2</v>
      </c>
      <c r="O581">
        <v>1</v>
      </c>
      <c r="P581">
        <v>1</v>
      </c>
      <c r="S581" s="57" t="s">
        <v>944</v>
      </c>
    </row>
    <row r="582" spans="1:19" x14ac:dyDescent="0.2">
      <c r="A582" t="s">
        <v>2191</v>
      </c>
      <c r="B582">
        <v>9009160100</v>
      </c>
      <c r="C582" t="s">
        <v>2192</v>
      </c>
      <c r="D582">
        <v>167400</v>
      </c>
      <c r="E582">
        <v>2.88</v>
      </c>
      <c r="F582">
        <v>98641.395980000001</v>
      </c>
      <c r="G582">
        <v>98.641000000000005</v>
      </c>
      <c r="H582">
        <v>0.94199999999999995</v>
      </c>
      <c r="I582">
        <v>5</v>
      </c>
      <c r="J582">
        <v>2642</v>
      </c>
      <c r="K582">
        <v>0.32140664400000002</v>
      </c>
      <c r="L582">
        <v>0.30499999999999999</v>
      </c>
      <c r="M582">
        <v>2</v>
      </c>
      <c r="N582">
        <v>6.4000000000000001E-2</v>
      </c>
      <c r="O582">
        <v>1</v>
      </c>
      <c r="P582">
        <v>1</v>
      </c>
      <c r="S582" s="59" t="s">
        <v>944</v>
      </c>
    </row>
    <row r="583" spans="1:19" x14ac:dyDescent="0.2">
      <c r="A583" t="s">
        <v>2193</v>
      </c>
      <c r="B583">
        <v>9009160200</v>
      </c>
      <c r="C583" t="s">
        <v>2194</v>
      </c>
      <c r="D583">
        <v>149107</v>
      </c>
      <c r="E583">
        <v>3.1</v>
      </c>
      <c r="F583">
        <v>84687.085219999994</v>
      </c>
      <c r="G583">
        <v>84.686999999999998</v>
      </c>
      <c r="H583">
        <v>0.90600000000000003</v>
      </c>
      <c r="I583">
        <v>5</v>
      </c>
      <c r="J583">
        <v>2238</v>
      </c>
      <c r="K583">
        <v>0.31712037199999998</v>
      </c>
      <c r="L583">
        <v>0.26500000000000001</v>
      </c>
      <c r="M583">
        <v>2</v>
      </c>
      <c r="N583">
        <v>0.125</v>
      </c>
      <c r="O583">
        <v>1</v>
      </c>
      <c r="P583">
        <v>1</v>
      </c>
      <c r="S583" s="57" t="s">
        <v>944</v>
      </c>
    </row>
    <row r="584" spans="1:19" x14ac:dyDescent="0.2">
      <c r="A584" t="s">
        <v>2195</v>
      </c>
      <c r="B584">
        <v>9009161100</v>
      </c>
      <c r="C584" t="s">
        <v>2196</v>
      </c>
      <c r="D584">
        <v>129133</v>
      </c>
      <c r="E584">
        <v>2.73</v>
      </c>
      <c r="F584">
        <v>78154.846980000002</v>
      </c>
      <c r="G584">
        <v>78.155000000000001</v>
      </c>
      <c r="H584">
        <v>0.86499999999999999</v>
      </c>
      <c r="I584">
        <v>5</v>
      </c>
      <c r="J584">
        <v>2240</v>
      </c>
      <c r="K584">
        <v>0.34393260399999998</v>
      </c>
      <c r="L584">
        <v>0.442</v>
      </c>
      <c r="M584">
        <v>3</v>
      </c>
      <c r="N584">
        <v>0.123</v>
      </c>
      <c r="O584">
        <v>1</v>
      </c>
      <c r="P584">
        <v>1</v>
      </c>
      <c r="S584" s="59" t="s">
        <v>944</v>
      </c>
    </row>
    <row r="585" spans="1:19" x14ac:dyDescent="0.2">
      <c r="A585" t="s">
        <v>2197</v>
      </c>
      <c r="B585">
        <v>9009165100</v>
      </c>
      <c r="C585" t="s">
        <v>2198</v>
      </c>
      <c r="D585">
        <v>78134</v>
      </c>
      <c r="E585">
        <v>2.67</v>
      </c>
      <c r="F585">
        <v>47817.231449999999</v>
      </c>
      <c r="G585">
        <v>47.817</v>
      </c>
      <c r="H585">
        <v>0.42199999999999999</v>
      </c>
      <c r="I585">
        <v>3</v>
      </c>
      <c r="J585">
        <v>1673</v>
      </c>
      <c r="K585">
        <v>0.41984864900000002</v>
      </c>
      <c r="L585">
        <v>0.72299999999999998</v>
      </c>
      <c r="M585">
        <v>4</v>
      </c>
      <c r="N585">
        <v>0.32500000000000001</v>
      </c>
      <c r="O585">
        <v>2</v>
      </c>
      <c r="P585">
        <v>3</v>
      </c>
      <c r="S585" s="57" t="s">
        <v>944</v>
      </c>
    </row>
    <row r="586" spans="1:19" x14ac:dyDescent="0.2">
      <c r="A586" t="s">
        <v>2199</v>
      </c>
      <c r="B586">
        <v>9009165200</v>
      </c>
      <c r="C586" t="s">
        <v>2200</v>
      </c>
      <c r="D586">
        <v>105833</v>
      </c>
      <c r="E586">
        <v>2.36</v>
      </c>
      <c r="F586">
        <v>68891.415080000006</v>
      </c>
      <c r="G586">
        <v>68.891000000000005</v>
      </c>
      <c r="H586">
        <v>0.78900000000000003</v>
      </c>
      <c r="I586">
        <v>4</v>
      </c>
      <c r="J586">
        <v>1727</v>
      </c>
      <c r="K586">
        <v>0.30082122700000002</v>
      </c>
      <c r="L586">
        <v>0.17599999999999999</v>
      </c>
      <c r="M586">
        <v>1</v>
      </c>
      <c r="N586">
        <v>0.29199999999999998</v>
      </c>
      <c r="O586">
        <v>2</v>
      </c>
      <c r="P586">
        <v>2</v>
      </c>
      <c r="S586" s="59" t="s">
        <v>944</v>
      </c>
    </row>
    <row r="587" spans="1:19" x14ac:dyDescent="0.2">
      <c r="A587" t="s">
        <v>2201</v>
      </c>
      <c r="B587">
        <v>9009165300</v>
      </c>
      <c r="C587" t="s">
        <v>2202</v>
      </c>
      <c r="D587">
        <v>105759</v>
      </c>
      <c r="E587">
        <v>2.36</v>
      </c>
      <c r="F587">
        <v>68843.245179999998</v>
      </c>
      <c r="G587">
        <v>68.843000000000004</v>
      </c>
      <c r="H587">
        <v>0.78700000000000003</v>
      </c>
      <c r="I587">
        <v>4</v>
      </c>
      <c r="J587">
        <v>1649</v>
      </c>
      <c r="K587">
        <v>0.28743560699999998</v>
      </c>
      <c r="L587">
        <v>0.105</v>
      </c>
      <c r="M587">
        <v>1</v>
      </c>
      <c r="N587">
        <v>0.35</v>
      </c>
      <c r="O587">
        <v>2</v>
      </c>
      <c r="P587">
        <v>2</v>
      </c>
      <c r="S587" s="57" t="s">
        <v>944</v>
      </c>
    </row>
    <row r="588" spans="1:19" x14ac:dyDescent="0.2">
      <c r="A588" t="s">
        <v>2203</v>
      </c>
      <c r="B588">
        <v>9009165400</v>
      </c>
      <c r="C588" t="s">
        <v>2204</v>
      </c>
      <c r="D588">
        <v>82364</v>
      </c>
      <c r="E588">
        <v>2.0099999999999998</v>
      </c>
      <c r="F588">
        <v>58095.086300000003</v>
      </c>
      <c r="G588">
        <v>58.094999999999999</v>
      </c>
      <c r="H588">
        <v>0.61899999999999999</v>
      </c>
      <c r="I588">
        <v>4</v>
      </c>
      <c r="J588">
        <v>1283</v>
      </c>
      <c r="K588">
        <v>0.26501380699999999</v>
      </c>
      <c r="L588">
        <v>4.5999999999999999E-2</v>
      </c>
      <c r="M588">
        <v>1</v>
      </c>
      <c r="N588">
        <v>0.67400000000000004</v>
      </c>
      <c r="O588">
        <v>4</v>
      </c>
      <c r="P588">
        <v>3</v>
      </c>
      <c r="S588" s="59" t="s">
        <v>944</v>
      </c>
    </row>
    <row r="589" spans="1:19" x14ac:dyDescent="0.2">
      <c r="A589" t="s">
        <v>2205</v>
      </c>
      <c r="B589">
        <v>9009165500</v>
      </c>
      <c r="C589" t="s">
        <v>2206</v>
      </c>
      <c r="D589">
        <v>48477</v>
      </c>
      <c r="E589">
        <v>2.69</v>
      </c>
      <c r="F589">
        <v>29556.948550000001</v>
      </c>
      <c r="G589">
        <v>29.556999999999999</v>
      </c>
      <c r="H589">
        <v>0.16400000000000001</v>
      </c>
      <c r="I589">
        <v>1</v>
      </c>
      <c r="J589">
        <v>1350</v>
      </c>
      <c r="K589">
        <v>0.54809446799999995</v>
      </c>
      <c r="L589">
        <v>0.88500000000000001</v>
      </c>
      <c r="M589">
        <v>5</v>
      </c>
      <c r="N589">
        <v>0.60499999999999998</v>
      </c>
      <c r="O589">
        <v>4</v>
      </c>
      <c r="P589">
        <v>5</v>
      </c>
      <c r="S589" s="57" t="s">
        <v>944</v>
      </c>
    </row>
    <row r="590" spans="1:19" x14ac:dyDescent="0.2">
      <c r="A590" t="s">
        <v>2207</v>
      </c>
      <c r="B590">
        <v>9009165600</v>
      </c>
      <c r="C590" t="s">
        <v>2208</v>
      </c>
      <c r="D590">
        <v>61196</v>
      </c>
      <c r="E590">
        <v>2.74</v>
      </c>
      <c r="F590">
        <v>36969.855620000002</v>
      </c>
      <c r="G590">
        <v>36.97</v>
      </c>
      <c r="H590">
        <v>0.25800000000000001</v>
      </c>
      <c r="I590">
        <v>2</v>
      </c>
      <c r="J590">
        <v>1454</v>
      </c>
      <c r="K590">
        <v>0.47195207300000003</v>
      </c>
      <c r="L590">
        <v>0.81299999999999994</v>
      </c>
      <c r="M590">
        <v>5</v>
      </c>
      <c r="N590">
        <v>0.52400000000000002</v>
      </c>
      <c r="O590">
        <v>3</v>
      </c>
      <c r="P590">
        <v>4</v>
      </c>
      <c r="S590" s="59" t="s">
        <v>944</v>
      </c>
    </row>
    <row r="591" spans="1:19" x14ac:dyDescent="0.2">
      <c r="A591" t="s">
        <v>2209</v>
      </c>
      <c r="B591">
        <v>9009165700</v>
      </c>
      <c r="C591" t="s">
        <v>2210</v>
      </c>
      <c r="D591">
        <v>74722</v>
      </c>
      <c r="E591">
        <v>2.83</v>
      </c>
      <c r="F591">
        <v>44417.618520000004</v>
      </c>
      <c r="G591">
        <v>44.417999999999999</v>
      </c>
      <c r="H591">
        <v>0.35799999999999998</v>
      </c>
      <c r="I591">
        <v>2</v>
      </c>
      <c r="J591">
        <v>1691</v>
      </c>
      <c r="K591">
        <v>0.456845744</v>
      </c>
      <c r="L591">
        <v>0.79400000000000004</v>
      </c>
      <c r="M591">
        <v>4</v>
      </c>
      <c r="N591">
        <v>0.317</v>
      </c>
      <c r="O591">
        <v>2</v>
      </c>
      <c r="P591">
        <v>3</v>
      </c>
      <c r="S591" s="57" t="s">
        <v>944</v>
      </c>
    </row>
    <row r="592" spans="1:19" x14ac:dyDescent="0.2">
      <c r="A592" t="s">
        <v>2211</v>
      </c>
      <c r="B592">
        <v>9009165801</v>
      </c>
      <c r="C592" t="s">
        <v>2212</v>
      </c>
      <c r="D592">
        <v>69390</v>
      </c>
      <c r="E592">
        <v>2.27</v>
      </c>
      <c r="F592">
        <v>46055.760589999998</v>
      </c>
      <c r="G592">
        <v>46.055999999999997</v>
      </c>
      <c r="H592">
        <v>0.38700000000000001</v>
      </c>
      <c r="I592">
        <v>2</v>
      </c>
      <c r="J592">
        <v>1430</v>
      </c>
      <c r="K592">
        <v>0.37259182699999999</v>
      </c>
      <c r="L592">
        <v>0.60399999999999998</v>
      </c>
      <c r="M592">
        <v>4</v>
      </c>
      <c r="N592">
        <v>0.54200000000000004</v>
      </c>
      <c r="O592">
        <v>3</v>
      </c>
      <c r="P592">
        <v>4</v>
      </c>
      <c r="S592" s="59" t="s">
        <v>944</v>
      </c>
    </row>
    <row r="593" spans="1:19" x14ac:dyDescent="0.2">
      <c r="A593" t="s">
        <v>2213</v>
      </c>
      <c r="B593">
        <v>9009165802</v>
      </c>
      <c r="C593" t="s">
        <v>2214</v>
      </c>
      <c r="D593">
        <v>106904</v>
      </c>
      <c r="E593">
        <v>2.98</v>
      </c>
      <c r="F593">
        <v>61927.82445</v>
      </c>
      <c r="G593">
        <v>61.927999999999997</v>
      </c>
      <c r="H593">
        <v>0.69299999999999995</v>
      </c>
      <c r="I593">
        <v>4</v>
      </c>
      <c r="J593">
        <v>2045</v>
      </c>
      <c r="K593">
        <v>0.39626775600000003</v>
      </c>
      <c r="L593">
        <v>0.67800000000000005</v>
      </c>
      <c r="M593">
        <v>4</v>
      </c>
      <c r="N593">
        <v>0.153</v>
      </c>
      <c r="O593">
        <v>1</v>
      </c>
      <c r="P593">
        <v>2</v>
      </c>
      <c r="S593" s="57" t="s">
        <v>944</v>
      </c>
    </row>
    <row r="594" spans="1:19" x14ac:dyDescent="0.2">
      <c r="A594" t="s">
        <v>2215</v>
      </c>
      <c r="B594">
        <v>9009165900</v>
      </c>
      <c r="C594" t="s">
        <v>2216</v>
      </c>
      <c r="D594">
        <v>113765</v>
      </c>
      <c r="E594">
        <v>2.68</v>
      </c>
      <c r="F594">
        <v>69493.034190000006</v>
      </c>
      <c r="G594">
        <v>69.492999999999995</v>
      </c>
      <c r="H594">
        <v>0.79400000000000004</v>
      </c>
      <c r="I594">
        <v>4</v>
      </c>
      <c r="J594">
        <v>2369</v>
      </c>
      <c r="K594">
        <v>0.40907697199999998</v>
      </c>
      <c r="L594">
        <v>0.7</v>
      </c>
      <c r="M594">
        <v>4</v>
      </c>
      <c r="N594">
        <v>9.5000000000000001E-2</v>
      </c>
      <c r="O594">
        <v>1</v>
      </c>
      <c r="P594">
        <v>2</v>
      </c>
      <c r="S594" s="59" t="s">
        <v>944</v>
      </c>
    </row>
    <row r="595" spans="1:19" x14ac:dyDescent="0.2">
      <c r="A595" t="s">
        <v>2217</v>
      </c>
      <c r="B595">
        <v>9009166001</v>
      </c>
      <c r="C595" t="s">
        <v>2218</v>
      </c>
      <c r="D595">
        <v>70787</v>
      </c>
      <c r="E595">
        <v>2.08</v>
      </c>
      <c r="F595">
        <v>49081.95349</v>
      </c>
      <c r="G595">
        <v>49.082000000000001</v>
      </c>
      <c r="H595">
        <v>0.45300000000000001</v>
      </c>
      <c r="I595">
        <v>3</v>
      </c>
      <c r="J595">
        <v>1616</v>
      </c>
      <c r="K595">
        <v>0.39509429899999998</v>
      </c>
      <c r="L595">
        <v>0.67300000000000004</v>
      </c>
      <c r="M595">
        <v>4</v>
      </c>
      <c r="N595">
        <v>0.374</v>
      </c>
      <c r="O595">
        <v>2</v>
      </c>
      <c r="P595">
        <v>3</v>
      </c>
      <c r="S595" s="57" t="s">
        <v>944</v>
      </c>
    </row>
    <row r="596" spans="1:19" x14ac:dyDescent="0.2">
      <c r="A596" t="s">
        <v>2219</v>
      </c>
      <c r="B596">
        <v>9009166002</v>
      </c>
      <c r="C596" t="s">
        <v>2220</v>
      </c>
      <c r="D596">
        <v>95125</v>
      </c>
      <c r="E596">
        <v>2.19</v>
      </c>
      <c r="F596">
        <v>64279.518120000001</v>
      </c>
      <c r="G596">
        <v>64.28</v>
      </c>
      <c r="H596">
        <v>0.72099999999999997</v>
      </c>
      <c r="I596">
        <v>4</v>
      </c>
      <c r="J596">
        <v>1710</v>
      </c>
      <c r="K596">
        <v>0.31923076900000003</v>
      </c>
      <c r="L596">
        <v>0.28399999999999997</v>
      </c>
      <c r="M596">
        <v>2</v>
      </c>
      <c r="N596">
        <v>0.30499999999999999</v>
      </c>
      <c r="O596">
        <v>2</v>
      </c>
      <c r="P596">
        <v>2</v>
      </c>
      <c r="S596" s="59" t="s">
        <v>944</v>
      </c>
    </row>
    <row r="597" spans="1:19" x14ac:dyDescent="0.2">
      <c r="A597" t="s">
        <v>2221</v>
      </c>
      <c r="B597">
        <v>9009167100</v>
      </c>
      <c r="C597" t="s">
        <v>2222</v>
      </c>
      <c r="D597">
        <v>107619</v>
      </c>
      <c r="E597">
        <v>2.5299999999999998</v>
      </c>
      <c r="F597">
        <v>67659.485610000003</v>
      </c>
      <c r="G597">
        <v>67.659000000000006</v>
      </c>
      <c r="H597">
        <v>0.77100000000000002</v>
      </c>
      <c r="I597">
        <v>4</v>
      </c>
      <c r="J597">
        <v>1824</v>
      </c>
      <c r="K597">
        <v>0.32350231200000001</v>
      </c>
      <c r="L597">
        <v>0.32300000000000001</v>
      </c>
      <c r="M597">
        <v>2</v>
      </c>
      <c r="N597">
        <v>0.246</v>
      </c>
      <c r="O597">
        <v>2</v>
      </c>
      <c r="P597">
        <v>2</v>
      </c>
      <c r="S597" s="57" t="s">
        <v>944</v>
      </c>
    </row>
    <row r="598" spans="1:19" x14ac:dyDescent="0.2">
      <c r="A598" t="s">
        <v>2223</v>
      </c>
      <c r="B598">
        <v>9009167201</v>
      </c>
      <c r="C598" t="s">
        <v>2224</v>
      </c>
      <c r="D598">
        <v>88750</v>
      </c>
      <c r="E598">
        <v>2.6</v>
      </c>
      <c r="F598">
        <v>55040.41347</v>
      </c>
      <c r="G598">
        <v>55.04</v>
      </c>
      <c r="H598">
        <v>0.56299999999999994</v>
      </c>
      <c r="I598">
        <v>3</v>
      </c>
      <c r="J598">
        <v>1741</v>
      </c>
      <c r="K598">
        <v>0.37957563700000002</v>
      </c>
      <c r="L598">
        <v>0.63200000000000001</v>
      </c>
      <c r="M598">
        <v>4</v>
      </c>
      <c r="N598">
        <v>0.28799999999999998</v>
      </c>
      <c r="O598">
        <v>2</v>
      </c>
      <c r="P598">
        <v>3</v>
      </c>
      <c r="S598" s="59" t="s">
        <v>944</v>
      </c>
    </row>
    <row r="599" spans="1:19" x14ac:dyDescent="0.2">
      <c r="A599" t="s">
        <v>2225</v>
      </c>
      <c r="B599">
        <v>9009167202</v>
      </c>
      <c r="C599" t="s">
        <v>2226</v>
      </c>
      <c r="D599">
        <v>85406</v>
      </c>
      <c r="E599">
        <v>2.63</v>
      </c>
      <c r="F599">
        <v>52663.595679999999</v>
      </c>
      <c r="G599">
        <v>52.664000000000001</v>
      </c>
      <c r="H599">
        <v>0.51500000000000001</v>
      </c>
      <c r="I599">
        <v>3</v>
      </c>
      <c r="J599">
        <v>1464</v>
      </c>
      <c r="K599">
        <v>0.33358907199999999</v>
      </c>
      <c r="L599">
        <v>0.38600000000000001</v>
      </c>
      <c r="M599">
        <v>2</v>
      </c>
      <c r="N599">
        <v>0.50900000000000001</v>
      </c>
      <c r="O599">
        <v>3</v>
      </c>
      <c r="P599">
        <v>3</v>
      </c>
      <c r="S599" s="57" t="s">
        <v>944</v>
      </c>
    </row>
    <row r="600" spans="1:19" x14ac:dyDescent="0.2">
      <c r="A600" t="s">
        <v>2227</v>
      </c>
      <c r="B600">
        <v>9009167300</v>
      </c>
      <c r="C600" t="s">
        <v>2228</v>
      </c>
      <c r="D600">
        <v>106250</v>
      </c>
      <c r="E600">
        <v>2.64</v>
      </c>
      <c r="F600">
        <v>65392.354579999999</v>
      </c>
      <c r="G600">
        <v>65.391999999999996</v>
      </c>
      <c r="H600">
        <v>0.74099999999999999</v>
      </c>
      <c r="I600">
        <v>4</v>
      </c>
      <c r="J600">
        <v>1724</v>
      </c>
      <c r="K600">
        <v>0.31636725900000001</v>
      </c>
      <c r="L600">
        <v>0.26</v>
      </c>
      <c r="M600">
        <v>2</v>
      </c>
      <c r="N600">
        <v>0.29599999999999999</v>
      </c>
      <c r="O600">
        <v>2</v>
      </c>
      <c r="P600">
        <v>2</v>
      </c>
      <c r="S600" s="59" t="s">
        <v>944</v>
      </c>
    </row>
    <row r="601" spans="1:19" x14ac:dyDescent="0.2">
      <c r="A601" t="s">
        <v>2229</v>
      </c>
      <c r="B601">
        <v>9009170100</v>
      </c>
      <c r="C601" t="s">
        <v>2230</v>
      </c>
      <c r="D601">
        <v>30417</v>
      </c>
      <c r="E601">
        <v>2.09</v>
      </c>
      <c r="F601">
        <v>21039.878850000001</v>
      </c>
      <c r="G601">
        <v>21.04</v>
      </c>
      <c r="H601">
        <v>6.9000000000000006E-2</v>
      </c>
      <c r="I601">
        <v>1</v>
      </c>
      <c r="J601">
        <v>874</v>
      </c>
      <c r="K601">
        <v>0.498481958</v>
      </c>
      <c r="L601">
        <v>0.84299999999999997</v>
      </c>
      <c r="M601">
        <v>5</v>
      </c>
      <c r="N601">
        <v>0.98</v>
      </c>
      <c r="O601">
        <v>5</v>
      </c>
      <c r="P601">
        <v>5</v>
      </c>
      <c r="S601" s="57" t="s">
        <v>936</v>
      </c>
    </row>
    <row r="602" spans="1:19" x14ac:dyDescent="0.2">
      <c r="A602" t="s">
        <v>2231</v>
      </c>
      <c r="B602">
        <v>9009170200</v>
      </c>
      <c r="C602" t="s">
        <v>2232</v>
      </c>
      <c r="D602">
        <v>43750</v>
      </c>
      <c r="E602">
        <v>1.9</v>
      </c>
      <c r="F602">
        <v>31739.585940000001</v>
      </c>
      <c r="G602">
        <v>31.74</v>
      </c>
      <c r="H602">
        <v>0.19600000000000001</v>
      </c>
      <c r="I602">
        <v>1</v>
      </c>
      <c r="J602">
        <v>958</v>
      </c>
      <c r="K602">
        <v>0.36219754199999998</v>
      </c>
      <c r="L602">
        <v>0.55100000000000005</v>
      </c>
      <c r="M602">
        <v>3</v>
      </c>
      <c r="N602">
        <v>0.95899999999999996</v>
      </c>
      <c r="O602">
        <v>5</v>
      </c>
      <c r="P602">
        <v>5</v>
      </c>
      <c r="S602" s="59" t="s">
        <v>936</v>
      </c>
    </row>
    <row r="603" spans="1:19" x14ac:dyDescent="0.2">
      <c r="A603" t="s">
        <v>2233</v>
      </c>
      <c r="B603">
        <v>9009170300</v>
      </c>
      <c r="C603" t="s">
        <v>2234</v>
      </c>
      <c r="D603">
        <v>42476</v>
      </c>
      <c r="E603">
        <v>2.5299999999999998</v>
      </c>
      <c r="F603">
        <v>26704.432400000002</v>
      </c>
      <c r="G603">
        <v>26.704000000000001</v>
      </c>
      <c r="H603">
        <v>0.13</v>
      </c>
      <c r="I603">
        <v>1</v>
      </c>
      <c r="J603">
        <v>1025</v>
      </c>
      <c r="K603">
        <v>0.46059769499999997</v>
      </c>
      <c r="L603">
        <v>0.8</v>
      </c>
      <c r="M603">
        <v>4</v>
      </c>
      <c r="N603">
        <v>0.92400000000000004</v>
      </c>
      <c r="O603">
        <v>5</v>
      </c>
      <c r="P603">
        <v>5</v>
      </c>
      <c r="S603" s="57" t="s">
        <v>936</v>
      </c>
    </row>
    <row r="604" spans="1:19" x14ac:dyDescent="0.2">
      <c r="A604" t="s">
        <v>2235</v>
      </c>
      <c r="B604">
        <v>9009170400</v>
      </c>
      <c r="C604" t="s">
        <v>2236</v>
      </c>
      <c r="D604">
        <v>58229</v>
      </c>
      <c r="E604">
        <v>2.54</v>
      </c>
      <c r="F604">
        <v>36536.124080000001</v>
      </c>
      <c r="G604">
        <v>36.536000000000001</v>
      </c>
      <c r="H604">
        <v>0.25700000000000001</v>
      </c>
      <c r="I604">
        <v>2</v>
      </c>
      <c r="J604">
        <v>1130</v>
      </c>
      <c r="K604">
        <v>0.37113953199999999</v>
      </c>
      <c r="L604">
        <v>0.59699999999999998</v>
      </c>
      <c r="M604">
        <v>3</v>
      </c>
      <c r="N604">
        <v>0.83699999999999997</v>
      </c>
      <c r="O604">
        <v>5</v>
      </c>
      <c r="P604">
        <v>5</v>
      </c>
      <c r="S604" s="59" t="s">
        <v>944</v>
      </c>
    </row>
    <row r="605" spans="1:19" x14ac:dyDescent="0.2">
      <c r="A605" t="s">
        <v>2237</v>
      </c>
      <c r="B605">
        <v>9009170500</v>
      </c>
      <c r="C605" t="s">
        <v>2238</v>
      </c>
      <c r="D605">
        <v>85406</v>
      </c>
      <c r="E605">
        <v>2.78</v>
      </c>
      <c r="F605">
        <v>51223.114849999998</v>
      </c>
      <c r="G605">
        <v>51.222999999999999</v>
      </c>
      <c r="H605">
        <v>0.48699999999999999</v>
      </c>
      <c r="I605">
        <v>3</v>
      </c>
      <c r="J605">
        <v>1408</v>
      </c>
      <c r="K605">
        <v>0.32985108499999999</v>
      </c>
      <c r="L605">
        <v>0.35499999999999998</v>
      </c>
      <c r="M605">
        <v>2</v>
      </c>
      <c r="N605">
        <v>0.56100000000000005</v>
      </c>
      <c r="O605">
        <v>3</v>
      </c>
      <c r="P605">
        <v>3</v>
      </c>
      <c r="S605" s="57" t="s">
        <v>944</v>
      </c>
    </row>
    <row r="606" spans="1:19" x14ac:dyDescent="0.2">
      <c r="A606" t="s">
        <v>2239</v>
      </c>
      <c r="B606">
        <v>9009170600</v>
      </c>
      <c r="C606" t="s">
        <v>2240</v>
      </c>
      <c r="D606">
        <v>57358</v>
      </c>
      <c r="E606">
        <v>2.2599999999999998</v>
      </c>
      <c r="F606">
        <v>38153.97406</v>
      </c>
      <c r="G606">
        <v>38.154000000000003</v>
      </c>
      <c r="H606">
        <v>0.26600000000000001</v>
      </c>
      <c r="I606">
        <v>2</v>
      </c>
      <c r="J606">
        <v>1120</v>
      </c>
      <c r="K606">
        <v>0.35225688399999999</v>
      </c>
      <c r="L606">
        <v>0.49099999999999999</v>
      </c>
      <c r="M606">
        <v>3</v>
      </c>
      <c r="N606">
        <v>0.85499999999999998</v>
      </c>
      <c r="O606">
        <v>5</v>
      </c>
      <c r="P606">
        <v>5</v>
      </c>
      <c r="S606" s="59" t="s">
        <v>944</v>
      </c>
    </row>
    <row r="607" spans="1:19" x14ac:dyDescent="0.2">
      <c r="A607" t="s">
        <v>2241</v>
      </c>
      <c r="B607">
        <v>9009170700</v>
      </c>
      <c r="C607" t="s">
        <v>2242</v>
      </c>
      <c r="D607">
        <v>66989</v>
      </c>
      <c r="E607">
        <v>2.2999999999999998</v>
      </c>
      <c r="F607">
        <v>44171.238530000002</v>
      </c>
      <c r="G607">
        <v>44.170999999999999</v>
      </c>
      <c r="H607">
        <v>0.35399999999999998</v>
      </c>
      <c r="I607">
        <v>2</v>
      </c>
      <c r="J607">
        <v>1190</v>
      </c>
      <c r="K607">
        <v>0.32328729</v>
      </c>
      <c r="L607">
        <v>0.32100000000000001</v>
      </c>
      <c r="M607">
        <v>2</v>
      </c>
      <c r="N607">
        <v>0.78200000000000003</v>
      </c>
      <c r="O607">
        <v>4</v>
      </c>
      <c r="P607">
        <v>4</v>
      </c>
      <c r="S607" s="57" t="s">
        <v>944</v>
      </c>
    </row>
    <row r="608" spans="1:19" x14ac:dyDescent="0.2">
      <c r="A608" t="s">
        <v>2243</v>
      </c>
      <c r="B608">
        <v>9009170800</v>
      </c>
      <c r="C608" t="s">
        <v>2244</v>
      </c>
      <c r="D608">
        <v>53857</v>
      </c>
      <c r="E608">
        <v>2.48</v>
      </c>
      <c r="F608">
        <v>34199.229200000002</v>
      </c>
      <c r="G608">
        <v>34.198999999999998</v>
      </c>
      <c r="H608">
        <v>0.22700000000000001</v>
      </c>
      <c r="I608">
        <v>2</v>
      </c>
      <c r="J608">
        <v>1156</v>
      </c>
      <c r="K608">
        <v>0.405623177</v>
      </c>
      <c r="L608">
        <v>0.69</v>
      </c>
      <c r="M608">
        <v>4</v>
      </c>
      <c r="N608">
        <v>0.81799999999999995</v>
      </c>
      <c r="O608">
        <v>5</v>
      </c>
      <c r="P608">
        <v>5</v>
      </c>
      <c r="S608" s="59" t="s">
        <v>944</v>
      </c>
    </row>
    <row r="609" spans="1:19" x14ac:dyDescent="0.2">
      <c r="A609" t="s">
        <v>2245</v>
      </c>
      <c r="B609">
        <v>9009170900</v>
      </c>
      <c r="C609" t="s">
        <v>2246</v>
      </c>
      <c r="D609">
        <v>28782</v>
      </c>
      <c r="E609">
        <v>1.94</v>
      </c>
      <c r="F609">
        <v>20664.271720000001</v>
      </c>
      <c r="G609">
        <v>20.664000000000001</v>
      </c>
      <c r="H609">
        <v>6.4000000000000001E-2</v>
      </c>
      <c r="I609">
        <v>1</v>
      </c>
      <c r="J609">
        <v>793</v>
      </c>
      <c r="K609">
        <v>0.46050497800000001</v>
      </c>
      <c r="L609">
        <v>0.79900000000000004</v>
      </c>
      <c r="M609">
        <v>4</v>
      </c>
      <c r="N609">
        <v>0.98799999999999999</v>
      </c>
      <c r="O609">
        <v>5</v>
      </c>
      <c r="P609">
        <v>5</v>
      </c>
      <c r="S609" s="57" t="s">
        <v>936</v>
      </c>
    </row>
    <row r="610" spans="1:19" x14ac:dyDescent="0.2">
      <c r="A610" t="s">
        <v>2247</v>
      </c>
      <c r="B610">
        <v>9009171000</v>
      </c>
      <c r="C610" t="s">
        <v>2248</v>
      </c>
      <c r="D610">
        <v>35460</v>
      </c>
      <c r="E610">
        <v>1.65</v>
      </c>
      <c r="F610">
        <v>27605.572560000001</v>
      </c>
      <c r="G610">
        <v>27.606000000000002</v>
      </c>
      <c r="H610">
        <v>0.13800000000000001</v>
      </c>
      <c r="I610">
        <v>1</v>
      </c>
      <c r="J610">
        <v>859</v>
      </c>
      <c r="K610">
        <v>0.37340286900000003</v>
      </c>
      <c r="L610">
        <v>0.60799999999999998</v>
      </c>
      <c r="M610">
        <v>4</v>
      </c>
      <c r="N610">
        <v>0.98299999999999998</v>
      </c>
      <c r="O610">
        <v>5</v>
      </c>
      <c r="P610">
        <v>5</v>
      </c>
      <c r="S610" s="59" t="s">
        <v>936</v>
      </c>
    </row>
    <row r="611" spans="1:19" x14ac:dyDescent="0.2">
      <c r="A611" t="s">
        <v>2249</v>
      </c>
      <c r="B611">
        <v>9009171100</v>
      </c>
      <c r="C611" t="s">
        <v>2250</v>
      </c>
      <c r="D611">
        <v>67108</v>
      </c>
      <c r="E611">
        <v>2.2799999999999998</v>
      </c>
      <c r="F611">
        <v>44443.35871</v>
      </c>
      <c r="G611">
        <v>44.442999999999998</v>
      </c>
      <c r="H611">
        <v>0.35899999999999999</v>
      </c>
      <c r="I611">
        <v>2</v>
      </c>
      <c r="J611">
        <v>1133</v>
      </c>
      <c r="K611">
        <v>0.305917473</v>
      </c>
      <c r="L611">
        <v>0.20599999999999999</v>
      </c>
      <c r="M611">
        <v>2</v>
      </c>
      <c r="N611">
        <v>0.83299999999999996</v>
      </c>
      <c r="O611">
        <v>5</v>
      </c>
      <c r="P611">
        <v>5</v>
      </c>
      <c r="S611" s="57" t="s">
        <v>944</v>
      </c>
    </row>
    <row r="612" spans="1:19" x14ac:dyDescent="0.2">
      <c r="A612" t="s">
        <v>2251</v>
      </c>
      <c r="B612">
        <v>9009171200</v>
      </c>
      <c r="C612" t="s">
        <v>2252</v>
      </c>
      <c r="D612">
        <v>86983</v>
      </c>
      <c r="E612">
        <v>2.2799999999999998</v>
      </c>
      <c r="F612">
        <v>57605.899010000001</v>
      </c>
      <c r="G612">
        <v>57.606000000000002</v>
      </c>
      <c r="H612">
        <v>0.61299999999999999</v>
      </c>
      <c r="I612">
        <v>4</v>
      </c>
      <c r="J612">
        <v>1426</v>
      </c>
      <c r="K612">
        <v>0.29705291099999998</v>
      </c>
      <c r="L612">
        <v>0.153</v>
      </c>
      <c r="M612">
        <v>1</v>
      </c>
      <c r="N612">
        <v>0.54600000000000004</v>
      </c>
      <c r="O612">
        <v>3</v>
      </c>
      <c r="P612">
        <v>3</v>
      </c>
      <c r="S612" s="59" t="s">
        <v>944</v>
      </c>
    </row>
    <row r="613" spans="1:19" x14ac:dyDescent="0.2">
      <c r="A613" t="s">
        <v>2253</v>
      </c>
      <c r="B613">
        <v>9009171300</v>
      </c>
      <c r="C613" t="s">
        <v>2254</v>
      </c>
      <c r="D613">
        <v>73828</v>
      </c>
      <c r="E613">
        <v>2.37</v>
      </c>
      <c r="F613">
        <v>47956.439380000003</v>
      </c>
      <c r="G613">
        <v>47.956000000000003</v>
      </c>
      <c r="H613">
        <v>0.42599999999999999</v>
      </c>
      <c r="I613">
        <v>3</v>
      </c>
      <c r="J613">
        <v>1045</v>
      </c>
      <c r="K613">
        <v>0.261487303</v>
      </c>
      <c r="L613">
        <v>0.04</v>
      </c>
      <c r="M613">
        <v>1</v>
      </c>
      <c r="N613">
        <v>0.91300000000000003</v>
      </c>
      <c r="O613">
        <v>5</v>
      </c>
      <c r="P613">
        <v>4</v>
      </c>
      <c r="S613" s="57" t="s">
        <v>944</v>
      </c>
    </row>
    <row r="614" spans="1:19" x14ac:dyDescent="0.2">
      <c r="A614" t="s">
        <v>2255</v>
      </c>
      <c r="B614">
        <v>9009171400</v>
      </c>
      <c r="C614" t="s">
        <v>2256</v>
      </c>
      <c r="D614">
        <v>47578</v>
      </c>
      <c r="E614">
        <v>2.08</v>
      </c>
      <c r="F614">
        <v>32989.407420000003</v>
      </c>
      <c r="G614">
        <v>32.988999999999997</v>
      </c>
      <c r="H614">
        <v>0.21299999999999999</v>
      </c>
      <c r="I614">
        <v>2</v>
      </c>
      <c r="J614">
        <v>992</v>
      </c>
      <c r="K614">
        <v>0.360843099</v>
      </c>
      <c r="L614">
        <v>0.54500000000000004</v>
      </c>
      <c r="M614">
        <v>3</v>
      </c>
      <c r="N614">
        <v>0.94699999999999995</v>
      </c>
      <c r="O614">
        <v>5</v>
      </c>
      <c r="P614">
        <v>5</v>
      </c>
      <c r="S614" s="59" t="s">
        <v>944</v>
      </c>
    </row>
    <row r="615" spans="1:19" x14ac:dyDescent="0.2">
      <c r="A615" t="s">
        <v>2257</v>
      </c>
      <c r="B615">
        <v>9009171500</v>
      </c>
      <c r="C615" t="s">
        <v>2258</v>
      </c>
      <c r="D615">
        <v>47036</v>
      </c>
      <c r="E615">
        <v>2.2599999999999998</v>
      </c>
      <c r="F615">
        <v>31287.881789999999</v>
      </c>
      <c r="G615">
        <v>31.288</v>
      </c>
      <c r="H615">
        <v>0.191</v>
      </c>
      <c r="I615">
        <v>1</v>
      </c>
      <c r="J615">
        <v>1102</v>
      </c>
      <c r="K615">
        <v>0.42265564999999999</v>
      </c>
      <c r="L615">
        <v>0.73699999999999999</v>
      </c>
      <c r="M615">
        <v>4</v>
      </c>
      <c r="N615">
        <v>0.874</v>
      </c>
      <c r="O615">
        <v>5</v>
      </c>
      <c r="P615">
        <v>5</v>
      </c>
      <c r="S615" s="57" t="s">
        <v>936</v>
      </c>
    </row>
    <row r="616" spans="1:19" x14ac:dyDescent="0.2">
      <c r="A616" t="s">
        <v>2259</v>
      </c>
      <c r="B616">
        <v>9009171600</v>
      </c>
      <c r="C616" t="s">
        <v>2260</v>
      </c>
      <c r="D616">
        <v>65521</v>
      </c>
      <c r="E616">
        <v>2.13</v>
      </c>
      <c r="F616">
        <v>44894.249459999999</v>
      </c>
      <c r="G616">
        <v>44.893999999999998</v>
      </c>
      <c r="H616">
        <v>0.36599999999999999</v>
      </c>
      <c r="I616">
        <v>2</v>
      </c>
      <c r="J616">
        <v>1183</v>
      </c>
      <c r="K616">
        <v>0.31620976299999998</v>
      </c>
      <c r="L616">
        <v>0.25900000000000001</v>
      </c>
      <c r="M616">
        <v>2</v>
      </c>
      <c r="N616">
        <v>0.79</v>
      </c>
      <c r="O616">
        <v>4</v>
      </c>
      <c r="P616">
        <v>4</v>
      </c>
      <c r="S616" s="59" t="s">
        <v>944</v>
      </c>
    </row>
    <row r="617" spans="1:19" x14ac:dyDescent="0.2">
      <c r="A617" t="s">
        <v>2261</v>
      </c>
      <c r="B617">
        <v>9009171700</v>
      </c>
      <c r="C617" t="s">
        <v>2262</v>
      </c>
      <c r="D617">
        <v>85536</v>
      </c>
      <c r="E617">
        <v>2.27</v>
      </c>
      <c r="F617">
        <v>56772.237179999996</v>
      </c>
      <c r="G617">
        <v>56.771999999999998</v>
      </c>
      <c r="H617">
        <v>0.59499999999999997</v>
      </c>
      <c r="I617">
        <v>3</v>
      </c>
      <c r="J617">
        <v>1238</v>
      </c>
      <c r="K617">
        <v>0.26167719900000003</v>
      </c>
      <c r="L617">
        <v>4.1000000000000002E-2</v>
      </c>
      <c r="M617">
        <v>1</v>
      </c>
      <c r="N617">
        <v>0.72399999999999998</v>
      </c>
      <c r="O617">
        <v>4</v>
      </c>
      <c r="P617">
        <v>4</v>
      </c>
      <c r="S617" s="57" t="s">
        <v>944</v>
      </c>
    </row>
    <row r="618" spans="1:19" x14ac:dyDescent="0.2">
      <c r="A618" t="s">
        <v>2263</v>
      </c>
      <c r="B618">
        <v>9009175100</v>
      </c>
      <c r="C618" t="s">
        <v>2264</v>
      </c>
      <c r="D618">
        <v>70396</v>
      </c>
      <c r="E618">
        <v>2.34</v>
      </c>
      <c r="F618">
        <v>46019.304830000001</v>
      </c>
      <c r="G618">
        <v>46.018999999999998</v>
      </c>
      <c r="H618">
        <v>0.38500000000000001</v>
      </c>
      <c r="I618">
        <v>2</v>
      </c>
      <c r="J618">
        <v>1233</v>
      </c>
      <c r="K618">
        <v>0.32151724300000001</v>
      </c>
      <c r="L618">
        <v>0.31</v>
      </c>
      <c r="M618">
        <v>2</v>
      </c>
      <c r="N618">
        <v>0.73</v>
      </c>
      <c r="O618">
        <v>4</v>
      </c>
      <c r="P618">
        <v>4</v>
      </c>
      <c r="S618" s="59" t="s">
        <v>944</v>
      </c>
    </row>
    <row r="619" spans="1:19" x14ac:dyDescent="0.2">
      <c r="A619" t="s">
        <v>2265</v>
      </c>
      <c r="B619">
        <v>9009175200</v>
      </c>
      <c r="C619" t="s">
        <v>2266</v>
      </c>
      <c r="D619">
        <v>61071</v>
      </c>
      <c r="E619">
        <v>2.2999999999999998</v>
      </c>
      <c r="F619">
        <v>40269.024890000001</v>
      </c>
      <c r="G619">
        <v>40.268999999999998</v>
      </c>
      <c r="H619">
        <v>0.29799999999999999</v>
      </c>
      <c r="I619">
        <v>2</v>
      </c>
      <c r="J619">
        <v>1124</v>
      </c>
      <c r="K619">
        <v>0.33494727099999999</v>
      </c>
      <c r="L619">
        <v>0.39400000000000002</v>
      </c>
      <c r="M619">
        <v>2</v>
      </c>
      <c r="N619">
        <v>0.84799999999999998</v>
      </c>
      <c r="O619">
        <v>5</v>
      </c>
      <c r="P619">
        <v>5</v>
      </c>
      <c r="S619" s="57" t="s">
        <v>944</v>
      </c>
    </row>
    <row r="620" spans="1:19" x14ac:dyDescent="0.2">
      <c r="A620" t="s">
        <v>2267</v>
      </c>
      <c r="B620">
        <v>9009175300</v>
      </c>
      <c r="C620" t="s">
        <v>2268</v>
      </c>
      <c r="D620">
        <v>75673</v>
      </c>
      <c r="E620">
        <v>2.2799999999999998</v>
      </c>
      <c r="F620">
        <v>50115.668530000003</v>
      </c>
      <c r="G620">
        <v>50.116</v>
      </c>
      <c r="H620">
        <v>0.47199999999999998</v>
      </c>
      <c r="I620">
        <v>3</v>
      </c>
      <c r="J620">
        <v>1305</v>
      </c>
      <c r="K620">
        <v>0.31247712500000002</v>
      </c>
      <c r="L620">
        <v>0.23899999999999999</v>
      </c>
      <c r="M620">
        <v>2</v>
      </c>
      <c r="N620">
        <v>0.65</v>
      </c>
      <c r="O620">
        <v>4</v>
      </c>
      <c r="P620">
        <v>4</v>
      </c>
      <c r="S620" s="59" t="s">
        <v>944</v>
      </c>
    </row>
    <row r="621" spans="1:19" x14ac:dyDescent="0.2">
      <c r="A621" t="s">
        <v>2269</v>
      </c>
      <c r="B621">
        <v>9009175400</v>
      </c>
      <c r="C621" t="s">
        <v>2270</v>
      </c>
      <c r="D621">
        <v>64405</v>
      </c>
      <c r="E621">
        <v>2.39</v>
      </c>
      <c r="F621">
        <v>41660.131269999998</v>
      </c>
      <c r="G621">
        <v>41.66</v>
      </c>
      <c r="H621">
        <v>0.313</v>
      </c>
      <c r="I621">
        <v>2</v>
      </c>
      <c r="J621">
        <v>1116</v>
      </c>
      <c r="K621">
        <v>0.32145842099999999</v>
      </c>
      <c r="L621">
        <v>0.30599999999999999</v>
      </c>
      <c r="M621">
        <v>2</v>
      </c>
      <c r="N621">
        <v>0.85899999999999999</v>
      </c>
      <c r="O621">
        <v>5</v>
      </c>
      <c r="P621">
        <v>5</v>
      </c>
      <c r="S621" s="57" t="s">
        <v>944</v>
      </c>
    </row>
    <row r="622" spans="1:19" x14ac:dyDescent="0.2">
      <c r="A622" t="s">
        <v>2271</v>
      </c>
      <c r="B622">
        <v>9009175500</v>
      </c>
      <c r="C622" t="s">
        <v>2272</v>
      </c>
      <c r="D622">
        <v>77903</v>
      </c>
      <c r="E622">
        <v>2.11</v>
      </c>
      <c r="F622">
        <v>53630.636930000001</v>
      </c>
      <c r="G622">
        <v>53.631</v>
      </c>
      <c r="H622">
        <v>0.53400000000000003</v>
      </c>
      <c r="I622">
        <v>3</v>
      </c>
      <c r="J622">
        <v>1295</v>
      </c>
      <c r="K622">
        <v>0.28975975100000001</v>
      </c>
      <c r="L622">
        <v>0.11600000000000001</v>
      </c>
      <c r="M622">
        <v>1</v>
      </c>
      <c r="N622">
        <v>0.66100000000000003</v>
      </c>
      <c r="O622">
        <v>4</v>
      </c>
      <c r="P622">
        <v>4</v>
      </c>
      <c r="S622" s="59" t="s">
        <v>944</v>
      </c>
    </row>
    <row r="623" spans="1:19" x14ac:dyDescent="0.2">
      <c r="A623" t="s">
        <v>2273</v>
      </c>
      <c r="B623">
        <v>9009175600</v>
      </c>
      <c r="C623" t="s">
        <v>2274</v>
      </c>
      <c r="D623">
        <v>88167</v>
      </c>
      <c r="E623">
        <v>2.38</v>
      </c>
      <c r="F623">
        <v>57150.177689999997</v>
      </c>
      <c r="G623">
        <v>57.15</v>
      </c>
      <c r="H623">
        <v>0.59699999999999998</v>
      </c>
      <c r="I623">
        <v>3</v>
      </c>
      <c r="J623">
        <v>1264</v>
      </c>
      <c r="K623">
        <v>0.265405999</v>
      </c>
      <c r="L623">
        <v>5.0999999999999997E-2</v>
      </c>
      <c r="M623">
        <v>1</v>
      </c>
      <c r="N623">
        <v>0.69899999999999995</v>
      </c>
      <c r="O623">
        <v>4</v>
      </c>
      <c r="P623">
        <v>4</v>
      </c>
      <c r="S623" s="57" t="s">
        <v>944</v>
      </c>
    </row>
    <row r="624" spans="1:19" x14ac:dyDescent="0.2">
      <c r="A624" t="s">
        <v>2275</v>
      </c>
      <c r="B624">
        <v>9009175700</v>
      </c>
      <c r="C624" t="s">
        <v>2276</v>
      </c>
      <c r="D624">
        <v>89063</v>
      </c>
      <c r="E624">
        <v>2.79</v>
      </c>
      <c r="F624">
        <v>53320.623379999997</v>
      </c>
      <c r="G624">
        <v>53.320999999999998</v>
      </c>
      <c r="H624">
        <v>0.52700000000000002</v>
      </c>
      <c r="I624">
        <v>3</v>
      </c>
      <c r="J624">
        <v>1371</v>
      </c>
      <c r="K624">
        <v>0.30854853100000001</v>
      </c>
      <c r="L624">
        <v>0.216</v>
      </c>
      <c r="M624">
        <v>2</v>
      </c>
      <c r="N624">
        <v>0.58799999999999997</v>
      </c>
      <c r="O624">
        <v>3</v>
      </c>
      <c r="P624">
        <v>3</v>
      </c>
      <c r="S624" s="59" t="s">
        <v>944</v>
      </c>
    </row>
    <row r="625" spans="1:19" x14ac:dyDescent="0.2">
      <c r="A625" t="s">
        <v>2277</v>
      </c>
      <c r="B625">
        <v>9009175800</v>
      </c>
      <c r="C625" t="s">
        <v>2278</v>
      </c>
      <c r="D625">
        <v>133984</v>
      </c>
      <c r="E625">
        <v>2.77</v>
      </c>
      <c r="F625">
        <v>80503.18346</v>
      </c>
      <c r="G625">
        <v>80.503</v>
      </c>
      <c r="H625">
        <v>0.88200000000000001</v>
      </c>
      <c r="I625">
        <v>5</v>
      </c>
      <c r="J625">
        <v>1768</v>
      </c>
      <c r="K625">
        <v>0.263542373</v>
      </c>
      <c r="L625">
        <v>4.2999999999999997E-2</v>
      </c>
      <c r="M625">
        <v>1</v>
      </c>
      <c r="N625">
        <v>0.27100000000000002</v>
      </c>
      <c r="O625">
        <v>2</v>
      </c>
      <c r="P625">
        <v>2</v>
      </c>
      <c r="S625" s="57" t="s">
        <v>944</v>
      </c>
    </row>
    <row r="626" spans="1:19" x14ac:dyDescent="0.2">
      <c r="A626" t="s">
        <v>2279</v>
      </c>
      <c r="B626">
        <v>9009175900</v>
      </c>
      <c r="C626" t="s">
        <v>2280</v>
      </c>
      <c r="D626">
        <v>71399</v>
      </c>
      <c r="E626">
        <v>2.12</v>
      </c>
      <c r="F626">
        <v>49037.034529999997</v>
      </c>
      <c r="G626">
        <v>49.036999999999999</v>
      </c>
      <c r="H626">
        <v>0.45</v>
      </c>
      <c r="I626">
        <v>3</v>
      </c>
      <c r="J626">
        <v>1212</v>
      </c>
      <c r="K626">
        <v>0.29659215999999999</v>
      </c>
      <c r="L626">
        <v>0.15</v>
      </c>
      <c r="M626">
        <v>1</v>
      </c>
      <c r="N626">
        <v>0.752</v>
      </c>
      <c r="O626">
        <v>4</v>
      </c>
      <c r="P626">
        <v>4</v>
      </c>
      <c r="S626" s="59" t="s">
        <v>944</v>
      </c>
    </row>
    <row r="627" spans="1:19" x14ac:dyDescent="0.2">
      <c r="A627" t="s">
        <v>2281</v>
      </c>
      <c r="B627">
        <v>9009176000</v>
      </c>
      <c r="C627" t="s">
        <v>2282</v>
      </c>
      <c r="D627">
        <v>99554</v>
      </c>
      <c r="E627">
        <v>2.34</v>
      </c>
      <c r="F627">
        <v>65080.48573</v>
      </c>
      <c r="G627">
        <v>65.08</v>
      </c>
      <c r="H627">
        <v>0.73799999999999999</v>
      </c>
      <c r="I627">
        <v>4</v>
      </c>
      <c r="J627">
        <v>1497</v>
      </c>
      <c r="K627">
        <v>0.27602744200000001</v>
      </c>
      <c r="L627">
        <v>7.4999999999999997E-2</v>
      </c>
      <c r="M627">
        <v>1</v>
      </c>
      <c r="N627">
        <v>0.47399999999999998</v>
      </c>
      <c r="O627">
        <v>3</v>
      </c>
      <c r="P627">
        <v>3</v>
      </c>
      <c r="S627" s="57" t="s">
        <v>944</v>
      </c>
    </row>
    <row r="628" spans="1:19" x14ac:dyDescent="0.2">
      <c r="A628" t="s">
        <v>2283</v>
      </c>
      <c r="B628">
        <v>9009180100</v>
      </c>
      <c r="C628" t="s">
        <v>2284</v>
      </c>
      <c r="D628">
        <v>68087</v>
      </c>
      <c r="E628">
        <v>2.5</v>
      </c>
      <c r="F628">
        <v>43061.999810000001</v>
      </c>
      <c r="G628">
        <v>43.061999999999998</v>
      </c>
      <c r="H628">
        <v>0.34100000000000003</v>
      </c>
      <c r="I628">
        <v>2</v>
      </c>
      <c r="J628">
        <v>1536</v>
      </c>
      <c r="K628">
        <v>0.428033999</v>
      </c>
      <c r="L628">
        <v>0.745</v>
      </c>
      <c r="M628">
        <v>4</v>
      </c>
      <c r="N628">
        <v>0.437</v>
      </c>
      <c r="O628">
        <v>3</v>
      </c>
      <c r="P628">
        <v>4</v>
      </c>
      <c r="S628" s="59" t="s">
        <v>944</v>
      </c>
    </row>
    <row r="629" spans="1:19" x14ac:dyDescent="0.2">
      <c r="A629" t="s">
        <v>2285</v>
      </c>
      <c r="B629">
        <v>9009180200</v>
      </c>
      <c r="C629" t="s">
        <v>2286</v>
      </c>
      <c r="D629">
        <v>62927</v>
      </c>
      <c r="E629">
        <v>2.66</v>
      </c>
      <c r="F629">
        <v>38583.019220000002</v>
      </c>
      <c r="G629">
        <v>38.582999999999998</v>
      </c>
      <c r="H629">
        <v>0.27200000000000002</v>
      </c>
      <c r="I629">
        <v>2</v>
      </c>
      <c r="J629">
        <v>1377</v>
      </c>
      <c r="K629">
        <v>0.42827130499999999</v>
      </c>
      <c r="L629">
        <v>0.748</v>
      </c>
      <c r="M629">
        <v>4</v>
      </c>
      <c r="N629">
        <v>0.58199999999999996</v>
      </c>
      <c r="O629">
        <v>3</v>
      </c>
      <c r="P629">
        <v>4</v>
      </c>
      <c r="S629" s="57" t="s">
        <v>944</v>
      </c>
    </row>
    <row r="630" spans="1:19" x14ac:dyDescent="0.2">
      <c r="A630" t="s">
        <v>2287</v>
      </c>
      <c r="B630">
        <v>9009180300</v>
      </c>
      <c r="C630" t="s">
        <v>2288</v>
      </c>
      <c r="D630">
        <v>48750</v>
      </c>
      <c r="E630">
        <v>2.1800000000000002</v>
      </c>
      <c r="F630">
        <v>33017.666250000002</v>
      </c>
      <c r="G630">
        <v>33.018000000000001</v>
      </c>
      <c r="H630">
        <v>0.215</v>
      </c>
      <c r="I630">
        <v>2</v>
      </c>
      <c r="J630">
        <v>1284</v>
      </c>
      <c r="K630">
        <v>0.46665926899999999</v>
      </c>
      <c r="L630">
        <v>0.80700000000000005</v>
      </c>
      <c r="M630">
        <v>5</v>
      </c>
      <c r="N630">
        <v>0.67100000000000004</v>
      </c>
      <c r="O630">
        <v>4</v>
      </c>
      <c r="P630">
        <v>4</v>
      </c>
      <c r="S630" s="59" t="s">
        <v>944</v>
      </c>
    </row>
    <row r="631" spans="1:19" x14ac:dyDescent="0.2">
      <c r="A631" t="s">
        <v>2289</v>
      </c>
      <c r="B631">
        <v>9009180400</v>
      </c>
      <c r="C631" t="s">
        <v>2290</v>
      </c>
      <c r="D631">
        <v>82000</v>
      </c>
      <c r="E631">
        <v>2.86</v>
      </c>
      <c r="F631">
        <v>48487.616470000001</v>
      </c>
      <c r="G631">
        <v>48.488</v>
      </c>
      <c r="H631">
        <v>0.441</v>
      </c>
      <c r="I631">
        <v>3</v>
      </c>
      <c r="J631">
        <v>1490</v>
      </c>
      <c r="K631">
        <v>0.368753948</v>
      </c>
      <c r="L631">
        <v>0.58799999999999997</v>
      </c>
      <c r="M631">
        <v>3</v>
      </c>
      <c r="N631">
        <v>0.48699999999999999</v>
      </c>
      <c r="O631">
        <v>3</v>
      </c>
      <c r="P631">
        <v>3</v>
      </c>
      <c r="S631" s="57" t="s">
        <v>944</v>
      </c>
    </row>
    <row r="632" spans="1:19" x14ac:dyDescent="0.2">
      <c r="A632" t="s">
        <v>2291</v>
      </c>
      <c r="B632">
        <v>9009180500</v>
      </c>
      <c r="C632" t="s">
        <v>2292</v>
      </c>
      <c r="D632">
        <v>81154</v>
      </c>
      <c r="E632">
        <v>2.65</v>
      </c>
      <c r="F632">
        <v>49852.50591</v>
      </c>
      <c r="G632">
        <v>49.853000000000002</v>
      </c>
      <c r="H632">
        <v>0.46899999999999997</v>
      </c>
      <c r="I632">
        <v>3</v>
      </c>
      <c r="J632">
        <v>1520</v>
      </c>
      <c r="K632">
        <v>0.36587930099999999</v>
      </c>
      <c r="L632">
        <v>0.56599999999999995</v>
      </c>
      <c r="M632">
        <v>3</v>
      </c>
      <c r="N632">
        <v>0.45200000000000001</v>
      </c>
      <c r="O632">
        <v>3</v>
      </c>
      <c r="P632">
        <v>3</v>
      </c>
      <c r="S632" s="59" t="s">
        <v>944</v>
      </c>
    </row>
    <row r="633" spans="1:19" x14ac:dyDescent="0.2">
      <c r="A633" t="s">
        <v>2293</v>
      </c>
      <c r="B633">
        <v>9009180601</v>
      </c>
      <c r="C633" t="s">
        <v>2294</v>
      </c>
      <c r="D633">
        <v>63536</v>
      </c>
      <c r="E633">
        <v>2.4300000000000002</v>
      </c>
      <c r="F633">
        <v>40758.362999999998</v>
      </c>
      <c r="G633">
        <v>40.758000000000003</v>
      </c>
      <c r="H633">
        <v>0.30299999999999999</v>
      </c>
      <c r="I633">
        <v>2</v>
      </c>
      <c r="J633">
        <v>1379</v>
      </c>
      <c r="K633">
        <v>0.40600256699999998</v>
      </c>
      <c r="L633">
        <v>0.69399999999999995</v>
      </c>
      <c r="M633">
        <v>4</v>
      </c>
      <c r="N633">
        <v>0.57999999999999996</v>
      </c>
      <c r="O633">
        <v>3</v>
      </c>
      <c r="P633">
        <v>4</v>
      </c>
      <c r="S633" s="57" t="s">
        <v>944</v>
      </c>
    </row>
    <row r="634" spans="1:19" x14ac:dyDescent="0.2">
      <c r="A634" t="s">
        <v>2295</v>
      </c>
      <c r="B634">
        <v>9009180602</v>
      </c>
      <c r="C634" t="s">
        <v>2296</v>
      </c>
      <c r="D634">
        <v>75991</v>
      </c>
      <c r="E634">
        <v>2.56</v>
      </c>
      <c r="F634">
        <v>47494.375</v>
      </c>
      <c r="G634">
        <v>47.494</v>
      </c>
      <c r="H634">
        <v>0.41299999999999998</v>
      </c>
      <c r="I634">
        <v>3</v>
      </c>
      <c r="J634">
        <v>1458</v>
      </c>
      <c r="K634">
        <v>0.36838046600000002</v>
      </c>
      <c r="L634">
        <v>0.58499999999999996</v>
      </c>
      <c r="M634">
        <v>3</v>
      </c>
      <c r="N634">
        <v>0.51600000000000001</v>
      </c>
      <c r="O634">
        <v>3</v>
      </c>
      <c r="P634">
        <v>3</v>
      </c>
      <c r="S634" s="59" t="s">
        <v>944</v>
      </c>
    </row>
    <row r="635" spans="1:19" x14ac:dyDescent="0.2">
      <c r="A635" t="s">
        <v>2297</v>
      </c>
      <c r="B635">
        <v>9009184100</v>
      </c>
      <c r="C635" t="s">
        <v>2298</v>
      </c>
      <c r="D635">
        <v>61755</v>
      </c>
      <c r="E635">
        <v>1.95</v>
      </c>
      <c r="F635">
        <v>44223.674050000001</v>
      </c>
      <c r="G635">
        <v>44.223999999999997</v>
      </c>
      <c r="H635">
        <v>0.35599999999999998</v>
      </c>
      <c r="I635">
        <v>2</v>
      </c>
      <c r="J635">
        <v>1320</v>
      </c>
      <c r="K635">
        <v>0.35817919599999998</v>
      </c>
      <c r="L635">
        <v>0.52600000000000002</v>
      </c>
      <c r="M635">
        <v>3</v>
      </c>
      <c r="N635">
        <v>0.63400000000000001</v>
      </c>
      <c r="O635">
        <v>4</v>
      </c>
      <c r="P635">
        <v>4</v>
      </c>
      <c r="S635" s="57" t="s">
        <v>944</v>
      </c>
    </row>
    <row r="636" spans="1:19" x14ac:dyDescent="0.2">
      <c r="A636" t="s">
        <v>2299</v>
      </c>
      <c r="B636">
        <v>9009184200</v>
      </c>
      <c r="C636" t="s">
        <v>2300</v>
      </c>
      <c r="D636">
        <v>64375</v>
      </c>
      <c r="E636">
        <v>2.37</v>
      </c>
      <c r="F636">
        <v>41816.05603</v>
      </c>
      <c r="G636">
        <v>41.816000000000003</v>
      </c>
      <c r="H636">
        <v>0.317</v>
      </c>
      <c r="I636">
        <v>2</v>
      </c>
      <c r="J636">
        <v>1592</v>
      </c>
      <c r="K636">
        <v>0.45685800700000001</v>
      </c>
      <c r="L636">
        <v>0.79500000000000004</v>
      </c>
      <c r="M636">
        <v>4</v>
      </c>
      <c r="N636">
        <v>0.38900000000000001</v>
      </c>
      <c r="O636">
        <v>2</v>
      </c>
      <c r="P636">
        <v>3</v>
      </c>
      <c r="S636" s="59" t="s">
        <v>944</v>
      </c>
    </row>
    <row r="637" spans="1:19" x14ac:dyDescent="0.2">
      <c r="A637" t="s">
        <v>2301</v>
      </c>
      <c r="B637">
        <v>9009184300</v>
      </c>
      <c r="C637" t="s">
        <v>2302</v>
      </c>
      <c r="D637">
        <v>89036</v>
      </c>
      <c r="E637">
        <v>2.1800000000000002</v>
      </c>
      <c r="F637">
        <v>60302.788350000003</v>
      </c>
      <c r="G637">
        <v>60.302999999999997</v>
      </c>
      <c r="H637">
        <v>0.65900000000000003</v>
      </c>
      <c r="I637">
        <v>4</v>
      </c>
      <c r="J637">
        <v>1489</v>
      </c>
      <c r="K637">
        <v>0.29630470599999997</v>
      </c>
      <c r="L637">
        <v>0.14899999999999999</v>
      </c>
      <c r="M637">
        <v>1</v>
      </c>
      <c r="N637">
        <v>0.49</v>
      </c>
      <c r="O637">
        <v>3</v>
      </c>
      <c r="P637">
        <v>3</v>
      </c>
      <c r="S637" s="57" t="s">
        <v>944</v>
      </c>
    </row>
    <row r="638" spans="1:19" x14ac:dyDescent="0.2">
      <c r="A638" t="s">
        <v>2303</v>
      </c>
      <c r="B638">
        <v>9009184400</v>
      </c>
      <c r="C638" t="s">
        <v>2304</v>
      </c>
      <c r="D638">
        <v>81316</v>
      </c>
      <c r="E638">
        <v>2.25</v>
      </c>
      <c r="F638">
        <v>54210.666669999999</v>
      </c>
      <c r="G638">
        <v>54.210999999999999</v>
      </c>
      <c r="H638">
        <v>0.54400000000000004</v>
      </c>
      <c r="I638">
        <v>3</v>
      </c>
      <c r="J638">
        <v>1846</v>
      </c>
      <c r="K638">
        <v>0.40862806800000001</v>
      </c>
      <c r="L638">
        <v>0.69899999999999995</v>
      </c>
      <c r="M638">
        <v>4</v>
      </c>
      <c r="N638">
        <v>0.23499999999999999</v>
      </c>
      <c r="O638">
        <v>2</v>
      </c>
      <c r="P638">
        <v>3</v>
      </c>
      <c r="S638" s="59" t="s">
        <v>944</v>
      </c>
    </row>
    <row r="639" spans="1:19" x14ac:dyDescent="0.2">
      <c r="A639" t="s">
        <v>2305</v>
      </c>
      <c r="B639">
        <v>9009184500</v>
      </c>
      <c r="C639" t="s">
        <v>2306</v>
      </c>
      <c r="D639">
        <v>77778</v>
      </c>
      <c r="E639">
        <v>2.4700000000000002</v>
      </c>
      <c r="F639">
        <v>49488.956290000002</v>
      </c>
      <c r="G639">
        <v>49.488999999999997</v>
      </c>
      <c r="H639">
        <v>0.46200000000000002</v>
      </c>
      <c r="I639">
        <v>3</v>
      </c>
      <c r="J639">
        <v>1704</v>
      </c>
      <c r="K639">
        <v>0.41318309199999997</v>
      </c>
      <c r="L639">
        <v>0.70799999999999996</v>
      </c>
      <c r="M639">
        <v>4</v>
      </c>
      <c r="N639">
        <v>0.308</v>
      </c>
      <c r="O639">
        <v>2</v>
      </c>
      <c r="P639">
        <v>3</v>
      </c>
      <c r="S639" s="57" t="s">
        <v>944</v>
      </c>
    </row>
    <row r="640" spans="1:19" x14ac:dyDescent="0.2">
      <c r="A640" t="s">
        <v>2307</v>
      </c>
      <c r="B640">
        <v>9009184600</v>
      </c>
      <c r="C640" t="s">
        <v>2308</v>
      </c>
      <c r="D640">
        <v>144250</v>
      </c>
      <c r="E640">
        <v>2.4500000000000002</v>
      </c>
      <c r="F640">
        <v>92157.944499999998</v>
      </c>
      <c r="G640">
        <v>92.158000000000001</v>
      </c>
      <c r="H640">
        <v>0.92900000000000005</v>
      </c>
      <c r="I640">
        <v>5</v>
      </c>
      <c r="J640">
        <v>2291</v>
      </c>
      <c r="K640">
        <v>0.29831394500000002</v>
      </c>
      <c r="L640">
        <v>0.159</v>
      </c>
      <c r="M640">
        <v>1</v>
      </c>
      <c r="N640">
        <v>0.114</v>
      </c>
      <c r="O640">
        <v>1</v>
      </c>
      <c r="P640">
        <v>1</v>
      </c>
      <c r="S640" s="59" t="s">
        <v>944</v>
      </c>
    </row>
    <row r="641" spans="1:19" x14ac:dyDescent="0.2">
      <c r="A641" t="s">
        <v>2309</v>
      </c>
      <c r="B641">
        <v>9009184700</v>
      </c>
      <c r="C641" t="s">
        <v>2310</v>
      </c>
      <c r="D641">
        <v>72455</v>
      </c>
      <c r="E641">
        <v>2.33</v>
      </c>
      <c r="F641">
        <v>47466.848720000002</v>
      </c>
      <c r="G641">
        <v>47.466999999999999</v>
      </c>
      <c r="H641">
        <v>0.41099999999999998</v>
      </c>
      <c r="I641">
        <v>3</v>
      </c>
      <c r="J641">
        <v>1365</v>
      </c>
      <c r="K641">
        <v>0.345082946</v>
      </c>
      <c r="L641">
        <v>0.45400000000000001</v>
      </c>
      <c r="M641">
        <v>3</v>
      </c>
      <c r="N641">
        <v>0.59399999999999997</v>
      </c>
      <c r="O641">
        <v>3</v>
      </c>
      <c r="P641">
        <v>3</v>
      </c>
      <c r="S641" s="57" t="s">
        <v>944</v>
      </c>
    </row>
    <row r="642" spans="1:19" x14ac:dyDescent="0.2">
      <c r="A642" t="s">
        <v>2311</v>
      </c>
      <c r="B642">
        <v>9009186100</v>
      </c>
      <c r="C642" t="s">
        <v>2312</v>
      </c>
      <c r="D642">
        <v>82281</v>
      </c>
      <c r="E642">
        <v>2.4500000000000002</v>
      </c>
      <c r="F642">
        <v>52567.40264</v>
      </c>
      <c r="G642">
        <v>52.567</v>
      </c>
      <c r="H642">
        <v>0.51100000000000001</v>
      </c>
      <c r="I642">
        <v>3</v>
      </c>
      <c r="J642">
        <v>1535</v>
      </c>
      <c r="K642">
        <v>0.35040726900000002</v>
      </c>
      <c r="L642">
        <v>0.48</v>
      </c>
      <c r="M642">
        <v>3</v>
      </c>
      <c r="N642">
        <v>0.438</v>
      </c>
      <c r="O642">
        <v>3</v>
      </c>
      <c r="P642">
        <v>3</v>
      </c>
      <c r="S642" s="59" t="s">
        <v>944</v>
      </c>
    </row>
    <row r="643" spans="1:19" x14ac:dyDescent="0.2">
      <c r="A643" t="s">
        <v>2313</v>
      </c>
      <c r="B643">
        <v>9009186200</v>
      </c>
      <c r="C643" t="s">
        <v>2314</v>
      </c>
      <c r="D643">
        <v>100286</v>
      </c>
      <c r="E643">
        <v>2.87</v>
      </c>
      <c r="F643">
        <v>59196.95407</v>
      </c>
      <c r="G643">
        <v>59.197000000000003</v>
      </c>
      <c r="H643">
        <v>0.63600000000000001</v>
      </c>
      <c r="I643">
        <v>4</v>
      </c>
      <c r="J643">
        <v>1782</v>
      </c>
      <c r="K643">
        <v>0.36123480200000002</v>
      </c>
      <c r="L643">
        <v>0.54600000000000004</v>
      </c>
      <c r="M643">
        <v>3</v>
      </c>
      <c r="N643">
        <v>0.26100000000000001</v>
      </c>
      <c r="O643">
        <v>2</v>
      </c>
      <c r="P643">
        <v>2</v>
      </c>
      <c r="S643" s="57" t="s">
        <v>944</v>
      </c>
    </row>
    <row r="644" spans="1:19" x14ac:dyDescent="0.2">
      <c r="A644" t="s">
        <v>2315</v>
      </c>
      <c r="B644">
        <v>9009190100</v>
      </c>
      <c r="C644" t="s">
        <v>2316</v>
      </c>
      <c r="D644">
        <v>89699</v>
      </c>
      <c r="E644">
        <v>2.1800000000000002</v>
      </c>
      <c r="F644">
        <v>60751.828609999997</v>
      </c>
      <c r="G644">
        <v>60.752000000000002</v>
      </c>
      <c r="H644">
        <v>0.66500000000000004</v>
      </c>
      <c r="I644">
        <v>4</v>
      </c>
      <c r="J644">
        <v>1530</v>
      </c>
      <c r="K644">
        <v>0.30221312500000003</v>
      </c>
      <c r="L644">
        <v>0.187</v>
      </c>
      <c r="M644">
        <v>1</v>
      </c>
      <c r="N644">
        <v>0.442</v>
      </c>
      <c r="O644">
        <v>3</v>
      </c>
      <c r="P644">
        <v>3</v>
      </c>
      <c r="S644" s="59" t="s">
        <v>944</v>
      </c>
    </row>
    <row r="645" spans="1:19" x14ac:dyDescent="0.2">
      <c r="A645" t="s">
        <v>2317</v>
      </c>
      <c r="B645">
        <v>9009190200</v>
      </c>
      <c r="C645" t="s">
        <v>2318</v>
      </c>
      <c r="D645">
        <v>111983</v>
      </c>
      <c r="E645">
        <v>2.42</v>
      </c>
      <c r="F645">
        <v>71985.398799999995</v>
      </c>
      <c r="G645">
        <v>71.984999999999999</v>
      </c>
      <c r="H645">
        <v>0.82499999999999996</v>
      </c>
      <c r="I645">
        <v>5</v>
      </c>
      <c r="J645">
        <v>2174</v>
      </c>
      <c r="K645">
        <v>0.36240682699999999</v>
      </c>
      <c r="L645">
        <v>0.55200000000000005</v>
      </c>
      <c r="M645">
        <v>3</v>
      </c>
      <c r="N645">
        <v>0.13300000000000001</v>
      </c>
      <c r="O645">
        <v>1</v>
      </c>
      <c r="P645">
        <v>1</v>
      </c>
      <c r="S645" s="57" t="s">
        <v>944</v>
      </c>
    </row>
    <row r="646" spans="1:19" x14ac:dyDescent="0.2">
      <c r="A646" t="s">
        <v>2319</v>
      </c>
      <c r="B646">
        <v>9009190301</v>
      </c>
      <c r="C646" t="s">
        <v>2320</v>
      </c>
      <c r="D646">
        <v>136103</v>
      </c>
      <c r="E646">
        <v>3.05</v>
      </c>
      <c r="F646">
        <v>77932.3511</v>
      </c>
      <c r="G646">
        <v>77.932000000000002</v>
      </c>
      <c r="H646">
        <v>0.86299999999999999</v>
      </c>
      <c r="I646">
        <v>5</v>
      </c>
      <c r="J646">
        <v>2080</v>
      </c>
      <c r="K646">
        <v>0.32027777499999999</v>
      </c>
      <c r="L646">
        <v>0.28899999999999998</v>
      </c>
      <c r="M646">
        <v>2</v>
      </c>
      <c r="N646">
        <v>0.14499999999999999</v>
      </c>
      <c r="O646">
        <v>1</v>
      </c>
      <c r="P646">
        <v>1</v>
      </c>
      <c r="S646" s="59" t="s">
        <v>944</v>
      </c>
    </row>
    <row r="647" spans="1:19" x14ac:dyDescent="0.2">
      <c r="A647" t="s">
        <v>2321</v>
      </c>
      <c r="B647">
        <v>9009190302</v>
      </c>
      <c r="C647" t="s">
        <v>2322</v>
      </c>
      <c r="D647">
        <v>105769</v>
      </c>
      <c r="E647">
        <v>2.5299999999999998</v>
      </c>
      <c r="F647">
        <v>66496.400569999998</v>
      </c>
      <c r="G647">
        <v>66.495999999999995</v>
      </c>
      <c r="H647">
        <v>0.75900000000000001</v>
      </c>
      <c r="I647">
        <v>4</v>
      </c>
      <c r="J647">
        <v>1827</v>
      </c>
      <c r="K647">
        <v>0.32970205600000002</v>
      </c>
      <c r="L647">
        <v>0.35099999999999998</v>
      </c>
      <c r="M647">
        <v>2</v>
      </c>
      <c r="N647">
        <v>0.24399999999999999</v>
      </c>
      <c r="O647">
        <v>2</v>
      </c>
      <c r="P647">
        <v>2</v>
      </c>
      <c r="S647" s="57" t="s">
        <v>944</v>
      </c>
    </row>
    <row r="648" spans="1:19" x14ac:dyDescent="0.2">
      <c r="A648" t="s">
        <v>2323</v>
      </c>
      <c r="B648">
        <v>9009190303</v>
      </c>
      <c r="C648" t="s">
        <v>2324</v>
      </c>
      <c r="D648">
        <v>106063</v>
      </c>
      <c r="E648">
        <v>2.72</v>
      </c>
      <c r="F648">
        <v>64310.14</v>
      </c>
      <c r="G648">
        <v>64.31</v>
      </c>
      <c r="H648">
        <v>0.72199999999999998</v>
      </c>
      <c r="I648">
        <v>4</v>
      </c>
      <c r="J648">
        <v>1906</v>
      </c>
      <c r="K648">
        <v>0.35565153500000002</v>
      </c>
      <c r="L648">
        <v>0.51300000000000001</v>
      </c>
      <c r="M648">
        <v>3</v>
      </c>
      <c r="N648">
        <v>0.20899999999999999</v>
      </c>
      <c r="O648">
        <v>2</v>
      </c>
      <c r="P648">
        <v>2</v>
      </c>
      <c r="S648" s="59" t="s">
        <v>944</v>
      </c>
    </row>
    <row r="649" spans="1:19" x14ac:dyDescent="0.2">
      <c r="A649" t="s">
        <v>2325</v>
      </c>
      <c r="B649">
        <v>9009194100</v>
      </c>
      <c r="C649" t="s">
        <v>2326</v>
      </c>
      <c r="D649">
        <v>80759</v>
      </c>
      <c r="E649">
        <v>2.14</v>
      </c>
      <c r="F649">
        <v>55205.715880000003</v>
      </c>
      <c r="G649">
        <v>55.206000000000003</v>
      </c>
      <c r="H649">
        <v>0.56799999999999995</v>
      </c>
      <c r="I649">
        <v>3</v>
      </c>
      <c r="J649">
        <v>1705</v>
      </c>
      <c r="K649">
        <v>0.37061379700000002</v>
      </c>
      <c r="L649">
        <v>0.59399999999999997</v>
      </c>
      <c r="M649">
        <v>3</v>
      </c>
      <c r="N649">
        <v>0.307</v>
      </c>
      <c r="O649">
        <v>2</v>
      </c>
      <c r="P649">
        <v>3</v>
      </c>
      <c r="S649" s="57" t="s">
        <v>944</v>
      </c>
    </row>
    <row r="650" spans="1:19" x14ac:dyDescent="0.2">
      <c r="A650" t="s">
        <v>2327</v>
      </c>
      <c r="B650">
        <v>9009194201</v>
      </c>
      <c r="C650" t="s">
        <v>2328</v>
      </c>
      <c r="D650">
        <v>122031</v>
      </c>
      <c r="E650">
        <v>2.76</v>
      </c>
      <c r="F650">
        <v>73454.030190000005</v>
      </c>
      <c r="G650">
        <v>73.453999999999994</v>
      </c>
      <c r="H650">
        <v>0.84</v>
      </c>
      <c r="I650">
        <v>5</v>
      </c>
      <c r="J650">
        <v>2272</v>
      </c>
      <c r="K650">
        <v>0.37117092000000002</v>
      </c>
      <c r="L650">
        <v>0.59799999999999998</v>
      </c>
      <c r="M650">
        <v>3</v>
      </c>
      <c r="N650">
        <v>0.12</v>
      </c>
      <c r="O650">
        <v>1</v>
      </c>
      <c r="P650">
        <v>1</v>
      </c>
      <c r="S650" s="59" t="s">
        <v>944</v>
      </c>
    </row>
    <row r="651" spans="1:19" x14ac:dyDescent="0.2">
      <c r="A651" t="s">
        <v>2329</v>
      </c>
      <c r="B651">
        <v>9009194202</v>
      </c>
      <c r="C651" t="s">
        <v>2330</v>
      </c>
      <c r="D651">
        <v>137361</v>
      </c>
      <c r="E651">
        <v>2.88</v>
      </c>
      <c r="F651">
        <v>80940.745479999998</v>
      </c>
      <c r="G651">
        <v>80.941000000000003</v>
      </c>
      <c r="H651">
        <v>0.88500000000000001</v>
      </c>
      <c r="I651">
        <v>5</v>
      </c>
      <c r="J651">
        <v>2262</v>
      </c>
      <c r="K651">
        <v>0.33535643700000001</v>
      </c>
      <c r="L651">
        <v>0.40100000000000002</v>
      </c>
      <c r="M651">
        <v>3</v>
      </c>
      <c r="N651">
        <v>0.121</v>
      </c>
      <c r="O651">
        <v>1</v>
      </c>
      <c r="P651">
        <v>1</v>
      </c>
      <c r="S651" s="57" t="s">
        <v>944</v>
      </c>
    </row>
    <row r="652" spans="1:19" x14ac:dyDescent="0.2">
      <c r="A652" t="s">
        <v>2331</v>
      </c>
      <c r="B652">
        <v>9009341100</v>
      </c>
      <c r="C652" t="s">
        <v>2332</v>
      </c>
      <c r="D652">
        <v>85024</v>
      </c>
      <c r="E652">
        <v>2.52</v>
      </c>
      <c r="F652">
        <v>53560.085590000002</v>
      </c>
      <c r="G652">
        <v>53.56</v>
      </c>
      <c r="H652">
        <v>0.53300000000000003</v>
      </c>
      <c r="I652">
        <v>3</v>
      </c>
      <c r="J652">
        <v>1689</v>
      </c>
      <c r="K652">
        <v>0.37841612400000002</v>
      </c>
      <c r="L652">
        <v>0.625</v>
      </c>
      <c r="M652">
        <v>4</v>
      </c>
      <c r="N652">
        <v>0.31900000000000001</v>
      </c>
      <c r="O652">
        <v>2</v>
      </c>
      <c r="P652">
        <v>3</v>
      </c>
      <c r="S652" s="59" t="s">
        <v>944</v>
      </c>
    </row>
    <row r="653" spans="1:19" x14ac:dyDescent="0.2">
      <c r="A653" t="s">
        <v>2333</v>
      </c>
      <c r="B653">
        <v>9009343101</v>
      </c>
      <c r="C653" t="s">
        <v>2334</v>
      </c>
      <c r="D653">
        <v>121889</v>
      </c>
      <c r="E653">
        <v>2.65</v>
      </c>
      <c r="F653">
        <v>74875.817500000005</v>
      </c>
      <c r="G653">
        <v>74.876000000000005</v>
      </c>
      <c r="H653">
        <v>0.84899999999999998</v>
      </c>
      <c r="I653">
        <v>5</v>
      </c>
      <c r="J653">
        <v>2003</v>
      </c>
      <c r="K653">
        <v>0.32101151999999999</v>
      </c>
      <c r="L653">
        <v>0.30099999999999999</v>
      </c>
      <c r="M653">
        <v>2</v>
      </c>
      <c r="N653">
        <v>0.16200000000000001</v>
      </c>
      <c r="O653">
        <v>1</v>
      </c>
      <c r="P653">
        <v>1</v>
      </c>
      <c r="S653" s="57" t="s">
        <v>944</v>
      </c>
    </row>
    <row r="654" spans="1:19" x14ac:dyDescent="0.2">
      <c r="A654" t="s">
        <v>2335</v>
      </c>
      <c r="B654">
        <v>9009343102</v>
      </c>
      <c r="C654" t="s">
        <v>2336</v>
      </c>
      <c r="D654">
        <v>108750</v>
      </c>
      <c r="E654">
        <v>2.4900000000000002</v>
      </c>
      <c r="F654">
        <v>68917.512239999996</v>
      </c>
      <c r="G654">
        <v>68.918000000000006</v>
      </c>
      <c r="H654">
        <v>0.79100000000000004</v>
      </c>
      <c r="I654">
        <v>4</v>
      </c>
      <c r="J654">
        <v>1577</v>
      </c>
      <c r="K654">
        <v>0.27458913400000001</v>
      </c>
      <c r="L654">
        <v>7.0000000000000007E-2</v>
      </c>
      <c r="M654">
        <v>1</v>
      </c>
      <c r="N654">
        <v>0.40400000000000003</v>
      </c>
      <c r="O654">
        <v>3</v>
      </c>
      <c r="P654">
        <v>3</v>
      </c>
      <c r="S654" s="59" t="s">
        <v>944</v>
      </c>
    </row>
    <row r="655" spans="1:19" x14ac:dyDescent="0.2">
      <c r="A655" t="s">
        <v>2337</v>
      </c>
      <c r="B655">
        <v>9009343200</v>
      </c>
      <c r="C655" t="s">
        <v>2338</v>
      </c>
      <c r="D655">
        <v>120745</v>
      </c>
      <c r="E655">
        <v>2.54</v>
      </c>
      <c r="F655">
        <v>75762.151190000004</v>
      </c>
      <c r="G655">
        <v>75.762</v>
      </c>
      <c r="H655">
        <v>0.85599999999999998</v>
      </c>
      <c r="I655">
        <v>5</v>
      </c>
      <c r="J655">
        <v>1590</v>
      </c>
      <c r="K655">
        <v>0.25184078999999998</v>
      </c>
      <c r="L655">
        <v>1.7999999999999999E-2</v>
      </c>
      <c r="M655">
        <v>1</v>
      </c>
      <c r="N655">
        <v>0.39200000000000002</v>
      </c>
      <c r="O655">
        <v>2</v>
      </c>
      <c r="P655">
        <v>2</v>
      </c>
      <c r="S655" s="57" t="s">
        <v>944</v>
      </c>
    </row>
    <row r="656" spans="1:19" x14ac:dyDescent="0.2">
      <c r="A656" t="s">
        <v>2339</v>
      </c>
      <c r="B656">
        <v>9009343300</v>
      </c>
      <c r="C656" t="s">
        <v>2340</v>
      </c>
      <c r="D656">
        <v>119861</v>
      </c>
      <c r="E656">
        <v>2.64</v>
      </c>
      <c r="F656">
        <v>73769.346000000005</v>
      </c>
      <c r="G656">
        <v>73.769000000000005</v>
      </c>
      <c r="H656">
        <v>0.84199999999999997</v>
      </c>
      <c r="I656">
        <v>5</v>
      </c>
      <c r="J656">
        <v>1552</v>
      </c>
      <c r="K656">
        <v>0.25246258799999999</v>
      </c>
      <c r="L656">
        <v>1.9E-2</v>
      </c>
      <c r="M656">
        <v>1</v>
      </c>
      <c r="N656">
        <v>0.42499999999999999</v>
      </c>
      <c r="O656">
        <v>3</v>
      </c>
      <c r="P656">
        <v>2</v>
      </c>
      <c r="S656" s="59" t="s">
        <v>944</v>
      </c>
    </row>
    <row r="657" spans="1:19" x14ac:dyDescent="0.2">
      <c r="A657" t="s">
        <v>2341</v>
      </c>
      <c r="B657">
        <v>9009343400</v>
      </c>
      <c r="C657" t="s">
        <v>2342</v>
      </c>
      <c r="D657">
        <v>120833</v>
      </c>
      <c r="E657">
        <v>2.74</v>
      </c>
      <c r="F657">
        <v>72997.884900000005</v>
      </c>
      <c r="G657">
        <v>72.998000000000005</v>
      </c>
      <c r="H657">
        <v>0.83499999999999996</v>
      </c>
      <c r="I657">
        <v>5</v>
      </c>
      <c r="J657">
        <v>1589</v>
      </c>
      <c r="K657">
        <v>0.261213048</v>
      </c>
      <c r="L657">
        <v>3.6999999999999998E-2</v>
      </c>
      <c r="M657">
        <v>1</v>
      </c>
      <c r="N657">
        <v>0.39600000000000002</v>
      </c>
      <c r="O657">
        <v>2</v>
      </c>
      <c r="P657">
        <v>2</v>
      </c>
      <c r="S657" s="57" t="s">
        <v>944</v>
      </c>
    </row>
    <row r="658" spans="1:19" x14ac:dyDescent="0.2">
      <c r="A658" t="s">
        <v>2343</v>
      </c>
      <c r="B658">
        <v>9009344100</v>
      </c>
      <c r="C658" t="s">
        <v>2344</v>
      </c>
      <c r="D658">
        <v>115625</v>
      </c>
      <c r="E658">
        <v>2.76</v>
      </c>
      <c r="F658">
        <v>69598.071320000003</v>
      </c>
      <c r="G658">
        <v>69.597999999999999</v>
      </c>
      <c r="H658">
        <v>0.79500000000000004</v>
      </c>
      <c r="I658">
        <v>4</v>
      </c>
      <c r="J658">
        <v>1667</v>
      </c>
      <c r="K658">
        <v>0.28742175800000003</v>
      </c>
      <c r="L658">
        <v>0.104</v>
      </c>
      <c r="M658">
        <v>1</v>
      </c>
      <c r="N658">
        <v>0.33</v>
      </c>
      <c r="O658">
        <v>2</v>
      </c>
      <c r="P658">
        <v>2</v>
      </c>
      <c r="S658" s="59" t="s">
        <v>944</v>
      </c>
    </row>
    <row r="659" spans="1:19" x14ac:dyDescent="0.2">
      <c r="A659" t="s">
        <v>2345</v>
      </c>
      <c r="B659">
        <v>9009344200</v>
      </c>
      <c r="C659" t="s">
        <v>2346</v>
      </c>
      <c r="D659">
        <v>135197</v>
      </c>
      <c r="E659">
        <v>2.78</v>
      </c>
      <c r="F659">
        <v>81085.77218</v>
      </c>
      <c r="G659">
        <v>81.085999999999999</v>
      </c>
      <c r="H659">
        <v>0.88900000000000001</v>
      </c>
      <c r="I659">
        <v>5</v>
      </c>
      <c r="J659">
        <v>2328</v>
      </c>
      <c r="K659">
        <v>0.34452406699999999</v>
      </c>
      <c r="L659">
        <v>0.44800000000000001</v>
      </c>
      <c r="M659">
        <v>3</v>
      </c>
      <c r="N659">
        <v>0.109</v>
      </c>
      <c r="O659">
        <v>1</v>
      </c>
      <c r="P659">
        <v>1</v>
      </c>
      <c r="S659" s="57" t="s">
        <v>944</v>
      </c>
    </row>
    <row r="660" spans="1:19" x14ac:dyDescent="0.2">
      <c r="A660" t="s">
        <v>2347</v>
      </c>
      <c r="B660">
        <v>9009345100</v>
      </c>
      <c r="C660" t="s">
        <v>2348</v>
      </c>
      <c r="D660">
        <v>64241</v>
      </c>
      <c r="E660">
        <v>2.72</v>
      </c>
      <c r="F660">
        <v>38951.827720000001</v>
      </c>
      <c r="G660">
        <v>38.951999999999998</v>
      </c>
      <c r="H660">
        <v>0.27900000000000003</v>
      </c>
      <c r="I660">
        <v>2</v>
      </c>
      <c r="J660">
        <v>1235</v>
      </c>
      <c r="K660">
        <v>0.38046995099999997</v>
      </c>
      <c r="L660">
        <v>0.63300000000000001</v>
      </c>
      <c r="M660">
        <v>4</v>
      </c>
      <c r="N660">
        <v>0.72599999999999998</v>
      </c>
      <c r="O660">
        <v>4</v>
      </c>
      <c r="P660">
        <v>4</v>
      </c>
      <c r="S660" s="59" t="s">
        <v>944</v>
      </c>
    </row>
    <row r="661" spans="1:19" x14ac:dyDescent="0.2">
      <c r="A661" t="s">
        <v>2349</v>
      </c>
      <c r="B661">
        <v>9009345201</v>
      </c>
      <c r="C661" t="s">
        <v>2350</v>
      </c>
      <c r="D661">
        <v>77434</v>
      </c>
      <c r="E661">
        <v>2.99</v>
      </c>
      <c r="F661">
        <v>44781.238440000001</v>
      </c>
      <c r="G661">
        <v>44.780999999999999</v>
      </c>
      <c r="H661">
        <v>0.36399999999999999</v>
      </c>
      <c r="I661">
        <v>2</v>
      </c>
      <c r="J661">
        <v>1574</v>
      </c>
      <c r="K661">
        <v>0.42178378</v>
      </c>
      <c r="L661">
        <v>0.73099999999999998</v>
      </c>
      <c r="M661">
        <v>4</v>
      </c>
      <c r="N661">
        <v>0.41</v>
      </c>
      <c r="O661">
        <v>3</v>
      </c>
      <c r="P661">
        <v>4</v>
      </c>
      <c r="S661" s="57" t="s">
        <v>944</v>
      </c>
    </row>
    <row r="662" spans="1:19" x14ac:dyDescent="0.2">
      <c r="A662" t="s">
        <v>2351</v>
      </c>
      <c r="B662">
        <v>9009345202</v>
      </c>
      <c r="C662" t="s">
        <v>2352</v>
      </c>
      <c r="D662">
        <v>102656</v>
      </c>
      <c r="E662">
        <v>2.82</v>
      </c>
      <c r="F662">
        <v>61130.758399999999</v>
      </c>
      <c r="G662">
        <v>61.131</v>
      </c>
      <c r="H662">
        <v>0.67400000000000004</v>
      </c>
      <c r="I662">
        <v>4</v>
      </c>
      <c r="J662">
        <v>1507</v>
      </c>
      <c r="K662">
        <v>0.29582489200000001</v>
      </c>
      <c r="L662">
        <v>0.14399999999999999</v>
      </c>
      <c r="M662">
        <v>1</v>
      </c>
      <c r="N662">
        <v>0.46400000000000002</v>
      </c>
      <c r="O662">
        <v>3</v>
      </c>
      <c r="P662">
        <v>3</v>
      </c>
      <c r="S662" s="59" t="s">
        <v>944</v>
      </c>
    </row>
    <row r="663" spans="1:19" x14ac:dyDescent="0.2">
      <c r="A663" t="s">
        <v>2353</v>
      </c>
      <c r="B663">
        <v>9009345300</v>
      </c>
      <c r="C663" t="s">
        <v>2354</v>
      </c>
      <c r="D663">
        <v>66964</v>
      </c>
      <c r="E663">
        <v>2.4900000000000002</v>
      </c>
      <c r="F663">
        <v>42436.710709999999</v>
      </c>
      <c r="G663">
        <v>42.436999999999998</v>
      </c>
      <c r="H663">
        <v>0.33</v>
      </c>
      <c r="I663">
        <v>2</v>
      </c>
      <c r="J663">
        <v>1172</v>
      </c>
      <c r="K663">
        <v>0.331411171</v>
      </c>
      <c r="L663">
        <v>0.36899999999999999</v>
      </c>
      <c r="M663">
        <v>2</v>
      </c>
      <c r="N663">
        <v>0.80100000000000005</v>
      </c>
      <c r="O663">
        <v>5</v>
      </c>
      <c r="P663">
        <v>5</v>
      </c>
      <c r="S663" s="57" t="s">
        <v>944</v>
      </c>
    </row>
    <row r="664" spans="1:19" x14ac:dyDescent="0.2">
      <c r="A664" t="s">
        <v>2355</v>
      </c>
      <c r="B664">
        <v>9009345400</v>
      </c>
      <c r="C664" t="s">
        <v>2356</v>
      </c>
      <c r="D664">
        <v>74735</v>
      </c>
      <c r="E664">
        <v>2.44</v>
      </c>
      <c r="F664">
        <v>47844.181109999998</v>
      </c>
      <c r="G664">
        <v>47.844000000000001</v>
      </c>
      <c r="H664">
        <v>0.42399999999999999</v>
      </c>
      <c r="I664">
        <v>3</v>
      </c>
      <c r="J664">
        <v>1228</v>
      </c>
      <c r="K664">
        <v>0.307999837</v>
      </c>
      <c r="L664">
        <v>0.215</v>
      </c>
      <c r="M664">
        <v>2</v>
      </c>
      <c r="N664">
        <v>0.73899999999999999</v>
      </c>
      <c r="O664">
        <v>4</v>
      </c>
      <c r="P664">
        <v>4</v>
      </c>
      <c r="S664" s="59" t="s">
        <v>944</v>
      </c>
    </row>
    <row r="665" spans="1:19" x14ac:dyDescent="0.2">
      <c r="A665" t="s">
        <v>2357</v>
      </c>
      <c r="B665">
        <v>9009346101</v>
      </c>
      <c r="C665" t="s">
        <v>2358</v>
      </c>
      <c r="D665">
        <v>107500</v>
      </c>
      <c r="E665">
        <v>2.61</v>
      </c>
      <c r="F665">
        <v>66540.829509999996</v>
      </c>
      <c r="G665">
        <v>66.540999999999997</v>
      </c>
      <c r="H665">
        <v>0.76100000000000001</v>
      </c>
      <c r="I665">
        <v>4</v>
      </c>
      <c r="J665">
        <v>1778</v>
      </c>
      <c r="K665">
        <v>0.320645236</v>
      </c>
      <c r="L665">
        <v>0.29399999999999998</v>
      </c>
      <c r="M665">
        <v>2</v>
      </c>
      <c r="N665">
        <v>0.26400000000000001</v>
      </c>
      <c r="O665">
        <v>2</v>
      </c>
      <c r="P665">
        <v>2</v>
      </c>
      <c r="S665" s="57" t="s">
        <v>944</v>
      </c>
    </row>
    <row r="666" spans="1:19" x14ac:dyDescent="0.2">
      <c r="A666" t="s">
        <v>2359</v>
      </c>
      <c r="B666">
        <v>9009346102</v>
      </c>
      <c r="C666" t="s">
        <v>2360</v>
      </c>
      <c r="D666">
        <v>113500</v>
      </c>
      <c r="E666">
        <v>3.01</v>
      </c>
      <c r="F666">
        <v>65420.312409999999</v>
      </c>
      <c r="G666">
        <v>65.42</v>
      </c>
      <c r="H666">
        <v>0.74199999999999999</v>
      </c>
      <c r="I666">
        <v>4</v>
      </c>
      <c r="J666">
        <v>1981</v>
      </c>
      <c r="K666">
        <v>0.363373379</v>
      </c>
      <c r="L666">
        <v>0.55800000000000005</v>
      </c>
      <c r="M666">
        <v>3</v>
      </c>
      <c r="N666">
        <v>0.16800000000000001</v>
      </c>
      <c r="O666">
        <v>1</v>
      </c>
      <c r="P666">
        <v>2</v>
      </c>
      <c r="S666" s="59" t="s">
        <v>944</v>
      </c>
    </row>
    <row r="667" spans="1:19" x14ac:dyDescent="0.2">
      <c r="A667" t="s">
        <v>2361</v>
      </c>
      <c r="B667">
        <v>9009347100</v>
      </c>
      <c r="C667" t="s">
        <v>2362</v>
      </c>
      <c r="D667">
        <v>101848</v>
      </c>
      <c r="E667">
        <v>2.81</v>
      </c>
      <c r="F667">
        <v>60757.423000000003</v>
      </c>
      <c r="G667">
        <v>60.756999999999998</v>
      </c>
      <c r="H667">
        <v>0.66700000000000004</v>
      </c>
      <c r="I667">
        <v>4</v>
      </c>
      <c r="J667">
        <v>1522</v>
      </c>
      <c r="K667">
        <v>0.30060524500000002</v>
      </c>
      <c r="L667">
        <v>0.17199999999999999</v>
      </c>
      <c r="M667">
        <v>1</v>
      </c>
      <c r="N667">
        <v>0.45100000000000001</v>
      </c>
      <c r="O667">
        <v>3</v>
      </c>
      <c r="P667">
        <v>3</v>
      </c>
      <c r="S667" s="57" t="s">
        <v>944</v>
      </c>
    </row>
    <row r="668" spans="1:19" x14ac:dyDescent="0.2">
      <c r="A668" t="s">
        <v>2363</v>
      </c>
      <c r="B668">
        <v>9009347200</v>
      </c>
      <c r="C668" t="s">
        <v>2364</v>
      </c>
      <c r="D668">
        <v>99391</v>
      </c>
      <c r="E668">
        <v>2.92</v>
      </c>
      <c r="F668">
        <v>58164.183299999997</v>
      </c>
      <c r="G668">
        <v>58.164000000000001</v>
      </c>
      <c r="H668">
        <v>0.622</v>
      </c>
      <c r="I668">
        <v>4</v>
      </c>
      <c r="J668">
        <v>1752</v>
      </c>
      <c r="K668">
        <v>0.36145955800000001</v>
      </c>
      <c r="L668">
        <v>0.54700000000000004</v>
      </c>
      <c r="M668">
        <v>3</v>
      </c>
      <c r="N668">
        <v>0.28399999999999997</v>
      </c>
      <c r="O668">
        <v>2</v>
      </c>
      <c r="P668">
        <v>2</v>
      </c>
      <c r="S668" s="59" t="s">
        <v>944</v>
      </c>
    </row>
    <row r="669" spans="1:19" x14ac:dyDescent="0.2">
      <c r="A669" t="s">
        <v>2365</v>
      </c>
      <c r="B669">
        <v>9009348111</v>
      </c>
      <c r="C669" t="s">
        <v>2366</v>
      </c>
      <c r="D669">
        <v>126534</v>
      </c>
      <c r="E669">
        <v>2.68</v>
      </c>
      <c r="F669">
        <v>77292.942360000001</v>
      </c>
      <c r="G669">
        <v>77.293000000000006</v>
      </c>
      <c r="H669">
        <v>0.86</v>
      </c>
      <c r="I669">
        <v>5</v>
      </c>
      <c r="J669">
        <v>1916</v>
      </c>
      <c r="K669">
        <v>0.29746570999999999</v>
      </c>
      <c r="L669">
        <v>0.154</v>
      </c>
      <c r="M669">
        <v>1</v>
      </c>
      <c r="N669">
        <v>0.20100000000000001</v>
      </c>
      <c r="O669">
        <v>2</v>
      </c>
      <c r="P669">
        <v>2</v>
      </c>
      <c r="S669" s="57" t="s">
        <v>944</v>
      </c>
    </row>
    <row r="670" spans="1:19" x14ac:dyDescent="0.2">
      <c r="A670" t="s">
        <v>2367</v>
      </c>
      <c r="B670">
        <v>9009348122</v>
      </c>
      <c r="C670" t="s">
        <v>2368</v>
      </c>
      <c r="D670">
        <v>136053</v>
      </c>
      <c r="E670">
        <v>2.94</v>
      </c>
      <c r="F670">
        <v>79347.720950000003</v>
      </c>
      <c r="G670">
        <v>79.347999999999999</v>
      </c>
      <c r="H670">
        <v>0.872</v>
      </c>
      <c r="I670">
        <v>5</v>
      </c>
      <c r="J670">
        <v>2168</v>
      </c>
      <c r="K670">
        <v>0.327873311</v>
      </c>
      <c r="L670">
        <v>0.34300000000000003</v>
      </c>
      <c r="M670">
        <v>2</v>
      </c>
      <c r="N670">
        <v>0.13600000000000001</v>
      </c>
      <c r="O670">
        <v>1</v>
      </c>
      <c r="P670">
        <v>1</v>
      </c>
      <c r="S670" s="59" t="s">
        <v>944</v>
      </c>
    </row>
    <row r="671" spans="1:19" x14ac:dyDescent="0.2">
      <c r="A671" t="s">
        <v>2369</v>
      </c>
      <c r="B671">
        <v>9009348123</v>
      </c>
      <c r="C671" t="s">
        <v>2370</v>
      </c>
      <c r="D671">
        <v>122431</v>
      </c>
      <c r="E671">
        <v>3.06</v>
      </c>
      <c r="F671">
        <v>69989.144260000001</v>
      </c>
      <c r="G671">
        <v>69.989000000000004</v>
      </c>
      <c r="H671">
        <v>0.80400000000000005</v>
      </c>
      <c r="I671">
        <v>5</v>
      </c>
      <c r="J671">
        <v>2046</v>
      </c>
      <c r="K671">
        <v>0.35079725899999997</v>
      </c>
      <c r="L671">
        <v>0.48199999999999998</v>
      </c>
      <c r="M671">
        <v>3</v>
      </c>
      <c r="N671">
        <v>0.151</v>
      </c>
      <c r="O671">
        <v>1</v>
      </c>
      <c r="P671">
        <v>1</v>
      </c>
      <c r="S671" s="57" t="s">
        <v>944</v>
      </c>
    </row>
    <row r="672" spans="1:19" x14ac:dyDescent="0.2">
      <c r="A672" t="s">
        <v>2371</v>
      </c>
      <c r="B672">
        <v>9009348124</v>
      </c>
      <c r="C672" t="s">
        <v>2372</v>
      </c>
      <c r="D672">
        <v>59266</v>
      </c>
      <c r="E672">
        <v>1.64</v>
      </c>
      <c r="F672">
        <v>46278.970860000001</v>
      </c>
      <c r="G672">
        <v>46.279000000000003</v>
      </c>
      <c r="H672">
        <v>0.39</v>
      </c>
      <c r="I672">
        <v>2</v>
      </c>
      <c r="J672">
        <v>1446</v>
      </c>
      <c r="K672">
        <v>0.374943515</v>
      </c>
      <c r="L672">
        <v>0.61099999999999999</v>
      </c>
      <c r="M672">
        <v>4</v>
      </c>
      <c r="N672">
        <v>0.53300000000000003</v>
      </c>
      <c r="O672">
        <v>3</v>
      </c>
      <c r="P672">
        <v>4</v>
      </c>
      <c r="S672" s="59" t="s">
        <v>944</v>
      </c>
    </row>
    <row r="673" spans="1:19" x14ac:dyDescent="0.2">
      <c r="A673" t="s">
        <v>2373</v>
      </c>
      <c r="B673">
        <v>9009348125</v>
      </c>
      <c r="C673" t="s">
        <v>2374</v>
      </c>
      <c r="D673">
        <v>65550</v>
      </c>
      <c r="E673">
        <v>1.9</v>
      </c>
      <c r="F673">
        <v>47554.96819</v>
      </c>
      <c r="G673">
        <v>47.555</v>
      </c>
      <c r="H673">
        <v>0.41499999999999998</v>
      </c>
      <c r="I673">
        <v>3</v>
      </c>
      <c r="J673">
        <v>1379</v>
      </c>
      <c r="K673">
        <v>0.34797626100000001</v>
      </c>
      <c r="L673">
        <v>0.47</v>
      </c>
      <c r="M673">
        <v>3</v>
      </c>
      <c r="N673">
        <v>0.57999999999999996</v>
      </c>
      <c r="O673">
        <v>3</v>
      </c>
      <c r="P673">
        <v>3</v>
      </c>
      <c r="S673" s="57" t="s">
        <v>944</v>
      </c>
    </row>
    <row r="674" spans="1:19" x14ac:dyDescent="0.2">
      <c r="A674" t="s">
        <v>2375</v>
      </c>
      <c r="B674">
        <v>9009350100</v>
      </c>
      <c r="C674" t="s">
        <v>2376</v>
      </c>
      <c r="D674">
        <v>13410</v>
      </c>
      <c r="E674">
        <v>1.47</v>
      </c>
      <c r="F674">
        <v>11060.381590000001</v>
      </c>
      <c r="G674">
        <v>11.06</v>
      </c>
      <c r="H674">
        <v>2E-3</v>
      </c>
      <c r="I674">
        <v>1</v>
      </c>
      <c r="J674">
        <v>461</v>
      </c>
      <c r="K674">
        <v>0.50016357499999997</v>
      </c>
      <c r="L674">
        <v>0.84499999999999997</v>
      </c>
      <c r="M674">
        <v>5</v>
      </c>
      <c r="N674">
        <v>0.998</v>
      </c>
      <c r="O674">
        <v>5</v>
      </c>
      <c r="P674">
        <v>5</v>
      </c>
      <c r="S674" s="59" t="s">
        <v>936</v>
      </c>
    </row>
    <row r="675" spans="1:19" x14ac:dyDescent="0.2">
      <c r="A675" t="s">
        <v>2377</v>
      </c>
      <c r="B675">
        <v>9009350200</v>
      </c>
      <c r="C675" t="s">
        <v>2378</v>
      </c>
      <c r="D675">
        <v>30995</v>
      </c>
      <c r="E675">
        <v>2.4900000000000002</v>
      </c>
      <c r="F675">
        <v>19642.283149999999</v>
      </c>
      <c r="G675">
        <v>19.641999999999999</v>
      </c>
      <c r="H675">
        <v>5.3999999999999999E-2</v>
      </c>
      <c r="I675">
        <v>1</v>
      </c>
      <c r="J675">
        <v>1050</v>
      </c>
      <c r="K675">
        <v>0.64147328999999997</v>
      </c>
      <c r="L675">
        <v>0.94399999999999995</v>
      </c>
      <c r="M675">
        <v>5</v>
      </c>
      <c r="N675">
        <v>0.90900000000000003</v>
      </c>
      <c r="O675">
        <v>5</v>
      </c>
      <c r="P675">
        <v>5</v>
      </c>
      <c r="S675" s="57" t="s">
        <v>936</v>
      </c>
    </row>
    <row r="676" spans="1:19" x14ac:dyDescent="0.2">
      <c r="A676" t="s">
        <v>2379</v>
      </c>
      <c r="B676">
        <v>9009350300</v>
      </c>
      <c r="C676" t="s">
        <v>2380</v>
      </c>
      <c r="D676">
        <v>26765</v>
      </c>
      <c r="E676">
        <v>2.74</v>
      </c>
      <c r="F676">
        <v>16169.32783</v>
      </c>
      <c r="G676">
        <v>16.169</v>
      </c>
      <c r="H676">
        <v>2.5999999999999999E-2</v>
      </c>
      <c r="I676">
        <v>1</v>
      </c>
      <c r="J676">
        <v>946</v>
      </c>
      <c r="K676">
        <v>0.70207000100000005</v>
      </c>
      <c r="L676">
        <v>0.96499999999999997</v>
      </c>
      <c r="M676">
        <v>5</v>
      </c>
      <c r="N676">
        <v>0.96299999999999997</v>
      </c>
      <c r="O676">
        <v>5</v>
      </c>
      <c r="P676">
        <v>5</v>
      </c>
      <c r="S676" s="59" t="s">
        <v>936</v>
      </c>
    </row>
    <row r="677" spans="1:19" x14ac:dyDescent="0.2">
      <c r="A677" t="s">
        <v>2381</v>
      </c>
      <c r="B677">
        <v>9009350400</v>
      </c>
      <c r="C677" t="s">
        <v>2382</v>
      </c>
      <c r="D677">
        <v>22778</v>
      </c>
      <c r="E677">
        <v>2.82</v>
      </c>
      <c r="F677">
        <v>13564.10161</v>
      </c>
      <c r="G677">
        <v>13.564</v>
      </c>
      <c r="H677">
        <v>0.01</v>
      </c>
      <c r="I677">
        <v>1</v>
      </c>
      <c r="J677">
        <v>924</v>
      </c>
      <c r="K677">
        <v>0.81745185300000001</v>
      </c>
      <c r="L677">
        <v>0.98699999999999999</v>
      </c>
      <c r="M677">
        <v>5</v>
      </c>
      <c r="N677">
        <v>0.96599999999999997</v>
      </c>
      <c r="O677">
        <v>5</v>
      </c>
      <c r="P677">
        <v>5</v>
      </c>
      <c r="S677" s="57" t="s">
        <v>936</v>
      </c>
    </row>
    <row r="678" spans="1:19" x14ac:dyDescent="0.2">
      <c r="A678" t="s">
        <v>2383</v>
      </c>
      <c r="B678">
        <v>9009350500</v>
      </c>
      <c r="C678" t="s">
        <v>2384</v>
      </c>
      <c r="D678">
        <v>25156</v>
      </c>
      <c r="E678">
        <v>2.64</v>
      </c>
      <c r="F678">
        <v>15482.44774</v>
      </c>
      <c r="G678">
        <v>15.481999999999999</v>
      </c>
      <c r="H678">
        <v>2.1000000000000001E-2</v>
      </c>
      <c r="I678">
        <v>1</v>
      </c>
      <c r="J678">
        <v>869</v>
      </c>
      <c r="K678">
        <v>0.67353690899999996</v>
      </c>
      <c r="L678">
        <v>0.95299999999999996</v>
      </c>
      <c r="M678">
        <v>5</v>
      </c>
      <c r="N678">
        <v>0.98099999999999998</v>
      </c>
      <c r="O678">
        <v>5</v>
      </c>
      <c r="P678">
        <v>5</v>
      </c>
      <c r="S678" s="59" t="s">
        <v>936</v>
      </c>
    </row>
    <row r="679" spans="1:19" x14ac:dyDescent="0.2">
      <c r="A679" t="s">
        <v>2385</v>
      </c>
      <c r="B679">
        <v>9009350800</v>
      </c>
      <c r="C679" t="s">
        <v>2386</v>
      </c>
      <c r="D679">
        <v>36540</v>
      </c>
      <c r="E679">
        <v>3.11</v>
      </c>
      <c r="F679">
        <v>20719.933079999999</v>
      </c>
      <c r="G679">
        <v>20.72</v>
      </c>
      <c r="H679">
        <v>6.5000000000000002E-2</v>
      </c>
      <c r="I679">
        <v>1</v>
      </c>
      <c r="J679">
        <v>1129</v>
      </c>
      <c r="K679">
        <v>0.65386311600000002</v>
      </c>
      <c r="L679">
        <v>0.94699999999999995</v>
      </c>
      <c r="M679">
        <v>5</v>
      </c>
      <c r="N679">
        <v>0.84</v>
      </c>
      <c r="O679">
        <v>5</v>
      </c>
      <c r="P679">
        <v>5</v>
      </c>
      <c r="S679" s="57" t="s">
        <v>936</v>
      </c>
    </row>
    <row r="680" spans="1:19" x14ac:dyDescent="0.2">
      <c r="A680" t="s">
        <v>2387</v>
      </c>
      <c r="B680">
        <v>9009350900</v>
      </c>
      <c r="C680" t="s">
        <v>2388</v>
      </c>
      <c r="D680">
        <v>71225</v>
      </c>
      <c r="E680">
        <v>3.45</v>
      </c>
      <c r="F680">
        <v>38346.250970000001</v>
      </c>
      <c r="G680">
        <v>38.345999999999997</v>
      </c>
      <c r="H680">
        <v>0.26800000000000002</v>
      </c>
      <c r="I680">
        <v>2</v>
      </c>
      <c r="J680">
        <v>1380</v>
      </c>
      <c r="K680">
        <v>0.43185447300000002</v>
      </c>
      <c r="L680">
        <v>0.754</v>
      </c>
      <c r="M680">
        <v>4</v>
      </c>
      <c r="N680">
        <v>0.57699999999999996</v>
      </c>
      <c r="O680">
        <v>3</v>
      </c>
      <c r="P680">
        <v>4</v>
      </c>
      <c r="S680" s="59" t="s">
        <v>944</v>
      </c>
    </row>
    <row r="681" spans="1:19" x14ac:dyDescent="0.2">
      <c r="A681" t="s">
        <v>2389</v>
      </c>
      <c r="B681">
        <v>9009351000</v>
      </c>
      <c r="C681" t="s">
        <v>2390</v>
      </c>
      <c r="D681">
        <v>54280</v>
      </c>
      <c r="E681">
        <v>2.9</v>
      </c>
      <c r="F681">
        <v>31874.31352</v>
      </c>
      <c r="G681">
        <v>31.873999999999999</v>
      </c>
      <c r="H681">
        <v>0.19900000000000001</v>
      </c>
      <c r="I681">
        <v>1</v>
      </c>
      <c r="J681">
        <v>1185</v>
      </c>
      <c r="K681">
        <v>0.446127255</v>
      </c>
      <c r="L681">
        <v>0.78100000000000003</v>
      </c>
      <c r="M681">
        <v>4</v>
      </c>
      <c r="N681">
        <v>0.78800000000000003</v>
      </c>
      <c r="O681">
        <v>4</v>
      </c>
      <c r="P681">
        <v>5</v>
      </c>
      <c r="S681" s="57" t="s">
        <v>944</v>
      </c>
    </row>
    <row r="682" spans="1:19" x14ac:dyDescent="0.2">
      <c r="A682" t="s">
        <v>2391</v>
      </c>
      <c r="B682">
        <v>9009351100</v>
      </c>
      <c r="C682" t="s">
        <v>2392</v>
      </c>
      <c r="D682">
        <v>34788</v>
      </c>
      <c r="E682">
        <v>2.2200000000000002</v>
      </c>
      <c r="F682">
        <v>23348.17685</v>
      </c>
      <c r="G682">
        <v>23.347999999999999</v>
      </c>
      <c r="H682">
        <v>9.8000000000000004E-2</v>
      </c>
      <c r="I682">
        <v>1</v>
      </c>
      <c r="J682">
        <v>1092</v>
      </c>
      <c r="K682">
        <v>0.56124296500000004</v>
      </c>
      <c r="L682">
        <v>0.9</v>
      </c>
      <c r="M682">
        <v>5</v>
      </c>
      <c r="N682">
        <v>0.88200000000000001</v>
      </c>
      <c r="O682">
        <v>5</v>
      </c>
      <c r="P682">
        <v>5</v>
      </c>
      <c r="S682" s="59" t="s">
        <v>936</v>
      </c>
    </row>
    <row r="683" spans="1:19" x14ac:dyDescent="0.2">
      <c r="A683" t="s">
        <v>2393</v>
      </c>
      <c r="B683">
        <v>9009351200</v>
      </c>
      <c r="C683" t="s">
        <v>2394</v>
      </c>
      <c r="D683">
        <v>37688</v>
      </c>
      <c r="E683">
        <v>3</v>
      </c>
      <c r="F683">
        <v>21759.176950000001</v>
      </c>
      <c r="G683">
        <v>21.759</v>
      </c>
      <c r="H683">
        <v>0.08</v>
      </c>
      <c r="I683">
        <v>1</v>
      </c>
      <c r="J683">
        <v>970</v>
      </c>
      <c r="K683">
        <v>0.534946704</v>
      </c>
      <c r="L683">
        <v>0.877</v>
      </c>
      <c r="M683">
        <v>5</v>
      </c>
      <c r="N683">
        <v>0.95299999999999996</v>
      </c>
      <c r="O683">
        <v>5</v>
      </c>
      <c r="P683">
        <v>5</v>
      </c>
      <c r="S683" s="57" t="s">
        <v>936</v>
      </c>
    </row>
    <row r="684" spans="1:19" x14ac:dyDescent="0.2">
      <c r="A684" t="s">
        <v>2395</v>
      </c>
      <c r="B684">
        <v>9009351300</v>
      </c>
      <c r="C684" t="s">
        <v>2396</v>
      </c>
      <c r="D684">
        <v>44473</v>
      </c>
      <c r="E684">
        <v>2.72</v>
      </c>
      <c r="F684">
        <v>26965.717130000001</v>
      </c>
      <c r="G684">
        <v>26.966000000000001</v>
      </c>
      <c r="H684">
        <v>0.13300000000000001</v>
      </c>
      <c r="I684">
        <v>1</v>
      </c>
      <c r="J684">
        <v>1045</v>
      </c>
      <c r="K684">
        <v>0.46503491600000002</v>
      </c>
      <c r="L684">
        <v>0.80600000000000005</v>
      </c>
      <c r="M684">
        <v>5</v>
      </c>
      <c r="N684">
        <v>0.91300000000000003</v>
      </c>
      <c r="O684">
        <v>5</v>
      </c>
      <c r="P684">
        <v>5</v>
      </c>
      <c r="S684" s="59" t="s">
        <v>936</v>
      </c>
    </row>
    <row r="685" spans="1:19" x14ac:dyDescent="0.2">
      <c r="A685" t="s">
        <v>2397</v>
      </c>
      <c r="B685">
        <v>9009351400</v>
      </c>
      <c r="C685" t="s">
        <v>2398</v>
      </c>
      <c r="D685">
        <v>34507</v>
      </c>
      <c r="E685">
        <v>2.77</v>
      </c>
      <c r="F685">
        <v>20733.246889999999</v>
      </c>
      <c r="G685">
        <v>20.733000000000001</v>
      </c>
      <c r="H685">
        <v>6.6000000000000003E-2</v>
      </c>
      <c r="I685">
        <v>1</v>
      </c>
      <c r="J685">
        <v>965</v>
      </c>
      <c r="K685">
        <v>0.55852322899999995</v>
      </c>
      <c r="L685">
        <v>0.89500000000000002</v>
      </c>
      <c r="M685">
        <v>5</v>
      </c>
      <c r="N685">
        <v>0.95499999999999996</v>
      </c>
      <c r="O685">
        <v>5</v>
      </c>
      <c r="P685">
        <v>5</v>
      </c>
      <c r="S685" s="57" t="s">
        <v>936</v>
      </c>
    </row>
    <row r="686" spans="1:19" x14ac:dyDescent="0.2">
      <c r="A686" t="s">
        <v>2399</v>
      </c>
      <c r="B686">
        <v>9009351500</v>
      </c>
      <c r="C686" t="s">
        <v>2400</v>
      </c>
      <c r="D686">
        <v>56292</v>
      </c>
      <c r="E686">
        <v>2.99</v>
      </c>
      <c r="F686">
        <v>32554.504150000001</v>
      </c>
      <c r="G686">
        <v>32.555</v>
      </c>
      <c r="H686">
        <v>0.20599999999999999</v>
      </c>
      <c r="I686">
        <v>2</v>
      </c>
      <c r="J686">
        <v>1185</v>
      </c>
      <c r="K686">
        <v>0.43680591600000002</v>
      </c>
      <c r="L686">
        <v>0.76200000000000001</v>
      </c>
      <c r="M686">
        <v>4</v>
      </c>
      <c r="N686">
        <v>0.78800000000000003</v>
      </c>
      <c r="O686">
        <v>4</v>
      </c>
      <c r="P686">
        <v>4</v>
      </c>
      <c r="S686" s="59" t="s">
        <v>944</v>
      </c>
    </row>
    <row r="687" spans="1:19" x14ac:dyDescent="0.2">
      <c r="A687" t="s">
        <v>2401</v>
      </c>
      <c r="B687">
        <v>9009351601</v>
      </c>
      <c r="C687" t="s">
        <v>2402</v>
      </c>
      <c r="D687">
        <v>49783</v>
      </c>
      <c r="E687">
        <v>2.2200000000000002</v>
      </c>
      <c r="F687">
        <v>33412.161899999999</v>
      </c>
      <c r="G687">
        <v>33.411999999999999</v>
      </c>
      <c r="H687">
        <v>0.217</v>
      </c>
      <c r="I687">
        <v>2</v>
      </c>
      <c r="J687">
        <v>999</v>
      </c>
      <c r="K687">
        <v>0.35879150900000001</v>
      </c>
      <c r="L687">
        <v>0.53</v>
      </c>
      <c r="M687">
        <v>3</v>
      </c>
      <c r="N687">
        <v>0.94099999999999995</v>
      </c>
      <c r="O687">
        <v>5</v>
      </c>
      <c r="P687">
        <v>5</v>
      </c>
      <c r="S687" s="57" t="s">
        <v>944</v>
      </c>
    </row>
    <row r="688" spans="1:19" x14ac:dyDescent="0.2">
      <c r="A688" t="s">
        <v>2403</v>
      </c>
      <c r="B688">
        <v>9009351602</v>
      </c>
      <c r="C688" t="s">
        <v>2404</v>
      </c>
      <c r="D688">
        <v>59771</v>
      </c>
      <c r="E688">
        <v>2.77</v>
      </c>
      <c r="F688">
        <v>35912.91332</v>
      </c>
      <c r="G688">
        <v>35.912999999999997</v>
      </c>
      <c r="H688">
        <v>0.247</v>
      </c>
      <c r="I688">
        <v>2</v>
      </c>
      <c r="J688">
        <v>1209</v>
      </c>
      <c r="K688">
        <v>0.40397725099999998</v>
      </c>
      <c r="L688">
        <v>0.68600000000000005</v>
      </c>
      <c r="M688">
        <v>4</v>
      </c>
      <c r="N688">
        <v>0.75600000000000001</v>
      </c>
      <c r="O688">
        <v>4</v>
      </c>
      <c r="P688">
        <v>4</v>
      </c>
      <c r="S688" s="59" t="s">
        <v>944</v>
      </c>
    </row>
    <row r="689" spans="1:19" x14ac:dyDescent="0.2">
      <c r="A689" t="s">
        <v>2405</v>
      </c>
      <c r="B689">
        <v>9009351700</v>
      </c>
      <c r="C689" t="s">
        <v>2406</v>
      </c>
      <c r="D689">
        <v>32052</v>
      </c>
      <c r="E689">
        <v>2.92</v>
      </c>
      <c r="F689">
        <v>18757.01425</v>
      </c>
      <c r="G689">
        <v>18.757000000000001</v>
      </c>
      <c r="H689">
        <v>4.7E-2</v>
      </c>
      <c r="I689">
        <v>1</v>
      </c>
      <c r="J689">
        <v>903</v>
      </c>
      <c r="K689">
        <v>0.57770388500000003</v>
      </c>
      <c r="L689">
        <v>0.90700000000000003</v>
      </c>
      <c r="M689">
        <v>5</v>
      </c>
      <c r="N689">
        <v>0.97099999999999997</v>
      </c>
      <c r="O689">
        <v>5</v>
      </c>
      <c r="P689">
        <v>5</v>
      </c>
      <c r="S689" s="57" t="s">
        <v>936</v>
      </c>
    </row>
    <row r="690" spans="1:19" x14ac:dyDescent="0.2">
      <c r="A690" t="s">
        <v>2407</v>
      </c>
      <c r="B690">
        <v>9009351800</v>
      </c>
      <c r="C690" t="s">
        <v>2408</v>
      </c>
      <c r="D690">
        <v>53147</v>
      </c>
      <c r="E690">
        <v>2.2000000000000002</v>
      </c>
      <c r="F690">
        <v>35831.700089999998</v>
      </c>
      <c r="G690">
        <v>35.832000000000001</v>
      </c>
      <c r="H690">
        <v>0.24399999999999999</v>
      </c>
      <c r="I690">
        <v>2</v>
      </c>
      <c r="J690">
        <v>1138</v>
      </c>
      <c r="K690">
        <v>0.38111504499999999</v>
      </c>
      <c r="L690">
        <v>0.63500000000000001</v>
      </c>
      <c r="M690">
        <v>4</v>
      </c>
      <c r="N690">
        <v>0.82799999999999996</v>
      </c>
      <c r="O690">
        <v>5</v>
      </c>
      <c r="P690">
        <v>5</v>
      </c>
      <c r="S690" s="59" t="s">
        <v>944</v>
      </c>
    </row>
    <row r="691" spans="1:19" x14ac:dyDescent="0.2">
      <c r="A691" t="s">
        <v>2409</v>
      </c>
      <c r="B691">
        <v>9009351900</v>
      </c>
      <c r="C691" t="s">
        <v>2410</v>
      </c>
      <c r="D691">
        <v>76739</v>
      </c>
      <c r="E691">
        <v>2.34</v>
      </c>
      <c r="F691">
        <v>50165.853649999997</v>
      </c>
      <c r="G691">
        <v>50.165999999999997</v>
      </c>
      <c r="H691">
        <v>0.47299999999999998</v>
      </c>
      <c r="I691">
        <v>3</v>
      </c>
      <c r="J691">
        <v>1447</v>
      </c>
      <c r="K691">
        <v>0.34613185499999999</v>
      </c>
      <c r="L691">
        <v>0.45800000000000002</v>
      </c>
      <c r="M691">
        <v>3</v>
      </c>
      <c r="N691">
        <v>0.53</v>
      </c>
      <c r="O691">
        <v>3</v>
      </c>
      <c r="P691">
        <v>3</v>
      </c>
      <c r="S691" s="57" t="s">
        <v>944</v>
      </c>
    </row>
    <row r="692" spans="1:19" x14ac:dyDescent="0.2">
      <c r="A692" t="s">
        <v>2411</v>
      </c>
      <c r="B692">
        <v>9009352000</v>
      </c>
      <c r="C692" t="s">
        <v>2412</v>
      </c>
      <c r="D692">
        <v>77939</v>
      </c>
      <c r="E692">
        <v>2.7</v>
      </c>
      <c r="F692">
        <v>47432.164900000003</v>
      </c>
      <c r="G692">
        <v>47.432000000000002</v>
      </c>
      <c r="H692">
        <v>0.40699999999999997</v>
      </c>
      <c r="I692">
        <v>3</v>
      </c>
      <c r="J692">
        <v>1424</v>
      </c>
      <c r="K692">
        <v>0.36026186100000002</v>
      </c>
      <c r="L692">
        <v>0.53800000000000003</v>
      </c>
      <c r="M692">
        <v>3</v>
      </c>
      <c r="N692">
        <v>0.54700000000000004</v>
      </c>
      <c r="O692">
        <v>3</v>
      </c>
      <c r="P692">
        <v>3</v>
      </c>
      <c r="S692" s="59" t="s">
        <v>944</v>
      </c>
    </row>
    <row r="693" spans="1:19" x14ac:dyDescent="0.2">
      <c r="A693" t="s">
        <v>2413</v>
      </c>
      <c r="B693">
        <v>9009352100</v>
      </c>
      <c r="C693" t="s">
        <v>2414</v>
      </c>
      <c r="D693">
        <v>57587</v>
      </c>
      <c r="E693">
        <v>2.62</v>
      </c>
      <c r="F693">
        <v>35577.367409999999</v>
      </c>
      <c r="G693">
        <v>35.576999999999998</v>
      </c>
      <c r="H693">
        <v>0.24</v>
      </c>
      <c r="I693">
        <v>2</v>
      </c>
      <c r="J693">
        <v>1181</v>
      </c>
      <c r="K693">
        <v>0.39834313300000002</v>
      </c>
      <c r="L693">
        <v>0.68100000000000005</v>
      </c>
      <c r="M693">
        <v>4</v>
      </c>
      <c r="N693">
        <v>0.79700000000000004</v>
      </c>
      <c r="O693">
        <v>4</v>
      </c>
      <c r="P693">
        <v>4</v>
      </c>
      <c r="S693" s="57" t="s">
        <v>944</v>
      </c>
    </row>
    <row r="694" spans="1:19" x14ac:dyDescent="0.2">
      <c r="A694" t="s">
        <v>2415</v>
      </c>
      <c r="B694">
        <v>9009352200</v>
      </c>
      <c r="C694" t="s">
        <v>2416</v>
      </c>
      <c r="D694">
        <v>30855</v>
      </c>
      <c r="E694">
        <v>3.03</v>
      </c>
      <c r="F694">
        <v>17725.734349999999</v>
      </c>
      <c r="G694">
        <v>17.725999999999999</v>
      </c>
      <c r="H694">
        <v>0.04</v>
      </c>
      <c r="I694">
        <v>1</v>
      </c>
      <c r="J694">
        <v>710</v>
      </c>
      <c r="K694">
        <v>0.48065709600000001</v>
      </c>
      <c r="L694">
        <v>0.82299999999999995</v>
      </c>
      <c r="M694">
        <v>5</v>
      </c>
      <c r="N694">
        <v>0.99399999999999999</v>
      </c>
      <c r="O694">
        <v>5</v>
      </c>
      <c r="P694">
        <v>5</v>
      </c>
      <c r="S694" s="59" t="s">
        <v>936</v>
      </c>
    </row>
    <row r="695" spans="1:19" x14ac:dyDescent="0.2">
      <c r="A695" t="s">
        <v>2417</v>
      </c>
      <c r="B695">
        <v>9009352300</v>
      </c>
      <c r="C695" t="s">
        <v>2418</v>
      </c>
      <c r="D695">
        <v>44352</v>
      </c>
      <c r="E695">
        <v>2.4</v>
      </c>
      <c r="F695">
        <v>28629.0929</v>
      </c>
      <c r="G695">
        <v>28.629000000000001</v>
      </c>
      <c r="H695">
        <v>0.14899999999999999</v>
      </c>
      <c r="I695">
        <v>1</v>
      </c>
      <c r="J695">
        <v>1015</v>
      </c>
      <c r="K695">
        <v>0.42544135199999999</v>
      </c>
      <c r="L695">
        <v>0.74299999999999999</v>
      </c>
      <c r="M695">
        <v>4</v>
      </c>
      <c r="N695">
        <v>0.93</v>
      </c>
      <c r="O695">
        <v>5</v>
      </c>
      <c r="P695">
        <v>5</v>
      </c>
      <c r="S695" s="57" t="s">
        <v>936</v>
      </c>
    </row>
    <row r="696" spans="1:19" x14ac:dyDescent="0.2">
      <c r="A696" t="s">
        <v>2419</v>
      </c>
      <c r="B696">
        <v>9009352400</v>
      </c>
      <c r="C696" t="s">
        <v>2420</v>
      </c>
      <c r="D696">
        <v>50583</v>
      </c>
      <c r="E696">
        <v>3.2</v>
      </c>
      <c r="F696">
        <v>28276.75663</v>
      </c>
      <c r="G696">
        <v>28.277000000000001</v>
      </c>
      <c r="H696">
        <v>0.14499999999999999</v>
      </c>
      <c r="I696">
        <v>1</v>
      </c>
      <c r="J696">
        <v>1038</v>
      </c>
      <c r="K696">
        <v>0.44050313699999999</v>
      </c>
      <c r="L696">
        <v>0.77</v>
      </c>
      <c r="M696">
        <v>4</v>
      </c>
      <c r="N696">
        <v>0.91500000000000004</v>
      </c>
      <c r="O696">
        <v>5</v>
      </c>
      <c r="P696">
        <v>5</v>
      </c>
      <c r="S696" s="59" t="s">
        <v>944</v>
      </c>
    </row>
    <row r="697" spans="1:19" x14ac:dyDescent="0.2">
      <c r="A697" t="s">
        <v>2421</v>
      </c>
      <c r="B697">
        <v>9009352500</v>
      </c>
      <c r="C697" t="s">
        <v>2422</v>
      </c>
      <c r="D697">
        <v>51094</v>
      </c>
      <c r="E697">
        <v>2.72</v>
      </c>
      <c r="F697">
        <v>30980.288059999999</v>
      </c>
      <c r="G697">
        <v>30.98</v>
      </c>
      <c r="H697">
        <v>0.188</v>
      </c>
      <c r="I697">
        <v>1</v>
      </c>
      <c r="J697">
        <v>1131</v>
      </c>
      <c r="K697">
        <v>0.43808501599999999</v>
      </c>
      <c r="L697">
        <v>0.76600000000000001</v>
      </c>
      <c r="M697">
        <v>4</v>
      </c>
      <c r="N697">
        <v>0.83499999999999996</v>
      </c>
      <c r="O697">
        <v>5</v>
      </c>
      <c r="P697">
        <v>5</v>
      </c>
      <c r="S697" s="57" t="s">
        <v>944</v>
      </c>
    </row>
    <row r="698" spans="1:19" x14ac:dyDescent="0.2">
      <c r="A698" t="s">
        <v>2423</v>
      </c>
      <c r="B698">
        <v>9009352600</v>
      </c>
      <c r="C698" t="s">
        <v>2424</v>
      </c>
      <c r="D698">
        <v>43175</v>
      </c>
      <c r="E698">
        <v>2.64</v>
      </c>
      <c r="F698">
        <v>26572.375619999999</v>
      </c>
      <c r="G698">
        <v>26.571999999999999</v>
      </c>
      <c r="H698">
        <v>0.128</v>
      </c>
      <c r="I698">
        <v>1</v>
      </c>
      <c r="J698">
        <v>1238</v>
      </c>
      <c r="K698">
        <v>0.55907684800000002</v>
      </c>
      <c r="L698">
        <v>0.89600000000000002</v>
      </c>
      <c r="M698">
        <v>5</v>
      </c>
      <c r="N698">
        <v>0.72399999999999998</v>
      </c>
      <c r="O698">
        <v>4</v>
      </c>
      <c r="P698">
        <v>5</v>
      </c>
      <c r="S698" s="59" t="s">
        <v>936</v>
      </c>
    </row>
    <row r="699" spans="1:19" x14ac:dyDescent="0.2">
      <c r="A699" t="s">
        <v>2425</v>
      </c>
      <c r="B699">
        <v>9009352701</v>
      </c>
      <c r="C699" t="s">
        <v>2426</v>
      </c>
      <c r="D699">
        <v>50561</v>
      </c>
      <c r="E699">
        <v>2</v>
      </c>
      <c r="F699">
        <v>35752.025959999999</v>
      </c>
      <c r="G699">
        <v>35.752000000000002</v>
      </c>
      <c r="H699">
        <v>0.24299999999999999</v>
      </c>
      <c r="I699">
        <v>2</v>
      </c>
      <c r="J699">
        <v>1058</v>
      </c>
      <c r="K699">
        <v>0.35511274300000001</v>
      </c>
      <c r="L699">
        <v>0.50800000000000001</v>
      </c>
      <c r="M699">
        <v>3</v>
      </c>
      <c r="N699">
        <v>0.90300000000000002</v>
      </c>
      <c r="O699">
        <v>5</v>
      </c>
      <c r="P699">
        <v>5</v>
      </c>
      <c r="S699" s="57" t="s">
        <v>944</v>
      </c>
    </row>
    <row r="700" spans="1:19" x14ac:dyDescent="0.2">
      <c r="A700" t="s">
        <v>2427</v>
      </c>
      <c r="B700">
        <v>9009352702</v>
      </c>
      <c r="C700" t="s">
        <v>2428</v>
      </c>
      <c r="D700">
        <v>68322</v>
      </c>
      <c r="E700">
        <v>2.52</v>
      </c>
      <c r="F700">
        <v>43038.814539999999</v>
      </c>
      <c r="G700">
        <v>43.039000000000001</v>
      </c>
      <c r="H700">
        <v>0.34</v>
      </c>
      <c r="I700">
        <v>2</v>
      </c>
      <c r="J700">
        <v>1254</v>
      </c>
      <c r="K700">
        <v>0.34963788299999998</v>
      </c>
      <c r="L700">
        <v>0.47299999999999998</v>
      </c>
      <c r="M700">
        <v>3</v>
      </c>
      <c r="N700">
        <v>0.71299999999999997</v>
      </c>
      <c r="O700">
        <v>4</v>
      </c>
      <c r="P700">
        <v>4</v>
      </c>
      <c r="S700" s="59" t="s">
        <v>944</v>
      </c>
    </row>
    <row r="701" spans="1:19" x14ac:dyDescent="0.2">
      <c r="A701" t="s">
        <v>2429</v>
      </c>
      <c r="B701">
        <v>9009352800</v>
      </c>
      <c r="C701" t="s">
        <v>2430</v>
      </c>
      <c r="D701">
        <v>53904</v>
      </c>
      <c r="E701">
        <v>2.48</v>
      </c>
      <c r="F701">
        <v>34229.074229999998</v>
      </c>
      <c r="G701">
        <v>34.228999999999999</v>
      </c>
      <c r="H701">
        <v>0.22900000000000001</v>
      </c>
      <c r="I701">
        <v>2</v>
      </c>
      <c r="J701">
        <v>1120</v>
      </c>
      <c r="K701">
        <v>0.39264865599999998</v>
      </c>
      <c r="L701">
        <v>0.67</v>
      </c>
      <c r="M701">
        <v>4</v>
      </c>
      <c r="N701">
        <v>0.85499999999999998</v>
      </c>
      <c r="O701">
        <v>5</v>
      </c>
      <c r="P701">
        <v>5</v>
      </c>
      <c r="S701" s="57" t="s">
        <v>944</v>
      </c>
    </row>
    <row r="702" spans="1:19" x14ac:dyDescent="0.2">
      <c r="A702" t="s">
        <v>2431</v>
      </c>
      <c r="B702">
        <v>9009361100</v>
      </c>
      <c r="C702" t="s">
        <v>2432</v>
      </c>
      <c r="D702">
        <v>94434</v>
      </c>
      <c r="E702">
        <v>2.73</v>
      </c>
      <c r="F702">
        <v>57154.056819999998</v>
      </c>
      <c r="G702">
        <v>57.154000000000003</v>
      </c>
      <c r="H702">
        <v>0.59899999999999998</v>
      </c>
      <c r="I702">
        <v>3</v>
      </c>
      <c r="J702">
        <v>1597</v>
      </c>
      <c r="K702">
        <v>0.33530428200000001</v>
      </c>
      <c r="L702">
        <v>0.39900000000000002</v>
      </c>
      <c r="M702">
        <v>2</v>
      </c>
      <c r="N702">
        <v>0.38100000000000001</v>
      </c>
      <c r="O702">
        <v>2</v>
      </c>
      <c r="P702">
        <v>3</v>
      </c>
      <c r="S702" s="59" t="s">
        <v>944</v>
      </c>
    </row>
    <row r="703" spans="1:19" x14ac:dyDescent="0.2">
      <c r="A703" t="s">
        <v>2433</v>
      </c>
      <c r="B703">
        <v>9009361200</v>
      </c>
      <c r="C703" t="s">
        <v>2434</v>
      </c>
      <c r="D703">
        <v>94576</v>
      </c>
      <c r="E703">
        <v>2.7</v>
      </c>
      <c r="F703">
        <v>57557.120669999997</v>
      </c>
      <c r="G703">
        <v>57.557000000000002</v>
      </c>
      <c r="H703">
        <v>0.61099999999999999</v>
      </c>
      <c r="I703">
        <v>4</v>
      </c>
      <c r="J703">
        <v>1475</v>
      </c>
      <c r="K703">
        <v>0.30752059500000001</v>
      </c>
      <c r="L703">
        <v>0.21199999999999999</v>
      </c>
      <c r="M703">
        <v>2</v>
      </c>
      <c r="N703">
        <v>0.5</v>
      </c>
      <c r="O703">
        <v>3</v>
      </c>
      <c r="P703">
        <v>3</v>
      </c>
      <c r="S703" s="57" t="s">
        <v>944</v>
      </c>
    </row>
    <row r="704" spans="1:19" x14ac:dyDescent="0.2">
      <c r="A704" t="s">
        <v>2435</v>
      </c>
      <c r="B704">
        <v>9009361300</v>
      </c>
      <c r="C704" t="s">
        <v>2436</v>
      </c>
      <c r="D704">
        <v>102697</v>
      </c>
      <c r="E704">
        <v>2.72</v>
      </c>
      <c r="F704">
        <v>62269.202709999998</v>
      </c>
      <c r="G704">
        <v>62.268999999999998</v>
      </c>
      <c r="H704">
        <v>0.69799999999999995</v>
      </c>
      <c r="I704">
        <v>4</v>
      </c>
      <c r="J704">
        <v>1664</v>
      </c>
      <c r="K704">
        <v>0.32067216399999998</v>
      </c>
      <c r="L704">
        <v>0.29499999999999998</v>
      </c>
      <c r="M704">
        <v>2</v>
      </c>
      <c r="N704">
        <v>0.33300000000000002</v>
      </c>
      <c r="O704">
        <v>2</v>
      </c>
      <c r="P704">
        <v>2</v>
      </c>
      <c r="S704" s="59" t="s">
        <v>944</v>
      </c>
    </row>
    <row r="705" spans="1:19" x14ac:dyDescent="0.2">
      <c r="A705" t="s">
        <v>2437</v>
      </c>
      <c r="B705">
        <v>9009361401</v>
      </c>
      <c r="C705" t="s">
        <v>2438</v>
      </c>
      <c r="D705">
        <v>31838</v>
      </c>
      <c r="E705">
        <v>1.55</v>
      </c>
      <c r="F705">
        <v>25572.896990000001</v>
      </c>
      <c r="G705">
        <v>25.573</v>
      </c>
      <c r="H705">
        <v>0.11899999999999999</v>
      </c>
      <c r="I705">
        <v>1</v>
      </c>
      <c r="J705">
        <v>1313</v>
      </c>
      <c r="K705">
        <v>0.61612104400000001</v>
      </c>
      <c r="L705">
        <v>0.93</v>
      </c>
      <c r="M705">
        <v>5</v>
      </c>
      <c r="N705">
        <v>0.64300000000000002</v>
      </c>
      <c r="O705">
        <v>4</v>
      </c>
      <c r="P705">
        <v>5</v>
      </c>
      <c r="S705" s="57" t="s">
        <v>936</v>
      </c>
    </row>
    <row r="706" spans="1:19" x14ac:dyDescent="0.2">
      <c r="A706" t="s">
        <v>2439</v>
      </c>
      <c r="B706">
        <v>9009361402</v>
      </c>
      <c r="C706" t="s">
        <v>2440</v>
      </c>
      <c r="D706">
        <v>49375</v>
      </c>
      <c r="E706">
        <v>1.97</v>
      </c>
      <c r="F706">
        <v>35178.230929999998</v>
      </c>
      <c r="G706">
        <v>35.177999999999997</v>
      </c>
      <c r="H706">
        <v>0.23599999999999999</v>
      </c>
      <c r="I706">
        <v>2</v>
      </c>
      <c r="J706">
        <v>1510</v>
      </c>
      <c r="K706">
        <v>0.51509128000000004</v>
      </c>
      <c r="L706">
        <v>0.86199999999999999</v>
      </c>
      <c r="M706">
        <v>5</v>
      </c>
      <c r="N706">
        <v>0.46</v>
      </c>
      <c r="O706">
        <v>3</v>
      </c>
      <c r="P706">
        <v>4</v>
      </c>
      <c r="S706" s="59" t="s">
        <v>944</v>
      </c>
    </row>
    <row r="707" spans="1:19" x14ac:dyDescent="0.2">
      <c r="A707" t="s">
        <v>2441</v>
      </c>
      <c r="B707">
        <v>9009361500</v>
      </c>
      <c r="C707" t="s">
        <v>2442</v>
      </c>
      <c r="D707">
        <v>57955</v>
      </c>
      <c r="E707">
        <v>2.87</v>
      </c>
      <c r="F707">
        <v>34209.754829999998</v>
      </c>
      <c r="G707">
        <v>34.21</v>
      </c>
      <c r="H707">
        <v>0.22800000000000001</v>
      </c>
      <c r="I707">
        <v>2</v>
      </c>
      <c r="J707">
        <v>1260</v>
      </c>
      <c r="K707">
        <v>0.44197919800000002</v>
      </c>
      <c r="L707">
        <v>0.77200000000000002</v>
      </c>
      <c r="M707">
        <v>4</v>
      </c>
      <c r="N707">
        <v>0.70199999999999996</v>
      </c>
      <c r="O707">
        <v>4</v>
      </c>
      <c r="P707">
        <v>4</v>
      </c>
      <c r="S707" s="57" t="s">
        <v>944</v>
      </c>
    </row>
    <row r="708" spans="1:19" x14ac:dyDescent="0.2">
      <c r="A708" t="s">
        <v>2443</v>
      </c>
      <c r="B708">
        <v>9011650100</v>
      </c>
      <c r="C708" t="s">
        <v>2444</v>
      </c>
      <c r="D708">
        <v>100435</v>
      </c>
      <c r="E708">
        <v>2.36</v>
      </c>
      <c r="F708">
        <v>65377.616370000003</v>
      </c>
      <c r="G708">
        <v>65.378</v>
      </c>
      <c r="H708">
        <v>0.73899999999999999</v>
      </c>
      <c r="I708">
        <v>4</v>
      </c>
      <c r="J708">
        <v>1779</v>
      </c>
      <c r="K708">
        <v>0.32653377700000003</v>
      </c>
      <c r="L708">
        <v>0.33500000000000002</v>
      </c>
      <c r="M708">
        <v>2</v>
      </c>
      <c r="N708">
        <v>0.26200000000000001</v>
      </c>
      <c r="O708">
        <v>2</v>
      </c>
      <c r="P708">
        <v>2</v>
      </c>
      <c r="S708" s="59" t="s">
        <v>944</v>
      </c>
    </row>
    <row r="709" spans="1:19" x14ac:dyDescent="0.2">
      <c r="A709" t="s">
        <v>2445</v>
      </c>
      <c r="B709">
        <v>9011660101</v>
      </c>
      <c r="C709" t="s">
        <v>2446</v>
      </c>
      <c r="D709">
        <v>95642</v>
      </c>
      <c r="E709">
        <v>2.23</v>
      </c>
      <c r="F709">
        <v>64046.620369999997</v>
      </c>
      <c r="G709">
        <v>64.046999999999997</v>
      </c>
      <c r="H709">
        <v>0.71899999999999997</v>
      </c>
      <c r="I709">
        <v>4</v>
      </c>
      <c r="J709">
        <v>1661</v>
      </c>
      <c r="K709">
        <v>0.31121080099999998</v>
      </c>
      <c r="L709">
        <v>0.23100000000000001</v>
      </c>
      <c r="M709">
        <v>2</v>
      </c>
      <c r="N709">
        <v>0.33700000000000002</v>
      </c>
      <c r="O709">
        <v>2</v>
      </c>
      <c r="P709">
        <v>2</v>
      </c>
      <c r="S709" s="57" t="s">
        <v>944</v>
      </c>
    </row>
    <row r="710" spans="1:19" x14ac:dyDescent="0.2">
      <c r="A710" t="s">
        <v>2447</v>
      </c>
      <c r="B710">
        <v>9011660102</v>
      </c>
      <c r="C710" t="s">
        <v>2448</v>
      </c>
      <c r="D710">
        <v>98000</v>
      </c>
      <c r="E710">
        <v>2.37</v>
      </c>
      <c r="F710">
        <v>63657.840640000002</v>
      </c>
      <c r="G710">
        <v>63.658000000000001</v>
      </c>
      <c r="H710">
        <v>0.71299999999999997</v>
      </c>
      <c r="I710">
        <v>4</v>
      </c>
      <c r="J710">
        <v>1396</v>
      </c>
      <c r="K710">
        <v>0.26315690000000003</v>
      </c>
      <c r="L710">
        <v>4.2000000000000003E-2</v>
      </c>
      <c r="M710">
        <v>1</v>
      </c>
      <c r="N710">
        <v>0.57299999999999995</v>
      </c>
      <c r="O710">
        <v>3</v>
      </c>
      <c r="P710">
        <v>3</v>
      </c>
      <c r="S710" s="59" t="s">
        <v>944</v>
      </c>
    </row>
    <row r="711" spans="1:19" x14ac:dyDescent="0.2">
      <c r="A711" t="s">
        <v>2449</v>
      </c>
      <c r="B711">
        <v>9011690300</v>
      </c>
      <c r="C711" t="s">
        <v>2450</v>
      </c>
      <c r="D711">
        <v>40913</v>
      </c>
      <c r="E711">
        <v>2.4</v>
      </c>
      <c r="F711">
        <v>26409.227940000001</v>
      </c>
      <c r="G711">
        <v>26.408999999999999</v>
      </c>
      <c r="H711">
        <v>0.126</v>
      </c>
      <c r="I711">
        <v>1</v>
      </c>
      <c r="J711">
        <v>1104</v>
      </c>
      <c r="K711">
        <v>0.50164283600000004</v>
      </c>
      <c r="L711">
        <v>0.84699999999999998</v>
      </c>
      <c r="M711">
        <v>5</v>
      </c>
      <c r="N711">
        <v>0.87</v>
      </c>
      <c r="O711">
        <v>5</v>
      </c>
      <c r="P711">
        <v>5</v>
      </c>
      <c r="S711" s="57" t="s">
        <v>936</v>
      </c>
    </row>
    <row r="712" spans="1:19" x14ac:dyDescent="0.2">
      <c r="A712" t="s">
        <v>2451</v>
      </c>
      <c r="B712">
        <v>9011690400</v>
      </c>
      <c r="C712" t="s">
        <v>2452</v>
      </c>
      <c r="D712">
        <v>50000</v>
      </c>
      <c r="E712">
        <v>2.61</v>
      </c>
      <c r="F712">
        <v>30949.223030000001</v>
      </c>
      <c r="G712">
        <v>30.949000000000002</v>
      </c>
      <c r="H712">
        <v>0.185</v>
      </c>
      <c r="I712">
        <v>1</v>
      </c>
      <c r="J712">
        <v>1248</v>
      </c>
      <c r="K712">
        <v>0.48388936900000001</v>
      </c>
      <c r="L712">
        <v>0.82699999999999996</v>
      </c>
      <c r="M712">
        <v>5</v>
      </c>
      <c r="N712">
        <v>0.71599999999999997</v>
      </c>
      <c r="O712">
        <v>4</v>
      </c>
      <c r="P712">
        <v>5</v>
      </c>
      <c r="S712" s="59" t="s">
        <v>944</v>
      </c>
    </row>
    <row r="713" spans="1:19" x14ac:dyDescent="0.2">
      <c r="A713" t="s">
        <v>2453</v>
      </c>
      <c r="B713">
        <v>9011690500</v>
      </c>
      <c r="C713" t="s">
        <v>2454</v>
      </c>
      <c r="D713">
        <v>28032</v>
      </c>
      <c r="E713">
        <v>1.59</v>
      </c>
      <c r="F713">
        <v>22230.822049999999</v>
      </c>
      <c r="G713">
        <v>22.231000000000002</v>
      </c>
      <c r="H713">
        <v>8.5000000000000006E-2</v>
      </c>
      <c r="I713">
        <v>1</v>
      </c>
      <c r="J713">
        <v>910</v>
      </c>
      <c r="K713">
        <v>0.49120990599999997</v>
      </c>
      <c r="L713">
        <v>0.83499999999999996</v>
      </c>
      <c r="M713">
        <v>5</v>
      </c>
      <c r="N713">
        <v>0.97</v>
      </c>
      <c r="O713">
        <v>5</v>
      </c>
      <c r="P713">
        <v>5</v>
      </c>
      <c r="S713" s="57" t="s">
        <v>936</v>
      </c>
    </row>
    <row r="714" spans="1:19" x14ac:dyDescent="0.2">
      <c r="A714" t="s">
        <v>2455</v>
      </c>
      <c r="B714">
        <v>9011690700</v>
      </c>
      <c r="C714" t="s">
        <v>2456</v>
      </c>
      <c r="D714">
        <v>49183</v>
      </c>
      <c r="E714">
        <v>2.37</v>
      </c>
      <c r="F714">
        <v>31947.791590000001</v>
      </c>
      <c r="G714">
        <v>31.948</v>
      </c>
      <c r="H714">
        <v>0.20100000000000001</v>
      </c>
      <c r="I714">
        <v>2</v>
      </c>
      <c r="J714">
        <v>1165</v>
      </c>
      <c r="K714">
        <v>0.43758893199999999</v>
      </c>
      <c r="L714">
        <v>0.76500000000000001</v>
      </c>
      <c r="M714">
        <v>4</v>
      </c>
      <c r="N714">
        <v>0.81100000000000005</v>
      </c>
      <c r="O714">
        <v>5</v>
      </c>
      <c r="P714">
        <v>5</v>
      </c>
      <c r="S714" s="59" t="s">
        <v>944</v>
      </c>
    </row>
    <row r="715" spans="1:19" x14ac:dyDescent="0.2">
      <c r="A715" t="s">
        <v>2457</v>
      </c>
      <c r="B715">
        <v>9011690800</v>
      </c>
      <c r="C715" t="s">
        <v>2458</v>
      </c>
      <c r="D715">
        <v>51426</v>
      </c>
      <c r="E715">
        <v>2.33</v>
      </c>
      <c r="F715">
        <v>33690.29277</v>
      </c>
      <c r="G715">
        <v>33.69</v>
      </c>
      <c r="H715">
        <v>0.218</v>
      </c>
      <c r="I715">
        <v>2</v>
      </c>
      <c r="J715">
        <v>1264</v>
      </c>
      <c r="K715">
        <v>0.45021870600000002</v>
      </c>
      <c r="L715">
        <v>0.78400000000000003</v>
      </c>
      <c r="M715">
        <v>4</v>
      </c>
      <c r="N715">
        <v>0.69899999999999995</v>
      </c>
      <c r="O715">
        <v>4</v>
      </c>
      <c r="P715">
        <v>4</v>
      </c>
      <c r="S715" s="57" t="s">
        <v>944</v>
      </c>
    </row>
    <row r="716" spans="1:19" x14ac:dyDescent="0.2">
      <c r="A716" t="s">
        <v>2459</v>
      </c>
      <c r="B716">
        <v>9011690900</v>
      </c>
      <c r="C716" t="s">
        <v>2460</v>
      </c>
      <c r="D716">
        <v>78209</v>
      </c>
      <c r="E716">
        <v>1.99</v>
      </c>
      <c r="F716">
        <v>55440.890160000003</v>
      </c>
      <c r="G716">
        <v>55.441000000000003</v>
      </c>
      <c r="H716">
        <v>0.57099999999999995</v>
      </c>
      <c r="I716">
        <v>3</v>
      </c>
      <c r="J716">
        <v>1197</v>
      </c>
      <c r="K716">
        <v>0.25908674900000001</v>
      </c>
      <c r="L716">
        <v>2.9000000000000001E-2</v>
      </c>
      <c r="M716">
        <v>1</v>
      </c>
      <c r="N716">
        <v>0.76800000000000002</v>
      </c>
      <c r="O716">
        <v>4</v>
      </c>
      <c r="P716">
        <v>4</v>
      </c>
      <c r="S716" s="59" t="s">
        <v>944</v>
      </c>
    </row>
    <row r="717" spans="1:19" x14ac:dyDescent="0.2">
      <c r="A717" t="s">
        <v>2461</v>
      </c>
      <c r="B717">
        <v>9011693300</v>
      </c>
      <c r="C717" t="s">
        <v>2462</v>
      </c>
      <c r="D717">
        <v>80753</v>
      </c>
      <c r="E717">
        <v>2.2799999999999998</v>
      </c>
      <c r="F717">
        <v>53479.98072</v>
      </c>
      <c r="G717">
        <v>53.48</v>
      </c>
      <c r="H717">
        <v>0.52800000000000002</v>
      </c>
      <c r="I717">
        <v>3</v>
      </c>
      <c r="J717">
        <v>1399</v>
      </c>
      <c r="K717">
        <v>0.31391185599999999</v>
      </c>
      <c r="L717">
        <v>0.249</v>
      </c>
      <c r="M717">
        <v>2</v>
      </c>
      <c r="N717">
        <v>0.56999999999999995</v>
      </c>
      <c r="O717">
        <v>3</v>
      </c>
      <c r="P717">
        <v>3</v>
      </c>
      <c r="S717" s="57" t="s">
        <v>944</v>
      </c>
    </row>
    <row r="718" spans="1:19" x14ac:dyDescent="0.2">
      <c r="A718" t="s">
        <v>2463</v>
      </c>
      <c r="B718">
        <v>9011693400</v>
      </c>
      <c r="C718" t="s">
        <v>2464</v>
      </c>
      <c r="D718">
        <v>63295</v>
      </c>
      <c r="E718">
        <v>2.1800000000000002</v>
      </c>
      <c r="F718">
        <v>42868.783280000003</v>
      </c>
      <c r="G718">
        <v>42.869</v>
      </c>
      <c r="H718">
        <v>0.33600000000000002</v>
      </c>
      <c r="I718">
        <v>2</v>
      </c>
      <c r="J718">
        <v>1187</v>
      </c>
      <c r="K718">
        <v>0.33226975199999997</v>
      </c>
      <c r="L718">
        <v>0.375</v>
      </c>
      <c r="M718">
        <v>2</v>
      </c>
      <c r="N718">
        <v>0.78400000000000003</v>
      </c>
      <c r="O718">
        <v>4</v>
      </c>
      <c r="P718">
        <v>4</v>
      </c>
      <c r="S718" s="59" t="s">
        <v>944</v>
      </c>
    </row>
    <row r="719" spans="1:19" x14ac:dyDescent="0.2">
      <c r="A719" t="s">
        <v>2465</v>
      </c>
      <c r="B719">
        <v>9011693500</v>
      </c>
      <c r="C719" t="s">
        <v>2466</v>
      </c>
      <c r="D719">
        <v>110625</v>
      </c>
      <c r="E719">
        <v>2.4700000000000002</v>
      </c>
      <c r="F719">
        <v>70389.001900000003</v>
      </c>
      <c r="G719">
        <v>70.388999999999996</v>
      </c>
      <c r="H719">
        <v>0.80800000000000005</v>
      </c>
      <c r="I719">
        <v>5</v>
      </c>
      <c r="J719">
        <v>1712</v>
      </c>
      <c r="K719">
        <v>0.29186377800000002</v>
      </c>
      <c r="L719">
        <v>0.125</v>
      </c>
      <c r="M719">
        <v>1</v>
      </c>
      <c r="N719">
        <v>0.30299999999999999</v>
      </c>
      <c r="O719">
        <v>2</v>
      </c>
      <c r="P719">
        <v>2</v>
      </c>
      <c r="S719" s="57" t="s">
        <v>944</v>
      </c>
    </row>
    <row r="720" spans="1:19" x14ac:dyDescent="0.2">
      <c r="A720" t="s">
        <v>2467</v>
      </c>
      <c r="B720">
        <v>9011693600</v>
      </c>
      <c r="C720" t="s">
        <v>2468</v>
      </c>
      <c r="D720">
        <v>97750</v>
      </c>
      <c r="E720">
        <v>2.61</v>
      </c>
      <c r="F720">
        <v>60505.731019999999</v>
      </c>
      <c r="G720">
        <v>60.506</v>
      </c>
      <c r="H720">
        <v>0.66200000000000003</v>
      </c>
      <c r="I720">
        <v>4</v>
      </c>
      <c r="J720">
        <v>1528</v>
      </c>
      <c r="K720">
        <v>0.30304567300000002</v>
      </c>
      <c r="L720">
        <v>0.192</v>
      </c>
      <c r="M720">
        <v>1</v>
      </c>
      <c r="N720">
        <v>0.44500000000000001</v>
      </c>
      <c r="O720">
        <v>3</v>
      </c>
      <c r="P720">
        <v>3</v>
      </c>
      <c r="S720" s="59" t="s">
        <v>944</v>
      </c>
    </row>
    <row r="721" spans="1:19" x14ac:dyDescent="0.2">
      <c r="A721" t="s">
        <v>2469</v>
      </c>
      <c r="B721">
        <v>9011693700</v>
      </c>
      <c r="C721" t="s">
        <v>2470</v>
      </c>
      <c r="D721">
        <v>111849</v>
      </c>
      <c r="E721">
        <v>2.64</v>
      </c>
      <c r="F721">
        <v>68838.300870000006</v>
      </c>
      <c r="G721">
        <v>68.837999999999994</v>
      </c>
      <c r="H721">
        <v>0.78600000000000003</v>
      </c>
      <c r="I721">
        <v>4</v>
      </c>
      <c r="J721">
        <v>1443</v>
      </c>
      <c r="K721">
        <v>0.25154601100000001</v>
      </c>
      <c r="L721">
        <v>1.4999999999999999E-2</v>
      </c>
      <c r="M721">
        <v>1</v>
      </c>
      <c r="N721">
        <v>0.53500000000000003</v>
      </c>
      <c r="O721">
        <v>3</v>
      </c>
      <c r="P721">
        <v>3</v>
      </c>
      <c r="S721" s="57" t="s">
        <v>944</v>
      </c>
    </row>
    <row r="722" spans="1:19" x14ac:dyDescent="0.2">
      <c r="A722" t="s">
        <v>2471</v>
      </c>
      <c r="B722">
        <v>9011695201</v>
      </c>
      <c r="C722" t="s">
        <v>2472</v>
      </c>
      <c r="D722">
        <v>74675</v>
      </c>
      <c r="E722">
        <v>2.48</v>
      </c>
      <c r="F722">
        <v>47418.672420000003</v>
      </c>
      <c r="G722">
        <v>47.418999999999997</v>
      </c>
      <c r="H722">
        <v>0.40500000000000003</v>
      </c>
      <c r="I722">
        <v>3</v>
      </c>
      <c r="J722">
        <v>1280</v>
      </c>
      <c r="K722">
        <v>0.32392302899999997</v>
      </c>
      <c r="L722">
        <v>0.32700000000000001</v>
      </c>
      <c r="M722">
        <v>2</v>
      </c>
      <c r="N722">
        <v>0.67900000000000005</v>
      </c>
      <c r="O722">
        <v>4</v>
      </c>
      <c r="P722">
        <v>4</v>
      </c>
      <c r="S722" s="59" t="s">
        <v>944</v>
      </c>
    </row>
    <row r="723" spans="1:19" x14ac:dyDescent="0.2">
      <c r="A723" t="s">
        <v>2473</v>
      </c>
      <c r="B723">
        <v>9011695202</v>
      </c>
      <c r="C723" t="s">
        <v>2474</v>
      </c>
      <c r="D723">
        <v>83039</v>
      </c>
      <c r="E723">
        <v>2.41</v>
      </c>
      <c r="F723">
        <v>53490.122100000001</v>
      </c>
      <c r="G723">
        <v>53.49</v>
      </c>
      <c r="H723">
        <v>0.52900000000000003</v>
      </c>
      <c r="I723">
        <v>3</v>
      </c>
      <c r="J723">
        <v>1304</v>
      </c>
      <c r="K723">
        <v>0.29253999400000003</v>
      </c>
      <c r="L723">
        <v>0.13200000000000001</v>
      </c>
      <c r="M723">
        <v>1</v>
      </c>
      <c r="N723">
        <v>0.65100000000000002</v>
      </c>
      <c r="O723">
        <v>4</v>
      </c>
      <c r="P723">
        <v>4</v>
      </c>
      <c r="S723" s="57" t="s">
        <v>944</v>
      </c>
    </row>
    <row r="724" spans="1:19" x14ac:dyDescent="0.2">
      <c r="A724" t="s">
        <v>2475</v>
      </c>
      <c r="B724">
        <v>9011696100</v>
      </c>
      <c r="C724" t="s">
        <v>2476</v>
      </c>
      <c r="D724">
        <v>43716</v>
      </c>
      <c r="E724">
        <v>2.1</v>
      </c>
      <c r="F724">
        <v>30166.905989999999</v>
      </c>
      <c r="G724">
        <v>30.167000000000002</v>
      </c>
      <c r="H724">
        <v>0.17199999999999999</v>
      </c>
      <c r="I724">
        <v>1</v>
      </c>
      <c r="J724">
        <v>977</v>
      </c>
      <c r="K724">
        <v>0.388637801</v>
      </c>
      <c r="L724">
        <v>0.65800000000000003</v>
      </c>
      <c r="M724">
        <v>4</v>
      </c>
      <c r="N724">
        <v>0.94899999999999995</v>
      </c>
      <c r="O724">
        <v>5</v>
      </c>
      <c r="P724">
        <v>5</v>
      </c>
      <c r="S724" s="59" t="s">
        <v>936</v>
      </c>
    </row>
    <row r="725" spans="1:19" x14ac:dyDescent="0.2">
      <c r="A725" t="s">
        <v>2477</v>
      </c>
      <c r="B725">
        <v>9011696200</v>
      </c>
      <c r="C725" t="s">
        <v>2478</v>
      </c>
      <c r="D725">
        <v>79082</v>
      </c>
      <c r="E725">
        <v>2.29</v>
      </c>
      <c r="F725">
        <v>52258.85656</v>
      </c>
      <c r="G725">
        <v>52.259</v>
      </c>
      <c r="H725">
        <v>0.505</v>
      </c>
      <c r="I725">
        <v>3</v>
      </c>
      <c r="J725">
        <v>1338</v>
      </c>
      <c r="K725">
        <v>0.30723978800000001</v>
      </c>
      <c r="L725">
        <v>0.21</v>
      </c>
      <c r="M725">
        <v>2</v>
      </c>
      <c r="N725">
        <v>0.61699999999999999</v>
      </c>
      <c r="O725">
        <v>4</v>
      </c>
      <c r="P725">
        <v>4</v>
      </c>
      <c r="S725" s="57" t="s">
        <v>944</v>
      </c>
    </row>
    <row r="726" spans="1:19" x14ac:dyDescent="0.2">
      <c r="A726" t="s">
        <v>2479</v>
      </c>
      <c r="B726">
        <v>9011696300</v>
      </c>
      <c r="C726" t="s">
        <v>2480</v>
      </c>
      <c r="D726">
        <v>100757</v>
      </c>
      <c r="E726">
        <v>2.81</v>
      </c>
      <c r="F726">
        <v>60106.586969999997</v>
      </c>
      <c r="G726">
        <v>60.106999999999999</v>
      </c>
      <c r="H726">
        <v>0.65700000000000003</v>
      </c>
      <c r="I726">
        <v>4</v>
      </c>
      <c r="J726">
        <v>1517</v>
      </c>
      <c r="K726">
        <v>0.302861981</v>
      </c>
      <c r="L726">
        <v>0.189</v>
      </c>
      <c r="M726">
        <v>1</v>
      </c>
      <c r="N726">
        <v>0.45400000000000001</v>
      </c>
      <c r="O726">
        <v>3</v>
      </c>
      <c r="P726">
        <v>3</v>
      </c>
      <c r="S726" s="59" t="s">
        <v>944</v>
      </c>
    </row>
    <row r="727" spans="1:19" x14ac:dyDescent="0.2">
      <c r="A727" t="s">
        <v>2481</v>
      </c>
      <c r="B727">
        <v>9011696400</v>
      </c>
      <c r="C727" t="s">
        <v>2482</v>
      </c>
      <c r="D727">
        <v>46326</v>
      </c>
      <c r="E727">
        <v>2.5</v>
      </c>
      <c r="F727">
        <v>29299.134979999999</v>
      </c>
      <c r="G727">
        <v>29.298999999999999</v>
      </c>
      <c r="H727">
        <v>0.16</v>
      </c>
      <c r="I727">
        <v>1</v>
      </c>
      <c r="J727">
        <v>1172</v>
      </c>
      <c r="K727">
        <v>0.48001417099999999</v>
      </c>
      <c r="L727">
        <v>0.82099999999999995</v>
      </c>
      <c r="M727">
        <v>5</v>
      </c>
      <c r="N727">
        <v>0.80100000000000005</v>
      </c>
      <c r="O727">
        <v>5</v>
      </c>
      <c r="P727">
        <v>5</v>
      </c>
      <c r="S727" s="57" t="s">
        <v>936</v>
      </c>
    </row>
    <row r="728" spans="1:19" x14ac:dyDescent="0.2">
      <c r="A728" t="s">
        <v>2483</v>
      </c>
      <c r="B728">
        <v>9011696500</v>
      </c>
      <c r="C728" t="s">
        <v>2484</v>
      </c>
      <c r="D728">
        <v>59402</v>
      </c>
      <c r="E728">
        <v>2.1800000000000002</v>
      </c>
      <c r="F728">
        <v>40232.110979999998</v>
      </c>
      <c r="G728">
        <v>40.231999999999999</v>
      </c>
      <c r="H728">
        <v>0.29699999999999999</v>
      </c>
      <c r="I728">
        <v>2</v>
      </c>
      <c r="J728">
        <v>1195</v>
      </c>
      <c r="K728">
        <v>0.35643170699999999</v>
      </c>
      <c r="L728">
        <v>0.51500000000000001</v>
      </c>
      <c r="M728">
        <v>3</v>
      </c>
      <c r="N728">
        <v>0.77300000000000002</v>
      </c>
      <c r="O728">
        <v>4</v>
      </c>
      <c r="P728">
        <v>4</v>
      </c>
      <c r="S728" s="59" t="s">
        <v>944</v>
      </c>
    </row>
    <row r="729" spans="1:19" x14ac:dyDescent="0.2">
      <c r="A729" t="s">
        <v>2485</v>
      </c>
      <c r="B729">
        <v>9011696600</v>
      </c>
      <c r="C729" t="s">
        <v>2486</v>
      </c>
      <c r="D729">
        <v>87604</v>
      </c>
      <c r="E729">
        <v>2.79</v>
      </c>
      <c r="F729">
        <v>52447.142930000002</v>
      </c>
      <c r="G729">
        <v>52.447000000000003</v>
      </c>
      <c r="H729">
        <v>0.50900000000000001</v>
      </c>
      <c r="I729">
        <v>3</v>
      </c>
      <c r="J729">
        <v>1297</v>
      </c>
      <c r="K729">
        <v>0.29675591699999998</v>
      </c>
      <c r="L729">
        <v>0.152</v>
      </c>
      <c r="M729">
        <v>1</v>
      </c>
      <c r="N729">
        <v>0.65900000000000003</v>
      </c>
      <c r="O729">
        <v>4</v>
      </c>
      <c r="P729">
        <v>4</v>
      </c>
      <c r="S729" s="57" t="s">
        <v>944</v>
      </c>
    </row>
    <row r="730" spans="1:19" x14ac:dyDescent="0.2">
      <c r="A730" t="s">
        <v>2487</v>
      </c>
      <c r="B730">
        <v>9011696700</v>
      </c>
      <c r="C730" t="s">
        <v>2488</v>
      </c>
      <c r="D730">
        <v>48519</v>
      </c>
      <c r="E730">
        <v>2.56</v>
      </c>
      <c r="F730">
        <v>30324.375</v>
      </c>
      <c r="G730">
        <v>30.324000000000002</v>
      </c>
      <c r="H730">
        <v>0.17299999999999999</v>
      </c>
      <c r="I730">
        <v>1</v>
      </c>
      <c r="J730">
        <v>1124</v>
      </c>
      <c r="K730">
        <v>0.44479070100000001</v>
      </c>
      <c r="L730">
        <v>0.77800000000000002</v>
      </c>
      <c r="M730">
        <v>4</v>
      </c>
      <c r="N730">
        <v>0.84799999999999998</v>
      </c>
      <c r="O730">
        <v>5</v>
      </c>
      <c r="P730">
        <v>5</v>
      </c>
      <c r="S730" s="59" t="s">
        <v>944</v>
      </c>
    </row>
    <row r="731" spans="1:19" x14ac:dyDescent="0.2">
      <c r="A731" t="s">
        <v>2489</v>
      </c>
      <c r="B731">
        <v>9011696800</v>
      </c>
      <c r="C731" t="s">
        <v>2490</v>
      </c>
      <c r="D731">
        <v>48022</v>
      </c>
      <c r="E731">
        <v>2.15</v>
      </c>
      <c r="F731">
        <v>32750.732169999999</v>
      </c>
      <c r="G731">
        <v>32.750999999999998</v>
      </c>
      <c r="H731">
        <v>0.20799999999999999</v>
      </c>
      <c r="I731">
        <v>2</v>
      </c>
      <c r="J731">
        <v>1005</v>
      </c>
      <c r="K731">
        <v>0.36823604199999999</v>
      </c>
      <c r="L731">
        <v>0.58299999999999996</v>
      </c>
      <c r="M731">
        <v>3</v>
      </c>
      <c r="N731">
        <v>0.93600000000000005</v>
      </c>
      <c r="O731">
        <v>5</v>
      </c>
      <c r="P731">
        <v>5</v>
      </c>
      <c r="S731" s="57" t="s">
        <v>944</v>
      </c>
    </row>
    <row r="732" spans="1:19" x14ac:dyDescent="0.2">
      <c r="A732" t="s">
        <v>2491</v>
      </c>
      <c r="B732">
        <v>9011697000</v>
      </c>
      <c r="C732" t="s">
        <v>2492</v>
      </c>
      <c r="D732">
        <v>46801</v>
      </c>
      <c r="E732">
        <v>2.4300000000000002</v>
      </c>
      <c r="F732">
        <v>30022.855500000001</v>
      </c>
      <c r="G732">
        <v>30.023</v>
      </c>
      <c r="H732">
        <v>0.17</v>
      </c>
      <c r="I732">
        <v>1</v>
      </c>
      <c r="J732">
        <v>1073</v>
      </c>
      <c r="K732">
        <v>0.428873263</v>
      </c>
      <c r="L732">
        <v>0.75</v>
      </c>
      <c r="M732">
        <v>4</v>
      </c>
      <c r="N732">
        <v>0.89300000000000002</v>
      </c>
      <c r="O732">
        <v>5</v>
      </c>
      <c r="P732">
        <v>5</v>
      </c>
      <c r="S732" s="59" t="s">
        <v>936</v>
      </c>
    </row>
    <row r="733" spans="1:19" x14ac:dyDescent="0.2">
      <c r="A733" t="s">
        <v>2493</v>
      </c>
      <c r="B733">
        <v>9011700100</v>
      </c>
      <c r="C733" t="s">
        <v>2494</v>
      </c>
      <c r="D733">
        <v>79444</v>
      </c>
      <c r="E733">
        <v>2.54</v>
      </c>
      <c r="F733">
        <v>49847.598980000002</v>
      </c>
      <c r="G733">
        <v>49.847999999999999</v>
      </c>
      <c r="H733">
        <v>0.46700000000000003</v>
      </c>
      <c r="I733">
        <v>3</v>
      </c>
      <c r="J733">
        <v>1427</v>
      </c>
      <c r="K733">
        <v>0.34352707799999999</v>
      </c>
      <c r="L733">
        <v>0.44</v>
      </c>
      <c r="M733">
        <v>3</v>
      </c>
      <c r="N733">
        <v>0.54400000000000004</v>
      </c>
      <c r="O733">
        <v>3</v>
      </c>
      <c r="P733">
        <v>3</v>
      </c>
      <c r="S733" s="57" t="s">
        <v>944</v>
      </c>
    </row>
    <row r="734" spans="1:19" x14ac:dyDescent="0.2">
      <c r="A734" t="s">
        <v>2495</v>
      </c>
      <c r="B734">
        <v>9011701100</v>
      </c>
      <c r="C734" t="s">
        <v>2496</v>
      </c>
      <c r="D734">
        <v>92283</v>
      </c>
      <c r="E734">
        <v>2.58</v>
      </c>
      <c r="F734">
        <v>57452.886290000002</v>
      </c>
      <c r="G734">
        <v>57.453000000000003</v>
      </c>
      <c r="H734">
        <v>0.60699999999999998</v>
      </c>
      <c r="I734">
        <v>4</v>
      </c>
      <c r="J734">
        <v>1493</v>
      </c>
      <c r="K734">
        <v>0.31183811900000002</v>
      </c>
      <c r="L734">
        <v>0.23599999999999999</v>
      </c>
      <c r="M734">
        <v>2</v>
      </c>
      <c r="N734">
        <v>0.48299999999999998</v>
      </c>
      <c r="O734">
        <v>3</v>
      </c>
      <c r="P734">
        <v>3</v>
      </c>
      <c r="S734" s="59" t="s">
        <v>944</v>
      </c>
    </row>
    <row r="735" spans="1:19" x14ac:dyDescent="0.2">
      <c r="A735" t="s">
        <v>2497</v>
      </c>
      <c r="B735">
        <v>9011701200</v>
      </c>
      <c r="C735" t="s">
        <v>2498</v>
      </c>
      <c r="D735">
        <v>96607</v>
      </c>
      <c r="E735">
        <v>2.52</v>
      </c>
      <c r="F735">
        <v>60856.689740000002</v>
      </c>
      <c r="G735">
        <v>60.856999999999999</v>
      </c>
      <c r="H735">
        <v>0.66800000000000004</v>
      </c>
      <c r="I735">
        <v>4</v>
      </c>
      <c r="J735">
        <v>1494</v>
      </c>
      <c r="K735">
        <v>0.29459374300000002</v>
      </c>
      <c r="L735">
        <v>0.14099999999999999</v>
      </c>
      <c r="M735">
        <v>1</v>
      </c>
      <c r="N735">
        <v>0.48099999999999998</v>
      </c>
      <c r="O735">
        <v>3</v>
      </c>
      <c r="P735">
        <v>3</v>
      </c>
      <c r="S735" s="57" t="s">
        <v>944</v>
      </c>
    </row>
    <row r="736" spans="1:19" x14ac:dyDescent="0.2">
      <c r="A736" t="s">
        <v>2499</v>
      </c>
      <c r="B736">
        <v>9011702100</v>
      </c>
      <c r="C736" t="s">
        <v>2500</v>
      </c>
      <c r="D736">
        <v>86384</v>
      </c>
      <c r="E736">
        <v>2.4300000000000002</v>
      </c>
      <c r="F736">
        <v>55415.361839999998</v>
      </c>
      <c r="G736">
        <v>55.414999999999999</v>
      </c>
      <c r="H736">
        <v>0.56899999999999995</v>
      </c>
      <c r="I736">
        <v>3</v>
      </c>
      <c r="J736">
        <v>1376</v>
      </c>
      <c r="K736">
        <v>0.297967918</v>
      </c>
      <c r="L736">
        <v>0.156</v>
      </c>
      <c r="M736">
        <v>1</v>
      </c>
      <c r="N736">
        <v>0.58299999999999996</v>
      </c>
      <c r="O736">
        <v>3</v>
      </c>
      <c r="P736">
        <v>3</v>
      </c>
      <c r="S736" s="59" t="s">
        <v>944</v>
      </c>
    </row>
    <row r="737" spans="1:19" x14ac:dyDescent="0.2">
      <c r="A737" t="s">
        <v>2501</v>
      </c>
      <c r="B737">
        <v>9011702300</v>
      </c>
      <c r="C737" t="s">
        <v>2502</v>
      </c>
      <c r="D737">
        <v>74444</v>
      </c>
      <c r="E737">
        <v>2.72</v>
      </c>
      <c r="F737">
        <v>45138.305180000003</v>
      </c>
      <c r="G737">
        <v>45.137999999999998</v>
      </c>
      <c r="H737">
        <v>0.37</v>
      </c>
      <c r="I737">
        <v>2</v>
      </c>
      <c r="J737">
        <v>1626</v>
      </c>
      <c r="K737">
        <v>0.43227143600000001</v>
      </c>
      <c r="L737">
        <v>0.755</v>
      </c>
      <c r="M737">
        <v>4</v>
      </c>
      <c r="N737">
        <v>0.36399999999999999</v>
      </c>
      <c r="O737">
        <v>2</v>
      </c>
      <c r="P737">
        <v>3</v>
      </c>
      <c r="S737" s="57" t="s">
        <v>944</v>
      </c>
    </row>
    <row r="738" spans="1:19" x14ac:dyDescent="0.2">
      <c r="A738" t="s">
        <v>2503</v>
      </c>
      <c r="B738">
        <v>9011702400</v>
      </c>
      <c r="C738" t="s">
        <v>2504</v>
      </c>
      <c r="D738">
        <v>74157</v>
      </c>
      <c r="E738">
        <v>2.0299999999999998</v>
      </c>
      <c r="F738">
        <v>52048.010470000001</v>
      </c>
      <c r="G738">
        <v>52.048000000000002</v>
      </c>
      <c r="H738">
        <v>0.501</v>
      </c>
      <c r="I738">
        <v>3</v>
      </c>
      <c r="J738">
        <v>1177</v>
      </c>
      <c r="K738">
        <v>0.27136483900000002</v>
      </c>
      <c r="L738">
        <v>6.5000000000000002E-2</v>
      </c>
      <c r="M738">
        <v>1</v>
      </c>
      <c r="N738">
        <v>0.79900000000000004</v>
      </c>
      <c r="O738">
        <v>4</v>
      </c>
      <c r="P738">
        <v>4</v>
      </c>
      <c r="S738" s="59" t="s">
        <v>944</v>
      </c>
    </row>
    <row r="739" spans="1:19" x14ac:dyDescent="0.2">
      <c r="A739" t="s">
        <v>2505</v>
      </c>
      <c r="B739">
        <v>9011702500</v>
      </c>
      <c r="C739" t="s">
        <v>2506</v>
      </c>
      <c r="D739">
        <v>40066</v>
      </c>
      <c r="E739">
        <v>2.04</v>
      </c>
      <c r="F739">
        <v>28051.81092</v>
      </c>
      <c r="G739">
        <v>28.052</v>
      </c>
      <c r="H739">
        <v>0.14199999999999999</v>
      </c>
      <c r="I739">
        <v>1</v>
      </c>
      <c r="J739">
        <v>1014</v>
      </c>
      <c r="K739">
        <v>0.43376878699999999</v>
      </c>
      <c r="L739">
        <v>0.75700000000000001</v>
      </c>
      <c r="M739">
        <v>4</v>
      </c>
      <c r="N739">
        <v>0.93200000000000005</v>
      </c>
      <c r="O739">
        <v>5</v>
      </c>
      <c r="P739">
        <v>5</v>
      </c>
      <c r="S739" s="57" t="s">
        <v>936</v>
      </c>
    </row>
    <row r="740" spans="1:19" x14ac:dyDescent="0.2">
      <c r="A740" t="s">
        <v>2507</v>
      </c>
      <c r="B740">
        <v>9011702600</v>
      </c>
      <c r="C740" t="s">
        <v>2508</v>
      </c>
      <c r="D740">
        <v>82841</v>
      </c>
      <c r="E740">
        <v>2.14</v>
      </c>
      <c r="F740">
        <v>56628.941780000001</v>
      </c>
      <c r="G740">
        <v>56.628999999999998</v>
      </c>
      <c r="H740">
        <v>0.59</v>
      </c>
      <c r="I740">
        <v>3</v>
      </c>
      <c r="J740">
        <v>1662</v>
      </c>
      <c r="K740">
        <v>0.35218740399999998</v>
      </c>
      <c r="L740">
        <v>0.49</v>
      </c>
      <c r="M740">
        <v>3</v>
      </c>
      <c r="N740">
        <v>0.33500000000000002</v>
      </c>
      <c r="O740">
        <v>2</v>
      </c>
      <c r="P740">
        <v>3</v>
      </c>
      <c r="S740" s="59" t="s">
        <v>944</v>
      </c>
    </row>
    <row r="741" spans="1:19" x14ac:dyDescent="0.2">
      <c r="A741" t="s">
        <v>2509</v>
      </c>
      <c r="B741">
        <v>9011702700</v>
      </c>
      <c r="C741" t="s">
        <v>2510</v>
      </c>
      <c r="D741">
        <v>56020</v>
      </c>
      <c r="E741">
        <v>1.79</v>
      </c>
      <c r="F741">
        <v>41871.313900000001</v>
      </c>
      <c r="G741">
        <v>41.871000000000002</v>
      </c>
      <c r="H741">
        <v>0.318</v>
      </c>
      <c r="I741">
        <v>2</v>
      </c>
      <c r="J741">
        <v>1254</v>
      </c>
      <c r="K741">
        <v>0.359386859</v>
      </c>
      <c r="L741">
        <v>0.53200000000000003</v>
      </c>
      <c r="M741">
        <v>3</v>
      </c>
      <c r="N741">
        <v>0.71299999999999997</v>
      </c>
      <c r="O741">
        <v>4</v>
      </c>
      <c r="P741">
        <v>4</v>
      </c>
      <c r="S741" s="57" t="s">
        <v>944</v>
      </c>
    </row>
    <row r="742" spans="1:19" x14ac:dyDescent="0.2">
      <c r="A742" t="s">
        <v>2511</v>
      </c>
      <c r="B742">
        <v>9011702800</v>
      </c>
      <c r="C742" t="s">
        <v>2512</v>
      </c>
      <c r="D742">
        <v>71683</v>
      </c>
      <c r="E742">
        <v>2.86</v>
      </c>
      <c r="F742">
        <v>42387.046479999997</v>
      </c>
      <c r="G742">
        <v>42.387</v>
      </c>
      <c r="H742">
        <v>0.32800000000000001</v>
      </c>
      <c r="I742">
        <v>2</v>
      </c>
      <c r="J742">
        <v>1286</v>
      </c>
      <c r="K742">
        <v>0.36407349100000003</v>
      </c>
      <c r="L742">
        <v>0.56200000000000006</v>
      </c>
      <c r="M742">
        <v>3</v>
      </c>
      <c r="N742">
        <v>0.66800000000000004</v>
      </c>
      <c r="O742">
        <v>4</v>
      </c>
      <c r="P742">
        <v>4</v>
      </c>
      <c r="S742" s="59" t="s">
        <v>944</v>
      </c>
    </row>
    <row r="743" spans="1:19" x14ac:dyDescent="0.2">
      <c r="A743" t="s">
        <v>2513</v>
      </c>
      <c r="B743">
        <v>9011702900</v>
      </c>
      <c r="C743" t="s">
        <v>2514</v>
      </c>
      <c r="D743">
        <v>119375</v>
      </c>
      <c r="E743">
        <v>2.09</v>
      </c>
      <c r="F743">
        <v>82573.414120000001</v>
      </c>
      <c r="G743">
        <v>82.572999999999993</v>
      </c>
      <c r="H743">
        <v>0.89500000000000002</v>
      </c>
      <c r="I743">
        <v>5</v>
      </c>
      <c r="J743">
        <v>1488</v>
      </c>
      <c r="K743">
        <v>0.216243935</v>
      </c>
      <c r="L743">
        <v>0</v>
      </c>
      <c r="M743">
        <v>0</v>
      </c>
      <c r="N743">
        <v>0.49099999999999999</v>
      </c>
      <c r="O743">
        <v>3</v>
      </c>
      <c r="P743">
        <v>2</v>
      </c>
      <c r="S743" s="57" t="s">
        <v>944</v>
      </c>
    </row>
    <row r="744" spans="1:19" x14ac:dyDescent="0.2">
      <c r="A744" t="s">
        <v>2515</v>
      </c>
      <c r="B744">
        <v>9011703000</v>
      </c>
      <c r="C744" t="s">
        <v>2516</v>
      </c>
      <c r="D744">
        <v>103558</v>
      </c>
      <c r="E744">
        <v>2.06</v>
      </c>
      <c r="F744">
        <v>72152.277489999993</v>
      </c>
      <c r="G744">
        <v>72.152000000000001</v>
      </c>
      <c r="H744">
        <v>0.82699999999999996</v>
      </c>
      <c r="I744">
        <v>5</v>
      </c>
      <c r="J744">
        <v>1763</v>
      </c>
      <c r="K744">
        <v>0.29321319800000001</v>
      </c>
      <c r="L744">
        <v>0.13700000000000001</v>
      </c>
      <c r="M744">
        <v>1</v>
      </c>
      <c r="N744">
        <v>0.27500000000000002</v>
      </c>
      <c r="O744">
        <v>2</v>
      </c>
      <c r="P744">
        <v>2</v>
      </c>
      <c r="S744" s="59" t="s">
        <v>944</v>
      </c>
    </row>
    <row r="745" spans="1:19" x14ac:dyDescent="0.2">
      <c r="A745" t="s">
        <v>2517</v>
      </c>
      <c r="B745">
        <v>9011705101</v>
      </c>
      <c r="C745" t="s">
        <v>2518</v>
      </c>
      <c r="D745">
        <v>72674</v>
      </c>
      <c r="E745">
        <v>2.39</v>
      </c>
      <c r="F745">
        <v>47008.902730000002</v>
      </c>
      <c r="G745">
        <v>47.009</v>
      </c>
      <c r="H745">
        <v>0.39800000000000002</v>
      </c>
      <c r="I745">
        <v>2</v>
      </c>
      <c r="J745">
        <v>1335</v>
      </c>
      <c r="K745">
        <v>0.34078651199999999</v>
      </c>
      <c r="L745">
        <v>0.42199999999999999</v>
      </c>
      <c r="M745">
        <v>3</v>
      </c>
      <c r="N745">
        <v>0.622</v>
      </c>
      <c r="O745">
        <v>4</v>
      </c>
      <c r="P745">
        <v>4</v>
      </c>
      <c r="S745" s="57" t="s">
        <v>944</v>
      </c>
    </row>
    <row r="746" spans="1:19" x14ac:dyDescent="0.2">
      <c r="A746" t="s">
        <v>2519</v>
      </c>
      <c r="B746">
        <v>9011705102</v>
      </c>
      <c r="C746" t="s">
        <v>2520</v>
      </c>
      <c r="D746">
        <v>57286</v>
      </c>
      <c r="E746">
        <v>2.17</v>
      </c>
      <c r="F746">
        <v>38888.270750000003</v>
      </c>
      <c r="G746">
        <v>38.887999999999998</v>
      </c>
      <c r="H746">
        <v>0.27700000000000002</v>
      </c>
      <c r="I746">
        <v>2</v>
      </c>
      <c r="J746">
        <v>1094</v>
      </c>
      <c r="K746">
        <v>0.33758250899999998</v>
      </c>
      <c r="L746">
        <v>0.40799999999999997</v>
      </c>
      <c r="M746">
        <v>3</v>
      </c>
      <c r="N746">
        <v>0.88100000000000001</v>
      </c>
      <c r="O746">
        <v>5</v>
      </c>
      <c r="P746">
        <v>5</v>
      </c>
      <c r="S746" s="59" t="s">
        <v>944</v>
      </c>
    </row>
    <row r="747" spans="1:19" x14ac:dyDescent="0.2">
      <c r="A747" t="s">
        <v>2521</v>
      </c>
      <c r="B747">
        <v>9011705200</v>
      </c>
      <c r="C747" t="s">
        <v>2522</v>
      </c>
      <c r="D747">
        <v>89079</v>
      </c>
      <c r="E747">
        <v>2.0699999999999998</v>
      </c>
      <c r="F747">
        <v>61914.184970000002</v>
      </c>
      <c r="G747">
        <v>61.914000000000001</v>
      </c>
      <c r="H747">
        <v>0.69199999999999995</v>
      </c>
      <c r="I747">
        <v>4</v>
      </c>
      <c r="J747">
        <v>1650</v>
      </c>
      <c r="K747">
        <v>0.319797475</v>
      </c>
      <c r="L747">
        <v>0.28499999999999998</v>
      </c>
      <c r="M747">
        <v>2</v>
      </c>
      <c r="N747">
        <v>0.34699999999999998</v>
      </c>
      <c r="O747">
        <v>2</v>
      </c>
      <c r="P747">
        <v>2</v>
      </c>
      <c r="S747" s="57" t="s">
        <v>944</v>
      </c>
    </row>
    <row r="748" spans="1:19" x14ac:dyDescent="0.2">
      <c r="A748" t="s">
        <v>2523</v>
      </c>
      <c r="B748">
        <v>9011705300</v>
      </c>
      <c r="C748" t="s">
        <v>2524</v>
      </c>
      <c r="D748">
        <v>94592</v>
      </c>
      <c r="E748">
        <v>2.14</v>
      </c>
      <c r="F748">
        <v>64661.760009999998</v>
      </c>
      <c r="G748">
        <v>64.662000000000006</v>
      </c>
      <c r="H748">
        <v>0.73099999999999998</v>
      </c>
      <c r="I748">
        <v>4</v>
      </c>
      <c r="J748">
        <v>1565</v>
      </c>
      <c r="K748">
        <v>0.29043440799999998</v>
      </c>
      <c r="L748">
        <v>0.11899999999999999</v>
      </c>
      <c r="M748">
        <v>1</v>
      </c>
      <c r="N748">
        <v>0.41799999999999998</v>
      </c>
      <c r="O748">
        <v>3</v>
      </c>
      <c r="P748">
        <v>3</v>
      </c>
      <c r="S748" s="59" t="s">
        <v>944</v>
      </c>
    </row>
    <row r="749" spans="1:19" x14ac:dyDescent="0.2">
      <c r="A749" t="s">
        <v>2525</v>
      </c>
      <c r="B749">
        <v>9011705400</v>
      </c>
      <c r="C749" t="s">
        <v>2526</v>
      </c>
      <c r="D749">
        <v>106111</v>
      </c>
      <c r="E749">
        <v>2.31</v>
      </c>
      <c r="F749">
        <v>69815.912299999996</v>
      </c>
      <c r="G749">
        <v>69.816000000000003</v>
      </c>
      <c r="H749">
        <v>0.8</v>
      </c>
      <c r="I749">
        <v>4</v>
      </c>
      <c r="J749">
        <v>1589</v>
      </c>
      <c r="K749">
        <v>0.27311825299999998</v>
      </c>
      <c r="L749">
        <v>6.9000000000000006E-2</v>
      </c>
      <c r="M749">
        <v>1</v>
      </c>
      <c r="N749">
        <v>0.39600000000000002</v>
      </c>
      <c r="O749">
        <v>2</v>
      </c>
      <c r="P749">
        <v>2</v>
      </c>
      <c r="S749" s="57" t="s">
        <v>944</v>
      </c>
    </row>
    <row r="750" spans="1:19" x14ac:dyDescent="0.2">
      <c r="A750" t="s">
        <v>2527</v>
      </c>
      <c r="B750">
        <v>9011707100</v>
      </c>
      <c r="C750" t="s">
        <v>2528</v>
      </c>
      <c r="D750">
        <v>75833</v>
      </c>
      <c r="E750">
        <v>2.63</v>
      </c>
      <c r="F750">
        <v>46760.631000000001</v>
      </c>
      <c r="G750">
        <v>46.761000000000003</v>
      </c>
      <c r="H750">
        <v>0.39400000000000002</v>
      </c>
      <c r="I750">
        <v>2</v>
      </c>
      <c r="J750">
        <v>1401</v>
      </c>
      <c r="K750">
        <v>0.35953321500000002</v>
      </c>
      <c r="L750">
        <v>0.53500000000000003</v>
      </c>
      <c r="M750">
        <v>3</v>
      </c>
      <c r="N750">
        <v>0.56499999999999995</v>
      </c>
      <c r="O750">
        <v>3</v>
      </c>
      <c r="P750">
        <v>4</v>
      </c>
      <c r="S750" s="59" t="s">
        <v>944</v>
      </c>
    </row>
    <row r="751" spans="1:19" x14ac:dyDescent="0.2">
      <c r="A751" t="s">
        <v>2529</v>
      </c>
      <c r="B751">
        <v>9011708100</v>
      </c>
      <c r="C751" t="s">
        <v>2530</v>
      </c>
      <c r="D751">
        <v>85052</v>
      </c>
      <c r="E751">
        <v>2.57</v>
      </c>
      <c r="F751">
        <v>53053.979939999997</v>
      </c>
      <c r="G751">
        <v>53.054000000000002</v>
      </c>
      <c r="H751">
        <v>0.52200000000000002</v>
      </c>
      <c r="I751">
        <v>3</v>
      </c>
      <c r="J751">
        <v>1432</v>
      </c>
      <c r="K751">
        <v>0.32389653000000002</v>
      </c>
      <c r="L751">
        <v>0.32600000000000001</v>
      </c>
      <c r="M751">
        <v>2</v>
      </c>
      <c r="N751">
        <v>0.53900000000000003</v>
      </c>
      <c r="O751">
        <v>3</v>
      </c>
      <c r="P751">
        <v>3</v>
      </c>
      <c r="S751" s="57" t="s">
        <v>944</v>
      </c>
    </row>
    <row r="752" spans="1:19" x14ac:dyDescent="0.2">
      <c r="A752" t="s">
        <v>2531</v>
      </c>
      <c r="B752">
        <v>9011709100</v>
      </c>
      <c r="C752" t="s">
        <v>2532</v>
      </c>
      <c r="D752">
        <v>84625</v>
      </c>
      <c r="E752">
        <v>2.37</v>
      </c>
      <c r="F752">
        <v>54969.844530000002</v>
      </c>
      <c r="G752">
        <v>54.97</v>
      </c>
      <c r="H752">
        <v>0.56100000000000005</v>
      </c>
      <c r="I752">
        <v>3</v>
      </c>
      <c r="J752">
        <v>1323</v>
      </c>
      <c r="K752">
        <v>0.28881289599999999</v>
      </c>
      <c r="L752">
        <v>0.109</v>
      </c>
      <c r="M752">
        <v>1</v>
      </c>
      <c r="N752">
        <v>0.63200000000000001</v>
      </c>
      <c r="O752">
        <v>4</v>
      </c>
      <c r="P752">
        <v>4</v>
      </c>
      <c r="S752" s="59" t="s">
        <v>944</v>
      </c>
    </row>
    <row r="753" spans="1:19" x14ac:dyDescent="0.2">
      <c r="A753" t="s">
        <v>2533</v>
      </c>
      <c r="B753">
        <v>9011709200</v>
      </c>
      <c r="C753" t="s">
        <v>2534</v>
      </c>
      <c r="D753">
        <v>52377</v>
      </c>
      <c r="E753">
        <v>2.36</v>
      </c>
      <c r="F753">
        <v>34094.522949999999</v>
      </c>
      <c r="G753">
        <v>34.094999999999999</v>
      </c>
      <c r="H753">
        <v>0.224</v>
      </c>
      <c r="I753">
        <v>2</v>
      </c>
      <c r="J753">
        <v>1109</v>
      </c>
      <c r="K753">
        <v>0.39032662299999998</v>
      </c>
      <c r="L753">
        <v>0.66400000000000003</v>
      </c>
      <c r="M753">
        <v>4</v>
      </c>
      <c r="N753">
        <v>0.86499999999999999</v>
      </c>
      <c r="O753">
        <v>5</v>
      </c>
      <c r="P753">
        <v>5</v>
      </c>
      <c r="S753" s="57" t="s">
        <v>944</v>
      </c>
    </row>
    <row r="754" spans="1:19" x14ac:dyDescent="0.2">
      <c r="A754" t="s">
        <v>2535</v>
      </c>
      <c r="B754">
        <v>9011710100</v>
      </c>
      <c r="C754" t="s">
        <v>2536</v>
      </c>
      <c r="D754">
        <v>91125</v>
      </c>
      <c r="E754">
        <v>2.4700000000000002</v>
      </c>
      <c r="F754">
        <v>57981.449030000003</v>
      </c>
      <c r="G754">
        <v>57.981000000000002</v>
      </c>
      <c r="H754">
        <v>0.61699999999999999</v>
      </c>
      <c r="I754">
        <v>4</v>
      </c>
      <c r="J754">
        <v>1374</v>
      </c>
      <c r="K754">
        <v>0.284366815</v>
      </c>
      <c r="L754">
        <v>9.7000000000000003E-2</v>
      </c>
      <c r="M754">
        <v>1</v>
      </c>
      <c r="N754">
        <v>0.58399999999999996</v>
      </c>
      <c r="O754">
        <v>3</v>
      </c>
      <c r="P754">
        <v>3</v>
      </c>
      <c r="S754" s="59" t="s">
        <v>944</v>
      </c>
    </row>
    <row r="755" spans="1:19" x14ac:dyDescent="0.2">
      <c r="A755" t="s">
        <v>2537</v>
      </c>
      <c r="B755">
        <v>9011711100</v>
      </c>
      <c r="C755" t="s">
        <v>2538</v>
      </c>
      <c r="D755">
        <v>68301</v>
      </c>
      <c r="E755">
        <v>2.5299999999999998</v>
      </c>
      <c r="F755">
        <v>42940.470789999999</v>
      </c>
      <c r="G755">
        <v>42.94</v>
      </c>
      <c r="H755">
        <v>0.33700000000000002</v>
      </c>
      <c r="I755">
        <v>2</v>
      </c>
      <c r="J755">
        <v>1214</v>
      </c>
      <c r="K755">
        <v>0.33926036999999998</v>
      </c>
      <c r="L755">
        <v>0.41599999999999998</v>
      </c>
      <c r="M755">
        <v>3</v>
      </c>
      <c r="N755">
        <v>0.749</v>
      </c>
      <c r="O755">
        <v>4</v>
      </c>
      <c r="P755">
        <v>4</v>
      </c>
      <c r="S755" s="57" t="s">
        <v>944</v>
      </c>
    </row>
    <row r="756" spans="1:19" x14ac:dyDescent="0.2">
      <c r="A756" t="s">
        <v>2539</v>
      </c>
      <c r="B756">
        <v>9011712100</v>
      </c>
      <c r="C756" t="s">
        <v>2540</v>
      </c>
      <c r="D756">
        <v>96719</v>
      </c>
      <c r="E756">
        <v>2.4500000000000002</v>
      </c>
      <c r="F756">
        <v>61791.502489999999</v>
      </c>
      <c r="G756">
        <v>61.792000000000002</v>
      </c>
      <c r="H756">
        <v>0.68799999999999994</v>
      </c>
      <c r="I756">
        <v>4</v>
      </c>
      <c r="J756">
        <v>1506</v>
      </c>
      <c r="K756">
        <v>0.29246739900000002</v>
      </c>
      <c r="L756">
        <v>0.13100000000000001</v>
      </c>
      <c r="M756">
        <v>1</v>
      </c>
      <c r="N756">
        <v>0.46800000000000003</v>
      </c>
      <c r="O756">
        <v>3</v>
      </c>
      <c r="P756">
        <v>3</v>
      </c>
      <c r="S756" s="59" t="s">
        <v>944</v>
      </c>
    </row>
    <row r="757" spans="1:19" x14ac:dyDescent="0.2">
      <c r="A757" t="s">
        <v>2541</v>
      </c>
      <c r="B757">
        <v>9011713100</v>
      </c>
      <c r="C757" t="s">
        <v>2542</v>
      </c>
      <c r="D757">
        <v>90156</v>
      </c>
      <c r="E757">
        <v>2.61</v>
      </c>
      <c r="F757">
        <v>55805.163030000003</v>
      </c>
      <c r="G757">
        <v>55.805</v>
      </c>
      <c r="H757">
        <v>0.57499999999999996</v>
      </c>
      <c r="I757">
        <v>3</v>
      </c>
      <c r="J757">
        <v>1138</v>
      </c>
      <c r="K757">
        <v>0.244708541</v>
      </c>
      <c r="L757">
        <v>7.0000000000000001E-3</v>
      </c>
      <c r="M757">
        <v>1</v>
      </c>
      <c r="N757">
        <v>0.82799999999999996</v>
      </c>
      <c r="O757">
        <v>5</v>
      </c>
      <c r="P757">
        <v>4</v>
      </c>
      <c r="S757" s="57" t="s">
        <v>944</v>
      </c>
    </row>
    <row r="758" spans="1:19" x14ac:dyDescent="0.2">
      <c r="A758" t="s">
        <v>2543</v>
      </c>
      <c r="B758">
        <v>9011714101</v>
      </c>
      <c r="C758" t="s">
        <v>2544</v>
      </c>
      <c r="D758">
        <v>67917</v>
      </c>
      <c r="E758">
        <v>2.15</v>
      </c>
      <c r="F758">
        <v>46319.009550000002</v>
      </c>
      <c r="G758">
        <v>46.319000000000003</v>
      </c>
      <c r="H758">
        <v>0.39100000000000001</v>
      </c>
      <c r="I758">
        <v>2</v>
      </c>
      <c r="J758">
        <v>1286</v>
      </c>
      <c r="K758">
        <v>0.33316774599999999</v>
      </c>
      <c r="L758">
        <v>0.38300000000000001</v>
      </c>
      <c r="M758">
        <v>2</v>
      </c>
      <c r="N758">
        <v>0.66800000000000004</v>
      </c>
      <c r="O758">
        <v>4</v>
      </c>
      <c r="P758">
        <v>4</v>
      </c>
      <c r="S758" s="59" t="s">
        <v>944</v>
      </c>
    </row>
    <row r="759" spans="1:19" x14ac:dyDescent="0.2">
      <c r="A759" t="s">
        <v>2545</v>
      </c>
      <c r="B759">
        <v>9011714103</v>
      </c>
      <c r="C759" t="s">
        <v>2546</v>
      </c>
      <c r="D759">
        <v>124141</v>
      </c>
      <c r="E759">
        <v>2.89</v>
      </c>
      <c r="F759">
        <v>73024.11765</v>
      </c>
      <c r="G759">
        <v>73.024000000000001</v>
      </c>
      <c r="H759">
        <v>0.83799999999999997</v>
      </c>
      <c r="I759">
        <v>5</v>
      </c>
      <c r="J759">
        <v>1763</v>
      </c>
      <c r="K759">
        <v>0.28971250399999998</v>
      </c>
      <c r="L759">
        <v>0.115</v>
      </c>
      <c r="M759">
        <v>1</v>
      </c>
      <c r="N759">
        <v>0.27500000000000002</v>
      </c>
      <c r="O759">
        <v>2</v>
      </c>
      <c r="P759">
        <v>2</v>
      </c>
      <c r="S759" s="57" t="s">
        <v>944</v>
      </c>
    </row>
    <row r="760" spans="1:19" x14ac:dyDescent="0.2">
      <c r="A760" t="s">
        <v>2547</v>
      </c>
      <c r="B760">
        <v>9011714104</v>
      </c>
      <c r="C760" t="s">
        <v>2548</v>
      </c>
      <c r="D760">
        <v>102610</v>
      </c>
      <c r="E760">
        <v>2.57</v>
      </c>
      <c r="F760">
        <v>64006.359420000001</v>
      </c>
      <c r="G760">
        <v>64.006</v>
      </c>
      <c r="H760">
        <v>0.71599999999999997</v>
      </c>
      <c r="I760">
        <v>4</v>
      </c>
      <c r="J760">
        <v>1720</v>
      </c>
      <c r="K760">
        <v>0.322467958</v>
      </c>
      <c r="L760">
        <v>0.316</v>
      </c>
      <c r="M760">
        <v>2</v>
      </c>
      <c r="N760">
        <v>0.29899999999999999</v>
      </c>
      <c r="O760">
        <v>2</v>
      </c>
      <c r="P760">
        <v>2</v>
      </c>
      <c r="S760" s="59" t="s">
        <v>944</v>
      </c>
    </row>
    <row r="761" spans="1:19" x14ac:dyDescent="0.2">
      <c r="A761" t="s">
        <v>2549</v>
      </c>
      <c r="B761">
        <v>9011715100</v>
      </c>
      <c r="C761" t="s">
        <v>2550</v>
      </c>
      <c r="D761">
        <v>109460</v>
      </c>
      <c r="E761">
        <v>2.46</v>
      </c>
      <c r="F761">
        <v>69789.147010000001</v>
      </c>
      <c r="G761">
        <v>69.789000000000001</v>
      </c>
      <c r="H761">
        <v>0.79900000000000004</v>
      </c>
      <c r="I761">
        <v>4</v>
      </c>
      <c r="J761">
        <v>1674</v>
      </c>
      <c r="K761">
        <v>0.287838451</v>
      </c>
      <c r="L761">
        <v>0.107</v>
      </c>
      <c r="M761">
        <v>1</v>
      </c>
      <c r="N761">
        <v>0.32400000000000001</v>
      </c>
      <c r="O761">
        <v>2</v>
      </c>
      <c r="P761">
        <v>2</v>
      </c>
      <c r="S761" s="57" t="s">
        <v>944</v>
      </c>
    </row>
    <row r="762" spans="1:19" x14ac:dyDescent="0.2">
      <c r="A762" t="s">
        <v>2551</v>
      </c>
      <c r="B762">
        <v>9011716101</v>
      </c>
      <c r="C762" t="s">
        <v>2552</v>
      </c>
      <c r="D762">
        <v>78239</v>
      </c>
      <c r="E762">
        <v>2.38</v>
      </c>
      <c r="F762">
        <v>50714.811130000002</v>
      </c>
      <c r="G762">
        <v>50.715000000000003</v>
      </c>
      <c r="H762">
        <v>0.47799999999999998</v>
      </c>
      <c r="I762">
        <v>3</v>
      </c>
      <c r="J762">
        <v>1470</v>
      </c>
      <c r="K762">
        <v>0.34782738200000002</v>
      </c>
      <c r="L762">
        <v>0.46500000000000002</v>
      </c>
      <c r="M762">
        <v>3</v>
      </c>
      <c r="N762">
        <v>0.503</v>
      </c>
      <c r="O762">
        <v>3</v>
      </c>
      <c r="P762">
        <v>3</v>
      </c>
      <c r="S762" s="59" t="s">
        <v>944</v>
      </c>
    </row>
    <row r="763" spans="1:19" x14ac:dyDescent="0.2">
      <c r="A763" t="s">
        <v>2553</v>
      </c>
      <c r="B763">
        <v>9011716102</v>
      </c>
      <c r="C763" t="s">
        <v>2554</v>
      </c>
      <c r="D763">
        <v>130885</v>
      </c>
      <c r="E763">
        <v>2.73</v>
      </c>
      <c r="F763">
        <v>79215.205610000005</v>
      </c>
      <c r="G763">
        <v>79.215000000000003</v>
      </c>
      <c r="H763">
        <v>0.871</v>
      </c>
      <c r="I763">
        <v>5</v>
      </c>
      <c r="J763">
        <v>1686</v>
      </c>
      <c r="K763">
        <v>0.25540551</v>
      </c>
      <c r="L763">
        <v>2.1000000000000001E-2</v>
      </c>
      <c r="M763">
        <v>1</v>
      </c>
      <c r="N763">
        <v>0.32200000000000001</v>
      </c>
      <c r="O763">
        <v>2</v>
      </c>
      <c r="P763">
        <v>2</v>
      </c>
      <c r="S763" s="57" t="s">
        <v>944</v>
      </c>
    </row>
    <row r="764" spans="1:19" x14ac:dyDescent="0.2">
      <c r="A764" t="s">
        <v>2555</v>
      </c>
      <c r="B764">
        <v>9011870100</v>
      </c>
      <c r="C764" t="s">
        <v>2556</v>
      </c>
      <c r="D764">
        <v>91684</v>
      </c>
      <c r="E764">
        <v>2.5499999999999998</v>
      </c>
      <c r="F764">
        <v>57414.747900000002</v>
      </c>
      <c r="G764">
        <v>57.414999999999999</v>
      </c>
      <c r="H764">
        <v>0.60299999999999998</v>
      </c>
      <c r="I764">
        <v>4</v>
      </c>
      <c r="J764">
        <v>1462</v>
      </c>
      <c r="K764">
        <v>0.30556609000000001</v>
      </c>
      <c r="L764">
        <v>0.20100000000000001</v>
      </c>
      <c r="M764">
        <v>2</v>
      </c>
      <c r="N764">
        <v>0.51100000000000001</v>
      </c>
      <c r="O764">
        <v>3</v>
      </c>
      <c r="P764">
        <v>3</v>
      </c>
      <c r="S764" s="59" t="s">
        <v>944</v>
      </c>
    </row>
    <row r="765" spans="1:19" x14ac:dyDescent="0.2">
      <c r="A765" t="s">
        <v>2557</v>
      </c>
      <c r="B765">
        <v>9011870200</v>
      </c>
      <c r="C765" t="s">
        <v>2558</v>
      </c>
      <c r="D765">
        <v>55982</v>
      </c>
      <c r="E765">
        <v>2.64</v>
      </c>
      <c r="F765">
        <v>34454.539239999998</v>
      </c>
      <c r="G765">
        <v>34.454999999999998</v>
      </c>
      <c r="H765">
        <v>0.23300000000000001</v>
      </c>
      <c r="I765">
        <v>2</v>
      </c>
      <c r="J765">
        <v>1617</v>
      </c>
      <c r="K765">
        <v>0.56317688300000002</v>
      </c>
      <c r="L765">
        <v>0.90100000000000002</v>
      </c>
      <c r="M765">
        <v>5</v>
      </c>
      <c r="N765">
        <v>0.373</v>
      </c>
      <c r="O765">
        <v>2</v>
      </c>
      <c r="P765">
        <v>3</v>
      </c>
      <c r="S765" s="57" t="s">
        <v>944</v>
      </c>
    </row>
    <row r="766" spans="1:19" x14ac:dyDescent="0.2">
      <c r="A766" t="s">
        <v>2559</v>
      </c>
      <c r="B766">
        <v>9011870300</v>
      </c>
      <c r="C766" t="s">
        <v>2560</v>
      </c>
      <c r="D766">
        <v>24805</v>
      </c>
      <c r="E766">
        <v>2.0499999999999998</v>
      </c>
      <c r="F766">
        <v>17324.56349</v>
      </c>
      <c r="G766">
        <v>17.324999999999999</v>
      </c>
      <c r="H766">
        <v>3.2000000000000001E-2</v>
      </c>
      <c r="I766">
        <v>1</v>
      </c>
      <c r="J766">
        <v>1001</v>
      </c>
      <c r="K766">
        <v>0.69335080299999996</v>
      </c>
      <c r="L766">
        <v>0.96099999999999997</v>
      </c>
      <c r="M766">
        <v>5</v>
      </c>
      <c r="N766">
        <v>0.93799999999999994</v>
      </c>
      <c r="O766">
        <v>5</v>
      </c>
      <c r="P766">
        <v>5</v>
      </c>
      <c r="S766" s="59" t="s">
        <v>936</v>
      </c>
    </row>
    <row r="767" spans="1:19" x14ac:dyDescent="0.2">
      <c r="A767" t="s">
        <v>2561</v>
      </c>
      <c r="B767">
        <v>9011870501</v>
      </c>
      <c r="C767" t="s">
        <v>2562</v>
      </c>
      <c r="D767">
        <v>69433</v>
      </c>
      <c r="E767">
        <v>2.56</v>
      </c>
      <c r="F767">
        <v>43395.625</v>
      </c>
      <c r="G767">
        <v>43.396000000000001</v>
      </c>
      <c r="H767">
        <v>0.34200000000000003</v>
      </c>
      <c r="I767">
        <v>2</v>
      </c>
      <c r="J767">
        <v>1211</v>
      </c>
      <c r="K767">
        <v>0.33487246700000001</v>
      </c>
      <c r="L767">
        <v>0.39200000000000002</v>
      </c>
      <c r="M767">
        <v>2</v>
      </c>
      <c r="N767">
        <v>0.754</v>
      </c>
      <c r="O767">
        <v>4</v>
      </c>
      <c r="P767">
        <v>4</v>
      </c>
      <c r="S767" s="57" t="s">
        <v>944</v>
      </c>
    </row>
    <row r="768" spans="1:19" x14ac:dyDescent="0.2">
      <c r="A768" t="s">
        <v>2563</v>
      </c>
      <c r="B768">
        <v>9011870502</v>
      </c>
      <c r="C768" t="s">
        <v>2564</v>
      </c>
      <c r="D768">
        <v>66615</v>
      </c>
      <c r="E768">
        <v>2.4700000000000002</v>
      </c>
      <c r="F768">
        <v>42386.109490000003</v>
      </c>
      <c r="G768">
        <v>42.386000000000003</v>
      </c>
      <c r="H768">
        <v>0.32600000000000001</v>
      </c>
      <c r="I768">
        <v>2</v>
      </c>
      <c r="J768">
        <v>1302</v>
      </c>
      <c r="K768">
        <v>0.36861132499999999</v>
      </c>
      <c r="L768">
        <v>0.58599999999999997</v>
      </c>
      <c r="M768">
        <v>3</v>
      </c>
      <c r="N768">
        <v>0.65600000000000003</v>
      </c>
      <c r="O768">
        <v>4</v>
      </c>
      <c r="P768">
        <v>4</v>
      </c>
      <c r="S768" s="59" t="s">
        <v>944</v>
      </c>
    </row>
    <row r="769" spans="1:19" x14ac:dyDescent="0.2">
      <c r="A769" t="s">
        <v>2565</v>
      </c>
      <c r="B769">
        <v>9011870701</v>
      </c>
      <c r="C769" t="s">
        <v>2566</v>
      </c>
      <c r="D769">
        <v>88438</v>
      </c>
      <c r="E769">
        <v>2.2599999999999998</v>
      </c>
      <c r="F769">
        <v>58828.08253</v>
      </c>
      <c r="G769">
        <v>58.828000000000003</v>
      </c>
      <c r="H769">
        <v>0.63300000000000001</v>
      </c>
      <c r="I769">
        <v>4</v>
      </c>
      <c r="J769">
        <v>1515</v>
      </c>
      <c r="K769">
        <v>0.30903607999999999</v>
      </c>
      <c r="L769">
        <v>0.218</v>
      </c>
      <c r="M769">
        <v>2</v>
      </c>
      <c r="N769">
        <v>0.45800000000000002</v>
      </c>
      <c r="O769">
        <v>3</v>
      </c>
      <c r="P769">
        <v>3</v>
      </c>
      <c r="S769" s="57" t="s">
        <v>944</v>
      </c>
    </row>
    <row r="770" spans="1:19" x14ac:dyDescent="0.2">
      <c r="A770" t="s">
        <v>2567</v>
      </c>
      <c r="B770">
        <v>9011870703</v>
      </c>
      <c r="C770" t="s">
        <v>2568</v>
      </c>
      <c r="D770">
        <v>84837</v>
      </c>
      <c r="E770">
        <v>2.0099999999999998</v>
      </c>
      <c r="F770">
        <v>59839.406009999999</v>
      </c>
      <c r="G770">
        <v>59.838999999999999</v>
      </c>
      <c r="H770">
        <v>0.65</v>
      </c>
      <c r="I770">
        <v>4</v>
      </c>
      <c r="J770">
        <v>1408</v>
      </c>
      <c r="K770">
        <v>0.28235574400000002</v>
      </c>
      <c r="L770">
        <v>8.3000000000000004E-2</v>
      </c>
      <c r="M770">
        <v>1</v>
      </c>
      <c r="N770">
        <v>0.56100000000000005</v>
      </c>
      <c r="O770">
        <v>3</v>
      </c>
      <c r="P770">
        <v>3</v>
      </c>
      <c r="S770" s="59" t="s">
        <v>944</v>
      </c>
    </row>
    <row r="771" spans="1:19" x14ac:dyDescent="0.2">
      <c r="A771" t="s">
        <v>2569</v>
      </c>
      <c r="B771">
        <v>9011870704</v>
      </c>
      <c r="C771" t="s">
        <v>2570</v>
      </c>
      <c r="D771">
        <v>85378</v>
      </c>
      <c r="E771">
        <v>1.96</v>
      </c>
      <c r="F771">
        <v>60984.285709999996</v>
      </c>
      <c r="G771">
        <v>60.984000000000002</v>
      </c>
      <c r="H771">
        <v>0.67</v>
      </c>
      <c r="I771">
        <v>4</v>
      </c>
      <c r="J771">
        <v>1363</v>
      </c>
      <c r="K771">
        <v>0.26820023900000001</v>
      </c>
      <c r="L771">
        <v>5.8000000000000003E-2</v>
      </c>
      <c r="M771">
        <v>1</v>
      </c>
      <c r="N771">
        <v>0.59499999999999997</v>
      </c>
      <c r="O771">
        <v>3</v>
      </c>
      <c r="P771">
        <v>3</v>
      </c>
      <c r="S771" s="57" t="s">
        <v>944</v>
      </c>
    </row>
    <row r="772" spans="1:19" x14ac:dyDescent="0.2">
      <c r="A772" t="s">
        <v>2571</v>
      </c>
      <c r="B772">
        <v>9013526101</v>
      </c>
      <c r="C772" t="s">
        <v>2572</v>
      </c>
      <c r="D772">
        <v>121250</v>
      </c>
      <c r="E772">
        <v>2.64</v>
      </c>
      <c r="F772">
        <v>74624.216409999994</v>
      </c>
      <c r="G772">
        <v>74.623999999999995</v>
      </c>
      <c r="H772">
        <v>0.84599999999999997</v>
      </c>
      <c r="I772">
        <v>5</v>
      </c>
      <c r="J772">
        <v>1878</v>
      </c>
      <c r="K772">
        <v>0.30199312099999998</v>
      </c>
      <c r="L772">
        <v>0.183</v>
      </c>
      <c r="M772">
        <v>1</v>
      </c>
      <c r="N772">
        <v>0.218</v>
      </c>
      <c r="O772">
        <v>2</v>
      </c>
      <c r="P772">
        <v>2</v>
      </c>
      <c r="S772" s="59" t="s">
        <v>944</v>
      </c>
    </row>
    <row r="773" spans="1:19" x14ac:dyDescent="0.2">
      <c r="A773" t="s">
        <v>2573</v>
      </c>
      <c r="B773">
        <v>9013526102</v>
      </c>
      <c r="C773" t="s">
        <v>2574</v>
      </c>
      <c r="D773">
        <v>119917</v>
      </c>
      <c r="E773">
        <v>2.73</v>
      </c>
      <c r="F773">
        <v>72577.070040000006</v>
      </c>
      <c r="G773">
        <v>72.576999999999998</v>
      </c>
      <c r="H773">
        <v>0.83199999999999996</v>
      </c>
      <c r="I773">
        <v>5</v>
      </c>
      <c r="J773">
        <v>1820</v>
      </c>
      <c r="K773">
        <v>0.30092148899999999</v>
      </c>
      <c r="L773">
        <v>0.17699999999999999</v>
      </c>
      <c r="M773">
        <v>1</v>
      </c>
      <c r="N773">
        <v>0.249</v>
      </c>
      <c r="O773">
        <v>2</v>
      </c>
      <c r="P773">
        <v>2</v>
      </c>
      <c r="S773" s="57" t="s">
        <v>944</v>
      </c>
    </row>
    <row r="774" spans="1:19" x14ac:dyDescent="0.2">
      <c r="A774" t="s">
        <v>2575</v>
      </c>
      <c r="B774">
        <v>9013528100</v>
      </c>
      <c r="C774" t="s">
        <v>2576</v>
      </c>
      <c r="D774">
        <v>105328</v>
      </c>
      <c r="E774">
        <v>2.63</v>
      </c>
      <c r="F774">
        <v>64948.027139999998</v>
      </c>
      <c r="G774">
        <v>64.947999999999993</v>
      </c>
      <c r="H774">
        <v>0.73599999999999999</v>
      </c>
      <c r="I774">
        <v>4</v>
      </c>
      <c r="J774">
        <v>1487</v>
      </c>
      <c r="K774">
        <v>0.27474275599999998</v>
      </c>
      <c r="L774">
        <v>7.0999999999999994E-2</v>
      </c>
      <c r="M774">
        <v>1</v>
      </c>
      <c r="N774">
        <v>0.496</v>
      </c>
      <c r="O774">
        <v>3</v>
      </c>
      <c r="P774">
        <v>3</v>
      </c>
      <c r="S774" s="59" t="s">
        <v>944</v>
      </c>
    </row>
    <row r="775" spans="1:19" x14ac:dyDescent="0.2">
      <c r="A775" t="s">
        <v>2577</v>
      </c>
      <c r="B775">
        <v>9013529100</v>
      </c>
      <c r="C775" t="s">
        <v>2578</v>
      </c>
      <c r="D775">
        <v>105772</v>
      </c>
      <c r="E775">
        <v>2.69</v>
      </c>
      <c r="F775">
        <v>64490.3266</v>
      </c>
      <c r="G775">
        <v>64.489999999999995</v>
      </c>
      <c r="H775">
        <v>0.72499999999999998</v>
      </c>
      <c r="I775">
        <v>4</v>
      </c>
      <c r="J775">
        <v>1778</v>
      </c>
      <c r="K775">
        <v>0.33084031600000002</v>
      </c>
      <c r="L775">
        <v>0.36699999999999999</v>
      </c>
      <c r="M775">
        <v>2</v>
      </c>
      <c r="N775">
        <v>0.26400000000000001</v>
      </c>
      <c r="O775">
        <v>2</v>
      </c>
      <c r="P775">
        <v>2</v>
      </c>
      <c r="S775" s="57" t="s">
        <v>944</v>
      </c>
    </row>
    <row r="776" spans="1:19" x14ac:dyDescent="0.2">
      <c r="A776" t="s">
        <v>2579</v>
      </c>
      <c r="B776">
        <v>9013530100</v>
      </c>
      <c r="C776" t="s">
        <v>2580</v>
      </c>
      <c r="D776">
        <v>61048</v>
      </c>
      <c r="E776">
        <v>2.06</v>
      </c>
      <c r="F776">
        <v>42534.157059999998</v>
      </c>
      <c r="G776">
        <v>42.533999999999999</v>
      </c>
      <c r="H776">
        <v>0.33200000000000002</v>
      </c>
      <c r="I776">
        <v>2</v>
      </c>
      <c r="J776">
        <v>1084</v>
      </c>
      <c r="K776">
        <v>0.30582479800000001</v>
      </c>
      <c r="L776">
        <v>0.20499999999999999</v>
      </c>
      <c r="M776">
        <v>2</v>
      </c>
      <c r="N776">
        <v>0.88600000000000001</v>
      </c>
      <c r="O776">
        <v>5</v>
      </c>
      <c r="P776">
        <v>5</v>
      </c>
      <c r="S776" s="59" t="s">
        <v>944</v>
      </c>
    </row>
    <row r="777" spans="1:19" x14ac:dyDescent="0.2">
      <c r="A777" t="s">
        <v>2581</v>
      </c>
      <c r="B777">
        <v>9013530200</v>
      </c>
      <c r="C777" t="s">
        <v>2582</v>
      </c>
      <c r="D777">
        <v>49074</v>
      </c>
      <c r="E777">
        <v>2.5099999999999998</v>
      </c>
      <c r="F777">
        <v>30975.23414</v>
      </c>
      <c r="G777">
        <v>30.975000000000001</v>
      </c>
      <c r="H777">
        <v>0.187</v>
      </c>
      <c r="I777">
        <v>1</v>
      </c>
      <c r="J777">
        <v>1170</v>
      </c>
      <c r="K777">
        <v>0.45326533899999999</v>
      </c>
      <c r="L777">
        <v>0.78700000000000003</v>
      </c>
      <c r="M777">
        <v>4</v>
      </c>
      <c r="N777">
        <v>0.80300000000000005</v>
      </c>
      <c r="O777">
        <v>5</v>
      </c>
      <c r="P777">
        <v>5</v>
      </c>
      <c r="S777" s="57" t="s">
        <v>944</v>
      </c>
    </row>
    <row r="778" spans="1:19" x14ac:dyDescent="0.2">
      <c r="A778" t="s">
        <v>2583</v>
      </c>
      <c r="B778">
        <v>9013530301</v>
      </c>
      <c r="C778" t="s">
        <v>2584</v>
      </c>
      <c r="D778">
        <v>53648</v>
      </c>
      <c r="E778">
        <v>1.88</v>
      </c>
      <c r="F778">
        <v>39126.825320000004</v>
      </c>
      <c r="G778">
        <v>39.127000000000002</v>
      </c>
      <c r="H778">
        <v>0.28299999999999997</v>
      </c>
      <c r="I778">
        <v>2</v>
      </c>
      <c r="J778">
        <v>1119</v>
      </c>
      <c r="K778">
        <v>0.34319165699999998</v>
      </c>
      <c r="L778">
        <v>0.436</v>
      </c>
      <c r="M778">
        <v>3</v>
      </c>
      <c r="N778">
        <v>0.85599999999999998</v>
      </c>
      <c r="O778">
        <v>5</v>
      </c>
      <c r="P778">
        <v>5</v>
      </c>
      <c r="S778" s="59" t="s">
        <v>944</v>
      </c>
    </row>
    <row r="779" spans="1:19" x14ac:dyDescent="0.2">
      <c r="A779" t="s">
        <v>2585</v>
      </c>
      <c r="B779">
        <v>9013530302</v>
      </c>
      <c r="C779" t="s">
        <v>2586</v>
      </c>
      <c r="D779">
        <v>86009</v>
      </c>
      <c r="E779">
        <v>2.25</v>
      </c>
      <c r="F779">
        <v>57339.333330000001</v>
      </c>
      <c r="G779">
        <v>57.338999999999999</v>
      </c>
      <c r="H779">
        <v>0.60099999999999998</v>
      </c>
      <c r="I779">
        <v>4</v>
      </c>
      <c r="J779">
        <v>1409</v>
      </c>
      <c r="K779">
        <v>0.29487611800000002</v>
      </c>
      <c r="L779">
        <v>0.14199999999999999</v>
      </c>
      <c r="M779">
        <v>1</v>
      </c>
      <c r="N779">
        <v>0.55600000000000005</v>
      </c>
      <c r="O779">
        <v>3</v>
      </c>
      <c r="P779">
        <v>3</v>
      </c>
      <c r="S779" s="57" t="s">
        <v>944</v>
      </c>
    </row>
    <row r="780" spans="1:19" x14ac:dyDescent="0.2">
      <c r="A780" t="s">
        <v>2587</v>
      </c>
      <c r="B780">
        <v>9013530400</v>
      </c>
      <c r="C780" t="s">
        <v>2588</v>
      </c>
      <c r="D780">
        <v>65470</v>
      </c>
      <c r="E780">
        <v>1.96</v>
      </c>
      <c r="F780">
        <v>46764.285709999996</v>
      </c>
      <c r="G780">
        <v>46.764000000000003</v>
      </c>
      <c r="H780">
        <v>0.39600000000000002</v>
      </c>
      <c r="I780">
        <v>2</v>
      </c>
      <c r="J780">
        <v>1242</v>
      </c>
      <c r="K780">
        <v>0.31870474999999998</v>
      </c>
      <c r="L780">
        <v>0.27900000000000003</v>
      </c>
      <c r="M780">
        <v>2</v>
      </c>
      <c r="N780">
        <v>0.72099999999999997</v>
      </c>
      <c r="O780">
        <v>4</v>
      </c>
      <c r="P780">
        <v>4</v>
      </c>
      <c r="S780" s="59" t="s">
        <v>944</v>
      </c>
    </row>
    <row r="781" spans="1:19" x14ac:dyDescent="0.2">
      <c r="A781" t="s">
        <v>2589</v>
      </c>
      <c r="B781">
        <v>9013530500</v>
      </c>
      <c r="C781" t="s">
        <v>2590</v>
      </c>
      <c r="D781">
        <v>72219</v>
      </c>
      <c r="E781">
        <v>2.46</v>
      </c>
      <c r="F781">
        <v>46045.15264</v>
      </c>
      <c r="G781">
        <v>46.045000000000002</v>
      </c>
      <c r="H781">
        <v>0.38600000000000001</v>
      </c>
      <c r="I781">
        <v>2</v>
      </c>
      <c r="J781">
        <v>1542</v>
      </c>
      <c r="K781">
        <v>0.40186640600000001</v>
      </c>
      <c r="L781">
        <v>0.68300000000000005</v>
      </c>
      <c r="M781">
        <v>4</v>
      </c>
      <c r="N781">
        <v>0.432</v>
      </c>
      <c r="O781">
        <v>3</v>
      </c>
      <c r="P781">
        <v>4</v>
      </c>
      <c r="S781" s="57" t="s">
        <v>944</v>
      </c>
    </row>
    <row r="782" spans="1:19" x14ac:dyDescent="0.2">
      <c r="A782" t="s">
        <v>2591</v>
      </c>
      <c r="B782">
        <v>9013530600</v>
      </c>
      <c r="C782" t="s">
        <v>2592</v>
      </c>
      <c r="D782">
        <v>102222</v>
      </c>
      <c r="E782">
        <v>2.5099999999999998</v>
      </c>
      <c r="F782">
        <v>64521.954270000002</v>
      </c>
      <c r="G782">
        <v>64.522000000000006</v>
      </c>
      <c r="H782">
        <v>0.72599999999999998</v>
      </c>
      <c r="I782">
        <v>4</v>
      </c>
      <c r="J782">
        <v>1797</v>
      </c>
      <c r="K782">
        <v>0.33421182399999999</v>
      </c>
      <c r="L782">
        <v>0.38900000000000001</v>
      </c>
      <c r="M782">
        <v>2</v>
      </c>
      <c r="N782">
        <v>0.255</v>
      </c>
      <c r="O782">
        <v>2</v>
      </c>
      <c r="P782">
        <v>2</v>
      </c>
      <c r="S782" s="59" t="s">
        <v>944</v>
      </c>
    </row>
    <row r="783" spans="1:19" x14ac:dyDescent="0.2">
      <c r="A783" t="s">
        <v>2593</v>
      </c>
      <c r="B783">
        <v>9013533101</v>
      </c>
      <c r="C783" t="s">
        <v>2594</v>
      </c>
      <c r="D783">
        <v>118388</v>
      </c>
      <c r="E783">
        <v>2.75</v>
      </c>
      <c r="F783">
        <v>71390.650120000006</v>
      </c>
      <c r="G783">
        <v>71.391000000000005</v>
      </c>
      <c r="H783">
        <v>0.82099999999999995</v>
      </c>
      <c r="I783">
        <v>5</v>
      </c>
      <c r="J783">
        <v>1660</v>
      </c>
      <c r="K783">
        <v>0.27902813599999998</v>
      </c>
      <c r="L783">
        <v>7.9000000000000001E-2</v>
      </c>
      <c r="M783">
        <v>1</v>
      </c>
      <c r="N783">
        <v>0.34100000000000003</v>
      </c>
      <c r="O783">
        <v>2</v>
      </c>
      <c r="P783">
        <v>2</v>
      </c>
      <c r="S783" s="57" t="s">
        <v>944</v>
      </c>
    </row>
    <row r="784" spans="1:19" x14ac:dyDescent="0.2">
      <c r="A784" t="s">
        <v>2595</v>
      </c>
      <c r="B784">
        <v>9013533102</v>
      </c>
      <c r="C784" t="s">
        <v>2596</v>
      </c>
      <c r="D784">
        <v>117635</v>
      </c>
      <c r="E784">
        <v>2.82</v>
      </c>
      <c r="F784">
        <v>70050.623099999997</v>
      </c>
      <c r="G784">
        <v>70.051000000000002</v>
      </c>
      <c r="H784">
        <v>0.80500000000000005</v>
      </c>
      <c r="I784">
        <v>5</v>
      </c>
      <c r="J784">
        <v>1688</v>
      </c>
      <c r="K784">
        <v>0.28916230999999998</v>
      </c>
      <c r="L784">
        <v>0.111</v>
      </c>
      <c r="M784">
        <v>1</v>
      </c>
      <c r="N784">
        <v>0.32</v>
      </c>
      <c r="O784">
        <v>2</v>
      </c>
      <c r="P784">
        <v>2</v>
      </c>
      <c r="S784" s="59" t="s">
        <v>944</v>
      </c>
    </row>
    <row r="785" spans="1:19" x14ac:dyDescent="0.2">
      <c r="A785" t="s">
        <v>2597</v>
      </c>
      <c r="B785">
        <v>9013535100</v>
      </c>
      <c r="C785" t="s">
        <v>2598</v>
      </c>
      <c r="D785">
        <v>82436</v>
      </c>
      <c r="E785">
        <v>2.16</v>
      </c>
      <c r="F785">
        <v>56090.59345</v>
      </c>
      <c r="G785">
        <v>56.091000000000001</v>
      </c>
      <c r="H785">
        <v>0.58299999999999996</v>
      </c>
      <c r="I785">
        <v>3</v>
      </c>
      <c r="J785">
        <v>1366</v>
      </c>
      <c r="K785">
        <v>0.29224151500000001</v>
      </c>
      <c r="L785">
        <v>0.128</v>
      </c>
      <c r="M785">
        <v>1</v>
      </c>
      <c r="N785">
        <v>0.59099999999999997</v>
      </c>
      <c r="O785">
        <v>3</v>
      </c>
      <c r="P785">
        <v>3</v>
      </c>
      <c r="S785" s="57" t="s">
        <v>944</v>
      </c>
    </row>
    <row r="786" spans="1:19" x14ac:dyDescent="0.2">
      <c r="A786" t="s">
        <v>2599</v>
      </c>
      <c r="B786">
        <v>9013535200</v>
      </c>
      <c r="C786" t="s">
        <v>2600</v>
      </c>
      <c r="D786">
        <v>100833</v>
      </c>
      <c r="E786">
        <v>2.56</v>
      </c>
      <c r="F786">
        <v>63020.625</v>
      </c>
      <c r="G786">
        <v>63.021000000000001</v>
      </c>
      <c r="H786">
        <v>0.70799999999999996</v>
      </c>
      <c r="I786">
        <v>4</v>
      </c>
      <c r="J786">
        <v>1587</v>
      </c>
      <c r="K786">
        <v>0.30218678399999999</v>
      </c>
      <c r="L786">
        <v>0.186</v>
      </c>
      <c r="M786">
        <v>1</v>
      </c>
      <c r="N786">
        <v>0.39700000000000002</v>
      </c>
      <c r="O786">
        <v>2</v>
      </c>
      <c r="P786">
        <v>2</v>
      </c>
      <c r="S786" s="59" t="s">
        <v>944</v>
      </c>
    </row>
    <row r="787" spans="1:19" x14ac:dyDescent="0.2">
      <c r="A787" t="s">
        <v>2601</v>
      </c>
      <c r="B787">
        <v>9013538201</v>
      </c>
      <c r="C787" t="s">
        <v>2602</v>
      </c>
      <c r="D787">
        <v>116000</v>
      </c>
      <c r="E787">
        <v>2.57</v>
      </c>
      <c r="F787">
        <v>72358.81194</v>
      </c>
      <c r="G787">
        <v>72.358999999999995</v>
      </c>
      <c r="H787">
        <v>0.82899999999999996</v>
      </c>
      <c r="I787">
        <v>5</v>
      </c>
      <c r="J787">
        <v>1628</v>
      </c>
      <c r="K787">
        <v>0.269987849</v>
      </c>
      <c r="L787">
        <v>6.3E-2</v>
      </c>
      <c r="M787">
        <v>1</v>
      </c>
      <c r="N787">
        <v>0.36199999999999999</v>
      </c>
      <c r="O787">
        <v>2</v>
      </c>
      <c r="P787">
        <v>2</v>
      </c>
      <c r="S787" s="57" t="s">
        <v>944</v>
      </c>
    </row>
    <row r="788" spans="1:19" x14ac:dyDescent="0.2">
      <c r="A788" t="s">
        <v>2603</v>
      </c>
      <c r="B788">
        <v>9013538202</v>
      </c>
      <c r="C788" t="s">
        <v>2604</v>
      </c>
      <c r="D788">
        <v>103631</v>
      </c>
      <c r="E788">
        <v>2.5499999999999998</v>
      </c>
      <c r="F788">
        <v>64896.249510000001</v>
      </c>
      <c r="G788">
        <v>64.896000000000001</v>
      </c>
      <c r="H788">
        <v>0.73499999999999999</v>
      </c>
      <c r="I788">
        <v>4</v>
      </c>
      <c r="J788">
        <v>1669</v>
      </c>
      <c r="K788">
        <v>0.30861567699999998</v>
      </c>
      <c r="L788">
        <v>0.217</v>
      </c>
      <c r="M788">
        <v>2</v>
      </c>
      <c r="N788">
        <v>0.32900000000000001</v>
      </c>
      <c r="O788">
        <v>2</v>
      </c>
      <c r="P788">
        <v>2</v>
      </c>
      <c r="S788" s="59" t="s">
        <v>944</v>
      </c>
    </row>
    <row r="789" spans="1:19" x14ac:dyDescent="0.2">
      <c r="A789" t="s">
        <v>2605</v>
      </c>
      <c r="B789">
        <v>9013840100</v>
      </c>
      <c r="C789" t="s">
        <v>2606</v>
      </c>
      <c r="D789">
        <v>76908</v>
      </c>
      <c r="E789">
        <v>2.27</v>
      </c>
      <c r="F789">
        <v>51045.632449999997</v>
      </c>
      <c r="G789">
        <v>51.045999999999999</v>
      </c>
      <c r="H789">
        <v>0.48399999999999999</v>
      </c>
      <c r="I789">
        <v>3</v>
      </c>
      <c r="J789">
        <v>1397</v>
      </c>
      <c r="K789">
        <v>0.32841203400000002</v>
      </c>
      <c r="L789">
        <v>0.34399999999999997</v>
      </c>
      <c r="M789">
        <v>2</v>
      </c>
      <c r="N789">
        <v>0.57199999999999995</v>
      </c>
      <c r="O789">
        <v>3</v>
      </c>
      <c r="P789">
        <v>3</v>
      </c>
      <c r="S789" s="57" t="s">
        <v>944</v>
      </c>
    </row>
    <row r="790" spans="1:19" x14ac:dyDescent="0.2">
      <c r="A790" t="s">
        <v>2607</v>
      </c>
      <c r="B790">
        <v>9013850100</v>
      </c>
      <c r="C790" t="s">
        <v>2608</v>
      </c>
      <c r="D790">
        <v>103348</v>
      </c>
      <c r="E790">
        <v>2.82</v>
      </c>
      <c r="F790">
        <v>61542.838400000001</v>
      </c>
      <c r="G790">
        <v>61.542999999999999</v>
      </c>
      <c r="H790">
        <v>0.68500000000000005</v>
      </c>
      <c r="I790">
        <v>4</v>
      </c>
      <c r="J790">
        <v>1618</v>
      </c>
      <c r="K790">
        <v>0.31548756100000003</v>
      </c>
      <c r="L790">
        <v>0.25700000000000001</v>
      </c>
      <c r="M790">
        <v>2</v>
      </c>
      <c r="N790">
        <v>0.372</v>
      </c>
      <c r="O790">
        <v>2</v>
      </c>
      <c r="P790">
        <v>2</v>
      </c>
      <c r="S790" s="59" t="s">
        <v>944</v>
      </c>
    </row>
    <row r="791" spans="1:19" x14ac:dyDescent="0.2">
      <c r="A791" t="s">
        <v>2609</v>
      </c>
      <c r="B791">
        <v>9013850200</v>
      </c>
      <c r="C791" t="s">
        <v>2610</v>
      </c>
      <c r="D791">
        <v>93839</v>
      </c>
      <c r="E791">
        <v>2.5499999999999998</v>
      </c>
      <c r="F791">
        <v>58764.261250000003</v>
      </c>
      <c r="G791">
        <v>58.764000000000003</v>
      </c>
      <c r="H791">
        <v>0.63</v>
      </c>
      <c r="I791">
        <v>4</v>
      </c>
      <c r="J791">
        <v>1487</v>
      </c>
      <c r="K791">
        <v>0.30365394899999998</v>
      </c>
      <c r="L791">
        <v>0.19400000000000001</v>
      </c>
      <c r="M791">
        <v>1</v>
      </c>
      <c r="N791">
        <v>0.496</v>
      </c>
      <c r="O791">
        <v>3</v>
      </c>
      <c r="P791">
        <v>3</v>
      </c>
      <c r="S791" s="57" t="s">
        <v>944</v>
      </c>
    </row>
    <row r="792" spans="1:19" x14ac:dyDescent="0.2">
      <c r="A792" t="s">
        <v>2611</v>
      </c>
      <c r="B792">
        <v>9013860100</v>
      </c>
      <c r="C792" t="s">
        <v>2612</v>
      </c>
      <c r="D792">
        <v>109962</v>
      </c>
      <c r="E792">
        <v>2.4900000000000002</v>
      </c>
      <c r="F792">
        <v>69685.586039999995</v>
      </c>
      <c r="G792">
        <v>69.686000000000007</v>
      </c>
      <c r="H792">
        <v>0.79700000000000004</v>
      </c>
      <c r="I792">
        <v>4</v>
      </c>
      <c r="J792">
        <v>1517</v>
      </c>
      <c r="K792">
        <v>0.26123049300000001</v>
      </c>
      <c r="L792">
        <v>3.7999999999999999E-2</v>
      </c>
      <c r="M792">
        <v>1</v>
      </c>
      <c r="N792">
        <v>0.45400000000000001</v>
      </c>
      <c r="O792">
        <v>3</v>
      </c>
      <c r="P792">
        <v>3</v>
      </c>
      <c r="S792" s="59" t="s">
        <v>944</v>
      </c>
    </row>
    <row r="793" spans="1:19" x14ac:dyDescent="0.2">
      <c r="A793" t="s">
        <v>2613</v>
      </c>
      <c r="B793">
        <v>9013881100</v>
      </c>
      <c r="C793" t="s">
        <v>2614</v>
      </c>
      <c r="D793">
        <v>81163</v>
      </c>
      <c r="E793">
        <v>2.4</v>
      </c>
      <c r="F793">
        <v>52390.491220000004</v>
      </c>
      <c r="G793">
        <v>52.39</v>
      </c>
      <c r="H793">
        <v>0.50700000000000001</v>
      </c>
      <c r="I793">
        <v>3</v>
      </c>
      <c r="J793">
        <v>1602</v>
      </c>
      <c r="K793">
        <v>0.36693681500000003</v>
      </c>
      <c r="L793">
        <v>0.57199999999999995</v>
      </c>
      <c r="M793">
        <v>3</v>
      </c>
      <c r="N793">
        <v>0.38</v>
      </c>
      <c r="O793">
        <v>2</v>
      </c>
      <c r="P793">
        <v>3</v>
      </c>
      <c r="S793" s="57" t="s">
        <v>944</v>
      </c>
    </row>
    <row r="794" spans="1:19" x14ac:dyDescent="0.2">
      <c r="A794" t="s">
        <v>2615</v>
      </c>
      <c r="B794">
        <v>9013881200</v>
      </c>
      <c r="C794" t="s">
        <v>2616</v>
      </c>
      <c r="D794">
        <v>30125</v>
      </c>
      <c r="E794">
        <v>2.4900000000000002</v>
      </c>
      <c r="F794">
        <v>19090.943050000002</v>
      </c>
      <c r="G794">
        <v>19.091000000000001</v>
      </c>
      <c r="H794">
        <v>5.0999999999999997E-2</v>
      </c>
      <c r="I794">
        <v>1</v>
      </c>
      <c r="J794">
        <v>1975</v>
      </c>
      <c r="K794">
        <v>1.241426363</v>
      </c>
      <c r="L794">
        <v>1</v>
      </c>
      <c r="M794">
        <v>5</v>
      </c>
      <c r="N794">
        <v>0.17199999999999999</v>
      </c>
      <c r="O794">
        <v>1</v>
      </c>
      <c r="P794">
        <v>3</v>
      </c>
      <c r="S794" s="59" t="s">
        <v>936</v>
      </c>
    </row>
    <row r="795" spans="1:19" x14ac:dyDescent="0.2">
      <c r="A795" t="s">
        <v>2617</v>
      </c>
      <c r="B795">
        <v>9013881300</v>
      </c>
      <c r="C795" t="s">
        <v>2618</v>
      </c>
      <c r="D795">
        <v>46429</v>
      </c>
      <c r="E795">
        <v>2.2200000000000002</v>
      </c>
      <c r="F795">
        <v>31161.104490000002</v>
      </c>
      <c r="G795">
        <v>31.161000000000001</v>
      </c>
      <c r="H795">
        <v>0.19</v>
      </c>
      <c r="I795">
        <v>1</v>
      </c>
      <c r="J795">
        <v>1233</v>
      </c>
      <c r="K795">
        <v>0.47482270700000001</v>
      </c>
      <c r="L795">
        <v>0.81699999999999995</v>
      </c>
      <c r="M795">
        <v>5</v>
      </c>
      <c r="N795">
        <v>0.73</v>
      </c>
      <c r="O795">
        <v>4</v>
      </c>
      <c r="P795">
        <v>5</v>
      </c>
      <c r="S795" s="57" t="s">
        <v>936</v>
      </c>
    </row>
    <row r="796" spans="1:19" x14ac:dyDescent="0.2">
      <c r="A796" t="s">
        <v>2619</v>
      </c>
      <c r="B796">
        <v>9013881500</v>
      </c>
      <c r="C796" t="s">
        <v>2620</v>
      </c>
      <c r="D796">
        <v>53162</v>
      </c>
      <c r="E796">
        <v>2.2999999999999998</v>
      </c>
      <c r="F796">
        <v>35053.984729999996</v>
      </c>
      <c r="G796">
        <v>35.054000000000002</v>
      </c>
      <c r="H796">
        <v>0.23499999999999999</v>
      </c>
      <c r="I796">
        <v>2</v>
      </c>
      <c r="J796">
        <v>1289</v>
      </c>
      <c r="K796">
        <v>0.441262245</v>
      </c>
      <c r="L796">
        <v>0.77100000000000002</v>
      </c>
      <c r="M796">
        <v>4</v>
      </c>
      <c r="N796">
        <v>0.66500000000000004</v>
      </c>
      <c r="O796">
        <v>4</v>
      </c>
      <c r="P796">
        <v>4</v>
      </c>
      <c r="S796" s="59" t="s">
        <v>944</v>
      </c>
    </row>
    <row r="797" spans="1:19" x14ac:dyDescent="0.2">
      <c r="A797" t="s">
        <v>2621</v>
      </c>
      <c r="B797">
        <v>9013890100</v>
      </c>
      <c r="C797" t="s">
        <v>2622</v>
      </c>
      <c r="D797">
        <v>62054</v>
      </c>
      <c r="E797">
        <v>2.4300000000000002</v>
      </c>
      <c r="F797">
        <v>39807.65956</v>
      </c>
      <c r="G797">
        <v>39.808</v>
      </c>
      <c r="H797">
        <v>0.29199999999999998</v>
      </c>
      <c r="I797">
        <v>2</v>
      </c>
      <c r="J797">
        <v>1097</v>
      </c>
      <c r="K797">
        <v>0.330690127</v>
      </c>
      <c r="L797">
        <v>0.36599999999999999</v>
      </c>
      <c r="M797">
        <v>2</v>
      </c>
      <c r="N797">
        <v>0.879</v>
      </c>
      <c r="O797">
        <v>5</v>
      </c>
      <c r="P797">
        <v>5</v>
      </c>
      <c r="S797" s="57" t="s">
        <v>944</v>
      </c>
    </row>
    <row r="798" spans="1:19" x14ac:dyDescent="0.2">
      <c r="A798" t="s">
        <v>2623</v>
      </c>
      <c r="B798">
        <v>9013890201</v>
      </c>
      <c r="C798" t="s">
        <v>2624</v>
      </c>
      <c r="D798">
        <v>89292</v>
      </c>
      <c r="E798">
        <v>2.4500000000000002</v>
      </c>
      <c r="F798">
        <v>57046.56624</v>
      </c>
      <c r="G798">
        <v>57.046999999999997</v>
      </c>
      <c r="H798">
        <v>0.59599999999999997</v>
      </c>
      <c r="I798">
        <v>3</v>
      </c>
      <c r="J798">
        <v>1193</v>
      </c>
      <c r="K798">
        <v>0.25095287799999999</v>
      </c>
      <c r="L798">
        <v>1.4E-2</v>
      </c>
      <c r="M798">
        <v>1</v>
      </c>
      <c r="N798">
        <v>0.77500000000000002</v>
      </c>
      <c r="O798">
        <v>4</v>
      </c>
      <c r="P798">
        <v>4</v>
      </c>
      <c r="S798" s="59" t="s">
        <v>944</v>
      </c>
    </row>
    <row r="799" spans="1:19" x14ac:dyDescent="0.2">
      <c r="A799" t="s">
        <v>2625</v>
      </c>
      <c r="B799">
        <v>9013890202</v>
      </c>
      <c r="C799" t="s">
        <v>2626</v>
      </c>
      <c r="D799">
        <v>89460</v>
      </c>
      <c r="E799">
        <v>2.5499999999999998</v>
      </c>
      <c r="F799">
        <v>56022.025079999999</v>
      </c>
      <c r="G799">
        <v>56.021999999999998</v>
      </c>
      <c r="H799">
        <v>0.57999999999999996</v>
      </c>
      <c r="I799">
        <v>3</v>
      </c>
      <c r="J799">
        <v>1382</v>
      </c>
      <c r="K799">
        <v>0.29602642800000001</v>
      </c>
      <c r="L799">
        <v>0.14699999999999999</v>
      </c>
      <c r="M799">
        <v>1</v>
      </c>
      <c r="N799">
        <v>0.57599999999999996</v>
      </c>
      <c r="O799">
        <v>3</v>
      </c>
      <c r="P799">
        <v>3</v>
      </c>
      <c r="S799" s="57" t="s">
        <v>944</v>
      </c>
    </row>
    <row r="800" spans="1:19" x14ac:dyDescent="0.2">
      <c r="A800" t="s">
        <v>2627</v>
      </c>
      <c r="B800">
        <v>9015800300</v>
      </c>
      <c r="C800" t="s">
        <v>2628</v>
      </c>
      <c r="D800">
        <v>26840</v>
      </c>
      <c r="E800">
        <v>2.38</v>
      </c>
      <c r="F800">
        <v>17397.787939999998</v>
      </c>
      <c r="G800">
        <v>17.398</v>
      </c>
      <c r="H800">
        <v>3.5000000000000003E-2</v>
      </c>
      <c r="I800">
        <v>1</v>
      </c>
      <c r="J800">
        <v>710</v>
      </c>
      <c r="K800">
        <v>0.48971743000000001</v>
      </c>
      <c r="L800">
        <v>0.83199999999999996</v>
      </c>
      <c r="M800">
        <v>5</v>
      </c>
      <c r="N800">
        <v>0.99399999999999999</v>
      </c>
      <c r="O800">
        <v>5</v>
      </c>
      <c r="P800">
        <v>5</v>
      </c>
      <c r="S800" s="59" t="s">
        <v>936</v>
      </c>
    </row>
    <row r="801" spans="1:19" x14ac:dyDescent="0.2">
      <c r="A801" t="s">
        <v>2629</v>
      </c>
      <c r="B801">
        <v>9015800400</v>
      </c>
      <c r="C801" t="s">
        <v>2630</v>
      </c>
      <c r="D801">
        <v>61675</v>
      </c>
      <c r="E801">
        <v>2.4900000000000002</v>
      </c>
      <c r="F801">
        <v>39084.943149999999</v>
      </c>
      <c r="G801">
        <v>39.085000000000001</v>
      </c>
      <c r="H801">
        <v>0.28100000000000003</v>
      </c>
      <c r="I801">
        <v>2</v>
      </c>
      <c r="J801">
        <v>1167</v>
      </c>
      <c r="K801">
        <v>0.35829654300000002</v>
      </c>
      <c r="L801">
        <v>0.52900000000000003</v>
      </c>
      <c r="M801">
        <v>3</v>
      </c>
      <c r="N801">
        <v>0.80600000000000005</v>
      </c>
      <c r="O801">
        <v>5</v>
      </c>
      <c r="P801">
        <v>5</v>
      </c>
      <c r="S801" s="57" t="s">
        <v>944</v>
      </c>
    </row>
    <row r="802" spans="1:19" x14ac:dyDescent="0.2">
      <c r="A802" t="s">
        <v>2631</v>
      </c>
      <c r="B802">
        <v>9015800500</v>
      </c>
      <c r="C802" t="s">
        <v>2632</v>
      </c>
      <c r="D802">
        <v>58278</v>
      </c>
      <c r="E802">
        <v>2.4300000000000002</v>
      </c>
      <c r="F802">
        <v>37385.354429999999</v>
      </c>
      <c r="G802">
        <v>37.384999999999998</v>
      </c>
      <c r="H802">
        <v>0.26200000000000001</v>
      </c>
      <c r="I802">
        <v>2</v>
      </c>
      <c r="J802">
        <v>1191</v>
      </c>
      <c r="K802">
        <v>0.38228873899999999</v>
      </c>
      <c r="L802">
        <v>0.63800000000000001</v>
      </c>
      <c r="M802">
        <v>4</v>
      </c>
      <c r="N802">
        <v>0.77900000000000003</v>
      </c>
      <c r="O802">
        <v>4</v>
      </c>
      <c r="P802">
        <v>4</v>
      </c>
      <c r="S802" s="59" t="s">
        <v>944</v>
      </c>
    </row>
    <row r="803" spans="1:19" x14ac:dyDescent="0.2">
      <c r="A803" t="s">
        <v>2633</v>
      </c>
      <c r="B803">
        <v>9015800600</v>
      </c>
      <c r="C803" t="s">
        <v>2634</v>
      </c>
      <c r="D803">
        <v>35799</v>
      </c>
      <c r="E803">
        <v>2.48</v>
      </c>
      <c r="F803">
        <v>22732.387729999999</v>
      </c>
      <c r="G803">
        <v>22.731999999999999</v>
      </c>
      <c r="H803">
        <v>9.1999999999999998E-2</v>
      </c>
      <c r="I803">
        <v>1</v>
      </c>
      <c r="J803">
        <v>963</v>
      </c>
      <c r="K803">
        <v>0.50834959099999999</v>
      </c>
      <c r="L803">
        <v>0.85599999999999998</v>
      </c>
      <c r="M803">
        <v>5</v>
      </c>
      <c r="N803">
        <v>0.95799999999999996</v>
      </c>
      <c r="O803">
        <v>5</v>
      </c>
      <c r="P803">
        <v>5</v>
      </c>
      <c r="S803" s="57" t="s">
        <v>936</v>
      </c>
    </row>
    <row r="804" spans="1:19" x14ac:dyDescent="0.2">
      <c r="A804" t="s">
        <v>2635</v>
      </c>
      <c r="B804">
        <v>9015800700</v>
      </c>
      <c r="C804" t="s">
        <v>2636</v>
      </c>
      <c r="D804">
        <v>46176</v>
      </c>
      <c r="E804">
        <v>2.4900000000000002</v>
      </c>
      <c r="F804">
        <v>29262.850989999999</v>
      </c>
      <c r="G804">
        <v>29.263000000000002</v>
      </c>
      <c r="H804">
        <v>0.157</v>
      </c>
      <c r="I804">
        <v>1</v>
      </c>
      <c r="J804">
        <v>1108</v>
      </c>
      <c r="K804">
        <v>0.45436447699999999</v>
      </c>
      <c r="L804">
        <v>0.78800000000000003</v>
      </c>
      <c r="M804">
        <v>4</v>
      </c>
      <c r="N804">
        <v>0.86699999999999999</v>
      </c>
      <c r="O804">
        <v>5</v>
      </c>
      <c r="P804">
        <v>5</v>
      </c>
      <c r="S804" s="59" t="s">
        <v>936</v>
      </c>
    </row>
    <row r="805" spans="1:19" x14ac:dyDescent="0.2">
      <c r="A805" t="s">
        <v>2637</v>
      </c>
      <c r="B805">
        <v>9015815000</v>
      </c>
      <c r="C805" t="s">
        <v>2638</v>
      </c>
      <c r="D805">
        <v>70500</v>
      </c>
      <c r="E805">
        <v>2.52</v>
      </c>
      <c r="F805">
        <v>44410.825579999997</v>
      </c>
      <c r="G805">
        <v>44.411000000000001</v>
      </c>
      <c r="H805">
        <v>0.35699999999999998</v>
      </c>
      <c r="I805">
        <v>2</v>
      </c>
      <c r="J805">
        <v>1272</v>
      </c>
      <c r="K805">
        <v>0.34369998299999999</v>
      </c>
      <c r="L805">
        <v>0.441</v>
      </c>
      <c r="M805">
        <v>3</v>
      </c>
      <c r="N805">
        <v>0.68300000000000005</v>
      </c>
      <c r="O805">
        <v>4</v>
      </c>
      <c r="P805">
        <v>4</v>
      </c>
      <c r="S805" s="57" t="s">
        <v>944</v>
      </c>
    </row>
    <row r="806" spans="1:19" x14ac:dyDescent="0.2">
      <c r="A806" t="s">
        <v>2639</v>
      </c>
      <c r="B806">
        <v>9015820000</v>
      </c>
      <c r="C806" t="s">
        <v>2640</v>
      </c>
      <c r="D806">
        <v>81016</v>
      </c>
      <c r="E806">
        <v>2.3199999999999998</v>
      </c>
      <c r="F806">
        <v>53189.609819999998</v>
      </c>
      <c r="G806">
        <v>53.19</v>
      </c>
      <c r="H806">
        <v>0.52600000000000002</v>
      </c>
      <c r="I806">
        <v>3</v>
      </c>
      <c r="J806">
        <v>1407</v>
      </c>
      <c r="K806">
        <v>0.31743041700000002</v>
      </c>
      <c r="L806">
        <v>0.26700000000000002</v>
      </c>
      <c r="M806">
        <v>2</v>
      </c>
      <c r="N806">
        <v>0.56399999999999995</v>
      </c>
      <c r="O806">
        <v>3</v>
      </c>
      <c r="P806">
        <v>3</v>
      </c>
      <c r="S806" s="59" t="s">
        <v>944</v>
      </c>
    </row>
    <row r="807" spans="1:19" x14ac:dyDescent="0.2">
      <c r="A807" t="s">
        <v>2641</v>
      </c>
      <c r="B807">
        <v>9015825000</v>
      </c>
      <c r="C807" t="s">
        <v>2642</v>
      </c>
      <c r="D807">
        <v>86053</v>
      </c>
      <c r="E807">
        <v>2.56</v>
      </c>
      <c r="F807">
        <v>53783.125</v>
      </c>
      <c r="G807">
        <v>53.783000000000001</v>
      </c>
      <c r="H807">
        <v>0.53800000000000003</v>
      </c>
      <c r="I807">
        <v>3</v>
      </c>
      <c r="J807">
        <v>1378</v>
      </c>
      <c r="K807">
        <v>0.30745703200000002</v>
      </c>
      <c r="L807">
        <v>0.21099999999999999</v>
      </c>
      <c r="M807">
        <v>2</v>
      </c>
      <c r="N807">
        <v>0.58099999999999996</v>
      </c>
      <c r="O807">
        <v>3</v>
      </c>
      <c r="P807">
        <v>3</v>
      </c>
      <c r="S807" s="57" t="s">
        <v>944</v>
      </c>
    </row>
    <row r="808" spans="1:19" x14ac:dyDescent="0.2">
      <c r="A808" t="s">
        <v>2643</v>
      </c>
      <c r="B808">
        <v>9015830100</v>
      </c>
      <c r="C808" t="s">
        <v>2644</v>
      </c>
      <c r="D808">
        <v>70952</v>
      </c>
      <c r="E808">
        <v>2.38</v>
      </c>
      <c r="F808">
        <v>45991.350590000002</v>
      </c>
      <c r="G808">
        <v>45.991</v>
      </c>
      <c r="H808">
        <v>0.38300000000000001</v>
      </c>
      <c r="I808">
        <v>2</v>
      </c>
      <c r="J808">
        <v>1191</v>
      </c>
      <c r="K808">
        <v>0.31075408300000001</v>
      </c>
      <c r="L808">
        <v>0.22700000000000001</v>
      </c>
      <c r="M808">
        <v>2</v>
      </c>
      <c r="N808">
        <v>0.77900000000000003</v>
      </c>
      <c r="O808">
        <v>4</v>
      </c>
      <c r="P808">
        <v>4</v>
      </c>
      <c r="S808" s="59" t="s">
        <v>944</v>
      </c>
    </row>
    <row r="809" spans="1:19" x14ac:dyDescent="0.2">
      <c r="A809" t="s">
        <v>2645</v>
      </c>
      <c r="B809">
        <v>9015900100</v>
      </c>
      <c r="C809" t="s">
        <v>2646</v>
      </c>
      <c r="D809">
        <v>85216</v>
      </c>
      <c r="E809">
        <v>2.72</v>
      </c>
      <c r="F809">
        <v>51669.789559999997</v>
      </c>
      <c r="G809">
        <v>51.67</v>
      </c>
      <c r="H809">
        <v>0.49299999999999999</v>
      </c>
      <c r="I809">
        <v>3</v>
      </c>
      <c r="J809">
        <v>1349</v>
      </c>
      <c r="K809">
        <v>0.313297192</v>
      </c>
      <c r="L809">
        <v>0.24299999999999999</v>
      </c>
      <c r="M809">
        <v>2</v>
      </c>
      <c r="N809">
        <v>0.60599999999999998</v>
      </c>
      <c r="O809">
        <v>4</v>
      </c>
      <c r="P809">
        <v>4</v>
      </c>
      <c r="S809" s="57" t="s">
        <v>944</v>
      </c>
    </row>
    <row r="810" spans="1:19" x14ac:dyDescent="0.2">
      <c r="A810" t="s">
        <v>2647</v>
      </c>
      <c r="B810">
        <v>9015900200</v>
      </c>
      <c r="C810" t="s">
        <v>2648</v>
      </c>
      <c r="D810">
        <v>75114</v>
      </c>
      <c r="E810">
        <v>2.4900000000000002</v>
      </c>
      <c r="F810">
        <v>47601.563349999997</v>
      </c>
      <c r="G810">
        <v>47.601999999999997</v>
      </c>
      <c r="H810">
        <v>0.41599999999999998</v>
      </c>
      <c r="I810">
        <v>3</v>
      </c>
      <c r="J810">
        <v>1054</v>
      </c>
      <c r="K810">
        <v>0.26570555899999998</v>
      </c>
      <c r="L810">
        <v>5.1999999999999998E-2</v>
      </c>
      <c r="M810">
        <v>1</v>
      </c>
      <c r="N810">
        <v>0.90600000000000003</v>
      </c>
      <c r="O810">
        <v>5</v>
      </c>
      <c r="P810">
        <v>4</v>
      </c>
      <c r="S810" s="59" t="s">
        <v>944</v>
      </c>
    </row>
    <row r="811" spans="1:19" x14ac:dyDescent="0.2">
      <c r="A811" t="s">
        <v>2649</v>
      </c>
      <c r="B811">
        <v>9015901100</v>
      </c>
      <c r="C811" t="s">
        <v>2650</v>
      </c>
      <c r="D811">
        <v>86821</v>
      </c>
      <c r="E811">
        <v>2.41</v>
      </c>
      <c r="F811">
        <v>55926.322460000003</v>
      </c>
      <c r="G811">
        <v>55.926000000000002</v>
      </c>
      <c r="H811">
        <v>0.57699999999999996</v>
      </c>
      <c r="I811">
        <v>3</v>
      </c>
      <c r="J811">
        <v>1307</v>
      </c>
      <c r="K811">
        <v>0.28044039599999998</v>
      </c>
      <c r="L811">
        <v>0.08</v>
      </c>
      <c r="M811">
        <v>1</v>
      </c>
      <c r="N811">
        <v>0.64900000000000002</v>
      </c>
      <c r="O811">
        <v>4</v>
      </c>
      <c r="P811">
        <v>4</v>
      </c>
      <c r="S811" s="57" t="s">
        <v>944</v>
      </c>
    </row>
    <row r="812" spans="1:19" x14ac:dyDescent="0.2">
      <c r="A812" t="s">
        <v>2651</v>
      </c>
      <c r="B812">
        <v>9015902200</v>
      </c>
      <c r="C812" t="s">
        <v>2652</v>
      </c>
      <c r="D812">
        <v>92813</v>
      </c>
      <c r="E812">
        <v>2.39</v>
      </c>
      <c r="F812">
        <v>60035.738899999997</v>
      </c>
      <c r="G812">
        <v>60.036000000000001</v>
      </c>
      <c r="H812">
        <v>0.65400000000000003</v>
      </c>
      <c r="I812">
        <v>4</v>
      </c>
      <c r="J812">
        <v>1280</v>
      </c>
      <c r="K812">
        <v>0.25584760499999998</v>
      </c>
      <c r="L812">
        <v>2.4E-2</v>
      </c>
      <c r="M812">
        <v>1</v>
      </c>
      <c r="N812">
        <v>0.67900000000000005</v>
      </c>
      <c r="O812">
        <v>4</v>
      </c>
      <c r="P812">
        <v>3</v>
      </c>
      <c r="S812" s="59" t="s">
        <v>944</v>
      </c>
    </row>
    <row r="813" spans="1:19" x14ac:dyDescent="0.2">
      <c r="A813" t="s">
        <v>2653</v>
      </c>
      <c r="B813">
        <v>9015902500</v>
      </c>
      <c r="C813" t="s">
        <v>2654</v>
      </c>
      <c r="D813">
        <v>93472</v>
      </c>
      <c r="E813">
        <v>2.4500000000000002</v>
      </c>
      <c r="F813">
        <v>59717.07028</v>
      </c>
      <c r="G813">
        <v>59.716999999999999</v>
      </c>
      <c r="H813">
        <v>0.64700000000000002</v>
      </c>
      <c r="I813">
        <v>4</v>
      </c>
      <c r="J813">
        <v>1240</v>
      </c>
      <c r="K813">
        <v>0.24917498299999999</v>
      </c>
      <c r="L813">
        <v>0.01</v>
      </c>
      <c r="M813">
        <v>1</v>
      </c>
      <c r="N813">
        <v>0.72199999999999998</v>
      </c>
      <c r="O813">
        <v>4</v>
      </c>
      <c r="P813">
        <v>3</v>
      </c>
      <c r="S813" s="57" t="s">
        <v>944</v>
      </c>
    </row>
    <row r="814" spans="1:19" x14ac:dyDescent="0.2">
      <c r="A814" t="s">
        <v>2655</v>
      </c>
      <c r="B814">
        <v>9015903100</v>
      </c>
      <c r="C814" t="s">
        <v>2656</v>
      </c>
      <c r="D814">
        <v>57218</v>
      </c>
      <c r="E814">
        <v>2.21</v>
      </c>
      <c r="F814">
        <v>38488.991929999997</v>
      </c>
      <c r="G814">
        <v>38.488999999999997</v>
      </c>
      <c r="H814">
        <v>0.26900000000000002</v>
      </c>
      <c r="I814">
        <v>2</v>
      </c>
      <c r="J814">
        <v>1035</v>
      </c>
      <c r="K814">
        <v>0.32268966700000001</v>
      </c>
      <c r="L814">
        <v>0.317</v>
      </c>
      <c r="M814">
        <v>2</v>
      </c>
      <c r="N814">
        <v>0.91700000000000004</v>
      </c>
      <c r="O814">
        <v>5</v>
      </c>
      <c r="P814">
        <v>5</v>
      </c>
      <c r="S814" s="59" t="s">
        <v>944</v>
      </c>
    </row>
    <row r="815" spans="1:19" x14ac:dyDescent="0.2">
      <c r="A815" t="s">
        <v>2657</v>
      </c>
      <c r="B815">
        <v>9015903200</v>
      </c>
      <c r="C815" t="s">
        <v>2658</v>
      </c>
      <c r="D815">
        <v>76602</v>
      </c>
      <c r="E815">
        <v>2.25</v>
      </c>
      <c r="F815">
        <v>51068</v>
      </c>
      <c r="G815">
        <v>51.067999999999998</v>
      </c>
      <c r="H815">
        <v>0.48599999999999999</v>
      </c>
      <c r="I815">
        <v>3</v>
      </c>
      <c r="J815">
        <v>1149</v>
      </c>
      <c r="K815">
        <v>0.26999295099999998</v>
      </c>
      <c r="L815">
        <v>6.4000000000000001E-2</v>
      </c>
      <c r="M815">
        <v>1</v>
      </c>
      <c r="N815">
        <v>0.82199999999999995</v>
      </c>
      <c r="O815">
        <v>5</v>
      </c>
      <c r="P815">
        <v>4</v>
      </c>
      <c r="S815" s="57" t="s">
        <v>944</v>
      </c>
    </row>
    <row r="816" spans="1:19" x14ac:dyDescent="0.2">
      <c r="A816" t="s">
        <v>2659</v>
      </c>
      <c r="B816">
        <v>9015904100</v>
      </c>
      <c r="C816" t="s">
        <v>2660</v>
      </c>
      <c r="D816">
        <v>70341</v>
      </c>
      <c r="E816">
        <v>2.4500000000000002</v>
      </c>
      <c r="F816">
        <v>44939.216460000003</v>
      </c>
      <c r="G816">
        <v>44.939</v>
      </c>
      <c r="H816">
        <v>0.36799999999999999</v>
      </c>
      <c r="I816">
        <v>2</v>
      </c>
      <c r="J816">
        <v>1234</v>
      </c>
      <c r="K816">
        <v>0.32951175300000002</v>
      </c>
      <c r="L816">
        <v>0.35</v>
      </c>
      <c r="M816">
        <v>2</v>
      </c>
      <c r="N816">
        <v>0.72799999999999998</v>
      </c>
      <c r="O816">
        <v>4</v>
      </c>
      <c r="P816">
        <v>4</v>
      </c>
      <c r="S816" s="59" t="s">
        <v>944</v>
      </c>
    </row>
    <row r="817" spans="1:19" x14ac:dyDescent="0.2">
      <c r="A817" t="s">
        <v>2661</v>
      </c>
      <c r="B817">
        <v>9015904400</v>
      </c>
      <c r="C817" t="s">
        <v>2662</v>
      </c>
      <c r="D817">
        <v>57917</v>
      </c>
      <c r="E817">
        <v>2.23</v>
      </c>
      <c r="F817">
        <v>38784.091840000001</v>
      </c>
      <c r="G817">
        <v>38.783999999999999</v>
      </c>
      <c r="H817">
        <v>0.27400000000000002</v>
      </c>
      <c r="I817">
        <v>2</v>
      </c>
      <c r="J817">
        <v>1077</v>
      </c>
      <c r="K817">
        <v>0.33322940899999998</v>
      </c>
      <c r="L817">
        <v>0.38400000000000001</v>
      </c>
      <c r="M817">
        <v>2</v>
      </c>
      <c r="N817">
        <v>0.89200000000000002</v>
      </c>
      <c r="O817">
        <v>5</v>
      </c>
      <c r="P817">
        <v>5</v>
      </c>
      <c r="S817" s="57" t="s">
        <v>944</v>
      </c>
    </row>
    <row r="818" spans="1:19" x14ac:dyDescent="0.2">
      <c r="A818" t="s">
        <v>2663</v>
      </c>
      <c r="B818">
        <v>9015904500</v>
      </c>
      <c r="C818" t="s">
        <v>2664</v>
      </c>
      <c r="D818">
        <v>53138</v>
      </c>
      <c r="E818">
        <v>2.4</v>
      </c>
      <c r="F818">
        <v>34300.431510000002</v>
      </c>
      <c r="G818">
        <v>34.299999999999997</v>
      </c>
      <c r="H818">
        <v>0.23200000000000001</v>
      </c>
      <c r="I818">
        <v>2</v>
      </c>
      <c r="J818">
        <v>1128</v>
      </c>
      <c r="K818">
        <v>0.394630604</v>
      </c>
      <c r="L818">
        <v>0.67100000000000004</v>
      </c>
      <c r="M818">
        <v>4</v>
      </c>
      <c r="N818">
        <v>0.84099999999999997</v>
      </c>
      <c r="O818">
        <v>5</v>
      </c>
      <c r="P818">
        <v>5</v>
      </c>
      <c r="S818" s="59" t="s">
        <v>944</v>
      </c>
    </row>
    <row r="819" spans="1:19" x14ac:dyDescent="0.2">
      <c r="A819" t="s">
        <v>2665</v>
      </c>
      <c r="B819">
        <v>9015905100</v>
      </c>
      <c r="C819" t="s">
        <v>2666</v>
      </c>
      <c r="D819">
        <v>76047</v>
      </c>
      <c r="E819">
        <v>2.62</v>
      </c>
      <c r="F819">
        <v>46981.993499999997</v>
      </c>
      <c r="G819">
        <v>46.981999999999999</v>
      </c>
      <c r="H819">
        <v>0.39700000000000002</v>
      </c>
      <c r="I819">
        <v>2</v>
      </c>
      <c r="J819">
        <v>1301</v>
      </c>
      <c r="K819">
        <v>0.33229752200000001</v>
      </c>
      <c r="L819">
        <v>0.378</v>
      </c>
      <c r="M819">
        <v>2</v>
      </c>
      <c r="N819">
        <v>0.65700000000000003</v>
      </c>
      <c r="O819">
        <v>4</v>
      </c>
      <c r="P819">
        <v>4</v>
      </c>
      <c r="S819" s="57" t="s">
        <v>944</v>
      </c>
    </row>
    <row r="820" spans="1:19" x14ac:dyDescent="0.2">
      <c r="A820" t="s">
        <v>2667</v>
      </c>
      <c r="B820">
        <v>9015906100</v>
      </c>
      <c r="C820" t="s">
        <v>2668</v>
      </c>
      <c r="D820">
        <v>91973</v>
      </c>
      <c r="E820">
        <v>2.65</v>
      </c>
      <c r="F820">
        <v>56498.564780000001</v>
      </c>
      <c r="G820">
        <v>56.499000000000002</v>
      </c>
      <c r="H820">
        <v>0.58799999999999997</v>
      </c>
      <c r="I820">
        <v>3</v>
      </c>
      <c r="J820">
        <v>1465</v>
      </c>
      <c r="K820">
        <v>0.311158347</v>
      </c>
      <c r="L820">
        <v>0.22800000000000001</v>
      </c>
      <c r="M820">
        <v>2</v>
      </c>
      <c r="N820">
        <v>0.50700000000000001</v>
      </c>
      <c r="O820">
        <v>3</v>
      </c>
      <c r="P820">
        <v>3</v>
      </c>
      <c r="S820" s="59" t="s">
        <v>944</v>
      </c>
    </row>
    <row r="821" spans="1:19" x14ac:dyDescent="0.2">
      <c r="A821" t="s">
        <v>2669</v>
      </c>
      <c r="B821">
        <v>9015907100</v>
      </c>
      <c r="C821" t="s">
        <v>2670</v>
      </c>
      <c r="D821">
        <v>72606</v>
      </c>
      <c r="E821">
        <v>2.72</v>
      </c>
      <c r="F821">
        <v>44023.85398</v>
      </c>
      <c r="G821">
        <v>44.024000000000001</v>
      </c>
      <c r="H821">
        <v>0.35099999999999998</v>
      </c>
      <c r="I821">
        <v>2</v>
      </c>
      <c r="J821">
        <v>1283</v>
      </c>
      <c r="K821">
        <v>0.34971949499999999</v>
      </c>
      <c r="L821">
        <v>0.47599999999999998</v>
      </c>
      <c r="M821">
        <v>3</v>
      </c>
      <c r="N821">
        <v>0.67400000000000004</v>
      </c>
      <c r="O821">
        <v>4</v>
      </c>
      <c r="P821">
        <v>4</v>
      </c>
      <c r="S821" s="57" t="s">
        <v>944</v>
      </c>
    </row>
    <row r="822" spans="1:19" x14ac:dyDescent="0.2">
      <c r="A822" t="s">
        <v>2671</v>
      </c>
      <c r="B822">
        <v>9015907200</v>
      </c>
      <c r="C822" t="s">
        <v>2672</v>
      </c>
      <c r="D822">
        <v>65192</v>
      </c>
      <c r="E822">
        <v>2.77</v>
      </c>
      <c r="F822">
        <v>39170.076549999998</v>
      </c>
      <c r="G822">
        <v>39.17</v>
      </c>
      <c r="H822">
        <v>0.28399999999999997</v>
      </c>
      <c r="I822">
        <v>2</v>
      </c>
      <c r="J822">
        <v>1124</v>
      </c>
      <c r="K822">
        <v>0.34434448899999998</v>
      </c>
      <c r="L822">
        <v>0.44500000000000001</v>
      </c>
      <c r="M822">
        <v>3</v>
      </c>
      <c r="N822">
        <v>0.84799999999999998</v>
      </c>
      <c r="O822">
        <v>5</v>
      </c>
      <c r="P822">
        <v>5</v>
      </c>
      <c r="S822" s="59" t="s">
        <v>944</v>
      </c>
    </row>
    <row r="823" spans="1:19" x14ac:dyDescent="0.2">
      <c r="A823" t="s">
        <v>2673</v>
      </c>
      <c r="B823">
        <v>9015907300</v>
      </c>
      <c r="C823" t="s">
        <v>2674</v>
      </c>
      <c r="D823">
        <v>69167</v>
      </c>
      <c r="E823">
        <v>2.5099999999999998</v>
      </c>
      <c r="F823">
        <v>43657.823279999997</v>
      </c>
      <c r="G823">
        <v>43.658000000000001</v>
      </c>
      <c r="H823">
        <v>0.34699999999999998</v>
      </c>
      <c r="I823">
        <v>2</v>
      </c>
      <c r="J823">
        <v>1138</v>
      </c>
      <c r="K823">
        <v>0.31279617199999998</v>
      </c>
      <c r="L823">
        <v>0.24</v>
      </c>
      <c r="M823">
        <v>2</v>
      </c>
      <c r="N823">
        <v>0.82799999999999996</v>
      </c>
      <c r="O823">
        <v>5</v>
      </c>
      <c r="P823">
        <v>5</v>
      </c>
      <c r="S823" s="60" t="s">
        <v>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296A-8BCF-4249-8631-96F14B644158}">
  <sheetPr>
    <tabColor theme="8" tint="0.59999389629810485"/>
  </sheetPr>
  <dimension ref="A1:W823"/>
  <sheetViews>
    <sheetView zoomScale="85" zoomScaleNormal="85" workbookViewId="0">
      <selection activeCell="K1" sqref="K1"/>
    </sheetView>
  </sheetViews>
  <sheetFormatPr baseColWidth="10" defaultColWidth="8.83203125" defaultRowHeight="15" x14ac:dyDescent="0.2"/>
  <cols>
    <col min="1" max="1" width="21.6640625" bestFit="1" customWidth="1"/>
    <col min="2" max="2" width="11" bestFit="1" customWidth="1"/>
    <col min="3" max="3" width="50.83203125" bestFit="1" customWidth="1"/>
    <col min="4" max="4" width="16.33203125" customWidth="1"/>
    <col min="5" max="5" width="18.6640625" customWidth="1"/>
    <col min="6" max="7" width="22.1640625" customWidth="1"/>
    <col min="8" max="8" width="12" customWidth="1"/>
    <col min="9" max="9" width="13.6640625" customWidth="1"/>
    <col min="10" max="10" width="18.5" customWidth="1"/>
    <col min="11" max="11" width="13.1640625" customWidth="1"/>
    <col min="14" max="14" width="16.5" customWidth="1"/>
    <col min="15" max="15" width="18.6640625" customWidth="1"/>
    <col min="16" max="16" width="22.1640625" customWidth="1"/>
    <col min="20" max="20" width="17.83203125" bestFit="1" customWidth="1"/>
    <col min="22" max="22" width="50.83203125" bestFit="1" customWidth="1"/>
    <col min="23" max="23" width="12" bestFit="1" customWidth="1"/>
  </cols>
  <sheetData>
    <row r="1" spans="1:23" ht="48" customHeight="1" x14ac:dyDescent="0.2">
      <c r="A1" s="49" t="s">
        <v>1011</v>
      </c>
      <c r="B1" s="49" t="s">
        <v>1012</v>
      </c>
      <c r="C1" s="49" t="s">
        <v>1013</v>
      </c>
      <c r="D1" s="51" t="s">
        <v>2675</v>
      </c>
      <c r="E1" s="51" t="s">
        <v>2676</v>
      </c>
      <c r="F1" s="51" t="s">
        <v>2677</v>
      </c>
      <c r="G1" s="51" t="s">
        <v>2678</v>
      </c>
      <c r="H1" s="52" t="s">
        <v>2679</v>
      </c>
      <c r="I1" s="52" t="s">
        <v>2680</v>
      </c>
      <c r="J1" s="52" t="s">
        <v>2681</v>
      </c>
      <c r="K1" s="52" t="s">
        <v>2682</v>
      </c>
      <c r="N1" s="55" t="s">
        <v>2683</v>
      </c>
      <c r="O1" s="56" t="s">
        <v>2684</v>
      </c>
      <c r="T1" s="1" t="s">
        <v>2685</v>
      </c>
      <c r="V1" s="49" t="s">
        <v>2686</v>
      </c>
      <c r="W1" s="1"/>
    </row>
    <row r="2" spans="1:23" x14ac:dyDescent="0.2">
      <c r="A2" t="s">
        <v>1030</v>
      </c>
      <c r="B2">
        <v>9001010101</v>
      </c>
      <c r="C2" t="s">
        <v>1031</v>
      </c>
      <c r="D2">
        <v>4476</v>
      </c>
      <c r="E2">
        <v>12.64385742</v>
      </c>
      <c r="F2">
        <v>354.00589000000002</v>
      </c>
      <c r="G2">
        <v>1</v>
      </c>
      <c r="H2">
        <v>281</v>
      </c>
      <c r="I2">
        <v>6.7629362210000004</v>
      </c>
      <c r="J2">
        <v>0.218</v>
      </c>
      <c r="K2">
        <f>IF(J2&lt;0.2,1,IF(J2&lt;0.4,2,IF(J2&lt;0.6,3,IF(J2&lt;0.8,4,5))))</f>
        <v>2</v>
      </c>
      <c r="N2">
        <v>1.5</v>
      </c>
      <c r="O2">
        <v>2</v>
      </c>
      <c r="V2" s="50" t="s">
        <v>2687</v>
      </c>
    </row>
    <row r="3" spans="1:23" x14ac:dyDescent="0.2">
      <c r="A3" t="s">
        <v>1033</v>
      </c>
      <c r="B3">
        <v>9001010102</v>
      </c>
      <c r="C3" t="s">
        <v>1034</v>
      </c>
      <c r="D3">
        <v>4330</v>
      </c>
      <c r="E3">
        <v>12.57991195</v>
      </c>
      <c r="F3">
        <v>344.19954739999997</v>
      </c>
      <c r="G3">
        <v>1</v>
      </c>
      <c r="H3">
        <v>523</v>
      </c>
      <c r="I3">
        <v>12.02022524</v>
      </c>
      <c r="J3">
        <v>0.48499999999999999</v>
      </c>
      <c r="K3">
        <f t="shared" ref="K3:K66" si="0">IF(J3&lt;0.2,1,IF(J3&lt;0.4,2,IF(J3&lt;0.6,3,IF(J3&lt;0.8,4,5))))</f>
        <v>3</v>
      </c>
      <c r="N3">
        <v>2</v>
      </c>
      <c r="O3">
        <v>2</v>
      </c>
      <c r="V3" t="s">
        <v>2688</v>
      </c>
    </row>
    <row r="4" spans="1:23" x14ac:dyDescent="0.2">
      <c r="A4" t="s">
        <v>1035</v>
      </c>
      <c r="B4">
        <v>9001010201</v>
      </c>
      <c r="C4" t="s">
        <v>1036</v>
      </c>
      <c r="D4">
        <v>3421</v>
      </c>
      <c r="E4">
        <v>4.3448548799999998</v>
      </c>
      <c r="F4">
        <v>787.36806979999994</v>
      </c>
      <c r="G4">
        <v>1</v>
      </c>
      <c r="H4">
        <v>364</v>
      </c>
      <c r="I4">
        <v>10.441767069999999</v>
      </c>
      <c r="J4">
        <v>0.40400000000000003</v>
      </c>
      <c r="K4">
        <f t="shared" si="0"/>
        <v>3</v>
      </c>
      <c r="N4">
        <v>2</v>
      </c>
      <c r="O4">
        <v>2</v>
      </c>
    </row>
    <row r="5" spans="1:23" x14ac:dyDescent="0.2">
      <c r="A5" t="s">
        <v>1037</v>
      </c>
      <c r="B5">
        <v>9001010202</v>
      </c>
      <c r="C5" t="s">
        <v>1038</v>
      </c>
      <c r="D5">
        <v>5359</v>
      </c>
      <c r="E5">
        <v>3.761120129</v>
      </c>
      <c r="F5">
        <v>1424.841488</v>
      </c>
      <c r="G5">
        <v>1</v>
      </c>
      <c r="H5">
        <v>1002</v>
      </c>
      <c r="I5">
        <v>18.771075310000001</v>
      </c>
      <c r="J5">
        <v>0.71199999999999997</v>
      </c>
      <c r="K5">
        <f t="shared" si="0"/>
        <v>4</v>
      </c>
      <c r="N5">
        <v>2.5</v>
      </c>
      <c r="O5">
        <v>3</v>
      </c>
    </row>
    <row r="6" spans="1:23" x14ac:dyDescent="0.2">
      <c r="A6" t="s">
        <v>1039</v>
      </c>
      <c r="B6">
        <v>9001010300</v>
      </c>
      <c r="C6" t="s">
        <v>1040</v>
      </c>
      <c r="D6">
        <v>4010</v>
      </c>
      <c r="E6">
        <v>3.7096654500000001</v>
      </c>
      <c r="F6">
        <v>1080.9600089999999</v>
      </c>
      <c r="G6">
        <v>1</v>
      </c>
      <c r="H6">
        <v>382</v>
      </c>
      <c r="I6">
        <v>10.10582011</v>
      </c>
      <c r="J6">
        <v>0.38700000000000001</v>
      </c>
      <c r="K6">
        <f t="shared" si="0"/>
        <v>2</v>
      </c>
      <c r="N6">
        <v>1.5</v>
      </c>
      <c r="O6">
        <v>2</v>
      </c>
    </row>
    <row r="7" spans="1:23" x14ac:dyDescent="0.2">
      <c r="A7" t="s">
        <v>1041</v>
      </c>
      <c r="B7">
        <v>9001010400</v>
      </c>
      <c r="C7" t="s">
        <v>1042</v>
      </c>
      <c r="D7">
        <v>5290</v>
      </c>
      <c r="E7">
        <v>1.0417399620000001</v>
      </c>
      <c r="F7">
        <v>5078.042692</v>
      </c>
      <c r="G7">
        <v>1</v>
      </c>
      <c r="H7">
        <v>622</v>
      </c>
      <c r="I7">
        <v>10.72598724</v>
      </c>
      <c r="J7">
        <v>0.41299999999999998</v>
      </c>
      <c r="K7">
        <f t="shared" si="0"/>
        <v>3</v>
      </c>
      <c r="N7">
        <v>2</v>
      </c>
      <c r="O7">
        <v>2</v>
      </c>
    </row>
    <row r="8" spans="1:23" x14ac:dyDescent="0.2">
      <c r="A8" t="s">
        <v>1043</v>
      </c>
      <c r="B8">
        <v>9001010500</v>
      </c>
      <c r="C8" t="s">
        <v>1044</v>
      </c>
      <c r="D8">
        <v>5494</v>
      </c>
      <c r="E8">
        <v>0.70141483299999996</v>
      </c>
      <c r="F8">
        <v>7832.7399750000004</v>
      </c>
      <c r="G8">
        <v>1</v>
      </c>
      <c r="H8">
        <v>876</v>
      </c>
      <c r="I8">
        <v>14.897959180000001</v>
      </c>
      <c r="J8">
        <v>0.59</v>
      </c>
      <c r="K8">
        <f t="shared" si="0"/>
        <v>3</v>
      </c>
      <c r="N8">
        <v>2.5</v>
      </c>
      <c r="O8">
        <v>3</v>
      </c>
    </row>
    <row r="9" spans="1:23" x14ac:dyDescent="0.2">
      <c r="A9" t="s">
        <v>1045</v>
      </c>
      <c r="B9">
        <v>9001010600</v>
      </c>
      <c r="C9" t="s">
        <v>1046</v>
      </c>
      <c r="D9">
        <v>1845</v>
      </c>
      <c r="E9">
        <v>0.34099849100000001</v>
      </c>
      <c r="F9">
        <v>5410.581126</v>
      </c>
      <c r="G9">
        <v>1</v>
      </c>
      <c r="H9">
        <v>284</v>
      </c>
      <c r="I9">
        <v>13.773035889999999</v>
      </c>
      <c r="J9">
        <v>0.56000000000000005</v>
      </c>
      <c r="K9">
        <f t="shared" si="0"/>
        <v>3</v>
      </c>
      <c r="N9">
        <v>2</v>
      </c>
      <c r="O9">
        <v>2</v>
      </c>
    </row>
    <row r="10" spans="1:23" x14ac:dyDescent="0.2">
      <c r="A10" t="s">
        <v>1047</v>
      </c>
      <c r="B10">
        <v>9001010700</v>
      </c>
      <c r="C10" t="s">
        <v>1048</v>
      </c>
      <c r="D10">
        <v>3579</v>
      </c>
      <c r="E10">
        <v>0.71631142699999995</v>
      </c>
      <c r="F10">
        <v>4996.4301359999999</v>
      </c>
      <c r="G10">
        <v>1</v>
      </c>
      <c r="H10">
        <v>526</v>
      </c>
      <c r="I10">
        <v>14.59084605</v>
      </c>
      <c r="J10">
        <v>0.58299999999999996</v>
      </c>
      <c r="K10">
        <f t="shared" si="0"/>
        <v>3</v>
      </c>
      <c r="N10">
        <v>3.5</v>
      </c>
      <c r="O10">
        <v>4</v>
      </c>
    </row>
    <row r="11" spans="1:23" x14ac:dyDescent="0.2">
      <c r="A11" t="s">
        <v>1049</v>
      </c>
      <c r="B11">
        <v>9001010800</v>
      </c>
      <c r="C11" t="s">
        <v>1050</v>
      </c>
      <c r="D11">
        <v>3388</v>
      </c>
      <c r="E11">
        <v>0.75104402000000003</v>
      </c>
      <c r="F11">
        <v>4511.0538239999996</v>
      </c>
      <c r="G11">
        <v>1</v>
      </c>
      <c r="H11">
        <v>421</v>
      </c>
      <c r="I11">
        <v>11.85581526</v>
      </c>
      <c r="J11">
        <v>0.47299999999999998</v>
      </c>
      <c r="K11">
        <f t="shared" si="0"/>
        <v>3</v>
      </c>
      <c r="N11">
        <v>2</v>
      </c>
      <c r="O11">
        <v>2</v>
      </c>
    </row>
    <row r="12" spans="1:23" x14ac:dyDescent="0.2">
      <c r="A12" t="s">
        <v>1051</v>
      </c>
      <c r="B12">
        <v>9001010900</v>
      </c>
      <c r="C12" t="s">
        <v>1052</v>
      </c>
      <c r="D12">
        <v>4870</v>
      </c>
      <c r="E12">
        <v>0.99412352500000001</v>
      </c>
      <c r="F12">
        <v>4898.7876029999998</v>
      </c>
      <c r="G12">
        <v>1</v>
      </c>
      <c r="H12">
        <v>1291</v>
      </c>
      <c r="I12">
        <v>24.42762535</v>
      </c>
      <c r="J12">
        <v>0.81499999999999995</v>
      </c>
      <c r="K12">
        <f>IF(J12&lt;0.2,1,IF(J12&lt;0.4,2,IF(J12&lt;0.6,3,IF(J12&lt;0.8,4,5))))</f>
        <v>5</v>
      </c>
      <c r="N12">
        <v>3</v>
      </c>
      <c r="O12">
        <v>3</v>
      </c>
    </row>
    <row r="13" spans="1:23" x14ac:dyDescent="0.2">
      <c r="A13" t="s">
        <v>1053</v>
      </c>
      <c r="B13">
        <v>9001011000</v>
      </c>
      <c r="C13" t="s">
        <v>1054</v>
      </c>
      <c r="D13">
        <v>5263</v>
      </c>
      <c r="E13">
        <v>1.7178944460000001</v>
      </c>
      <c r="F13">
        <v>3063.6340970000001</v>
      </c>
      <c r="G13">
        <v>1</v>
      </c>
      <c r="H13">
        <v>543</v>
      </c>
      <c r="I13">
        <v>9.776737486</v>
      </c>
      <c r="J13">
        <v>0.373</v>
      </c>
      <c r="K13">
        <f t="shared" si="0"/>
        <v>2</v>
      </c>
      <c r="N13">
        <v>1.5</v>
      </c>
      <c r="O13">
        <v>2</v>
      </c>
    </row>
    <row r="14" spans="1:23" x14ac:dyDescent="0.2">
      <c r="A14" t="s">
        <v>1055</v>
      </c>
      <c r="B14">
        <v>9001011100</v>
      </c>
      <c r="C14" t="s">
        <v>1056</v>
      </c>
      <c r="D14">
        <v>4894</v>
      </c>
      <c r="E14">
        <v>1.69091517</v>
      </c>
      <c r="F14">
        <v>2894.290669</v>
      </c>
      <c r="G14">
        <v>1</v>
      </c>
      <c r="H14">
        <v>514</v>
      </c>
      <c r="I14">
        <v>11.152093730000001</v>
      </c>
      <c r="J14">
        <v>0.433</v>
      </c>
      <c r="K14">
        <f t="shared" si="0"/>
        <v>3</v>
      </c>
      <c r="N14">
        <v>2</v>
      </c>
      <c r="O14">
        <v>2</v>
      </c>
    </row>
    <row r="15" spans="1:23" x14ac:dyDescent="0.2">
      <c r="A15" t="s">
        <v>1057</v>
      </c>
      <c r="B15">
        <v>9001011200</v>
      </c>
      <c r="C15" t="s">
        <v>1058</v>
      </c>
      <c r="D15">
        <v>1733</v>
      </c>
      <c r="E15">
        <v>1.885313368</v>
      </c>
      <c r="F15">
        <v>919.2105828</v>
      </c>
      <c r="G15">
        <v>1</v>
      </c>
      <c r="H15">
        <v>373</v>
      </c>
      <c r="I15">
        <v>21.73659674</v>
      </c>
      <c r="J15">
        <v>0.77800000000000002</v>
      </c>
      <c r="K15">
        <f t="shared" si="0"/>
        <v>4</v>
      </c>
      <c r="N15">
        <v>2.5</v>
      </c>
      <c r="O15">
        <v>3</v>
      </c>
    </row>
    <row r="16" spans="1:23" x14ac:dyDescent="0.2">
      <c r="A16" t="s">
        <v>1059</v>
      </c>
      <c r="B16">
        <v>9001011300</v>
      </c>
      <c r="C16" t="s">
        <v>1060</v>
      </c>
      <c r="D16">
        <v>3219</v>
      </c>
      <c r="E16">
        <v>0.74289340299999995</v>
      </c>
      <c r="F16">
        <v>4333.0577249999997</v>
      </c>
      <c r="G16">
        <v>1</v>
      </c>
      <c r="H16">
        <v>902</v>
      </c>
      <c r="I16">
        <v>26.405152220000002</v>
      </c>
      <c r="J16">
        <v>0.85099999999999998</v>
      </c>
      <c r="K16">
        <f t="shared" si="0"/>
        <v>5</v>
      </c>
      <c r="N16">
        <v>3.5</v>
      </c>
      <c r="O16">
        <v>4</v>
      </c>
    </row>
    <row r="17" spans="1:15" x14ac:dyDescent="0.2">
      <c r="A17" t="s">
        <v>1061</v>
      </c>
      <c r="B17">
        <v>9001020100</v>
      </c>
      <c r="C17" t="s">
        <v>1062</v>
      </c>
      <c r="D17">
        <v>3523</v>
      </c>
      <c r="E17">
        <v>0.36254222000000003</v>
      </c>
      <c r="F17">
        <v>9717.4888969999993</v>
      </c>
      <c r="G17">
        <v>1</v>
      </c>
      <c r="H17">
        <v>1141</v>
      </c>
      <c r="I17">
        <v>20.989698310000001</v>
      </c>
      <c r="J17">
        <v>0.76100000000000001</v>
      </c>
      <c r="K17">
        <f t="shared" si="0"/>
        <v>4</v>
      </c>
      <c r="N17">
        <v>3.5</v>
      </c>
      <c r="O17">
        <v>4</v>
      </c>
    </row>
    <row r="18" spans="1:15" x14ac:dyDescent="0.2">
      <c r="A18" t="s">
        <v>1063</v>
      </c>
      <c r="B18">
        <v>9001020200</v>
      </c>
      <c r="C18" t="s">
        <v>1064</v>
      </c>
      <c r="D18">
        <v>3687</v>
      </c>
      <c r="E18">
        <v>7.2670525890000004</v>
      </c>
      <c r="F18">
        <v>507.35837600000002</v>
      </c>
      <c r="G18">
        <v>1</v>
      </c>
      <c r="H18">
        <v>551</v>
      </c>
      <c r="I18">
        <v>15.54740406</v>
      </c>
      <c r="J18">
        <v>0.61199999999999999</v>
      </c>
      <c r="K18">
        <f t="shared" si="0"/>
        <v>4</v>
      </c>
      <c r="N18">
        <v>2.5</v>
      </c>
      <c r="O18">
        <v>3</v>
      </c>
    </row>
    <row r="19" spans="1:15" x14ac:dyDescent="0.2">
      <c r="A19" t="s">
        <v>1065</v>
      </c>
      <c r="B19">
        <v>9001020300</v>
      </c>
      <c r="C19" t="s">
        <v>1066</v>
      </c>
      <c r="D19">
        <v>7263</v>
      </c>
      <c r="E19">
        <v>7.601713213</v>
      </c>
      <c r="F19">
        <v>955.44251629999997</v>
      </c>
      <c r="G19">
        <v>1</v>
      </c>
      <c r="H19">
        <v>793</v>
      </c>
      <c r="I19">
        <v>11.344778249999999</v>
      </c>
      <c r="J19">
        <v>0.443</v>
      </c>
      <c r="K19">
        <f t="shared" si="0"/>
        <v>3</v>
      </c>
      <c r="N19">
        <v>2</v>
      </c>
      <c r="O19">
        <v>2</v>
      </c>
    </row>
    <row r="20" spans="1:15" x14ac:dyDescent="0.2">
      <c r="A20" t="s">
        <v>1067</v>
      </c>
      <c r="B20">
        <v>9001020400</v>
      </c>
      <c r="C20" t="s">
        <v>1068</v>
      </c>
      <c r="D20">
        <v>3586</v>
      </c>
      <c r="E20">
        <v>3.6117715600000002</v>
      </c>
      <c r="F20">
        <v>992.86456520000002</v>
      </c>
      <c r="G20">
        <v>1</v>
      </c>
      <c r="H20">
        <v>694</v>
      </c>
      <c r="I20">
        <v>19.527293190000002</v>
      </c>
      <c r="J20">
        <v>0.72599999999999998</v>
      </c>
      <c r="K20">
        <f t="shared" si="0"/>
        <v>4</v>
      </c>
      <c r="N20">
        <v>2.5</v>
      </c>
      <c r="O20">
        <v>3</v>
      </c>
    </row>
    <row r="21" spans="1:15" x14ac:dyDescent="0.2">
      <c r="A21" t="s">
        <v>1069</v>
      </c>
      <c r="B21">
        <v>9001020500</v>
      </c>
      <c r="C21" t="s">
        <v>1070</v>
      </c>
      <c r="D21">
        <v>4896</v>
      </c>
      <c r="E21">
        <v>3.782704013</v>
      </c>
      <c r="F21">
        <v>1294.3122129999999</v>
      </c>
      <c r="G21">
        <v>1</v>
      </c>
      <c r="H21">
        <v>561</v>
      </c>
      <c r="I21">
        <v>11.48178469</v>
      </c>
      <c r="J21">
        <v>0.45500000000000002</v>
      </c>
      <c r="K21">
        <f t="shared" si="0"/>
        <v>3</v>
      </c>
      <c r="N21">
        <v>2</v>
      </c>
      <c r="O21">
        <v>2</v>
      </c>
    </row>
    <row r="22" spans="1:15" x14ac:dyDescent="0.2">
      <c r="A22" t="s">
        <v>1071</v>
      </c>
      <c r="B22">
        <v>9001020600</v>
      </c>
      <c r="C22" t="s">
        <v>1072</v>
      </c>
      <c r="D22">
        <v>4952</v>
      </c>
      <c r="E22">
        <v>1.379936123</v>
      </c>
      <c r="F22">
        <v>3588.571903</v>
      </c>
      <c r="G22">
        <v>1</v>
      </c>
      <c r="H22">
        <v>1015</v>
      </c>
      <c r="I22">
        <v>19.52298519</v>
      </c>
      <c r="J22">
        <v>0.72599999999999998</v>
      </c>
      <c r="K22">
        <f t="shared" si="0"/>
        <v>4</v>
      </c>
      <c r="N22">
        <v>2.5</v>
      </c>
      <c r="O22">
        <v>3</v>
      </c>
    </row>
    <row r="23" spans="1:15" x14ac:dyDescent="0.2">
      <c r="A23" t="s">
        <v>1073</v>
      </c>
      <c r="B23">
        <v>9001020700</v>
      </c>
      <c r="C23" t="s">
        <v>1074</v>
      </c>
      <c r="D23">
        <v>4352</v>
      </c>
      <c r="E23">
        <v>2.2411497659999999</v>
      </c>
      <c r="F23">
        <v>1941.8604089999999</v>
      </c>
      <c r="G23">
        <v>1</v>
      </c>
      <c r="H23">
        <v>419</v>
      </c>
      <c r="I23">
        <v>10.272125519999999</v>
      </c>
      <c r="J23">
        <v>0.4</v>
      </c>
      <c r="K23">
        <f t="shared" si="0"/>
        <v>3</v>
      </c>
      <c r="N23">
        <v>1.5</v>
      </c>
      <c r="O23">
        <v>2</v>
      </c>
    </row>
    <row r="24" spans="1:15" x14ac:dyDescent="0.2">
      <c r="A24" t="s">
        <v>1075</v>
      </c>
      <c r="B24">
        <v>9001020800</v>
      </c>
      <c r="C24" t="s">
        <v>1076</v>
      </c>
      <c r="D24">
        <v>2939</v>
      </c>
      <c r="E24">
        <v>0.89402537800000004</v>
      </c>
      <c r="F24">
        <v>3287.3787179999999</v>
      </c>
      <c r="G24">
        <v>1</v>
      </c>
      <c r="H24">
        <v>438</v>
      </c>
      <c r="I24">
        <v>16.472358029999999</v>
      </c>
      <c r="J24">
        <v>0.64500000000000002</v>
      </c>
      <c r="K24">
        <f t="shared" si="0"/>
        <v>4</v>
      </c>
      <c r="N24">
        <v>2.5</v>
      </c>
      <c r="O24">
        <v>3</v>
      </c>
    </row>
    <row r="25" spans="1:15" x14ac:dyDescent="0.2">
      <c r="A25" t="s">
        <v>1077</v>
      </c>
      <c r="B25">
        <v>9001020900</v>
      </c>
      <c r="C25" t="s">
        <v>1078</v>
      </c>
      <c r="D25">
        <v>4906</v>
      </c>
      <c r="E25">
        <v>0.65956135699999996</v>
      </c>
      <c r="F25">
        <v>7438.2768910000004</v>
      </c>
      <c r="G25">
        <v>1</v>
      </c>
      <c r="H25">
        <v>963</v>
      </c>
      <c r="I25">
        <v>20.515551769999998</v>
      </c>
      <c r="J25">
        <v>0.753</v>
      </c>
      <c r="K25">
        <f t="shared" si="0"/>
        <v>4</v>
      </c>
      <c r="N25">
        <v>3.5</v>
      </c>
      <c r="O25">
        <v>4</v>
      </c>
    </row>
    <row r="26" spans="1:15" x14ac:dyDescent="0.2">
      <c r="A26" t="s">
        <v>1079</v>
      </c>
      <c r="B26">
        <v>9001021000</v>
      </c>
      <c r="C26" t="s">
        <v>1080</v>
      </c>
      <c r="D26">
        <v>3499</v>
      </c>
      <c r="E26">
        <v>0.73690341400000003</v>
      </c>
      <c r="F26">
        <v>4748.2477790000003</v>
      </c>
      <c r="G26">
        <v>1</v>
      </c>
      <c r="H26">
        <v>521</v>
      </c>
      <c r="I26">
        <v>15.65975353</v>
      </c>
      <c r="J26">
        <v>0.61599999999999999</v>
      </c>
      <c r="K26">
        <f t="shared" si="0"/>
        <v>4</v>
      </c>
      <c r="N26">
        <v>2.5</v>
      </c>
      <c r="O26">
        <v>3</v>
      </c>
    </row>
    <row r="27" spans="1:15" x14ac:dyDescent="0.2">
      <c r="A27" t="s">
        <v>1081</v>
      </c>
      <c r="B27">
        <v>9001021100</v>
      </c>
      <c r="C27" t="s">
        <v>1082</v>
      </c>
      <c r="D27">
        <v>5976</v>
      </c>
      <c r="E27">
        <v>0.71774579699999996</v>
      </c>
      <c r="F27">
        <v>8326.0675699999993</v>
      </c>
      <c r="G27">
        <v>1</v>
      </c>
      <c r="H27">
        <v>989</v>
      </c>
      <c r="I27">
        <v>15.17802333</v>
      </c>
      <c r="J27">
        <v>0.60399999999999998</v>
      </c>
      <c r="K27">
        <f t="shared" si="0"/>
        <v>4</v>
      </c>
      <c r="N27">
        <v>3</v>
      </c>
      <c r="O27">
        <v>3</v>
      </c>
    </row>
    <row r="28" spans="1:15" x14ac:dyDescent="0.2">
      <c r="A28" t="s">
        <v>1083</v>
      </c>
      <c r="B28">
        <v>9001021200</v>
      </c>
      <c r="C28" t="s">
        <v>1084</v>
      </c>
      <c r="D28">
        <v>4177</v>
      </c>
      <c r="E28">
        <v>0.923928219</v>
      </c>
      <c r="F28">
        <v>4520.9139779999996</v>
      </c>
      <c r="G28">
        <v>1</v>
      </c>
      <c r="H28">
        <v>732</v>
      </c>
      <c r="I28">
        <v>17.341862119999998</v>
      </c>
      <c r="J28">
        <v>0.66700000000000004</v>
      </c>
      <c r="K28">
        <f t="shared" si="0"/>
        <v>4</v>
      </c>
      <c r="N28">
        <v>2.5</v>
      </c>
      <c r="O28">
        <v>3</v>
      </c>
    </row>
    <row r="29" spans="1:15" x14ac:dyDescent="0.2">
      <c r="A29" t="s">
        <v>1085</v>
      </c>
      <c r="B29">
        <v>9001021300</v>
      </c>
      <c r="C29" t="s">
        <v>1086</v>
      </c>
      <c r="D29">
        <v>4422</v>
      </c>
      <c r="E29">
        <v>0.81323040899999999</v>
      </c>
      <c r="F29">
        <v>5437.5733520000003</v>
      </c>
      <c r="G29">
        <v>1</v>
      </c>
      <c r="H29">
        <v>812</v>
      </c>
      <c r="I29">
        <v>18.670958840000001</v>
      </c>
      <c r="J29">
        <v>0.71</v>
      </c>
      <c r="K29">
        <f t="shared" si="0"/>
        <v>4</v>
      </c>
      <c r="N29">
        <v>3</v>
      </c>
      <c r="O29">
        <v>3</v>
      </c>
    </row>
    <row r="30" spans="1:15" x14ac:dyDescent="0.2">
      <c r="A30" t="s">
        <v>1087</v>
      </c>
      <c r="B30">
        <v>9001021400</v>
      </c>
      <c r="C30" t="s">
        <v>1088</v>
      </c>
      <c r="D30">
        <v>6690</v>
      </c>
      <c r="E30">
        <v>0.63447745700000002</v>
      </c>
      <c r="F30">
        <v>10544.109839999999</v>
      </c>
      <c r="G30">
        <v>1</v>
      </c>
      <c r="H30">
        <v>1633</v>
      </c>
      <c r="I30">
        <v>22.4993111</v>
      </c>
      <c r="J30">
        <v>0.79200000000000004</v>
      </c>
      <c r="K30">
        <f t="shared" si="0"/>
        <v>4</v>
      </c>
      <c r="N30">
        <v>4</v>
      </c>
      <c r="O30">
        <v>4</v>
      </c>
    </row>
    <row r="31" spans="1:15" x14ac:dyDescent="0.2">
      <c r="A31" t="s">
        <v>1089</v>
      </c>
      <c r="B31">
        <v>9001021500</v>
      </c>
      <c r="C31" t="s">
        <v>1090</v>
      </c>
      <c r="D31">
        <v>6303</v>
      </c>
      <c r="E31">
        <v>0.29565851300000001</v>
      </c>
      <c r="F31">
        <v>21318.51352</v>
      </c>
      <c r="G31">
        <v>1</v>
      </c>
      <c r="H31">
        <v>2321</v>
      </c>
      <c r="I31">
        <v>35.873261210000003</v>
      </c>
      <c r="J31">
        <v>0.94099999999999995</v>
      </c>
      <c r="K31">
        <f t="shared" si="0"/>
        <v>5</v>
      </c>
      <c r="N31">
        <v>4.5</v>
      </c>
      <c r="O31">
        <v>5</v>
      </c>
    </row>
    <row r="32" spans="1:15" x14ac:dyDescent="0.2">
      <c r="A32" t="s">
        <v>1091</v>
      </c>
      <c r="B32">
        <v>9001021600</v>
      </c>
      <c r="C32" t="s">
        <v>1092</v>
      </c>
      <c r="D32">
        <v>7151</v>
      </c>
      <c r="E32">
        <v>0.31206708300000002</v>
      </c>
      <c r="F32">
        <v>22914.944869999999</v>
      </c>
      <c r="G32">
        <v>1</v>
      </c>
      <c r="H32">
        <v>3855</v>
      </c>
      <c r="I32">
        <v>50.683670790000001</v>
      </c>
      <c r="J32">
        <v>0.99199999999999999</v>
      </c>
      <c r="K32">
        <f t="shared" si="0"/>
        <v>5</v>
      </c>
      <c r="N32">
        <v>3.5</v>
      </c>
      <c r="O32">
        <v>4</v>
      </c>
    </row>
    <row r="33" spans="1:15" x14ac:dyDescent="0.2">
      <c r="A33" t="s">
        <v>1093</v>
      </c>
      <c r="B33">
        <v>9001021700</v>
      </c>
      <c r="C33" t="s">
        <v>1094</v>
      </c>
      <c r="D33">
        <v>7354</v>
      </c>
      <c r="E33">
        <v>0.297838832</v>
      </c>
      <c r="F33">
        <v>24691.206180000001</v>
      </c>
      <c r="G33">
        <v>1</v>
      </c>
      <c r="H33">
        <v>1989</v>
      </c>
      <c r="I33">
        <v>26.76985195</v>
      </c>
      <c r="J33">
        <v>0.85499999999999998</v>
      </c>
      <c r="K33">
        <f t="shared" si="0"/>
        <v>5</v>
      </c>
      <c r="N33">
        <v>3.5</v>
      </c>
      <c r="O33">
        <v>4</v>
      </c>
    </row>
    <row r="34" spans="1:15" x14ac:dyDescent="0.2">
      <c r="A34" t="s">
        <v>1095</v>
      </c>
      <c r="B34">
        <v>9001021801</v>
      </c>
      <c r="C34" t="s">
        <v>1096</v>
      </c>
      <c r="D34">
        <v>4334</v>
      </c>
      <c r="E34">
        <v>0.379816818</v>
      </c>
      <c r="F34">
        <v>11410.76382</v>
      </c>
      <c r="G34">
        <v>1</v>
      </c>
      <c r="H34">
        <v>1454</v>
      </c>
      <c r="I34">
        <v>31.608695650000001</v>
      </c>
      <c r="J34">
        <v>0.90600000000000003</v>
      </c>
      <c r="K34">
        <f t="shared" si="0"/>
        <v>5</v>
      </c>
      <c r="N34">
        <v>3.5</v>
      </c>
      <c r="O34">
        <v>4</v>
      </c>
    </row>
    <row r="35" spans="1:15" x14ac:dyDescent="0.2">
      <c r="A35" t="s">
        <v>1097</v>
      </c>
      <c r="B35">
        <v>9001021802</v>
      </c>
      <c r="C35" t="s">
        <v>1098</v>
      </c>
      <c r="D35">
        <v>5408</v>
      </c>
      <c r="E35">
        <v>0.55309136599999997</v>
      </c>
      <c r="F35">
        <v>9777.7697059999991</v>
      </c>
      <c r="G35">
        <v>1</v>
      </c>
      <c r="H35">
        <v>2075</v>
      </c>
      <c r="I35">
        <v>39.396240740000003</v>
      </c>
      <c r="J35">
        <v>0.96299999999999997</v>
      </c>
      <c r="K35">
        <f t="shared" si="0"/>
        <v>5</v>
      </c>
      <c r="N35">
        <v>4</v>
      </c>
      <c r="O35">
        <v>4</v>
      </c>
    </row>
    <row r="36" spans="1:15" x14ac:dyDescent="0.2">
      <c r="A36" t="s">
        <v>1099</v>
      </c>
      <c r="B36">
        <v>9001021900</v>
      </c>
      <c r="C36" t="s">
        <v>1100</v>
      </c>
      <c r="D36">
        <v>5713</v>
      </c>
      <c r="E36">
        <v>0.83050307599999995</v>
      </c>
      <c r="F36">
        <v>6878.9630850000003</v>
      </c>
      <c r="G36">
        <v>1</v>
      </c>
      <c r="H36">
        <v>1352</v>
      </c>
      <c r="I36">
        <v>21.859337109999998</v>
      </c>
      <c r="J36">
        <v>0.78600000000000003</v>
      </c>
      <c r="K36">
        <f t="shared" si="0"/>
        <v>4</v>
      </c>
      <c r="N36">
        <v>3.5</v>
      </c>
      <c r="O36">
        <v>4</v>
      </c>
    </row>
    <row r="37" spans="1:15" x14ac:dyDescent="0.2">
      <c r="A37" t="s">
        <v>1101</v>
      </c>
      <c r="B37">
        <v>9001022000</v>
      </c>
      <c r="C37" t="s">
        <v>1102</v>
      </c>
      <c r="D37">
        <v>2959</v>
      </c>
      <c r="E37">
        <v>0.28449398199999998</v>
      </c>
      <c r="F37">
        <v>10400.922989999999</v>
      </c>
      <c r="G37">
        <v>1</v>
      </c>
      <c r="H37">
        <v>560</v>
      </c>
      <c r="I37">
        <v>19.217570349999999</v>
      </c>
      <c r="J37">
        <v>0.72399999999999998</v>
      </c>
      <c r="K37">
        <f t="shared" si="0"/>
        <v>4</v>
      </c>
      <c r="N37">
        <v>3.5</v>
      </c>
      <c r="O37">
        <v>4</v>
      </c>
    </row>
    <row r="38" spans="1:15" x14ac:dyDescent="0.2">
      <c r="A38" t="s">
        <v>1103</v>
      </c>
      <c r="B38">
        <v>9001022100</v>
      </c>
      <c r="C38" t="s">
        <v>1104</v>
      </c>
      <c r="D38">
        <v>7213</v>
      </c>
      <c r="E38">
        <v>0.77745070599999999</v>
      </c>
      <c r="F38">
        <v>9277.7586300000003</v>
      </c>
      <c r="G38">
        <v>1</v>
      </c>
      <c r="H38">
        <v>2424</v>
      </c>
      <c r="I38">
        <v>29.745981100000002</v>
      </c>
      <c r="J38">
        <v>0.89100000000000001</v>
      </c>
      <c r="K38">
        <f t="shared" si="0"/>
        <v>5</v>
      </c>
      <c r="N38">
        <v>4</v>
      </c>
      <c r="O38">
        <v>4</v>
      </c>
    </row>
    <row r="39" spans="1:15" x14ac:dyDescent="0.2">
      <c r="A39" t="s">
        <v>1105</v>
      </c>
      <c r="B39">
        <v>9001022200</v>
      </c>
      <c r="C39" t="s">
        <v>1106</v>
      </c>
      <c r="D39">
        <v>3186</v>
      </c>
      <c r="E39">
        <v>0.55810142699999998</v>
      </c>
      <c r="F39">
        <v>5708.6397619999998</v>
      </c>
      <c r="G39">
        <v>1</v>
      </c>
      <c r="H39">
        <v>1696</v>
      </c>
      <c r="I39">
        <v>25.822168090000002</v>
      </c>
      <c r="J39">
        <v>0.84799999999999998</v>
      </c>
      <c r="K39">
        <f t="shared" si="0"/>
        <v>5</v>
      </c>
      <c r="N39">
        <v>3.5</v>
      </c>
      <c r="O39">
        <v>4</v>
      </c>
    </row>
    <row r="40" spans="1:15" x14ac:dyDescent="0.2">
      <c r="A40" t="s">
        <v>1107</v>
      </c>
      <c r="B40">
        <v>9001022300</v>
      </c>
      <c r="C40" t="s">
        <v>1108</v>
      </c>
      <c r="D40">
        <v>5763</v>
      </c>
      <c r="E40">
        <v>1.052924183</v>
      </c>
      <c r="F40">
        <v>5473.3285560000004</v>
      </c>
      <c r="G40">
        <v>1</v>
      </c>
      <c r="H40">
        <v>1350</v>
      </c>
      <c r="I40">
        <v>25.645896659999998</v>
      </c>
      <c r="J40">
        <v>0.84599999999999997</v>
      </c>
      <c r="K40">
        <f t="shared" si="0"/>
        <v>5</v>
      </c>
      <c r="N40">
        <v>3.5</v>
      </c>
      <c r="O40">
        <v>4</v>
      </c>
    </row>
    <row r="41" spans="1:15" x14ac:dyDescent="0.2">
      <c r="A41" t="s">
        <v>1109</v>
      </c>
      <c r="B41">
        <v>9001022400</v>
      </c>
      <c r="C41" t="s">
        <v>1110</v>
      </c>
      <c r="D41">
        <v>2391</v>
      </c>
      <c r="E41">
        <v>0.669854069</v>
      </c>
      <c r="F41">
        <v>3569.4341669999999</v>
      </c>
      <c r="G41">
        <v>1</v>
      </c>
      <c r="H41">
        <v>145</v>
      </c>
      <c r="I41">
        <v>6.7630597010000004</v>
      </c>
      <c r="J41">
        <v>0.22900000000000001</v>
      </c>
      <c r="K41">
        <f t="shared" si="0"/>
        <v>2</v>
      </c>
      <c r="N41">
        <v>1.5</v>
      </c>
      <c r="O41">
        <v>2</v>
      </c>
    </row>
    <row r="42" spans="1:15" x14ac:dyDescent="0.2">
      <c r="A42" t="s">
        <v>1111</v>
      </c>
      <c r="B42">
        <v>9001030100</v>
      </c>
      <c r="C42" t="s">
        <v>1112</v>
      </c>
      <c r="D42">
        <v>3502</v>
      </c>
      <c r="E42">
        <v>4.2567085249999996</v>
      </c>
      <c r="F42">
        <v>822.7013852</v>
      </c>
      <c r="G42">
        <v>1</v>
      </c>
      <c r="H42">
        <v>99</v>
      </c>
      <c r="I42">
        <v>2.7332965210000002</v>
      </c>
      <c r="J42">
        <v>3.3000000000000002E-2</v>
      </c>
      <c r="K42">
        <f t="shared" si="0"/>
        <v>1</v>
      </c>
      <c r="N42">
        <v>1</v>
      </c>
      <c r="O42">
        <v>1</v>
      </c>
    </row>
    <row r="43" spans="1:15" x14ac:dyDescent="0.2">
      <c r="A43" t="s">
        <v>1113</v>
      </c>
      <c r="B43">
        <v>9001030200</v>
      </c>
      <c r="C43" t="s">
        <v>1114</v>
      </c>
      <c r="D43">
        <v>3442</v>
      </c>
      <c r="E43">
        <v>1.7681356050000001</v>
      </c>
      <c r="F43">
        <v>1946.6832690000001</v>
      </c>
      <c r="G43">
        <v>1</v>
      </c>
      <c r="H43">
        <v>433</v>
      </c>
      <c r="I43">
        <v>12.047857540000001</v>
      </c>
      <c r="J43">
        <v>0.498</v>
      </c>
      <c r="K43">
        <f t="shared" si="0"/>
        <v>3</v>
      </c>
      <c r="N43">
        <v>2</v>
      </c>
      <c r="O43">
        <v>2</v>
      </c>
    </row>
    <row r="44" spans="1:15" x14ac:dyDescent="0.2">
      <c r="A44" t="s">
        <v>1115</v>
      </c>
      <c r="B44">
        <v>9001030300</v>
      </c>
      <c r="C44" t="s">
        <v>1116</v>
      </c>
      <c r="D44">
        <v>4156</v>
      </c>
      <c r="E44">
        <v>3.192658035</v>
      </c>
      <c r="F44">
        <v>1301.736658</v>
      </c>
      <c r="G44">
        <v>1</v>
      </c>
      <c r="H44">
        <v>262</v>
      </c>
      <c r="I44">
        <v>6.1072261069999998</v>
      </c>
      <c r="J44">
        <v>0.19400000000000001</v>
      </c>
      <c r="K44">
        <f t="shared" si="0"/>
        <v>1</v>
      </c>
      <c r="N44">
        <v>1</v>
      </c>
      <c r="O44">
        <v>1</v>
      </c>
    </row>
    <row r="45" spans="1:15" x14ac:dyDescent="0.2">
      <c r="A45" t="s">
        <v>1117</v>
      </c>
      <c r="B45">
        <v>9001030400</v>
      </c>
      <c r="C45" t="s">
        <v>1118</v>
      </c>
      <c r="D45">
        <v>3958</v>
      </c>
      <c r="E45">
        <v>1.3717754680000001</v>
      </c>
      <c r="F45">
        <v>2885.3118410000002</v>
      </c>
      <c r="G45">
        <v>1</v>
      </c>
      <c r="H45">
        <v>564</v>
      </c>
      <c r="I45">
        <v>13.233223840000001</v>
      </c>
      <c r="J45">
        <v>0.54300000000000004</v>
      </c>
      <c r="K45">
        <f t="shared" si="0"/>
        <v>3</v>
      </c>
      <c r="N45">
        <v>2</v>
      </c>
      <c r="O45">
        <v>2</v>
      </c>
    </row>
    <row r="46" spans="1:15" x14ac:dyDescent="0.2">
      <c r="A46" t="s">
        <v>1119</v>
      </c>
      <c r="B46">
        <v>9001030500</v>
      </c>
      <c r="C46" t="s">
        <v>1120</v>
      </c>
      <c r="D46">
        <v>5674</v>
      </c>
      <c r="E46">
        <v>2.0661180670000001</v>
      </c>
      <c r="F46">
        <v>2746.212857</v>
      </c>
      <c r="G46">
        <v>1</v>
      </c>
      <c r="H46">
        <v>847</v>
      </c>
      <c r="I46">
        <v>14.17810512</v>
      </c>
      <c r="J46">
        <v>0.58799999999999997</v>
      </c>
      <c r="K46">
        <f t="shared" si="0"/>
        <v>3</v>
      </c>
      <c r="N46">
        <v>2</v>
      </c>
      <c r="O46">
        <v>2</v>
      </c>
    </row>
    <row r="47" spans="1:15" x14ac:dyDescent="0.2">
      <c r="A47" t="s">
        <v>1121</v>
      </c>
      <c r="B47">
        <v>9001035100</v>
      </c>
      <c r="C47" t="s">
        <v>1122</v>
      </c>
      <c r="D47">
        <v>7406</v>
      </c>
      <c r="E47">
        <v>2.5365326019999999</v>
      </c>
      <c r="F47">
        <v>2919.7338110000001</v>
      </c>
      <c r="G47">
        <v>1</v>
      </c>
      <c r="H47">
        <v>698</v>
      </c>
      <c r="I47">
        <v>9.0672902050000008</v>
      </c>
      <c r="J47">
        <v>0.35199999999999998</v>
      </c>
      <c r="K47">
        <f t="shared" si="0"/>
        <v>2</v>
      </c>
      <c r="N47">
        <v>1.5</v>
      </c>
      <c r="O47">
        <v>2</v>
      </c>
    </row>
    <row r="48" spans="1:15" x14ac:dyDescent="0.2">
      <c r="A48" t="s">
        <v>1123</v>
      </c>
      <c r="B48">
        <v>9001035200</v>
      </c>
      <c r="C48" t="s">
        <v>1124</v>
      </c>
      <c r="D48">
        <v>3316</v>
      </c>
      <c r="E48">
        <v>6.7184581550000004</v>
      </c>
      <c r="F48">
        <v>493.56562530000002</v>
      </c>
      <c r="G48">
        <v>1</v>
      </c>
      <c r="H48">
        <v>232</v>
      </c>
      <c r="I48">
        <v>7.5324675320000001</v>
      </c>
      <c r="J48">
        <v>0.26300000000000001</v>
      </c>
      <c r="K48">
        <f t="shared" si="0"/>
        <v>2</v>
      </c>
      <c r="N48">
        <v>1.5</v>
      </c>
      <c r="O48">
        <v>2</v>
      </c>
    </row>
    <row r="49" spans="1:15" x14ac:dyDescent="0.2">
      <c r="A49" t="s">
        <v>1125</v>
      </c>
      <c r="B49">
        <v>9001035300</v>
      </c>
      <c r="C49" t="s">
        <v>1126</v>
      </c>
      <c r="D49">
        <v>3937</v>
      </c>
      <c r="E49">
        <v>5.1902715380000002</v>
      </c>
      <c r="F49">
        <v>758.53449499999999</v>
      </c>
      <c r="G49">
        <v>1</v>
      </c>
      <c r="H49">
        <v>496</v>
      </c>
      <c r="I49">
        <v>12.027158099999999</v>
      </c>
      <c r="J49">
        <v>0.496</v>
      </c>
      <c r="K49">
        <f t="shared" si="0"/>
        <v>3</v>
      </c>
      <c r="N49">
        <v>2</v>
      </c>
      <c r="O49">
        <v>2</v>
      </c>
    </row>
    <row r="50" spans="1:15" x14ac:dyDescent="0.2">
      <c r="A50" t="s">
        <v>1127</v>
      </c>
      <c r="B50">
        <v>9001035400</v>
      </c>
      <c r="C50" t="s">
        <v>1128</v>
      </c>
      <c r="D50">
        <v>5079</v>
      </c>
      <c r="E50">
        <v>7.74946409</v>
      </c>
      <c r="F50">
        <v>655.40015940000001</v>
      </c>
      <c r="G50">
        <v>1</v>
      </c>
      <c r="H50">
        <v>444</v>
      </c>
      <c r="I50">
        <v>8.2620022330000005</v>
      </c>
      <c r="J50">
        <v>0.30499999999999999</v>
      </c>
      <c r="K50">
        <f t="shared" si="0"/>
        <v>2</v>
      </c>
      <c r="N50">
        <v>1.5</v>
      </c>
      <c r="O50">
        <v>2</v>
      </c>
    </row>
    <row r="51" spans="1:15" x14ac:dyDescent="0.2">
      <c r="A51" t="s">
        <v>1129</v>
      </c>
      <c r="B51">
        <v>9001042500</v>
      </c>
      <c r="C51" t="s">
        <v>1130</v>
      </c>
      <c r="D51">
        <v>3719</v>
      </c>
      <c r="E51">
        <v>2.3958481659999999</v>
      </c>
      <c r="F51">
        <v>1552.2686510000001</v>
      </c>
      <c r="G51">
        <v>1</v>
      </c>
      <c r="H51">
        <v>209</v>
      </c>
      <c r="I51">
        <v>5.2433517309999997</v>
      </c>
      <c r="J51">
        <v>0.151</v>
      </c>
      <c r="K51">
        <f t="shared" si="0"/>
        <v>1</v>
      </c>
      <c r="N51">
        <v>1</v>
      </c>
      <c r="O51">
        <v>1</v>
      </c>
    </row>
    <row r="52" spans="1:15" x14ac:dyDescent="0.2">
      <c r="A52" t="s">
        <v>1131</v>
      </c>
      <c r="B52">
        <v>9001042600</v>
      </c>
      <c r="C52" t="s">
        <v>1132</v>
      </c>
      <c r="D52">
        <v>3911</v>
      </c>
      <c r="E52">
        <v>1.1352133680000001</v>
      </c>
      <c r="F52">
        <v>3445.167324</v>
      </c>
      <c r="G52">
        <v>1</v>
      </c>
      <c r="H52">
        <v>436</v>
      </c>
      <c r="I52">
        <v>10.84577114</v>
      </c>
      <c r="J52">
        <v>0.42699999999999999</v>
      </c>
      <c r="K52">
        <f t="shared" si="0"/>
        <v>3</v>
      </c>
      <c r="N52">
        <v>2</v>
      </c>
      <c r="O52">
        <v>2</v>
      </c>
    </row>
    <row r="53" spans="1:15" x14ac:dyDescent="0.2">
      <c r="A53" t="s">
        <v>1133</v>
      </c>
      <c r="B53">
        <v>9001042700</v>
      </c>
      <c r="C53" t="s">
        <v>1134</v>
      </c>
      <c r="D53">
        <v>4578</v>
      </c>
      <c r="E53">
        <v>1.631384393</v>
      </c>
      <c r="F53">
        <v>2806.2055890000001</v>
      </c>
      <c r="G53">
        <v>1</v>
      </c>
      <c r="H53">
        <v>787</v>
      </c>
      <c r="I53">
        <v>15.10556622</v>
      </c>
      <c r="J53">
        <v>0.60599999999999998</v>
      </c>
      <c r="K53">
        <f t="shared" si="0"/>
        <v>4</v>
      </c>
      <c r="N53">
        <v>3</v>
      </c>
      <c r="O53">
        <v>3</v>
      </c>
    </row>
    <row r="54" spans="1:15" x14ac:dyDescent="0.2">
      <c r="A54" t="s">
        <v>1135</v>
      </c>
      <c r="B54">
        <v>9001042800</v>
      </c>
      <c r="C54" t="s">
        <v>1136</v>
      </c>
      <c r="D54">
        <v>4606</v>
      </c>
      <c r="E54">
        <v>0.94225301400000006</v>
      </c>
      <c r="F54">
        <v>4888.2836459999999</v>
      </c>
      <c r="G54">
        <v>1</v>
      </c>
      <c r="H54">
        <v>500</v>
      </c>
      <c r="I54">
        <v>10.54629825</v>
      </c>
      <c r="J54">
        <v>0.42099999999999999</v>
      </c>
      <c r="K54">
        <f t="shared" si="0"/>
        <v>3</v>
      </c>
      <c r="N54">
        <v>2.5</v>
      </c>
      <c r="O54">
        <v>3</v>
      </c>
    </row>
    <row r="55" spans="1:15" x14ac:dyDescent="0.2">
      <c r="A55" t="s">
        <v>1137</v>
      </c>
      <c r="B55">
        <v>9001042900</v>
      </c>
      <c r="C55" t="s">
        <v>1138</v>
      </c>
      <c r="D55">
        <v>1651</v>
      </c>
      <c r="E55">
        <v>1.4757381119999999</v>
      </c>
      <c r="F55">
        <v>1118.762189</v>
      </c>
      <c r="G55">
        <v>1</v>
      </c>
      <c r="H55">
        <v>53</v>
      </c>
      <c r="I55">
        <v>3.417150226</v>
      </c>
      <c r="J55">
        <v>6.5000000000000002E-2</v>
      </c>
      <c r="K55">
        <f t="shared" si="0"/>
        <v>1</v>
      </c>
      <c r="N55">
        <v>1</v>
      </c>
      <c r="O55">
        <v>1</v>
      </c>
    </row>
    <row r="56" spans="1:15" x14ac:dyDescent="0.2">
      <c r="A56" t="s">
        <v>1139</v>
      </c>
      <c r="B56">
        <v>9001043000</v>
      </c>
      <c r="C56" t="s">
        <v>1140</v>
      </c>
      <c r="D56">
        <v>3090</v>
      </c>
      <c r="E56">
        <v>1.1605872310000001</v>
      </c>
      <c r="F56">
        <v>2662.4452849999998</v>
      </c>
      <c r="G56">
        <v>1</v>
      </c>
      <c r="H56">
        <v>339</v>
      </c>
      <c r="I56">
        <v>11.66953528</v>
      </c>
      <c r="J56">
        <v>0.46899999999999997</v>
      </c>
      <c r="K56">
        <f t="shared" si="0"/>
        <v>3</v>
      </c>
      <c r="N56">
        <v>2</v>
      </c>
      <c r="O56">
        <v>2</v>
      </c>
    </row>
    <row r="57" spans="1:15" x14ac:dyDescent="0.2">
      <c r="A57" t="s">
        <v>1141</v>
      </c>
      <c r="B57">
        <v>9001043100</v>
      </c>
      <c r="C57" t="s">
        <v>1142</v>
      </c>
      <c r="D57">
        <v>4341</v>
      </c>
      <c r="E57">
        <v>2.5629107160000002</v>
      </c>
      <c r="F57">
        <v>1693.7773030000001</v>
      </c>
      <c r="G57">
        <v>1</v>
      </c>
      <c r="H57">
        <v>1343</v>
      </c>
      <c r="I57">
        <v>29.069264069999999</v>
      </c>
      <c r="J57">
        <v>0.876</v>
      </c>
      <c r="K57">
        <f t="shared" si="0"/>
        <v>5</v>
      </c>
      <c r="N57">
        <v>3</v>
      </c>
      <c r="O57">
        <v>3</v>
      </c>
    </row>
    <row r="58" spans="1:15" x14ac:dyDescent="0.2">
      <c r="A58" t="s">
        <v>1143</v>
      </c>
      <c r="B58">
        <v>9001043200</v>
      </c>
      <c r="C58" t="s">
        <v>1144</v>
      </c>
      <c r="D58">
        <v>3074</v>
      </c>
      <c r="E58">
        <v>1.0673705819999999</v>
      </c>
      <c r="F58">
        <v>2879.9744439999999</v>
      </c>
      <c r="G58">
        <v>1</v>
      </c>
      <c r="H58">
        <v>406</v>
      </c>
      <c r="I58">
        <v>12.663755460000001</v>
      </c>
      <c r="J58">
        <v>0.52200000000000002</v>
      </c>
      <c r="K58">
        <f t="shared" si="0"/>
        <v>3</v>
      </c>
      <c r="N58">
        <v>3</v>
      </c>
      <c r="O58">
        <v>3</v>
      </c>
    </row>
    <row r="59" spans="1:15" x14ac:dyDescent="0.2">
      <c r="A59" t="s">
        <v>1145</v>
      </c>
      <c r="B59">
        <v>9001043300</v>
      </c>
      <c r="C59" t="s">
        <v>1146</v>
      </c>
      <c r="D59">
        <v>3196</v>
      </c>
      <c r="E59">
        <v>0.476063982</v>
      </c>
      <c r="F59">
        <v>6713.3833320000003</v>
      </c>
      <c r="G59">
        <v>1</v>
      </c>
      <c r="H59">
        <v>629</v>
      </c>
      <c r="I59">
        <v>21.387283239999999</v>
      </c>
      <c r="J59">
        <v>0.77100000000000002</v>
      </c>
      <c r="K59">
        <f t="shared" si="0"/>
        <v>4</v>
      </c>
      <c r="N59">
        <v>3</v>
      </c>
      <c r="O59">
        <v>3</v>
      </c>
    </row>
    <row r="60" spans="1:15" x14ac:dyDescent="0.2">
      <c r="A60" t="s">
        <v>1147</v>
      </c>
      <c r="B60">
        <v>9001043400</v>
      </c>
      <c r="C60" t="s">
        <v>1148</v>
      </c>
      <c r="D60">
        <v>4471</v>
      </c>
      <c r="E60">
        <v>0.52465571300000002</v>
      </c>
      <c r="F60">
        <v>8521.7789339999999</v>
      </c>
      <c r="G60">
        <v>1</v>
      </c>
      <c r="H60">
        <v>1003</v>
      </c>
      <c r="I60">
        <v>23.11592533</v>
      </c>
      <c r="J60">
        <v>0.80200000000000005</v>
      </c>
      <c r="K60">
        <f t="shared" si="0"/>
        <v>5</v>
      </c>
      <c r="N60">
        <v>4</v>
      </c>
      <c r="O60">
        <v>4</v>
      </c>
    </row>
    <row r="61" spans="1:15" x14ac:dyDescent="0.2">
      <c r="A61" t="s">
        <v>1149</v>
      </c>
      <c r="B61">
        <v>9001043500</v>
      </c>
      <c r="C61" t="s">
        <v>1150</v>
      </c>
      <c r="D61">
        <v>2604</v>
      </c>
      <c r="E61">
        <v>0.7078527</v>
      </c>
      <c r="F61">
        <v>3678.7314620000002</v>
      </c>
      <c r="G61">
        <v>1</v>
      </c>
      <c r="H61">
        <v>126</v>
      </c>
      <c r="I61">
        <v>5.1702913419999996</v>
      </c>
      <c r="J61">
        <v>0.14299999999999999</v>
      </c>
      <c r="K61">
        <f t="shared" si="0"/>
        <v>1</v>
      </c>
      <c r="N61">
        <v>1.5</v>
      </c>
      <c r="O61">
        <v>2</v>
      </c>
    </row>
    <row r="62" spans="1:15" x14ac:dyDescent="0.2">
      <c r="A62" t="s">
        <v>1151</v>
      </c>
      <c r="B62">
        <v>9001043600</v>
      </c>
      <c r="C62" t="s">
        <v>1152</v>
      </c>
      <c r="D62">
        <v>3080</v>
      </c>
      <c r="E62">
        <v>0.55776783500000005</v>
      </c>
      <c r="F62">
        <v>5522.0107820000003</v>
      </c>
      <c r="G62">
        <v>1</v>
      </c>
      <c r="H62">
        <v>543</v>
      </c>
      <c r="I62">
        <v>17.607003890000001</v>
      </c>
      <c r="J62">
        <v>0.68400000000000005</v>
      </c>
      <c r="K62">
        <f t="shared" si="0"/>
        <v>4</v>
      </c>
      <c r="N62">
        <v>3</v>
      </c>
      <c r="O62">
        <v>3</v>
      </c>
    </row>
    <row r="63" spans="1:15" x14ac:dyDescent="0.2">
      <c r="A63" t="s">
        <v>1153</v>
      </c>
      <c r="B63">
        <v>9001043700</v>
      </c>
      <c r="C63" t="s">
        <v>1154</v>
      </c>
      <c r="D63">
        <v>2039</v>
      </c>
      <c r="E63">
        <v>0.45569014200000002</v>
      </c>
      <c r="F63">
        <v>4474.5317290000003</v>
      </c>
      <c r="G63">
        <v>1</v>
      </c>
      <c r="H63">
        <v>468</v>
      </c>
      <c r="I63">
        <v>18.048592360000001</v>
      </c>
      <c r="J63">
        <v>0.69799999999999995</v>
      </c>
      <c r="K63">
        <f t="shared" si="0"/>
        <v>4</v>
      </c>
      <c r="N63">
        <v>3.5</v>
      </c>
      <c r="O63">
        <v>4</v>
      </c>
    </row>
    <row r="64" spans="1:15" x14ac:dyDescent="0.2">
      <c r="A64" t="s">
        <v>1155</v>
      </c>
      <c r="B64">
        <v>9001043800</v>
      </c>
      <c r="C64" t="s">
        <v>1156</v>
      </c>
      <c r="D64">
        <v>7650</v>
      </c>
      <c r="E64">
        <v>0.747887635</v>
      </c>
      <c r="F64">
        <v>10228.809310000001</v>
      </c>
      <c r="G64">
        <v>1</v>
      </c>
      <c r="H64">
        <v>1380</v>
      </c>
      <c r="I64">
        <v>19.714285709999999</v>
      </c>
      <c r="J64">
        <v>0.73799999999999999</v>
      </c>
      <c r="K64">
        <f t="shared" si="0"/>
        <v>4</v>
      </c>
      <c r="N64">
        <v>3.5</v>
      </c>
      <c r="O64">
        <v>4</v>
      </c>
    </row>
    <row r="65" spans="1:15" x14ac:dyDescent="0.2">
      <c r="A65" t="s">
        <v>1157</v>
      </c>
      <c r="B65">
        <v>9001043900</v>
      </c>
      <c r="C65" t="s">
        <v>1158</v>
      </c>
      <c r="D65">
        <v>5456</v>
      </c>
      <c r="E65">
        <v>1.337302335</v>
      </c>
      <c r="F65">
        <v>4079.855286</v>
      </c>
      <c r="G65">
        <v>1</v>
      </c>
      <c r="H65">
        <v>1584</v>
      </c>
      <c r="I65">
        <v>25.043478260000001</v>
      </c>
      <c r="J65">
        <v>0.82799999999999996</v>
      </c>
      <c r="K65">
        <f t="shared" si="0"/>
        <v>5</v>
      </c>
      <c r="N65">
        <v>3.5</v>
      </c>
      <c r="O65">
        <v>4</v>
      </c>
    </row>
    <row r="66" spans="1:15" x14ac:dyDescent="0.2">
      <c r="A66" t="s">
        <v>1159</v>
      </c>
      <c r="B66">
        <v>9001044000</v>
      </c>
      <c r="C66" t="s">
        <v>1160</v>
      </c>
      <c r="D66">
        <v>5974</v>
      </c>
      <c r="E66">
        <v>0.46937746400000002</v>
      </c>
      <c r="F66">
        <v>12727.496429999999</v>
      </c>
      <c r="G66">
        <v>1</v>
      </c>
      <c r="H66">
        <v>1067</v>
      </c>
      <c r="I66">
        <v>18.00236207</v>
      </c>
      <c r="J66">
        <v>0.69799999999999995</v>
      </c>
      <c r="K66">
        <f t="shared" si="0"/>
        <v>4</v>
      </c>
      <c r="N66">
        <v>4</v>
      </c>
      <c r="O66">
        <v>4</v>
      </c>
    </row>
    <row r="67" spans="1:15" x14ac:dyDescent="0.2">
      <c r="A67" t="s">
        <v>1161</v>
      </c>
      <c r="B67">
        <v>9001044100</v>
      </c>
      <c r="C67" t="s">
        <v>1162</v>
      </c>
      <c r="D67">
        <v>3509</v>
      </c>
      <c r="E67">
        <v>0.39489217700000001</v>
      </c>
      <c r="F67">
        <v>8885.9699010000004</v>
      </c>
      <c r="G67">
        <v>1</v>
      </c>
      <c r="H67">
        <v>487</v>
      </c>
      <c r="I67">
        <v>14.545997610000001</v>
      </c>
      <c r="J67">
        <v>0.59299999999999997</v>
      </c>
      <c r="K67">
        <f t="shared" ref="K67:K130" si="1">IF(J67&lt;0.2,1,IF(J67&lt;0.4,2,IF(J67&lt;0.6,3,IF(J67&lt;0.8,4,5))))</f>
        <v>3</v>
      </c>
      <c r="N67">
        <v>3</v>
      </c>
      <c r="O67">
        <v>3</v>
      </c>
    </row>
    <row r="68" spans="1:15" x14ac:dyDescent="0.2">
      <c r="A68" t="s">
        <v>1163</v>
      </c>
      <c r="B68">
        <v>9001044200</v>
      </c>
      <c r="C68" t="s">
        <v>1164</v>
      </c>
      <c r="D68">
        <v>3994</v>
      </c>
      <c r="E68">
        <v>0.55958985100000003</v>
      </c>
      <c r="F68">
        <v>7137.3703260000002</v>
      </c>
      <c r="G68">
        <v>1</v>
      </c>
      <c r="H68">
        <v>662</v>
      </c>
      <c r="I68">
        <v>16.225490199999999</v>
      </c>
      <c r="J68">
        <v>0.64200000000000002</v>
      </c>
      <c r="K68">
        <f t="shared" si="1"/>
        <v>4</v>
      </c>
      <c r="N68">
        <v>4</v>
      </c>
      <c r="O68">
        <v>4</v>
      </c>
    </row>
    <row r="69" spans="1:15" x14ac:dyDescent="0.2">
      <c r="A69" t="s">
        <v>1165</v>
      </c>
      <c r="B69">
        <v>9001044300</v>
      </c>
      <c r="C69" t="s">
        <v>1166</v>
      </c>
      <c r="D69">
        <v>3898</v>
      </c>
      <c r="E69">
        <v>1.5010664140000001</v>
      </c>
      <c r="F69">
        <v>2596.8204759999999</v>
      </c>
      <c r="G69">
        <v>1</v>
      </c>
      <c r="H69">
        <v>512</v>
      </c>
      <c r="I69">
        <v>11.479820630000001</v>
      </c>
      <c r="J69">
        <v>0.46700000000000003</v>
      </c>
      <c r="K69">
        <f t="shared" si="1"/>
        <v>3</v>
      </c>
      <c r="N69">
        <v>2.5</v>
      </c>
      <c r="O69">
        <v>3</v>
      </c>
    </row>
    <row r="70" spans="1:15" x14ac:dyDescent="0.2">
      <c r="A70" t="s">
        <v>1167</v>
      </c>
      <c r="B70">
        <v>9001044400</v>
      </c>
      <c r="C70" t="s">
        <v>1168</v>
      </c>
      <c r="D70">
        <v>3572</v>
      </c>
      <c r="E70">
        <v>1.0294344989999999</v>
      </c>
      <c r="F70">
        <v>3469.8662250000002</v>
      </c>
      <c r="G70">
        <v>1</v>
      </c>
      <c r="H70">
        <v>386</v>
      </c>
      <c r="I70">
        <v>9.6067695369999999</v>
      </c>
      <c r="J70">
        <v>0.38800000000000001</v>
      </c>
      <c r="K70">
        <f t="shared" si="1"/>
        <v>2</v>
      </c>
      <c r="N70">
        <v>2.5</v>
      </c>
      <c r="O70">
        <v>3</v>
      </c>
    </row>
    <row r="71" spans="1:15" x14ac:dyDescent="0.2">
      <c r="A71" t="s">
        <v>1169</v>
      </c>
      <c r="B71">
        <v>9001044500</v>
      </c>
      <c r="C71" t="s">
        <v>1170</v>
      </c>
      <c r="D71">
        <v>3641</v>
      </c>
      <c r="E71">
        <v>0.42296721100000001</v>
      </c>
      <c r="F71">
        <v>8608.2322889999996</v>
      </c>
      <c r="G71">
        <v>1</v>
      </c>
      <c r="H71">
        <v>407</v>
      </c>
      <c r="I71">
        <v>10.036991370000001</v>
      </c>
      <c r="J71">
        <v>0.40100000000000002</v>
      </c>
      <c r="K71">
        <f t="shared" si="1"/>
        <v>3</v>
      </c>
      <c r="N71">
        <v>4</v>
      </c>
      <c r="O71">
        <v>4</v>
      </c>
    </row>
    <row r="72" spans="1:15" x14ac:dyDescent="0.2">
      <c r="A72" t="s">
        <v>1171</v>
      </c>
      <c r="B72">
        <v>9001044600</v>
      </c>
      <c r="C72" t="s">
        <v>1172</v>
      </c>
      <c r="D72">
        <v>3549</v>
      </c>
      <c r="E72">
        <v>1.3041183970000001</v>
      </c>
      <c r="F72">
        <v>2721.378678</v>
      </c>
      <c r="G72">
        <v>1</v>
      </c>
      <c r="H72">
        <v>169</v>
      </c>
      <c r="I72">
        <v>4.5030642150000002</v>
      </c>
      <c r="J72">
        <v>0.113</v>
      </c>
      <c r="K72">
        <f t="shared" si="1"/>
        <v>1</v>
      </c>
      <c r="N72">
        <v>1</v>
      </c>
      <c r="O72">
        <v>1</v>
      </c>
    </row>
    <row r="73" spans="1:15" x14ac:dyDescent="0.2">
      <c r="A73" t="s">
        <v>1173</v>
      </c>
      <c r="B73">
        <v>9001045101</v>
      </c>
      <c r="C73" t="s">
        <v>1174</v>
      </c>
      <c r="D73">
        <v>4170</v>
      </c>
      <c r="E73">
        <v>7.5988753620000002</v>
      </c>
      <c r="F73">
        <v>548.76541610000004</v>
      </c>
      <c r="G73">
        <v>1</v>
      </c>
      <c r="H73">
        <v>464</v>
      </c>
      <c r="I73">
        <v>11.476626270000001</v>
      </c>
      <c r="J73">
        <v>0.46400000000000002</v>
      </c>
      <c r="K73">
        <f t="shared" si="1"/>
        <v>3</v>
      </c>
      <c r="N73">
        <v>2</v>
      </c>
      <c r="O73">
        <v>2</v>
      </c>
    </row>
    <row r="74" spans="1:15" x14ac:dyDescent="0.2">
      <c r="A74" t="s">
        <v>1175</v>
      </c>
      <c r="B74">
        <v>9001045102</v>
      </c>
      <c r="C74" t="s">
        <v>1176</v>
      </c>
      <c r="D74">
        <v>6034</v>
      </c>
      <c r="E74">
        <v>10.38438788</v>
      </c>
      <c r="F74">
        <v>581.06458169999996</v>
      </c>
      <c r="G74">
        <v>1</v>
      </c>
      <c r="H74">
        <v>650</v>
      </c>
      <c r="I74">
        <v>10.45856798</v>
      </c>
      <c r="J74">
        <v>0.42299999999999999</v>
      </c>
      <c r="K74">
        <f t="shared" si="1"/>
        <v>3</v>
      </c>
      <c r="N74">
        <v>2</v>
      </c>
      <c r="O74">
        <v>2</v>
      </c>
    </row>
    <row r="75" spans="1:15" x14ac:dyDescent="0.2">
      <c r="A75" t="s">
        <v>1177</v>
      </c>
      <c r="B75">
        <v>9001045200</v>
      </c>
      <c r="C75" t="s">
        <v>1178</v>
      </c>
      <c r="D75">
        <v>2367</v>
      </c>
      <c r="E75">
        <v>3.1288805200000001</v>
      </c>
      <c r="F75">
        <v>756.50060299999996</v>
      </c>
      <c r="G75">
        <v>1</v>
      </c>
      <c r="H75">
        <v>270</v>
      </c>
      <c r="I75">
        <v>10.88270859</v>
      </c>
      <c r="J75">
        <v>0.432</v>
      </c>
      <c r="K75">
        <f t="shared" si="1"/>
        <v>3</v>
      </c>
      <c r="N75">
        <v>2</v>
      </c>
      <c r="O75">
        <v>2</v>
      </c>
    </row>
    <row r="76" spans="1:15" x14ac:dyDescent="0.2">
      <c r="A76" t="s">
        <v>1179</v>
      </c>
      <c r="B76">
        <v>9001045300</v>
      </c>
      <c r="C76" t="s">
        <v>1180</v>
      </c>
      <c r="D76">
        <v>2461</v>
      </c>
      <c r="E76">
        <v>2.7043117570000001</v>
      </c>
      <c r="F76">
        <v>910.02821449999999</v>
      </c>
      <c r="G76">
        <v>1</v>
      </c>
      <c r="H76">
        <v>378</v>
      </c>
      <c r="I76">
        <v>15.01787843</v>
      </c>
      <c r="J76">
        <v>0.60399999999999998</v>
      </c>
      <c r="K76">
        <f t="shared" si="1"/>
        <v>4</v>
      </c>
      <c r="N76">
        <v>2.5</v>
      </c>
      <c r="O76">
        <v>3</v>
      </c>
    </row>
    <row r="77" spans="1:15" x14ac:dyDescent="0.2">
      <c r="A77" t="s">
        <v>1181</v>
      </c>
      <c r="B77">
        <v>9001045400</v>
      </c>
      <c r="C77" t="s">
        <v>1182</v>
      </c>
      <c r="D77">
        <v>3030</v>
      </c>
      <c r="E77">
        <v>2.988514232</v>
      </c>
      <c r="F77">
        <v>1013.881737</v>
      </c>
      <c r="G77">
        <v>1</v>
      </c>
      <c r="H77">
        <v>501</v>
      </c>
      <c r="I77">
        <v>15.62207671</v>
      </c>
      <c r="J77">
        <v>0.61899999999999999</v>
      </c>
      <c r="K77">
        <f t="shared" si="1"/>
        <v>4</v>
      </c>
      <c r="N77">
        <v>2.5</v>
      </c>
      <c r="O77">
        <v>3</v>
      </c>
    </row>
    <row r="78" spans="1:15" x14ac:dyDescent="0.2">
      <c r="A78" t="s">
        <v>1183</v>
      </c>
      <c r="B78">
        <v>9001050100</v>
      </c>
      <c r="C78" t="s">
        <v>1184</v>
      </c>
      <c r="D78">
        <v>3828</v>
      </c>
      <c r="E78">
        <v>3.3668835530000001</v>
      </c>
      <c r="F78">
        <v>1136.9564580000001</v>
      </c>
      <c r="G78">
        <v>1</v>
      </c>
      <c r="H78">
        <v>398</v>
      </c>
      <c r="I78">
        <v>8.8878963819999992</v>
      </c>
      <c r="J78">
        <v>0.34799999999999998</v>
      </c>
      <c r="K78">
        <f t="shared" si="1"/>
        <v>2</v>
      </c>
      <c r="N78">
        <v>1.5</v>
      </c>
      <c r="O78">
        <v>2</v>
      </c>
    </row>
    <row r="79" spans="1:15" x14ac:dyDescent="0.2">
      <c r="A79" t="s">
        <v>1185</v>
      </c>
      <c r="B79">
        <v>9001050200</v>
      </c>
      <c r="C79" t="s">
        <v>1186</v>
      </c>
      <c r="D79">
        <v>4008</v>
      </c>
      <c r="E79">
        <v>1.8709503670000001</v>
      </c>
      <c r="F79">
        <v>2142.2267900000002</v>
      </c>
      <c r="G79">
        <v>1</v>
      </c>
      <c r="H79">
        <v>631</v>
      </c>
      <c r="I79">
        <v>16.37684921</v>
      </c>
      <c r="J79">
        <v>0.64500000000000002</v>
      </c>
      <c r="K79">
        <f t="shared" si="1"/>
        <v>4</v>
      </c>
      <c r="N79">
        <v>2.5</v>
      </c>
      <c r="O79">
        <v>3</v>
      </c>
    </row>
    <row r="80" spans="1:15" x14ac:dyDescent="0.2">
      <c r="A80" t="s">
        <v>1187</v>
      </c>
      <c r="B80">
        <v>9001050300</v>
      </c>
      <c r="C80" t="s">
        <v>1188</v>
      </c>
      <c r="D80">
        <v>8122</v>
      </c>
      <c r="E80">
        <v>6.7994658660000002</v>
      </c>
      <c r="F80">
        <v>1194.505592</v>
      </c>
      <c r="G80">
        <v>1</v>
      </c>
      <c r="H80">
        <v>958</v>
      </c>
      <c r="I80">
        <v>10.84200996</v>
      </c>
      <c r="J80">
        <v>0.43099999999999999</v>
      </c>
      <c r="K80">
        <f t="shared" si="1"/>
        <v>3</v>
      </c>
      <c r="N80">
        <v>2</v>
      </c>
      <c r="O80">
        <v>2</v>
      </c>
    </row>
    <row r="81" spans="1:15" x14ac:dyDescent="0.2">
      <c r="A81" t="s">
        <v>1189</v>
      </c>
      <c r="B81">
        <v>9001050400</v>
      </c>
      <c r="C81" t="s">
        <v>1190</v>
      </c>
      <c r="D81">
        <v>2341</v>
      </c>
      <c r="E81">
        <v>1.3905149370000001</v>
      </c>
      <c r="F81">
        <v>1683.548978</v>
      </c>
      <c r="G81">
        <v>1</v>
      </c>
      <c r="H81">
        <v>260</v>
      </c>
      <c r="I81">
        <v>11.0685398</v>
      </c>
      <c r="J81">
        <v>0.441</v>
      </c>
      <c r="K81">
        <f t="shared" si="1"/>
        <v>3</v>
      </c>
      <c r="N81">
        <v>2</v>
      </c>
      <c r="O81">
        <v>2</v>
      </c>
    </row>
    <row r="82" spans="1:15" x14ac:dyDescent="0.2">
      <c r="A82" t="s">
        <v>1191</v>
      </c>
      <c r="B82">
        <v>9001050500</v>
      </c>
      <c r="C82" t="s">
        <v>1192</v>
      </c>
      <c r="D82">
        <v>4744</v>
      </c>
      <c r="E82">
        <v>2.6118121009999999</v>
      </c>
      <c r="F82">
        <v>1816.363435</v>
      </c>
      <c r="G82">
        <v>1</v>
      </c>
      <c r="H82">
        <v>311</v>
      </c>
      <c r="I82">
        <v>6.1040235530000002</v>
      </c>
      <c r="J82">
        <v>0.19800000000000001</v>
      </c>
      <c r="K82">
        <f t="shared" si="1"/>
        <v>1</v>
      </c>
      <c r="N82">
        <v>1</v>
      </c>
      <c r="O82">
        <v>1</v>
      </c>
    </row>
    <row r="83" spans="1:15" x14ac:dyDescent="0.2">
      <c r="A83" t="s">
        <v>1193</v>
      </c>
      <c r="B83">
        <v>9001050600</v>
      </c>
      <c r="C83" t="s">
        <v>1194</v>
      </c>
      <c r="D83">
        <v>3348</v>
      </c>
      <c r="E83">
        <v>3.9181231730000001</v>
      </c>
      <c r="F83">
        <v>854.49074780000001</v>
      </c>
      <c r="G83">
        <v>1</v>
      </c>
      <c r="H83">
        <v>462</v>
      </c>
      <c r="I83">
        <v>13.56828194</v>
      </c>
      <c r="J83">
        <v>0.55800000000000005</v>
      </c>
      <c r="K83">
        <f t="shared" si="1"/>
        <v>3</v>
      </c>
      <c r="N83">
        <v>2</v>
      </c>
      <c r="O83">
        <v>2</v>
      </c>
    </row>
    <row r="84" spans="1:15" x14ac:dyDescent="0.2">
      <c r="A84" t="s">
        <v>1195</v>
      </c>
      <c r="B84">
        <v>9001055100</v>
      </c>
      <c r="C84" t="s">
        <v>1196</v>
      </c>
      <c r="D84">
        <v>5807</v>
      </c>
      <c r="E84">
        <v>13.373285129999999</v>
      </c>
      <c r="F84">
        <v>434.22389820000001</v>
      </c>
      <c r="G84">
        <v>1</v>
      </c>
      <c r="H84">
        <v>942</v>
      </c>
      <c r="I84">
        <v>16.875671799999999</v>
      </c>
      <c r="J84">
        <v>0.65700000000000003</v>
      </c>
      <c r="K84">
        <f t="shared" si="1"/>
        <v>4</v>
      </c>
      <c r="N84">
        <v>2.5</v>
      </c>
      <c r="O84">
        <v>3</v>
      </c>
    </row>
    <row r="85" spans="1:15" x14ac:dyDescent="0.2">
      <c r="A85" t="s">
        <v>1197</v>
      </c>
      <c r="B85">
        <v>9001055200</v>
      </c>
      <c r="C85" t="s">
        <v>1198</v>
      </c>
      <c r="D85">
        <v>4372</v>
      </c>
      <c r="E85">
        <v>6.4253919320000001</v>
      </c>
      <c r="F85">
        <v>680.42541930000004</v>
      </c>
      <c r="G85">
        <v>1</v>
      </c>
      <c r="H85">
        <v>241</v>
      </c>
      <c r="I85">
        <v>5.1222104140000004</v>
      </c>
      <c r="J85">
        <v>0.14299999999999999</v>
      </c>
      <c r="K85">
        <f t="shared" si="1"/>
        <v>1</v>
      </c>
      <c r="N85">
        <v>1</v>
      </c>
      <c r="O85">
        <v>1</v>
      </c>
    </row>
    <row r="86" spans="1:15" x14ac:dyDescent="0.2">
      <c r="A86" t="s">
        <v>1199</v>
      </c>
      <c r="B86">
        <v>9001060100</v>
      </c>
      <c r="C86" t="s">
        <v>1200</v>
      </c>
      <c r="D86">
        <v>4152</v>
      </c>
      <c r="E86">
        <v>1.5389893699999999</v>
      </c>
      <c r="F86">
        <v>2697.8743850000001</v>
      </c>
      <c r="G86">
        <v>1</v>
      </c>
      <c r="H86">
        <v>333</v>
      </c>
      <c r="I86">
        <v>7.5441776169999999</v>
      </c>
      <c r="J86">
        <v>0.26900000000000002</v>
      </c>
      <c r="K86">
        <f t="shared" si="1"/>
        <v>2</v>
      </c>
      <c r="N86">
        <v>1.5</v>
      </c>
      <c r="O86">
        <v>2</v>
      </c>
    </row>
    <row r="87" spans="1:15" x14ac:dyDescent="0.2">
      <c r="A87" t="s">
        <v>1201</v>
      </c>
      <c r="B87">
        <v>9001060200</v>
      </c>
      <c r="C87" t="s">
        <v>1202</v>
      </c>
      <c r="D87">
        <v>4164</v>
      </c>
      <c r="E87">
        <v>1.5648427709999999</v>
      </c>
      <c r="F87">
        <v>2660.9702109999998</v>
      </c>
      <c r="G87">
        <v>1</v>
      </c>
      <c r="H87">
        <v>523</v>
      </c>
      <c r="I87">
        <v>11.992662230000001</v>
      </c>
      <c r="J87">
        <v>0.49099999999999999</v>
      </c>
      <c r="K87">
        <f t="shared" si="1"/>
        <v>3</v>
      </c>
      <c r="N87">
        <v>2</v>
      </c>
      <c r="O87">
        <v>2</v>
      </c>
    </row>
    <row r="88" spans="1:15" x14ac:dyDescent="0.2">
      <c r="A88" t="s">
        <v>1203</v>
      </c>
      <c r="B88">
        <v>9001060300</v>
      </c>
      <c r="C88" t="s">
        <v>1204</v>
      </c>
      <c r="D88">
        <v>4088</v>
      </c>
      <c r="E88">
        <v>4.510610088</v>
      </c>
      <c r="F88">
        <v>906.30755499999998</v>
      </c>
      <c r="G88">
        <v>1</v>
      </c>
      <c r="H88">
        <v>260</v>
      </c>
      <c r="I88">
        <v>6.5689742290000002</v>
      </c>
      <c r="J88">
        <v>0.221</v>
      </c>
      <c r="K88">
        <f t="shared" si="1"/>
        <v>2</v>
      </c>
      <c r="N88">
        <v>1.5</v>
      </c>
      <c r="O88">
        <v>2</v>
      </c>
    </row>
    <row r="89" spans="1:15" x14ac:dyDescent="0.2">
      <c r="A89" t="s">
        <v>1205</v>
      </c>
      <c r="B89">
        <v>9001060400</v>
      </c>
      <c r="C89" t="s">
        <v>1206</v>
      </c>
      <c r="D89">
        <v>4443</v>
      </c>
      <c r="E89">
        <v>8.6430863769999995</v>
      </c>
      <c r="F89">
        <v>514.0524815</v>
      </c>
      <c r="G89">
        <v>1</v>
      </c>
      <c r="H89">
        <v>233</v>
      </c>
      <c r="I89">
        <v>5.1548672570000003</v>
      </c>
      <c r="J89">
        <v>0.14399999999999999</v>
      </c>
      <c r="K89">
        <f t="shared" si="1"/>
        <v>1</v>
      </c>
      <c r="N89">
        <v>1</v>
      </c>
      <c r="O89">
        <v>1</v>
      </c>
    </row>
    <row r="90" spans="1:15" x14ac:dyDescent="0.2">
      <c r="A90" t="s">
        <v>1207</v>
      </c>
      <c r="B90">
        <v>9001060500</v>
      </c>
      <c r="C90" t="s">
        <v>1208</v>
      </c>
      <c r="D90">
        <v>2841</v>
      </c>
      <c r="E90">
        <v>2.110052633</v>
      </c>
      <c r="F90">
        <v>1346.411912</v>
      </c>
      <c r="G90">
        <v>1</v>
      </c>
      <c r="H90">
        <v>162</v>
      </c>
      <c r="I90">
        <v>5.8653149889999998</v>
      </c>
      <c r="J90">
        <v>0.182</v>
      </c>
      <c r="K90">
        <f t="shared" si="1"/>
        <v>1</v>
      </c>
      <c r="N90">
        <v>1</v>
      </c>
      <c r="O90">
        <v>1</v>
      </c>
    </row>
    <row r="91" spans="1:15" x14ac:dyDescent="0.2">
      <c r="A91" t="s">
        <v>1209</v>
      </c>
      <c r="B91">
        <v>9001060600</v>
      </c>
      <c r="C91" t="s">
        <v>1210</v>
      </c>
      <c r="D91">
        <v>2336</v>
      </c>
      <c r="E91">
        <v>1.191219805</v>
      </c>
      <c r="F91">
        <v>1961.015079</v>
      </c>
      <c r="G91">
        <v>1</v>
      </c>
      <c r="H91">
        <v>212</v>
      </c>
      <c r="I91">
        <v>9.1934085000000003</v>
      </c>
      <c r="J91">
        <v>0.36099999999999999</v>
      </c>
      <c r="K91">
        <f t="shared" si="1"/>
        <v>2</v>
      </c>
      <c r="N91">
        <v>1.5</v>
      </c>
      <c r="O91">
        <v>2</v>
      </c>
    </row>
    <row r="92" spans="1:15" x14ac:dyDescent="0.2">
      <c r="A92" t="s">
        <v>1211</v>
      </c>
      <c r="B92">
        <v>9001060700</v>
      </c>
      <c r="C92" t="s">
        <v>1212</v>
      </c>
      <c r="D92">
        <v>7675</v>
      </c>
      <c r="E92">
        <v>2.0484515760000002</v>
      </c>
      <c r="F92">
        <v>3746.732454</v>
      </c>
      <c r="G92">
        <v>1</v>
      </c>
      <c r="H92">
        <v>575</v>
      </c>
      <c r="I92">
        <v>7.2037083439999998</v>
      </c>
      <c r="J92">
        <v>0.251</v>
      </c>
      <c r="K92">
        <f t="shared" si="1"/>
        <v>2</v>
      </c>
      <c r="N92">
        <v>1.5</v>
      </c>
      <c r="O92">
        <v>2</v>
      </c>
    </row>
    <row r="93" spans="1:15" x14ac:dyDescent="0.2">
      <c r="A93" t="s">
        <v>1213</v>
      </c>
      <c r="B93">
        <v>9001060800</v>
      </c>
      <c r="C93" t="s">
        <v>1214</v>
      </c>
      <c r="D93">
        <v>2139</v>
      </c>
      <c r="E93">
        <v>0.549705636</v>
      </c>
      <c r="F93">
        <v>3891.1734959999999</v>
      </c>
      <c r="G93">
        <v>1</v>
      </c>
      <c r="H93">
        <v>154</v>
      </c>
      <c r="I93">
        <v>7.3020388809999996</v>
      </c>
      <c r="J93">
        <v>0.25600000000000001</v>
      </c>
      <c r="K93">
        <f t="shared" si="1"/>
        <v>2</v>
      </c>
      <c r="N93">
        <v>1.5</v>
      </c>
      <c r="O93">
        <v>2</v>
      </c>
    </row>
    <row r="94" spans="1:15" x14ac:dyDescent="0.2">
      <c r="A94" t="s">
        <v>1215</v>
      </c>
      <c r="B94">
        <v>9001060900</v>
      </c>
      <c r="C94" t="s">
        <v>1216</v>
      </c>
      <c r="D94">
        <v>2447</v>
      </c>
      <c r="E94">
        <v>0.57765634399999999</v>
      </c>
      <c r="F94">
        <v>4236.0826189999998</v>
      </c>
      <c r="G94">
        <v>1</v>
      </c>
      <c r="H94">
        <v>128</v>
      </c>
      <c r="I94">
        <v>4.8338368579999997</v>
      </c>
      <c r="J94">
        <v>0.13300000000000001</v>
      </c>
      <c r="K94">
        <f t="shared" si="1"/>
        <v>1</v>
      </c>
      <c r="N94">
        <v>1</v>
      </c>
      <c r="O94">
        <v>1</v>
      </c>
    </row>
    <row r="95" spans="1:15" x14ac:dyDescent="0.2">
      <c r="A95" t="s">
        <v>1217</v>
      </c>
      <c r="B95">
        <v>9001061000</v>
      </c>
      <c r="C95" t="s">
        <v>1218</v>
      </c>
      <c r="D95">
        <v>3816</v>
      </c>
      <c r="E95">
        <v>1.285617926</v>
      </c>
      <c r="F95">
        <v>2968.2224590000001</v>
      </c>
      <c r="G95">
        <v>1</v>
      </c>
      <c r="H95">
        <v>547</v>
      </c>
      <c r="I95">
        <v>14.06531242</v>
      </c>
      <c r="J95">
        <v>0.57199999999999995</v>
      </c>
      <c r="K95">
        <f t="shared" si="1"/>
        <v>3</v>
      </c>
      <c r="N95">
        <v>3</v>
      </c>
      <c r="O95">
        <v>3</v>
      </c>
    </row>
    <row r="96" spans="1:15" x14ac:dyDescent="0.2">
      <c r="A96" t="s">
        <v>1219</v>
      </c>
      <c r="B96">
        <v>9001061100</v>
      </c>
      <c r="C96" t="s">
        <v>1220</v>
      </c>
      <c r="D96">
        <v>3771</v>
      </c>
      <c r="E96">
        <v>1.045189785</v>
      </c>
      <c r="F96">
        <v>3607.957191</v>
      </c>
      <c r="G96">
        <v>1</v>
      </c>
      <c r="H96">
        <v>183</v>
      </c>
      <c r="I96">
        <v>4.7631441959999998</v>
      </c>
      <c r="J96">
        <v>0.126</v>
      </c>
      <c r="K96">
        <f t="shared" si="1"/>
        <v>1</v>
      </c>
      <c r="N96">
        <v>1</v>
      </c>
      <c r="O96">
        <v>1</v>
      </c>
    </row>
    <row r="97" spans="1:15" x14ac:dyDescent="0.2">
      <c r="A97" t="s">
        <v>1221</v>
      </c>
      <c r="B97">
        <v>9001061200</v>
      </c>
      <c r="C97" t="s">
        <v>1222</v>
      </c>
      <c r="D97">
        <v>2186</v>
      </c>
      <c r="E97">
        <v>0.30555701400000002</v>
      </c>
      <c r="F97">
        <v>7154.1476670000002</v>
      </c>
      <c r="G97">
        <v>1</v>
      </c>
      <c r="H97">
        <v>661</v>
      </c>
      <c r="I97">
        <v>26.397763579999999</v>
      </c>
      <c r="J97">
        <v>0.84399999999999997</v>
      </c>
      <c r="K97">
        <f t="shared" si="1"/>
        <v>5</v>
      </c>
      <c r="N97">
        <v>4</v>
      </c>
      <c r="O97">
        <v>4</v>
      </c>
    </row>
    <row r="98" spans="1:15" x14ac:dyDescent="0.2">
      <c r="A98" t="s">
        <v>1223</v>
      </c>
      <c r="B98">
        <v>9001061300</v>
      </c>
      <c r="C98" t="s">
        <v>1224</v>
      </c>
      <c r="D98">
        <v>2954</v>
      </c>
      <c r="E98">
        <v>0.482683317</v>
      </c>
      <c r="F98">
        <v>6119.9546229999996</v>
      </c>
      <c r="G98">
        <v>1</v>
      </c>
      <c r="H98">
        <v>571</v>
      </c>
      <c r="I98">
        <v>18.366034089999999</v>
      </c>
      <c r="J98">
        <v>0.69899999999999995</v>
      </c>
      <c r="K98">
        <f t="shared" si="1"/>
        <v>4</v>
      </c>
      <c r="N98">
        <v>3.5</v>
      </c>
      <c r="O98">
        <v>4</v>
      </c>
    </row>
    <row r="99" spans="1:15" x14ac:dyDescent="0.2">
      <c r="A99" t="s">
        <v>1225</v>
      </c>
      <c r="B99">
        <v>9001061400</v>
      </c>
      <c r="C99" t="s">
        <v>1226</v>
      </c>
      <c r="D99">
        <v>2736</v>
      </c>
      <c r="E99">
        <v>0.62377084400000005</v>
      </c>
      <c r="F99">
        <v>4386.2261719999997</v>
      </c>
      <c r="G99">
        <v>1</v>
      </c>
      <c r="H99">
        <v>858</v>
      </c>
      <c r="I99">
        <v>27.866190320000001</v>
      </c>
      <c r="J99">
        <v>0.86399999999999999</v>
      </c>
      <c r="K99">
        <f t="shared" si="1"/>
        <v>5</v>
      </c>
      <c r="N99">
        <v>4</v>
      </c>
      <c r="O99">
        <v>4</v>
      </c>
    </row>
    <row r="100" spans="1:15" x14ac:dyDescent="0.2">
      <c r="A100" t="s">
        <v>1227</v>
      </c>
      <c r="B100">
        <v>9001061500</v>
      </c>
      <c r="C100" t="s">
        <v>1228</v>
      </c>
      <c r="D100">
        <v>4692</v>
      </c>
      <c r="E100">
        <v>1.4069875999999999</v>
      </c>
      <c r="F100">
        <v>3334.7841870000002</v>
      </c>
      <c r="G100">
        <v>1</v>
      </c>
      <c r="H100">
        <v>854</v>
      </c>
      <c r="I100">
        <v>17.659222499999998</v>
      </c>
      <c r="J100">
        <v>0.68</v>
      </c>
      <c r="K100">
        <f t="shared" si="1"/>
        <v>4</v>
      </c>
      <c r="N100">
        <v>2.5</v>
      </c>
      <c r="O100">
        <v>3</v>
      </c>
    </row>
    <row r="101" spans="1:15" x14ac:dyDescent="0.2">
      <c r="A101" t="s">
        <v>1229</v>
      </c>
      <c r="B101">
        <v>9001061600</v>
      </c>
      <c r="C101" t="s">
        <v>1230</v>
      </c>
      <c r="D101">
        <v>4964</v>
      </c>
      <c r="E101">
        <v>2.0182838680000001</v>
      </c>
      <c r="F101">
        <v>2459.515273</v>
      </c>
      <c r="G101">
        <v>1</v>
      </c>
      <c r="H101">
        <v>323</v>
      </c>
      <c r="I101">
        <v>5.9583102749999997</v>
      </c>
      <c r="J101">
        <v>0.185</v>
      </c>
      <c r="K101">
        <f t="shared" si="1"/>
        <v>1</v>
      </c>
      <c r="N101">
        <v>1</v>
      </c>
      <c r="O101">
        <v>1</v>
      </c>
    </row>
    <row r="102" spans="1:15" x14ac:dyDescent="0.2">
      <c r="A102" t="s">
        <v>1231</v>
      </c>
      <c r="B102">
        <v>9001070100</v>
      </c>
      <c r="C102" t="s">
        <v>1232</v>
      </c>
      <c r="D102">
        <v>5021</v>
      </c>
      <c r="E102">
        <v>0.652231593</v>
      </c>
      <c r="F102">
        <v>7698.1858149999998</v>
      </c>
      <c r="G102">
        <v>1</v>
      </c>
      <c r="H102">
        <v>764</v>
      </c>
      <c r="I102">
        <v>15.38461538</v>
      </c>
      <c r="J102">
        <v>0.60899999999999999</v>
      </c>
      <c r="K102">
        <f t="shared" si="1"/>
        <v>4</v>
      </c>
      <c r="N102">
        <v>3.5</v>
      </c>
      <c r="O102">
        <v>4</v>
      </c>
    </row>
    <row r="103" spans="1:15" x14ac:dyDescent="0.2">
      <c r="A103" t="s">
        <v>1233</v>
      </c>
      <c r="B103">
        <v>9001070200</v>
      </c>
      <c r="C103" t="s">
        <v>1234</v>
      </c>
      <c r="D103">
        <v>4052</v>
      </c>
      <c r="E103">
        <v>0.32567255099999998</v>
      </c>
      <c r="F103">
        <v>12441.945089999999</v>
      </c>
      <c r="G103">
        <v>1</v>
      </c>
      <c r="H103">
        <v>665</v>
      </c>
      <c r="I103">
        <v>17.139175259999998</v>
      </c>
      <c r="J103">
        <v>0.66100000000000003</v>
      </c>
      <c r="K103">
        <f t="shared" si="1"/>
        <v>4</v>
      </c>
      <c r="N103">
        <v>4.5</v>
      </c>
      <c r="O103">
        <v>5</v>
      </c>
    </row>
    <row r="104" spans="1:15" x14ac:dyDescent="0.2">
      <c r="A104" t="s">
        <v>1235</v>
      </c>
      <c r="B104">
        <v>9001070300</v>
      </c>
      <c r="C104" t="s">
        <v>1236</v>
      </c>
      <c r="D104">
        <v>1297</v>
      </c>
      <c r="E104">
        <v>0.41493628500000002</v>
      </c>
      <c r="F104">
        <v>3125.7811029999998</v>
      </c>
      <c r="G104">
        <v>1</v>
      </c>
      <c r="H104">
        <v>282</v>
      </c>
      <c r="I104">
        <v>20.31700288</v>
      </c>
      <c r="J104">
        <v>0.74299999999999999</v>
      </c>
      <c r="K104">
        <f t="shared" si="1"/>
        <v>4</v>
      </c>
      <c r="N104">
        <v>4.5</v>
      </c>
      <c r="O104">
        <v>5</v>
      </c>
    </row>
    <row r="105" spans="1:15" x14ac:dyDescent="0.2">
      <c r="A105" t="s">
        <v>1237</v>
      </c>
      <c r="B105">
        <v>9001070400</v>
      </c>
      <c r="C105" t="s">
        <v>1238</v>
      </c>
      <c r="D105">
        <v>1693</v>
      </c>
      <c r="E105">
        <v>0.67282589699999995</v>
      </c>
      <c r="F105">
        <v>2516.2527289999998</v>
      </c>
      <c r="G105">
        <v>1</v>
      </c>
      <c r="H105">
        <v>429</v>
      </c>
      <c r="I105">
        <v>28.986486490000001</v>
      </c>
      <c r="J105">
        <v>0.86799999999999999</v>
      </c>
      <c r="K105">
        <f t="shared" si="1"/>
        <v>5</v>
      </c>
      <c r="N105">
        <v>5</v>
      </c>
      <c r="O105">
        <v>5</v>
      </c>
    </row>
    <row r="106" spans="1:15" x14ac:dyDescent="0.2">
      <c r="A106" t="s">
        <v>1239</v>
      </c>
      <c r="B106">
        <v>9001070500</v>
      </c>
      <c r="C106" t="s">
        <v>1240</v>
      </c>
      <c r="D106">
        <v>2801</v>
      </c>
      <c r="E106">
        <v>0.14780222900000001</v>
      </c>
      <c r="F106">
        <v>18950.999690000001</v>
      </c>
      <c r="G106">
        <v>1</v>
      </c>
      <c r="H106">
        <v>597</v>
      </c>
      <c r="I106">
        <v>32.183288410000003</v>
      </c>
      <c r="J106">
        <v>0.91</v>
      </c>
      <c r="K106">
        <f t="shared" si="1"/>
        <v>5</v>
      </c>
      <c r="N106">
        <v>5</v>
      </c>
      <c r="O106">
        <v>5</v>
      </c>
    </row>
    <row r="107" spans="1:15" x14ac:dyDescent="0.2">
      <c r="A107" t="s">
        <v>1241</v>
      </c>
      <c r="B107">
        <v>9001070600</v>
      </c>
      <c r="C107" t="s">
        <v>1242</v>
      </c>
      <c r="D107">
        <v>2445</v>
      </c>
      <c r="E107">
        <v>0.69035879700000002</v>
      </c>
      <c r="F107">
        <v>3541.6366250000001</v>
      </c>
      <c r="G107">
        <v>1</v>
      </c>
      <c r="H107">
        <v>525</v>
      </c>
      <c r="I107">
        <v>20.5399061</v>
      </c>
      <c r="J107">
        <v>0.753</v>
      </c>
      <c r="K107">
        <f t="shared" si="1"/>
        <v>4</v>
      </c>
      <c r="N107">
        <v>4.5</v>
      </c>
      <c r="O107">
        <v>5</v>
      </c>
    </row>
    <row r="108" spans="1:15" x14ac:dyDescent="0.2">
      <c r="A108" t="s">
        <v>1243</v>
      </c>
      <c r="B108">
        <v>9001070900</v>
      </c>
      <c r="C108" t="s">
        <v>1244</v>
      </c>
      <c r="D108">
        <v>2584</v>
      </c>
      <c r="E108">
        <v>0.170756776</v>
      </c>
      <c r="F108">
        <v>15132.63523</v>
      </c>
      <c r="G108">
        <v>1</v>
      </c>
      <c r="H108">
        <v>888</v>
      </c>
      <c r="I108">
        <v>30.76923077</v>
      </c>
      <c r="J108">
        <v>0.89400000000000002</v>
      </c>
      <c r="K108">
        <f t="shared" si="1"/>
        <v>5</v>
      </c>
      <c r="N108">
        <v>5</v>
      </c>
      <c r="O108">
        <v>5</v>
      </c>
    </row>
    <row r="109" spans="1:15" x14ac:dyDescent="0.2">
      <c r="A109" t="s">
        <v>1245</v>
      </c>
      <c r="B109">
        <v>9001071000</v>
      </c>
      <c r="C109" t="s">
        <v>1246</v>
      </c>
      <c r="D109">
        <v>3563</v>
      </c>
      <c r="E109">
        <v>0.44304143499999998</v>
      </c>
      <c r="F109">
        <v>8042.137189</v>
      </c>
      <c r="G109">
        <v>1</v>
      </c>
      <c r="H109">
        <v>1168</v>
      </c>
      <c r="I109">
        <v>33.894370279999997</v>
      </c>
      <c r="J109">
        <v>0.92500000000000004</v>
      </c>
      <c r="K109">
        <f t="shared" si="1"/>
        <v>5</v>
      </c>
      <c r="N109">
        <v>5</v>
      </c>
      <c r="O109">
        <v>5</v>
      </c>
    </row>
    <row r="110" spans="1:15" x14ac:dyDescent="0.2">
      <c r="A110" t="s">
        <v>1247</v>
      </c>
      <c r="B110">
        <v>9001071100</v>
      </c>
      <c r="C110" t="s">
        <v>1248</v>
      </c>
      <c r="D110">
        <v>4576</v>
      </c>
      <c r="E110">
        <v>0.255891533</v>
      </c>
      <c r="F110">
        <v>17882.576830000002</v>
      </c>
      <c r="G110">
        <v>1</v>
      </c>
      <c r="H110">
        <v>1300</v>
      </c>
      <c r="I110">
        <v>26.321117640000001</v>
      </c>
      <c r="J110">
        <v>0.84799999999999998</v>
      </c>
      <c r="K110">
        <f t="shared" si="1"/>
        <v>5</v>
      </c>
      <c r="N110">
        <v>5</v>
      </c>
      <c r="O110">
        <v>5</v>
      </c>
    </row>
    <row r="111" spans="1:15" x14ac:dyDescent="0.2">
      <c r="A111" t="s">
        <v>1249</v>
      </c>
      <c r="B111">
        <v>9001071200</v>
      </c>
      <c r="C111" t="s">
        <v>1250</v>
      </c>
      <c r="D111">
        <v>5205</v>
      </c>
      <c r="E111">
        <v>0.214841536</v>
      </c>
      <c r="F111">
        <v>24227.158759999998</v>
      </c>
      <c r="G111">
        <v>1</v>
      </c>
      <c r="H111">
        <v>1849</v>
      </c>
      <c r="I111">
        <v>33.569353669999998</v>
      </c>
      <c r="J111">
        <v>0.92</v>
      </c>
      <c r="K111">
        <f t="shared" si="1"/>
        <v>5</v>
      </c>
      <c r="N111">
        <v>5</v>
      </c>
      <c r="O111">
        <v>5</v>
      </c>
    </row>
    <row r="112" spans="1:15" x14ac:dyDescent="0.2">
      <c r="A112" t="s">
        <v>1251</v>
      </c>
      <c r="B112">
        <v>9001071300</v>
      </c>
      <c r="C112" t="s">
        <v>1252</v>
      </c>
      <c r="D112">
        <v>3030</v>
      </c>
      <c r="E112">
        <v>0.119666192</v>
      </c>
      <c r="F112">
        <v>25320.434799999999</v>
      </c>
      <c r="G112">
        <v>1</v>
      </c>
      <c r="H112">
        <v>664</v>
      </c>
      <c r="I112">
        <v>24.60170433</v>
      </c>
      <c r="J112">
        <v>0.81699999999999995</v>
      </c>
      <c r="K112">
        <f t="shared" si="1"/>
        <v>5</v>
      </c>
      <c r="N112">
        <v>5</v>
      </c>
      <c r="O112">
        <v>5</v>
      </c>
    </row>
    <row r="113" spans="1:15" x14ac:dyDescent="0.2">
      <c r="A113" t="s">
        <v>1253</v>
      </c>
      <c r="B113">
        <v>9001071400</v>
      </c>
      <c r="C113" t="s">
        <v>1254</v>
      </c>
      <c r="D113">
        <v>3861</v>
      </c>
      <c r="E113">
        <v>0.22587710799999999</v>
      </c>
      <c r="F113">
        <v>17093.36563</v>
      </c>
      <c r="G113">
        <v>1</v>
      </c>
      <c r="H113">
        <v>1007</v>
      </c>
      <c r="I113">
        <v>27.725770929999999</v>
      </c>
      <c r="J113">
        <v>0.86699999999999999</v>
      </c>
      <c r="K113">
        <f t="shared" si="1"/>
        <v>5</v>
      </c>
      <c r="N113">
        <v>5</v>
      </c>
      <c r="O113">
        <v>5</v>
      </c>
    </row>
    <row r="114" spans="1:15" x14ac:dyDescent="0.2">
      <c r="A114" t="s">
        <v>1255</v>
      </c>
      <c r="B114">
        <v>9001071600</v>
      </c>
      <c r="C114" t="s">
        <v>1256</v>
      </c>
      <c r="D114">
        <v>2448</v>
      </c>
      <c r="E114">
        <v>6.6529651999999995E-2</v>
      </c>
      <c r="F114">
        <v>36795.623169999999</v>
      </c>
      <c r="G114">
        <v>1</v>
      </c>
      <c r="H114">
        <v>565</v>
      </c>
      <c r="I114">
        <v>21.672420410000001</v>
      </c>
      <c r="J114">
        <v>0.78</v>
      </c>
      <c r="K114">
        <f t="shared" si="1"/>
        <v>4</v>
      </c>
      <c r="N114">
        <v>4.5</v>
      </c>
      <c r="O114">
        <v>5</v>
      </c>
    </row>
    <row r="115" spans="1:15" x14ac:dyDescent="0.2">
      <c r="A115" t="s">
        <v>1257</v>
      </c>
      <c r="B115">
        <v>9001071900</v>
      </c>
      <c r="C115" t="s">
        <v>1258</v>
      </c>
      <c r="D115">
        <v>4831</v>
      </c>
      <c r="E115">
        <v>0.19074374099999999</v>
      </c>
      <c r="F115">
        <v>25327.174449999999</v>
      </c>
      <c r="G115">
        <v>1</v>
      </c>
      <c r="H115">
        <v>1373</v>
      </c>
      <c r="I115">
        <v>27.74297838</v>
      </c>
      <c r="J115">
        <v>0.86799999999999999</v>
      </c>
      <c r="K115">
        <f t="shared" si="1"/>
        <v>5</v>
      </c>
      <c r="N115">
        <v>5</v>
      </c>
      <c r="O115">
        <v>5</v>
      </c>
    </row>
    <row r="116" spans="1:15" x14ac:dyDescent="0.2">
      <c r="A116" t="s">
        <v>1259</v>
      </c>
      <c r="B116">
        <v>9001072000</v>
      </c>
      <c r="C116" t="s">
        <v>1260</v>
      </c>
      <c r="D116">
        <v>3565</v>
      </c>
      <c r="E116">
        <v>0.26560316099999998</v>
      </c>
      <c r="F116">
        <v>13422.28001</v>
      </c>
      <c r="G116">
        <v>1</v>
      </c>
      <c r="H116">
        <v>818</v>
      </c>
      <c r="I116">
        <v>23.251847640000001</v>
      </c>
      <c r="J116">
        <v>0.80600000000000005</v>
      </c>
      <c r="K116">
        <f t="shared" si="1"/>
        <v>5</v>
      </c>
      <c r="N116">
        <v>4.5</v>
      </c>
      <c r="O116">
        <v>5</v>
      </c>
    </row>
    <row r="117" spans="1:15" x14ac:dyDescent="0.2">
      <c r="A117" t="s">
        <v>1261</v>
      </c>
      <c r="B117">
        <v>9001072100</v>
      </c>
      <c r="C117" t="s">
        <v>1262</v>
      </c>
      <c r="D117">
        <v>6094</v>
      </c>
      <c r="E117">
        <v>0.50058726099999995</v>
      </c>
      <c r="F117">
        <v>12173.701709999999</v>
      </c>
      <c r="G117">
        <v>1</v>
      </c>
      <c r="H117">
        <v>1196</v>
      </c>
      <c r="I117">
        <v>22.894333840000002</v>
      </c>
      <c r="J117">
        <v>0.80100000000000005</v>
      </c>
      <c r="K117">
        <f t="shared" si="1"/>
        <v>5</v>
      </c>
      <c r="N117">
        <v>4.5</v>
      </c>
      <c r="O117">
        <v>5</v>
      </c>
    </row>
    <row r="118" spans="1:15" x14ac:dyDescent="0.2">
      <c r="A118" t="s">
        <v>1263</v>
      </c>
      <c r="B118">
        <v>9001072200</v>
      </c>
      <c r="C118" t="s">
        <v>1264</v>
      </c>
      <c r="D118">
        <v>3828</v>
      </c>
      <c r="E118">
        <v>0.34812130400000002</v>
      </c>
      <c r="F118">
        <v>10996.167009999999</v>
      </c>
      <c r="G118">
        <v>1</v>
      </c>
      <c r="H118">
        <v>728</v>
      </c>
      <c r="I118">
        <v>18.743563340000001</v>
      </c>
      <c r="J118">
        <v>0.72099999999999997</v>
      </c>
      <c r="K118">
        <f t="shared" si="1"/>
        <v>4</v>
      </c>
      <c r="N118">
        <v>4</v>
      </c>
      <c r="O118">
        <v>4</v>
      </c>
    </row>
    <row r="119" spans="1:15" x14ac:dyDescent="0.2">
      <c r="A119" t="s">
        <v>1265</v>
      </c>
      <c r="B119">
        <v>9001072300</v>
      </c>
      <c r="C119" t="s">
        <v>1266</v>
      </c>
      <c r="D119">
        <v>5396</v>
      </c>
      <c r="E119">
        <v>0.354385426</v>
      </c>
      <c r="F119">
        <v>15226.3598</v>
      </c>
      <c r="G119">
        <v>1</v>
      </c>
      <c r="H119">
        <v>1363</v>
      </c>
      <c r="I119">
        <v>24.209591469999999</v>
      </c>
      <c r="J119">
        <v>0.81599999999999995</v>
      </c>
      <c r="K119">
        <f t="shared" si="1"/>
        <v>5</v>
      </c>
      <c r="N119">
        <v>4</v>
      </c>
      <c r="O119">
        <v>4</v>
      </c>
    </row>
    <row r="120" spans="1:15" x14ac:dyDescent="0.2">
      <c r="A120" t="s">
        <v>1267</v>
      </c>
      <c r="B120">
        <v>9001072400</v>
      </c>
      <c r="C120" t="s">
        <v>1268</v>
      </c>
      <c r="D120">
        <v>2836</v>
      </c>
      <c r="E120">
        <v>0.263953347</v>
      </c>
      <c r="F120">
        <v>10744.32296</v>
      </c>
      <c r="G120">
        <v>1</v>
      </c>
      <c r="H120">
        <v>928</v>
      </c>
      <c r="I120">
        <v>30.697982140000001</v>
      </c>
      <c r="J120">
        <v>0.89400000000000002</v>
      </c>
      <c r="K120">
        <f t="shared" si="1"/>
        <v>5</v>
      </c>
      <c r="N120">
        <v>4.5</v>
      </c>
      <c r="O120">
        <v>5</v>
      </c>
    </row>
    <row r="121" spans="1:15" x14ac:dyDescent="0.2">
      <c r="A121" t="s">
        <v>1269</v>
      </c>
      <c r="B121">
        <v>9001072500</v>
      </c>
      <c r="C121" t="s">
        <v>1270</v>
      </c>
      <c r="D121">
        <v>5726</v>
      </c>
      <c r="E121">
        <v>0.55808598300000001</v>
      </c>
      <c r="F121">
        <v>10260.06775</v>
      </c>
      <c r="G121">
        <v>1</v>
      </c>
      <c r="H121">
        <v>1147</v>
      </c>
      <c r="I121">
        <v>20.22570975</v>
      </c>
      <c r="J121">
        <v>0.754</v>
      </c>
      <c r="K121">
        <f t="shared" si="1"/>
        <v>4</v>
      </c>
      <c r="N121">
        <v>4</v>
      </c>
      <c r="O121">
        <v>4</v>
      </c>
    </row>
    <row r="122" spans="1:15" x14ac:dyDescent="0.2">
      <c r="A122" t="s">
        <v>1271</v>
      </c>
      <c r="B122">
        <v>9001072600</v>
      </c>
      <c r="C122" t="s">
        <v>1272</v>
      </c>
      <c r="D122">
        <v>7583</v>
      </c>
      <c r="E122">
        <v>1.1663131259999999</v>
      </c>
      <c r="F122">
        <v>6501.6845240000002</v>
      </c>
      <c r="G122">
        <v>1</v>
      </c>
      <c r="H122">
        <v>905</v>
      </c>
      <c r="I122">
        <v>12.338104980000001</v>
      </c>
      <c r="J122">
        <v>0.51600000000000001</v>
      </c>
      <c r="K122">
        <f t="shared" si="1"/>
        <v>3</v>
      </c>
      <c r="N122">
        <v>3.5</v>
      </c>
      <c r="O122">
        <v>4</v>
      </c>
    </row>
    <row r="123" spans="1:15" x14ac:dyDescent="0.2">
      <c r="A123" t="s">
        <v>1273</v>
      </c>
      <c r="B123">
        <v>9001072700</v>
      </c>
      <c r="C123" t="s">
        <v>1274</v>
      </c>
      <c r="D123">
        <v>3726</v>
      </c>
      <c r="E123">
        <v>0.69267232099999998</v>
      </c>
      <c r="F123">
        <v>5379.1668669999999</v>
      </c>
      <c r="G123">
        <v>1</v>
      </c>
      <c r="H123">
        <v>773</v>
      </c>
      <c r="I123">
        <v>19.907288179999998</v>
      </c>
      <c r="J123">
        <v>0.75</v>
      </c>
      <c r="K123">
        <f t="shared" si="1"/>
        <v>4</v>
      </c>
      <c r="N123">
        <v>3.5</v>
      </c>
      <c r="O123">
        <v>4</v>
      </c>
    </row>
    <row r="124" spans="1:15" x14ac:dyDescent="0.2">
      <c r="A124" t="s">
        <v>1275</v>
      </c>
      <c r="B124">
        <v>9001072800</v>
      </c>
      <c r="C124" t="s">
        <v>1276</v>
      </c>
      <c r="D124">
        <v>5469</v>
      </c>
      <c r="E124">
        <v>0.57813742800000001</v>
      </c>
      <c r="F124">
        <v>9459.6885419999999</v>
      </c>
      <c r="G124">
        <v>1</v>
      </c>
      <c r="H124">
        <v>1924</v>
      </c>
      <c r="I124">
        <v>34.308131240000002</v>
      </c>
      <c r="J124">
        <v>0.93</v>
      </c>
      <c r="K124">
        <f t="shared" si="1"/>
        <v>5</v>
      </c>
      <c r="N124">
        <v>5</v>
      </c>
      <c r="O124">
        <v>5</v>
      </c>
    </row>
    <row r="125" spans="1:15" x14ac:dyDescent="0.2">
      <c r="A125" t="s">
        <v>1277</v>
      </c>
      <c r="B125">
        <v>9001072900</v>
      </c>
      <c r="C125" t="s">
        <v>1278</v>
      </c>
      <c r="D125">
        <v>4594</v>
      </c>
      <c r="E125">
        <v>0.79469595999999998</v>
      </c>
      <c r="F125">
        <v>5780.8271729999997</v>
      </c>
      <c r="G125">
        <v>1</v>
      </c>
      <c r="H125">
        <v>979</v>
      </c>
      <c r="I125">
        <v>21.535415749999999</v>
      </c>
      <c r="J125">
        <v>0.78400000000000003</v>
      </c>
      <c r="K125">
        <f t="shared" si="1"/>
        <v>4</v>
      </c>
      <c r="N125">
        <v>3.5</v>
      </c>
      <c r="O125">
        <v>4</v>
      </c>
    </row>
    <row r="126" spans="1:15" x14ac:dyDescent="0.2">
      <c r="A126" t="s">
        <v>1279</v>
      </c>
      <c r="B126">
        <v>9001073000</v>
      </c>
      <c r="C126" t="s">
        <v>1280</v>
      </c>
      <c r="D126">
        <v>1899</v>
      </c>
      <c r="E126">
        <v>0.46758903899999998</v>
      </c>
      <c r="F126">
        <v>4061.2585869999998</v>
      </c>
      <c r="G126">
        <v>1</v>
      </c>
      <c r="H126">
        <v>432</v>
      </c>
      <c r="I126">
        <v>20.532319390000001</v>
      </c>
      <c r="J126">
        <v>0.76600000000000001</v>
      </c>
      <c r="K126">
        <f t="shared" si="1"/>
        <v>4</v>
      </c>
      <c r="N126">
        <v>3.5</v>
      </c>
      <c r="O126">
        <v>4</v>
      </c>
    </row>
    <row r="127" spans="1:15" x14ac:dyDescent="0.2">
      <c r="A127" t="s">
        <v>1281</v>
      </c>
      <c r="B127">
        <v>9001073100</v>
      </c>
      <c r="C127" t="s">
        <v>1282</v>
      </c>
      <c r="D127">
        <v>5853</v>
      </c>
      <c r="E127">
        <v>1.2706761579999999</v>
      </c>
      <c r="F127">
        <v>4606.2090369999996</v>
      </c>
      <c r="G127">
        <v>1</v>
      </c>
      <c r="H127">
        <v>1768</v>
      </c>
      <c r="I127">
        <v>29.107672040000001</v>
      </c>
      <c r="J127">
        <v>0.874</v>
      </c>
      <c r="K127">
        <f t="shared" si="1"/>
        <v>5</v>
      </c>
      <c r="N127">
        <v>5</v>
      </c>
      <c r="O127">
        <v>5</v>
      </c>
    </row>
    <row r="128" spans="1:15" x14ac:dyDescent="0.2">
      <c r="A128" t="s">
        <v>1283</v>
      </c>
      <c r="B128">
        <v>9001073200</v>
      </c>
      <c r="C128" t="s">
        <v>1284</v>
      </c>
      <c r="D128">
        <v>2460</v>
      </c>
      <c r="E128">
        <v>0.151589892</v>
      </c>
      <c r="F128">
        <v>16227.994989999999</v>
      </c>
      <c r="G128">
        <v>1</v>
      </c>
      <c r="H128">
        <v>677</v>
      </c>
      <c r="I128">
        <v>25.12059369</v>
      </c>
      <c r="J128">
        <v>0.83399999999999996</v>
      </c>
      <c r="K128">
        <f t="shared" si="1"/>
        <v>5</v>
      </c>
      <c r="N128">
        <v>5</v>
      </c>
      <c r="O128">
        <v>5</v>
      </c>
    </row>
    <row r="129" spans="1:15" x14ac:dyDescent="0.2">
      <c r="A129" t="s">
        <v>1285</v>
      </c>
      <c r="B129">
        <v>9001073300</v>
      </c>
      <c r="C129" t="s">
        <v>1286</v>
      </c>
      <c r="D129">
        <v>3351</v>
      </c>
      <c r="E129">
        <v>0.19406151699999999</v>
      </c>
      <c r="F129">
        <v>17267.72033</v>
      </c>
      <c r="G129">
        <v>1</v>
      </c>
      <c r="H129">
        <v>846</v>
      </c>
      <c r="I129">
        <v>23.710762330000001</v>
      </c>
      <c r="J129">
        <v>0.81499999999999995</v>
      </c>
      <c r="K129">
        <f t="shared" si="1"/>
        <v>5</v>
      </c>
      <c r="N129">
        <v>5</v>
      </c>
      <c r="O129">
        <v>5</v>
      </c>
    </row>
    <row r="130" spans="1:15" x14ac:dyDescent="0.2">
      <c r="A130" t="s">
        <v>1287</v>
      </c>
      <c r="B130">
        <v>9001073400</v>
      </c>
      <c r="C130" t="s">
        <v>1288</v>
      </c>
      <c r="D130">
        <v>4113</v>
      </c>
      <c r="E130">
        <v>0.51059155499999997</v>
      </c>
      <c r="F130">
        <v>8055.3623749999997</v>
      </c>
      <c r="G130">
        <v>1</v>
      </c>
      <c r="H130">
        <v>1482</v>
      </c>
      <c r="I130">
        <v>36.819875779999997</v>
      </c>
      <c r="J130">
        <v>0.94699999999999995</v>
      </c>
      <c r="K130">
        <f t="shared" si="1"/>
        <v>5</v>
      </c>
      <c r="N130">
        <v>4.5</v>
      </c>
      <c r="O130">
        <v>5</v>
      </c>
    </row>
    <row r="131" spans="1:15" x14ac:dyDescent="0.2">
      <c r="A131" t="s">
        <v>1289</v>
      </c>
      <c r="B131">
        <v>9001073500</v>
      </c>
      <c r="C131" t="s">
        <v>1290</v>
      </c>
      <c r="D131">
        <v>3456</v>
      </c>
      <c r="E131">
        <v>0.17150658599999999</v>
      </c>
      <c r="F131">
        <v>20150.82964</v>
      </c>
      <c r="G131">
        <v>1</v>
      </c>
      <c r="H131">
        <v>1398</v>
      </c>
      <c r="I131">
        <v>40.734265729999997</v>
      </c>
      <c r="J131">
        <v>0.96899999999999997</v>
      </c>
      <c r="K131">
        <f t="shared" ref="K131:K194" si="2">IF(J131&lt;0.2,1,IF(J131&lt;0.4,2,IF(J131&lt;0.6,3,IF(J131&lt;0.8,4,5))))</f>
        <v>5</v>
      </c>
      <c r="N131">
        <v>5</v>
      </c>
      <c r="O131">
        <v>5</v>
      </c>
    </row>
    <row r="132" spans="1:15" x14ac:dyDescent="0.2">
      <c r="A132" t="s">
        <v>1291</v>
      </c>
      <c r="B132">
        <v>9001073600</v>
      </c>
      <c r="C132" t="s">
        <v>1292</v>
      </c>
      <c r="D132">
        <v>2304</v>
      </c>
      <c r="E132">
        <v>0.10411129299999999</v>
      </c>
      <c r="F132">
        <v>22130.164069999999</v>
      </c>
      <c r="G132">
        <v>1</v>
      </c>
      <c r="H132">
        <v>1028</v>
      </c>
      <c r="I132">
        <v>42.426743709999997</v>
      </c>
      <c r="J132">
        <v>0.97499999999999998</v>
      </c>
      <c r="K132">
        <f t="shared" si="2"/>
        <v>5</v>
      </c>
      <c r="N132">
        <v>5</v>
      </c>
      <c r="O132">
        <v>5</v>
      </c>
    </row>
    <row r="133" spans="1:15" x14ac:dyDescent="0.2">
      <c r="A133" t="s">
        <v>1293</v>
      </c>
      <c r="B133">
        <v>9001073700</v>
      </c>
      <c r="C133" t="s">
        <v>1294</v>
      </c>
      <c r="D133">
        <v>4824</v>
      </c>
      <c r="E133">
        <v>0.34029887399999997</v>
      </c>
      <c r="F133">
        <v>14175.77421</v>
      </c>
      <c r="G133">
        <v>1</v>
      </c>
      <c r="H133">
        <v>1102</v>
      </c>
      <c r="I133">
        <v>25.096788889999999</v>
      </c>
      <c r="J133">
        <v>0.83699999999999997</v>
      </c>
      <c r="K133">
        <f t="shared" si="2"/>
        <v>5</v>
      </c>
      <c r="N133">
        <v>5</v>
      </c>
      <c r="O133">
        <v>5</v>
      </c>
    </row>
    <row r="134" spans="1:15" x14ac:dyDescent="0.2">
      <c r="A134" t="s">
        <v>1295</v>
      </c>
      <c r="B134">
        <v>9001073800</v>
      </c>
      <c r="C134" t="s">
        <v>1296</v>
      </c>
      <c r="D134">
        <v>2274</v>
      </c>
      <c r="E134">
        <v>0.20379013300000001</v>
      </c>
      <c r="F134">
        <v>11158.538259999999</v>
      </c>
      <c r="G134">
        <v>1</v>
      </c>
      <c r="H134">
        <v>982</v>
      </c>
      <c r="I134">
        <v>44.738041000000003</v>
      </c>
      <c r="J134">
        <v>0.98199999999999998</v>
      </c>
      <c r="K134">
        <f t="shared" si="2"/>
        <v>5</v>
      </c>
      <c r="N134">
        <v>5</v>
      </c>
      <c r="O134">
        <v>5</v>
      </c>
    </row>
    <row r="135" spans="1:15" x14ac:dyDescent="0.2">
      <c r="A135" t="s">
        <v>1297</v>
      </c>
      <c r="B135">
        <v>9001073900</v>
      </c>
      <c r="C135" t="s">
        <v>1298</v>
      </c>
      <c r="D135">
        <v>3395</v>
      </c>
      <c r="E135">
        <v>0.19696925200000001</v>
      </c>
      <c r="F135">
        <v>17236.192749999998</v>
      </c>
      <c r="G135">
        <v>1</v>
      </c>
      <c r="H135">
        <v>1475</v>
      </c>
      <c r="I135">
        <v>38.094008260000003</v>
      </c>
      <c r="J135">
        <v>0.95799999999999996</v>
      </c>
      <c r="K135">
        <f t="shared" si="2"/>
        <v>5</v>
      </c>
      <c r="N135">
        <v>5</v>
      </c>
      <c r="O135">
        <v>5</v>
      </c>
    </row>
    <row r="136" spans="1:15" x14ac:dyDescent="0.2">
      <c r="A136" t="s">
        <v>1299</v>
      </c>
      <c r="B136">
        <v>9001074000</v>
      </c>
      <c r="C136" t="s">
        <v>1300</v>
      </c>
      <c r="D136">
        <v>1919</v>
      </c>
      <c r="E136">
        <v>0.36570323900000001</v>
      </c>
      <c r="F136">
        <v>5247.4241309999998</v>
      </c>
      <c r="G136">
        <v>1</v>
      </c>
      <c r="H136">
        <v>824</v>
      </c>
      <c r="I136">
        <v>38.558727189999999</v>
      </c>
      <c r="J136">
        <v>0.96099999999999997</v>
      </c>
      <c r="K136">
        <f t="shared" si="2"/>
        <v>5</v>
      </c>
      <c r="N136">
        <v>5</v>
      </c>
      <c r="O136">
        <v>5</v>
      </c>
    </row>
    <row r="137" spans="1:15" x14ac:dyDescent="0.2">
      <c r="A137" t="s">
        <v>1301</v>
      </c>
      <c r="B137">
        <v>9001074300</v>
      </c>
      <c r="C137" t="s">
        <v>1302</v>
      </c>
      <c r="D137">
        <v>4267</v>
      </c>
      <c r="E137">
        <v>0.541787452</v>
      </c>
      <c r="F137">
        <v>7875.7822500000002</v>
      </c>
      <c r="G137">
        <v>1</v>
      </c>
      <c r="H137">
        <v>1825</v>
      </c>
      <c r="I137">
        <v>36.661309760000002</v>
      </c>
      <c r="J137">
        <v>0.95199999999999996</v>
      </c>
      <c r="K137">
        <f t="shared" si="2"/>
        <v>5</v>
      </c>
      <c r="N137">
        <v>5</v>
      </c>
      <c r="O137">
        <v>5</v>
      </c>
    </row>
    <row r="138" spans="1:15" x14ac:dyDescent="0.2">
      <c r="A138" t="s">
        <v>1303</v>
      </c>
      <c r="B138">
        <v>9001074400</v>
      </c>
      <c r="C138" t="s">
        <v>1304</v>
      </c>
      <c r="D138">
        <v>4168</v>
      </c>
      <c r="E138">
        <v>0.74169030899999999</v>
      </c>
      <c r="F138">
        <v>5619.5961429999998</v>
      </c>
      <c r="G138">
        <v>1</v>
      </c>
      <c r="H138">
        <v>1817</v>
      </c>
      <c r="I138">
        <v>40.057319219999997</v>
      </c>
      <c r="J138">
        <v>0.96899999999999997</v>
      </c>
      <c r="K138">
        <f t="shared" si="2"/>
        <v>5</v>
      </c>
      <c r="N138">
        <v>5</v>
      </c>
      <c r="O138">
        <v>5</v>
      </c>
    </row>
    <row r="139" spans="1:15" x14ac:dyDescent="0.2">
      <c r="A139" t="s">
        <v>1305</v>
      </c>
      <c r="B139">
        <v>9001080100</v>
      </c>
      <c r="C139" t="s">
        <v>1306</v>
      </c>
      <c r="D139">
        <v>4843</v>
      </c>
      <c r="E139">
        <v>0.46095001200000002</v>
      </c>
      <c r="F139">
        <v>10506.562260000001</v>
      </c>
      <c r="G139">
        <v>1</v>
      </c>
      <c r="H139">
        <v>1221</v>
      </c>
      <c r="I139">
        <v>23.507893719999998</v>
      </c>
      <c r="J139">
        <v>0.82399999999999995</v>
      </c>
      <c r="K139">
        <f t="shared" si="2"/>
        <v>5</v>
      </c>
      <c r="N139">
        <v>4.5</v>
      </c>
      <c r="O139">
        <v>5</v>
      </c>
    </row>
    <row r="140" spans="1:15" x14ac:dyDescent="0.2">
      <c r="A140" t="s">
        <v>1307</v>
      </c>
      <c r="B140">
        <v>9001080200</v>
      </c>
      <c r="C140" t="s">
        <v>1308</v>
      </c>
      <c r="D140">
        <v>4298</v>
      </c>
      <c r="E140">
        <v>0.51813830800000005</v>
      </c>
      <c r="F140">
        <v>8295.0824790000006</v>
      </c>
      <c r="G140">
        <v>1</v>
      </c>
      <c r="H140">
        <v>680</v>
      </c>
      <c r="I140">
        <v>15.95120807</v>
      </c>
      <c r="J140">
        <v>0.66100000000000003</v>
      </c>
      <c r="K140">
        <f t="shared" si="2"/>
        <v>4</v>
      </c>
      <c r="N140">
        <v>4</v>
      </c>
      <c r="O140">
        <v>4</v>
      </c>
    </row>
    <row r="141" spans="1:15" x14ac:dyDescent="0.2">
      <c r="A141" t="s">
        <v>1309</v>
      </c>
      <c r="B141">
        <v>9001080400</v>
      </c>
      <c r="C141" t="s">
        <v>1310</v>
      </c>
      <c r="D141">
        <v>5956</v>
      </c>
      <c r="E141">
        <v>1.407424668</v>
      </c>
      <c r="F141">
        <v>4231.8428379999996</v>
      </c>
      <c r="G141">
        <v>1</v>
      </c>
      <c r="H141">
        <v>866</v>
      </c>
      <c r="I141">
        <v>13.71772533</v>
      </c>
      <c r="J141">
        <v>0.59499999999999997</v>
      </c>
      <c r="K141">
        <f t="shared" si="2"/>
        <v>3</v>
      </c>
      <c r="N141">
        <v>3.5</v>
      </c>
      <c r="O141">
        <v>4</v>
      </c>
    </row>
    <row r="142" spans="1:15" x14ac:dyDescent="0.2">
      <c r="A142" t="s">
        <v>1311</v>
      </c>
      <c r="B142">
        <v>9001080500</v>
      </c>
      <c r="C142" t="s">
        <v>1312</v>
      </c>
      <c r="D142">
        <v>3189</v>
      </c>
      <c r="E142">
        <v>3.224243124</v>
      </c>
      <c r="F142">
        <v>989.06933419999996</v>
      </c>
      <c r="G142">
        <v>1</v>
      </c>
      <c r="H142">
        <v>138</v>
      </c>
      <c r="I142">
        <v>4.5559590620000003</v>
      </c>
      <c r="J142">
        <v>0.126</v>
      </c>
      <c r="K142">
        <f t="shared" si="2"/>
        <v>1</v>
      </c>
      <c r="N142">
        <v>1.5</v>
      </c>
      <c r="O142">
        <v>2</v>
      </c>
    </row>
    <row r="143" spans="1:15" x14ac:dyDescent="0.2">
      <c r="A143" t="s">
        <v>1313</v>
      </c>
      <c r="B143">
        <v>9001080600</v>
      </c>
      <c r="C143" t="s">
        <v>1314</v>
      </c>
      <c r="D143">
        <v>2580</v>
      </c>
      <c r="E143">
        <v>0.659164058</v>
      </c>
      <c r="F143">
        <v>3914.0483599999998</v>
      </c>
      <c r="G143">
        <v>1</v>
      </c>
      <c r="H143">
        <v>216</v>
      </c>
      <c r="I143">
        <v>8.1880212280000002</v>
      </c>
      <c r="J143">
        <v>0.316</v>
      </c>
      <c r="K143">
        <f t="shared" si="2"/>
        <v>2</v>
      </c>
      <c r="N143">
        <v>2.5</v>
      </c>
      <c r="O143">
        <v>3</v>
      </c>
    </row>
    <row r="144" spans="1:15" x14ac:dyDescent="0.2">
      <c r="A144" t="s">
        <v>1315</v>
      </c>
      <c r="B144">
        <v>9001080700</v>
      </c>
      <c r="C144" t="s">
        <v>1316</v>
      </c>
      <c r="D144">
        <v>1955</v>
      </c>
      <c r="E144">
        <v>0.67561548500000002</v>
      </c>
      <c r="F144">
        <v>2893.6577710000001</v>
      </c>
      <c r="G144">
        <v>1</v>
      </c>
      <c r="H144">
        <v>88</v>
      </c>
      <c r="I144">
        <v>4.4154540889999998</v>
      </c>
      <c r="J144">
        <v>0.11899999999999999</v>
      </c>
      <c r="K144">
        <f t="shared" si="2"/>
        <v>1</v>
      </c>
      <c r="N144">
        <v>2</v>
      </c>
      <c r="O144">
        <v>2</v>
      </c>
    </row>
    <row r="145" spans="1:15" x14ac:dyDescent="0.2">
      <c r="A145" t="s">
        <v>1317</v>
      </c>
      <c r="B145">
        <v>9001080800</v>
      </c>
      <c r="C145" t="s">
        <v>1318</v>
      </c>
      <c r="D145">
        <v>4800</v>
      </c>
      <c r="E145">
        <v>1.2633398300000001</v>
      </c>
      <c r="F145">
        <v>3799.452757</v>
      </c>
      <c r="G145">
        <v>1</v>
      </c>
      <c r="H145">
        <v>354</v>
      </c>
      <c r="I145">
        <v>7.7853529799999999</v>
      </c>
      <c r="J145">
        <v>0.29199999999999998</v>
      </c>
      <c r="K145">
        <f t="shared" si="2"/>
        <v>2</v>
      </c>
      <c r="N145">
        <v>2</v>
      </c>
      <c r="O145">
        <v>2</v>
      </c>
    </row>
    <row r="146" spans="1:15" x14ac:dyDescent="0.2">
      <c r="A146" t="s">
        <v>1319</v>
      </c>
      <c r="B146">
        <v>9001080900</v>
      </c>
      <c r="C146" t="s">
        <v>1320</v>
      </c>
      <c r="D146">
        <v>4726</v>
      </c>
      <c r="E146">
        <v>0.71378438799999999</v>
      </c>
      <c r="F146">
        <v>6621.0470249999998</v>
      </c>
      <c r="G146">
        <v>1</v>
      </c>
      <c r="H146">
        <v>727</v>
      </c>
      <c r="I146">
        <v>14.41602221</v>
      </c>
      <c r="J146">
        <v>0.61299999999999999</v>
      </c>
      <c r="K146">
        <f t="shared" si="2"/>
        <v>4</v>
      </c>
      <c r="N146">
        <v>3.5</v>
      </c>
      <c r="O146">
        <v>4</v>
      </c>
    </row>
    <row r="147" spans="1:15" x14ac:dyDescent="0.2">
      <c r="A147" t="s">
        <v>1321</v>
      </c>
      <c r="B147">
        <v>9001081000</v>
      </c>
      <c r="C147" t="s">
        <v>1322</v>
      </c>
      <c r="D147">
        <v>4376</v>
      </c>
      <c r="E147">
        <v>1.0793455409999999</v>
      </c>
      <c r="F147">
        <v>4054.3086830000002</v>
      </c>
      <c r="G147">
        <v>1</v>
      </c>
      <c r="H147">
        <v>383</v>
      </c>
      <c r="I147">
        <v>9.3346331950000003</v>
      </c>
      <c r="J147">
        <v>0.38400000000000001</v>
      </c>
      <c r="K147">
        <f t="shared" si="2"/>
        <v>2</v>
      </c>
      <c r="N147">
        <v>3</v>
      </c>
      <c r="O147">
        <v>3</v>
      </c>
    </row>
    <row r="148" spans="1:15" x14ac:dyDescent="0.2">
      <c r="A148" t="s">
        <v>1323</v>
      </c>
      <c r="B148">
        <v>9001081100</v>
      </c>
      <c r="C148" t="s">
        <v>1324</v>
      </c>
      <c r="D148">
        <v>4699</v>
      </c>
      <c r="E148">
        <v>1.3121983580000001</v>
      </c>
      <c r="F148">
        <v>3581.0134750000002</v>
      </c>
      <c r="G148">
        <v>1</v>
      </c>
      <c r="H148">
        <v>221</v>
      </c>
      <c r="I148">
        <v>4.5185033739999998</v>
      </c>
      <c r="J148">
        <v>0.124</v>
      </c>
      <c r="K148">
        <f t="shared" si="2"/>
        <v>1</v>
      </c>
      <c r="N148">
        <v>1.5</v>
      </c>
      <c r="O148">
        <v>2</v>
      </c>
    </row>
    <row r="149" spans="1:15" x14ac:dyDescent="0.2">
      <c r="A149" t="s">
        <v>1325</v>
      </c>
      <c r="B149">
        <v>9001081200</v>
      </c>
      <c r="C149" t="s">
        <v>1326</v>
      </c>
      <c r="D149">
        <v>5231</v>
      </c>
      <c r="E149">
        <v>2.3155705740000001</v>
      </c>
      <c r="F149">
        <v>2259.0544460000001</v>
      </c>
      <c r="G149">
        <v>1</v>
      </c>
      <c r="H149">
        <v>561</v>
      </c>
      <c r="I149">
        <v>11.3562753</v>
      </c>
      <c r="J149">
        <v>0.47199999999999998</v>
      </c>
      <c r="K149">
        <f t="shared" si="2"/>
        <v>3</v>
      </c>
      <c r="N149">
        <v>2.5</v>
      </c>
      <c r="O149">
        <v>3</v>
      </c>
    </row>
    <row r="150" spans="1:15" x14ac:dyDescent="0.2">
      <c r="A150" t="s">
        <v>1327</v>
      </c>
      <c r="B150">
        <v>9001081300</v>
      </c>
      <c r="C150" t="s">
        <v>1328</v>
      </c>
      <c r="D150">
        <v>4731</v>
      </c>
      <c r="E150">
        <v>3.8511078040000002</v>
      </c>
      <c r="F150">
        <v>1228.4776850000001</v>
      </c>
      <c r="G150">
        <v>1</v>
      </c>
      <c r="H150">
        <v>727</v>
      </c>
      <c r="I150">
        <v>14.072783579999999</v>
      </c>
      <c r="J150">
        <v>0.60299999999999998</v>
      </c>
      <c r="K150">
        <f t="shared" si="2"/>
        <v>4</v>
      </c>
      <c r="N150">
        <v>3.5</v>
      </c>
      <c r="O150">
        <v>4</v>
      </c>
    </row>
    <row r="151" spans="1:15" x14ac:dyDescent="0.2">
      <c r="A151" t="s">
        <v>1329</v>
      </c>
      <c r="B151">
        <v>9001090100</v>
      </c>
      <c r="C151" t="s">
        <v>1330</v>
      </c>
      <c r="D151">
        <v>3315</v>
      </c>
      <c r="E151">
        <v>3.3197362300000002</v>
      </c>
      <c r="F151">
        <v>998.57331120000003</v>
      </c>
      <c r="G151">
        <v>1</v>
      </c>
      <c r="H151">
        <v>192</v>
      </c>
      <c r="I151">
        <v>5.7125855400000001</v>
      </c>
      <c r="J151">
        <v>0.184</v>
      </c>
      <c r="K151">
        <f t="shared" si="2"/>
        <v>1</v>
      </c>
      <c r="N151">
        <v>1</v>
      </c>
      <c r="O151">
        <v>1</v>
      </c>
    </row>
    <row r="152" spans="1:15" x14ac:dyDescent="0.2">
      <c r="A152" t="s">
        <v>1331</v>
      </c>
      <c r="B152">
        <v>9001090200</v>
      </c>
      <c r="C152" t="s">
        <v>1332</v>
      </c>
      <c r="D152">
        <v>7831</v>
      </c>
      <c r="E152">
        <v>3.737377934</v>
      </c>
      <c r="F152">
        <v>2095.3192690000001</v>
      </c>
      <c r="G152">
        <v>1</v>
      </c>
      <c r="H152">
        <v>930</v>
      </c>
      <c r="I152">
        <v>11.583011580000001</v>
      </c>
      <c r="J152">
        <v>0.48399999999999999</v>
      </c>
      <c r="K152">
        <f t="shared" si="2"/>
        <v>3</v>
      </c>
      <c r="N152">
        <v>2.5</v>
      </c>
      <c r="O152">
        <v>3</v>
      </c>
    </row>
    <row r="153" spans="1:15" x14ac:dyDescent="0.2">
      <c r="A153" t="s">
        <v>1333</v>
      </c>
      <c r="B153">
        <v>9001090300</v>
      </c>
      <c r="C153" t="s">
        <v>1334</v>
      </c>
      <c r="D153">
        <v>4561</v>
      </c>
      <c r="E153">
        <v>1.8396154730000001</v>
      </c>
      <c r="F153">
        <v>2479.322482</v>
      </c>
      <c r="G153">
        <v>1</v>
      </c>
      <c r="H153">
        <v>439</v>
      </c>
      <c r="I153">
        <v>9.5207113420000002</v>
      </c>
      <c r="J153">
        <v>0.40200000000000002</v>
      </c>
      <c r="K153">
        <f t="shared" si="2"/>
        <v>3</v>
      </c>
      <c r="N153">
        <v>2.5</v>
      </c>
      <c r="O153">
        <v>3</v>
      </c>
    </row>
    <row r="154" spans="1:15" x14ac:dyDescent="0.2">
      <c r="A154" t="s">
        <v>1335</v>
      </c>
      <c r="B154">
        <v>9001090400</v>
      </c>
      <c r="C154" t="s">
        <v>1336</v>
      </c>
      <c r="D154">
        <v>6552</v>
      </c>
      <c r="E154">
        <v>2.9224428840000001</v>
      </c>
      <c r="F154">
        <v>2241.9599840000001</v>
      </c>
      <c r="G154">
        <v>1</v>
      </c>
      <c r="H154">
        <v>1266</v>
      </c>
      <c r="I154">
        <v>19.423135930000001</v>
      </c>
      <c r="J154">
        <v>0.746</v>
      </c>
      <c r="K154">
        <f t="shared" si="2"/>
        <v>4</v>
      </c>
      <c r="N154">
        <v>2.5</v>
      </c>
      <c r="O154">
        <v>3</v>
      </c>
    </row>
    <row r="155" spans="1:15" x14ac:dyDescent="0.2">
      <c r="A155" t="s">
        <v>1337</v>
      </c>
      <c r="B155">
        <v>9001090500</v>
      </c>
      <c r="C155" t="s">
        <v>1338</v>
      </c>
      <c r="D155">
        <v>4718</v>
      </c>
      <c r="E155">
        <v>3.3672592309999998</v>
      </c>
      <c r="F155">
        <v>1401.139525</v>
      </c>
      <c r="G155">
        <v>1</v>
      </c>
      <c r="H155">
        <v>627</v>
      </c>
      <c r="I155">
        <v>13.17226891</v>
      </c>
      <c r="J155">
        <v>0.56200000000000006</v>
      </c>
      <c r="K155">
        <f t="shared" si="2"/>
        <v>3</v>
      </c>
      <c r="N155">
        <v>2</v>
      </c>
      <c r="O155">
        <v>2</v>
      </c>
    </row>
    <row r="156" spans="1:15" x14ac:dyDescent="0.2">
      <c r="A156" t="s">
        <v>1339</v>
      </c>
      <c r="B156">
        <v>9001090600</v>
      </c>
      <c r="C156" t="s">
        <v>1340</v>
      </c>
      <c r="D156">
        <v>3494</v>
      </c>
      <c r="E156">
        <v>3.183600465</v>
      </c>
      <c r="F156">
        <v>1097.4995260000001</v>
      </c>
      <c r="G156">
        <v>1</v>
      </c>
      <c r="H156">
        <v>269</v>
      </c>
      <c r="I156">
        <v>8.2515337419999994</v>
      </c>
      <c r="J156">
        <v>0.32</v>
      </c>
      <c r="K156">
        <f t="shared" si="2"/>
        <v>2</v>
      </c>
      <c r="N156">
        <v>2</v>
      </c>
      <c r="O156">
        <v>2</v>
      </c>
    </row>
    <row r="157" spans="1:15" x14ac:dyDescent="0.2">
      <c r="A157" t="s">
        <v>1341</v>
      </c>
      <c r="B157">
        <v>9001090700</v>
      </c>
      <c r="C157" t="s">
        <v>1342</v>
      </c>
      <c r="D157">
        <v>5547</v>
      </c>
      <c r="E157">
        <v>4.9528511330000002</v>
      </c>
      <c r="F157">
        <v>1119.9609780000001</v>
      </c>
      <c r="G157">
        <v>1</v>
      </c>
      <c r="H157">
        <v>733</v>
      </c>
      <c r="I157">
        <v>13.481699470000001</v>
      </c>
      <c r="J157">
        <v>0.57699999999999996</v>
      </c>
      <c r="K157">
        <f t="shared" si="2"/>
        <v>3</v>
      </c>
      <c r="N157">
        <v>2</v>
      </c>
      <c r="O157">
        <v>2</v>
      </c>
    </row>
    <row r="158" spans="1:15" x14ac:dyDescent="0.2">
      <c r="A158" t="s">
        <v>1343</v>
      </c>
      <c r="B158">
        <v>9001100100</v>
      </c>
      <c r="C158" t="s">
        <v>1344</v>
      </c>
      <c r="D158">
        <v>5574</v>
      </c>
      <c r="E158">
        <v>7.9805365889999997</v>
      </c>
      <c r="F158">
        <v>698.44927559999996</v>
      </c>
      <c r="G158">
        <v>1</v>
      </c>
      <c r="H158">
        <v>648</v>
      </c>
      <c r="I158">
        <v>11.45685997</v>
      </c>
      <c r="J158">
        <v>0.47899999999999998</v>
      </c>
      <c r="K158">
        <f t="shared" si="2"/>
        <v>3</v>
      </c>
      <c r="N158">
        <v>2</v>
      </c>
      <c r="O158">
        <v>2</v>
      </c>
    </row>
    <row r="159" spans="1:15" x14ac:dyDescent="0.2">
      <c r="A159" t="s">
        <v>1345</v>
      </c>
      <c r="B159">
        <v>9001100200</v>
      </c>
      <c r="C159" t="s">
        <v>1346</v>
      </c>
      <c r="D159">
        <v>6979</v>
      </c>
      <c r="E159">
        <v>6.3212848859999999</v>
      </c>
      <c r="F159">
        <v>1104.0476940000001</v>
      </c>
      <c r="G159">
        <v>1</v>
      </c>
      <c r="H159">
        <v>1018</v>
      </c>
      <c r="I159">
        <v>14.07438131</v>
      </c>
      <c r="J159">
        <v>0.60099999999999998</v>
      </c>
      <c r="K159">
        <f t="shared" si="2"/>
        <v>4</v>
      </c>
      <c r="N159">
        <v>3</v>
      </c>
      <c r="O159">
        <v>3</v>
      </c>
    </row>
    <row r="160" spans="1:15" x14ac:dyDescent="0.2">
      <c r="A160" t="s">
        <v>1347</v>
      </c>
      <c r="B160">
        <v>9001100300</v>
      </c>
      <c r="C160" t="s">
        <v>1348</v>
      </c>
      <c r="D160">
        <v>6926</v>
      </c>
      <c r="E160">
        <v>11.770787739999999</v>
      </c>
      <c r="F160">
        <v>588.40581889999999</v>
      </c>
      <c r="G160">
        <v>1</v>
      </c>
      <c r="H160">
        <v>538</v>
      </c>
      <c r="I160">
        <v>8.0817184920000003</v>
      </c>
      <c r="J160">
        <v>0.309</v>
      </c>
      <c r="K160">
        <f t="shared" si="2"/>
        <v>2</v>
      </c>
      <c r="N160">
        <v>1.5</v>
      </c>
      <c r="O160">
        <v>2</v>
      </c>
    </row>
    <row r="161" spans="1:15" x14ac:dyDescent="0.2">
      <c r="A161" t="s">
        <v>1349</v>
      </c>
      <c r="B161">
        <v>9001105100</v>
      </c>
      <c r="C161" t="s">
        <v>1350</v>
      </c>
      <c r="D161">
        <v>4076</v>
      </c>
      <c r="E161">
        <v>12.292544210000001</v>
      </c>
      <c r="F161">
        <v>331.5831068</v>
      </c>
      <c r="G161">
        <v>1</v>
      </c>
      <c r="H161">
        <v>109</v>
      </c>
      <c r="I161">
        <v>2.7304609219999998</v>
      </c>
      <c r="J161">
        <v>3.6999999999999998E-2</v>
      </c>
      <c r="K161">
        <f t="shared" si="2"/>
        <v>1</v>
      </c>
      <c r="N161">
        <v>1</v>
      </c>
      <c r="O161">
        <v>1</v>
      </c>
    </row>
    <row r="162" spans="1:15" x14ac:dyDescent="0.2">
      <c r="A162" t="s">
        <v>1351</v>
      </c>
      <c r="B162">
        <v>9001105200</v>
      </c>
      <c r="C162" t="s">
        <v>1352</v>
      </c>
      <c r="D162">
        <v>3414</v>
      </c>
      <c r="E162">
        <v>15.12599904</v>
      </c>
      <c r="F162">
        <v>225.70410000000001</v>
      </c>
      <c r="G162">
        <v>2</v>
      </c>
      <c r="H162">
        <v>399</v>
      </c>
      <c r="I162">
        <v>11.23627147</v>
      </c>
      <c r="J162">
        <v>0.46700000000000003</v>
      </c>
      <c r="K162">
        <f t="shared" si="2"/>
        <v>3</v>
      </c>
      <c r="N162">
        <v>2</v>
      </c>
      <c r="O162">
        <v>2</v>
      </c>
    </row>
    <row r="163" spans="1:15" x14ac:dyDescent="0.2">
      <c r="A163" t="s">
        <v>1353</v>
      </c>
      <c r="B163">
        <v>9001110100</v>
      </c>
      <c r="C163" t="s">
        <v>1354</v>
      </c>
      <c r="D163">
        <v>2321</v>
      </c>
      <c r="E163">
        <v>0.30585122399999998</v>
      </c>
      <c r="F163">
        <v>7588.6568950000001</v>
      </c>
      <c r="G163">
        <v>1</v>
      </c>
      <c r="H163">
        <v>335</v>
      </c>
      <c r="I163">
        <v>11.42954623</v>
      </c>
      <c r="J163">
        <v>0.47499999999999998</v>
      </c>
      <c r="K163">
        <f t="shared" si="2"/>
        <v>3</v>
      </c>
      <c r="N163">
        <v>3.5</v>
      </c>
      <c r="O163">
        <v>4</v>
      </c>
    </row>
    <row r="164" spans="1:15" x14ac:dyDescent="0.2">
      <c r="A164" t="s">
        <v>1355</v>
      </c>
      <c r="B164">
        <v>9001110201</v>
      </c>
      <c r="C164" t="s">
        <v>1356</v>
      </c>
      <c r="D164">
        <v>4782</v>
      </c>
      <c r="E164">
        <v>1.2622811380000001</v>
      </c>
      <c r="F164">
        <v>3788.3795110000001</v>
      </c>
      <c r="G164">
        <v>1</v>
      </c>
      <c r="H164">
        <v>748</v>
      </c>
      <c r="I164">
        <v>15.42268041</v>
      </c>
      <c r="J164">
        <v>0.63300000000000001</v>
      </c>
      <c r="K164">
        <f t="shared" si="2"/>
        <v>4</v>
      </c>
      <c r="N164">
        <v>3.5</v>
      </c>
      <c r="O164">
        <v>4</v>
      </c>
    </row>
    <row r="165" spans="1:15" x14ac:dyDescent="0.2">
      <c r="A165" t="s">
        <v>1357</v>
      </c>
      <c r="B165">
        <v>9001110202</v>
      </c>
      <c r="C165" t="s">
        <v>1358</v>
      </c>
      <c r="D165">
        <v>4756</v>
      </c>
      <c r="E165">
        <v>3.9640372849999999</v>
      </c>
      <c r="F165">
        <v>1199.7868989999999</v>
      </c>
      <c r="G165">
        <v>1</v>
      </c>
      <c r="H165">
        <v>300</v>
      </c>
      <c r="I165">
        <v>6.3091482650000001</v>
      </c>
      <c r="J165">
        <v>0.218</v>
      </c>
      <c r="K165">
        <f t="shared" si="2"/>
        <v>2</v>
      </c>
      <c r="N165">
        <v>2.5</v>
      </c>
      <c r="O165">
        <v>3</v>
      </c>
    </row>
    <row r="166" spans="1:15" x14ac:dyDescent="0.2">
      <c r="A166" t="s">
        <v>1359</v>
      </c>
      <c r="B166">
        <v>9001110301</v>
      </c>
      <c r="C166" t="s">
        <v>1360</v>
      </c>
      <c r="D166">
        <v>6174</v>
      </c>
      <c r="E166">
        <v>3.986708819</v>
      </c>
      <c r="F166">
        <v>1548.645833</v>
      </c>
      <c r="G166">
        <v>1</v>
      </c>
      <c r="H166">
        <v>899</v>
      </c>
      <c r="I166">
        <v>13.65016702</v>
      </c>
      <c r="J166">
        <v>0.58599999999999997</v>
      </c>
      <c r="K166">
        <f t="shared" si="2"/>
        <v>3</v>
      </c>
      <c r="N166">
        <v>3</v>
      </c>
      <c r="O166">
        <v>3</v>
      </c>
    </row>
    <row r="167" spans="1:15" x14ac:dyDescent="0.2">
      <c r="A167" t="s">
        <v>1361</v>
      </c>
      <c r="B167">
        <v>9001110302</v>
      </c>
      <c r="C167" t="s">
        <v>1362</v>
      </c>
      <c r="D167">
        <v>2602</v>
      </c>
      <c r="E167">
        <v>3.0332314280000001</v>
      </c>
      <c r="F167">
        <v>857.83101680000004</v>
      </c>
      <c r="G167">
        <v>1</v>
      </c>
      <c r="H167">
        <v>470</v>
      </c>
      <c r="I167">
        <v>14.03823178</v>
      </c>
      <c r="J167">
        <v>0.59599999999999997</v>
      </c>
      <c r="K167">
        <f t="shared" si="2"/>
        <v>3</v>
      </c>
      <c r="N167">
        <v>2.5</v>
      </c>
      <c r="O167">
        <v>3</v>
      </c>
    </row>
    <row r="168" spans="1:15" x14ac:dyDescent="0.2">
      <c r="A168" t="s">
        <v>1363</v>
      </c>
      <c r="B168">
        <v>9001110400</v>
      </c>
      <c r="C168" t="s">
        <v>1364</v>
      </c>
      <c r="D168">
        <v>4911</v>
      </c>
      <c r="E168">
        <v>4.0339823969999999</v>
      </c>
      <c r="F168">
        <v>1217.407395</v>
      </c>
      <c r="G168">
        <v>1</v>
      </c>
      <c r="H168">
        <v>342</v>
      </c>
      <c r="I168">
        <v>7.0807453420000002</v>
      </c>
      <c r="J168">
        <v>0.26</v>
      </c>
      <c r="K168">
        <f t="shared" si="2"/>
        <v>2</v>
      </c>
      <c r="N168">
        <v>2</v>
      </c>
      <c r="O168">
        <v>2</v>
      </c>
    </row>
    <row r="169" spans="1:15" x14ac:dyDescent="0.2">
      <c r="A169" t="s">
        <v>1365</v>
      </c>
      <c r="B169">
        <v>9001110500</v>
      </c>
      <c r="C169" t="s">
        <v>1366</v>
      </c>
      <c r="D169">
        <v>5928</v>
      </c>
      <c r="E169">
        <v>5.2018163790000003</v>
      </c>
      <c r="F169">
        <v>1139.6019329999999</v>
      </c>
      <c r="G169">
        <v>1</v>
      </c>
      <c r="H169">
        <v>205</v>
      </c>
      <c r="I169">
        <v>3.7083936319999999</v>
      </c>
      <c r="J169">
        <v>0.09</v>
      </c>
      <c r="K169">
        <f t="shared" si="2"/>
        <v>1</v>
      </c>
      <c r="N169">
        <v>1.5</v>
      </c>
      <c r="O169">
        <v>2</v>
      </c>
    </row>
    <row r="170" spans="1:15" x14ac:dyDescent="0.2">
      <c r="A170" t="s">
        <v>1367</v>
      </c>
      <c r="B170">
        <v>9001110600</v>
      </c>
      <c r="C170" t="s">
        <v>1368</v>
      </c>
      <c r="D170">
        <v>8085</v>
      </c>
      <c r="E170">
        <v>8.8377764679999995</v>
      </c>
      <c r="F170">
        <v>914.82286620000002</v>
      </c>
      <c r="G170">
        <v>1</v>
      </c>
      <c r="H170">
        <v>777</v>
      </c>
      <c r="I170">
        <v>9.3468062070000002</v>
      </c>
      <c r="J170">
        <v>0.38600000000000001</v>
      </c>
      <c r="K170">
        <f t="shared" si="2"/>
        <v>2</v>
      </c>
      <c r="N170">
        <v>2</v>
      </c>
      <c r="O170">
        <v>2</v>
      </c>
    </row>
    <row r="171" spans="1:15" x14ac:dyDescent="0.2">
      <c r="A171" t="s">
        <v>1369</v>
      </c>
      <c r="B171">
        <v>9001200100</v>
      </c>
      <c r="C171" t="s">
        <v>1370</v>
      </c>
      <c r="D171">
        <v>3606</v>
      </c>
      <c r="E171">
        <v>1.9519789279999999</v>
      </c>
      <c r="F171">
        <v>1847.356008</v>
      </c>
      <c r="G171">
        <v>1</v>
      </c>
      <c r="H171">
        <v>652</v>
      </c>
      <c r="I171">
        <v>17.645466849999998</v>
      </c>
      <c r="J171">
        <v>0.7</v>
      </c>
      <c r="K171">
        <f t="shared" si="2"/>
        <v>4</v>
      </c>
      <c r="N171">
        <v>3.5</v>
      </c>
      <c r="O171">
        <v>4</v>
      </c>
    </row>
    <row r="172" spans="1:15" x14ac:dyDescent="0.2">
      <c r="A172" t="s">
        <v>1371</v>
      </c>
      <c r="B172">
        <v>9001200200</v>
      </c>
      <c r="C172" t="s">
        <v>1372</v>
      </c>
      <c r="D172">
        <v>4908</v>
      </c>
      <c r="E172">
        <v>2.17036411</v>
      </c>
      <c r="F172">
        <v>2261.3717109999998</v>
      </c>
      <c r="G172">
        <v>1</v>
      </c>
      <c r="H172">
        <v>913</v>
      </c>
      <c r="I172">
        <v>17.480375259999999</v>
      </c>
      <c r="J172">
        <v>0.69399999999999995</v>
      </c>
      <c r="K172">
        <f t="shared" si="2"/>
        <v>4</v>
      </c>
      <c r="N172">
        <v>4</v>
      </c>
      <c r="O172">
        <v>4</v>
      </c>
    </row>
    <row r="173" spans="1:15" x14ac:dyDescent="0.2">
      <c r="A173" t="s">
        <v>1373</v>
      </c>
      <c r="B173">
        <v>9001200301</v>
      </c>
      <c r="C173" t="s">
        <v>1374</v>
      </c>
      <c r="D173">
        <v>4852</v>
      </c>
      <c r="E173">
        <v>3.8112300129999999</v>
      </c>
      <c r="F173">
        <v>1273.0798150000001</v>
      </c>
      <c r="G173">
        <v>1</v>
      </c>
      <c r="H173">
        <v>826</v>
      </c>
      <c r="I173">
        <v>15.775401069999999</v>
      </c>
      <c r="J173">
        <v>0.64400000000000002</v>
      </c>
      <c r="K173">
        <f t="shared" si="2"/>
        <v>4</v>
      </c>
      <c r="N173">
        <v>2.5</v>
      </c>
      <c r="O173">
        <v>3</v>
      </c>
    </row>
    <row r="174" spans="1:15" x14ac:dyDescent="0.2">
      <c r="A174" t="s">
        <v>1375</v>
      </c>
      <c r="B174">
        <v>9001200302</v>
      </c>
      <c r="C174" t="s">
        <v>1376</v>
      </c>
      <c r="D174">
        <v>5218</v>
      </c>
      <c r="E174">
        <v>8.9549681309999993</v>
      </c>
      <c r="F174">
        <v>582.69330760000003</v>
      </c>
      <c r="G174">
        <v>1</v>
      </c>
      <c r="H174">
        <v>252</v>
      </c>
      <c r="I174">
        <v>4.5743329099999999</v>
      </c>
      <c r="J174">
        <v>0.126</v>
      </c>
      <c r="K174">
        <f t="shared" si="2"/>
        <v>1</v>
      </c>
      <c r="N174">
        <v>1.5</v>
      </c>
      <c r="O174">
        <v>2</v>
      </c>
    </row>
    <row r="175" spans="1:15" x14ac:dyDescent="0.2">
      <c r="A175" t="s">
        <v>1377</v>
      </c>
      <c r="B175">
        <v>9001205100</v>
      </c>
      <c r="C175" t="s">
        <v>1378</v>
      </c>
      <c r="D175">
        <v>4000</v>
      </c>
      <c r="E175">
        <v>3.689896633</v>
      </c>
      <c r="F175">
        <v>1084.041207</v>
      </c>
      <c r="G175">
        <v>1</v>
      </c>
      <c r="H175">
        <v>443</v>
      </c>
      <c r="I175">
        <v>10.29275093</v>
      </c>
      <c r="J175">
        <v>0.43099999999999999</v>
      </c>
      <c r="K175">
        <f t="shared" si="2"/>
        <v>3</v>
      </c>
      <c r="N175">
        <v>2</v>
      </c>
      <c r="O175">
        <v>2</v>
      </c>
    </row>
    <row r="176" spans="1:15" x14ac:dyDescent="0.2">
      <c r="A176" t="s">
        <v>1379</v>
      </c>
      <c r="B176">
        <v>9001205200</v>
      </c>
      <c r="C176" t="s">
        <v>1380</v>
      </c>
      <c r="D176">
        <v>7054</v>
      </c>
      <c r="E176">
        <v>9.6745923149999999</v>
      </c>
      <c r="F176">
        <v>729.12633119999998</v>
      </c>
      <c r="G176">
        <v>1</v>
      </c>
      <c r="H176">
        <v>418</v>
      </c>
      <c r="I176">
        <v>6.0221870050000001</v>
      </c>
      <c r="J176">
        <v>0.19900000000000001</v>
      </c>
      <c r="K176">
        <f t="shared" si="2"/>
        <v>1</v>
      </c>
      <c r="N176">
        <v>1</v>
      </c>
      <c r="O176">
        <v>1</v>
      </c>
    </row>
    <row r="177" spans="1:15" x14ac:dyDescent="0.2">
      <c r="A177" t="s">
        <v>1381</v>
      </c>
      <c r="B177">
        <v>9001205300</v>
      </c>
      <c r="C177" t="s">
        <v>1382</v>
      </c>
      <c r="D177">
        <v>5398</v>
      </c>
      <c r="E177">
        <v>6.4084397299999996</v>
      </c>
      <c r="F177">
        <v>842.32671719999996</v>
      </c>
      <c r="G177">
        <v>1</v>
      </c>
      <c r="H177">
        <v>956</v>
      </c>
      <c r="I177">
        <v>16.565586549999999</v>
      </c>
      <c r="J177">
        <v>0.66700000000000004</v>
      </c>
      <c r="K177">
        <f t="shared" si="2"/>
        <v>4</v>
      </c>
      <c r="N177">
        <v>3</v>
      </c>
      <c r="O177">
        <v>3</v>
      </c>
    </row>
    <row r="178" spans="1:15" x14ac:dyDescent="0.2">
      <c r="A178" t="s">
        <v>1383</v>
      </c>
      <c r="B178">
        <v>9001210100</v>
      </c>
      <c r="C178" t="s">
        <v>1384</v>
      </c>
      <c r="D178">
        <v>5986</v>
      </c>
      <c r="E178">
        <v>0.59647534999999996</v>
      </c>
      <c r="F178">
        <v>10035.620070000001</v>
      </c>
      <c r="G178">
        <v>1</v>
      </c>
      <c r="H178">
        <v>2413</v>
      </c>
      <c r="I178">
        <v>42.723087820000003</v>
      </c>
      <c r="J178">
        <v>0.97799999999999998</v>
      </c>
      <c r="K178">
        <f t="shared" si="2"/>
        <v>5</v>
      </c>
      <c r="N178">
        <v>5</v>
      </c>
      <c r="O178">
        <v>5</v>
      </c>
    </row>
    <row r="179" spans="1:15" x14ac:dyDescent="0.2">
      <c r="A179" t="s">
        <v>1385</v>
      </c>
      <c r="B179">
        <v>9001210200</v>
      </c>
      <c r="C179" t="s">
        <v>1386</v>
      </c>
      <c r="D179">
        <v>6578</v>
      </c>
      <c r="E179">
        <v>0.82963396</v>
      </c>
      <c r="F179">
        <v>7928.7979029999997</v>
      </c>
      <c r="G179">
        <v>1</v>
      </c>
      <c r="H179">
        <v>3094</v>
      </c>
      <c r="I179">
        <v>48.686073960000002</v>
      </c>
      <c r="J179">
        <v>0.99</v>
      </c>
      <c r="K179">
        <f t="shared" si="2"/>
        <v>5</v>
      </c>
      <c r="N179">
        <v>4.5</v>
      </c>
      <c r="O179">
        <v>5</v>
      </c>
    </row>
    <row r="180" spans="1:15" x14ac:dyDescent="0.2">
      <c r="A180" t="s">
        <v>1387</v>
      </c>
      <c r="B180">
        <v>9001210300</v>
      </c>
      <c r="C180" t="s">
        <v>1388</v>
      </c>
      <c r="D180">
        <v>5305</v>
      </c>
      <c r="E180">
        <v>1.0270700100000001</v>
      </c>
      <c r="F180">
        <v>5165.1785669999999</v>
      </c>
      <c r="G180">
        <v>1</v>
      </c>
      <c r="H180">
        <v>2525</v>
      </c>
      <c r="I180">
        <v>43.199315650000003</v>
      </c>
      <c r="J180">
        <v>0.98099999999999998</v>
      </c>
      <c r="K180">
        <f t="shared" si="2"/>
        <v>5</v>
      </c>
      <c r="N180">
        <v>4</v>
      </c>
      <c r="O180">
        <v>4</v>
      </c>
    </row>
    <row r="181" spans="1:15" x14ac:dyDescent="0.2">
      <c r="A181" t="s">
        <v>1389</v>
      </c>
      <c r="B181">
        <v>9001210400</v>
      </c>
      <c r="C181" t="s">
        <v>1390</v>
      </c>
      <c r="D181">
        <v>8419</v>
      </c>
      <c r="E181">
        <v>2.895560906</v>
      </c>
      <c r="F181">
        <v>2907.5541050000002</v>
      </c>
      <c r="G181">
        <v>1</v>
      </c>
      <c r="H181">
        <v>3696</v>
      </c>
      <c r="I181">
        <v>39.007915570000002</v>
      </c>
      <c r="J181">
        <v>0.96599999999999997</v>
      </c>
      <c r="K181">
        <f t="shared" si="2"/>
        <v>5</v>
      </c>
      <c r="N181">
        <v>4</v>
      </c>
      <c r="O181">
        <v>4</v>
      </c>
    </row>
    <row r="182" spans="1:15" x14ac:dyDescent="0.2">
      <c r="A182" t="s">
        <v>1391</v>
      </c>
      <c r="B182">
        <v>9001210500</v>
      </c>
      <c r="C182" t="s">
        <v>1392</v>
      </c>
      <c r="D182">
        <v>7033</v>
      </c>
      <c r="E182">
        <v>12.734800699999999</v>
      </c>
      <c r="F182">
        <v>552.26620070000001</v>
      </c>
      <c r="G182">
        <v>1</v>
      </c>
      <c r="H182">
        <v>1480</v>
      </c>
      <c r="I182">
        <v>17.31399158</v>
      </c>
      <c r="J182">
        <v>0.69</v>
      </c>
      <c r="K182">
        <f t="shared" si="2"/>
        <v>4</v>
      </c>
      <c r="N182">
        <v>3</v>
      </c>
      <c r="O182">
        <v>3</v>
      </c>
    </row>
    <row r="183" spans="1:15" x14ac:dyDescent="0.2">
      <c r="A183" t="s">
        <v>1393</v>
      </c>
      <c r="B183">
        <v>9001210600</v>
      </c>
      <c r="C183" t="s">
        <v>1394</v>
      </c>
      <c r="D183">
        <v>6173</v>
      </c>
      <c r="E183">
        <v>1.0419739400000001</v>
      </c>
      <c r="F183">
        <v>5924.3324279999997</v>
      </c>
      <c r="G183">
        <v>1</v>
      </c>
      <c r="H183">
        <v>2392</v>
      </c>
      <c r="I183">
        <v>39.939889800000003</v>
      </c>
      <c r="J183">
        <v>0.96899999999999997</v>
      </c>
      <c r="K183">
        <f t="shared" si="2"/>
        <v>5</v>
      </c>
      <c r="N183">
        <v>4.5</v>
      </c>
      <c r="O183">
        <v>5</v>
      </c>
    </row>
    <row r="184" spans="1:15" x14ac:dyDescent="0.2">
      <c r="A184" t="s">
        <v>1395</v>
      </c>
      <c r="B184">
        <v>9001210701</v>
      </c>
      <c r="C184" t="s">
        <v>1396</v>
      </c>
      <c r="D184">
        <v>5470</v>
      </c>
      <c r="E184">
        <v>0.48133427600000001</v>
      </c>
      <c r="F184">
        <v>11364.24366</v>
      </c>
      <c r="G184">
        <v>1</v>
      </c>
      <c r="H184">
        <v>1894</v>
      </c>
      <c r="I184">
        <v>32.431506849999998</v>
      </c>
      <c r="J184">
        <v>0.92800000000000005</v>
      </c>
      <c r="K184">
        <f t="shared" si="2"/>
        <v>5</v>
      </c>
      <c r="N184">
        <v>5</v>
      </c>
      <c r="O184">
        <v>5</v>
      </c>
    </row>
    <row r="185" spans="1:15" x14ac:dyDescent="0.2">
      <c r="A185" t="s">
        <v>1397</v>
      </c>
      <c r="B185">
        <v>9001210702</v>
      </c>
      <c r="C185" t="s">
        <v>1398</v>
      </c>
      <c r="D185">
        <v>4478</v>
      </c>
      <c r="E185">
        <v>0.60760899300000004</v>
      </c>
      <c r="F185">
        <v>7369.8711720000001</v>
      </c>
      <c r="G185">
        <v>1</v>
      </c>
      <c r="H185">
        <v>1749</v>
      </c>
      <c r="I185">
        <v>37.677725119999998</v>
      </c>
      <c r="J185">
        <v>0.96499999999999997</v>
      </c>
      <c r="K185">
        <f t="shared" si="2"/>
        <v>5</v>
      </c>
      <c r="N185">
        <v>4.5</v>
      </c>
      <c r="O185">
        <v>5</v>
      </c>
    </row>
    <row r="186" spans="1:15" x14ac:dyDescent="0.2">
      <c r="A186" t="s">
        <v>1399</v>
      </c>
      <c r="B186">
        <v>9001210800</v>
      </c>
      <c r="C186" t="s">
        <v>1400</v>
      </c>
      <c r="D186">
        <v>5623</v>
      </c>
      <c r="E186">
        <v>6.1896221139999996</v>
      </c>
      <c r="F186">
        <v>908.45610550000004</v>
      </c>
      <c r="G186">
        <v>1</v>
      </c>
      <c r="H186">
        <v>919</v>
      </c>
      <c r="I186">
        <v>16.358134570000001</v>
      </c>
      <c r="J186">
        <v>0.66700000000000004</v>
      </c>
      <c r="K186">
        <f t="shared" si="2"/>
        <v>4</v>
      </c>
      <c r="N186">
        <v>3</v>
      </c>
      <c r="O186">
        <v>3</v>
      </c>
    </row>
    <row r="187" spans="1:15" x14ac:dyDescent="0.2">
      <c r="A187" t="s">
        <v>1401</v>
      </c>
      <c r="B187">
        <v>9001210900</v>
      </c>
      <c r="C187" t="s">
        <v>1402</v>
      </c>
      <c r="D187">
        <v>5713</v>
      </c>
      <c r="E187">
        <v>4.9074007289999999</v>
      </c>
      <c r="F187">
        <v>1164.160075</v>
      </c>
      <c r="G187">
        <v>1</v>
      </c>
      <c r="H187">
        <v>1040</v>
      </c>
      <c r="I187">
        <v>19.60784314</v>
      </c>
      <c r="J187">
        <v>0.753</v>
      </c>
      <c r="K187">
        <f t="shared" si="2"/>
        <v>4</v>
      </c>
      <c r="N187">
        <v>3</v>
      </c>
      <c r="O187">
        <v>3</v>
      </c>
    </row>
    <row r="188" spans="1:15" x14ac:dyDescent="0.2">
      <c r="A188" t="s">
        <v>1403</v>
      </c>
      <c r="B188">
        <v>9001211000</v>
      </c>
      <c r="C188" t="s">
        <v>1404</v>
      </c>
      <c r="D188">
        <v>4034</v>
      </c>
      <c r="E188">
        <v>2.7578065999999999</v>
      </c>
      <c r="F188">
        <v>1462.7566710000001</v>
      </c>
      <c r="G188">
        <v>1</v>
      </c>
      <c r="H188">
        <v>1473</v>
      </c>
      <c r="I188">
        <v>31.738849389999999</v>
      </c>
      <c r="J188">
        <v>0.91800000000000004</v>
      </c>
      <c r="K188">
        <f t="shared" si="2"/>
        <v>5</v>
      </c>
      <c r="N188">
        <v>4</v>
      </c>
      <c r="O188">
        <v>4</v>
      </c>
    </row>
    <row r="189" spans="1:15" x14ac:dyDescent="0.2">
      <c r="A189" t="s">
        <v>1405</v>
      </c>
      <c r="B189">
        <v>9001211200</v>
      </c>
      <c r="C189" t="s">
        <v>1406</v>
      </c>
      <c r="D189">
        <v>6046</v>
      </c>
      <c r="E189">
        <v>2.5646037740000001</v>
      </c>
      <c r="F189">
        <v>2357.4791789999999</v>
      </c>
      <c r="G189">
        <v>1</v>
      </c>
      <c r="H189">
        <v>1698</v>
      </c>
      <c r="I189">
        <v>25.358422940000001</v>
      </c>
      <c r="J189">
        <v>0.85199999999999998</v>
      </c>
      <c r="K189">
        <f t="shared" si="2"/>
        <v>5</v>
      </c>
      <c r="N189">
        <v>4</v>
      </c>
      <c r="O189">
        <v>4</v>
      </c>
    </row>
    <row r="190" spans="1:15" x14ac:dyDescent="0.2">
      <c r="A190" t="s">
        <v>1407</v>
      </c>
      <c r="B190">
        <v>9001211300</v>
      </c>
      <c r="C190" t="s">
        <v>1408</v>
      </c>
      <c r="D190">
        <v>3635</v>
      </c>
      <c r="E190">
        <v>1.887665503</v>
      </c>
      <c r="F190">
        <v>1925.658966</v>
      </c>
      <c r="G190">
        <v>1</v>
      </c>
      <c r="H190">
        <v>487</v>
      </c>
      <c r="I190">
        <v>12.233107260000001</v>
      </c>
      <c r="J190">
        <v>0.53100000000000003</v>
      </c>
      <c r="K190">
        <f t="shared" si="2"/>
        <v>3</v>
      </c>
      <c r="N190">
        <v>2.5</v>
      </c>
      <c r="O190">
        <v>3</v>
      </c>
    </row>
    <row r="191" spans="1:15" x14ac:dyDescent="0.2">
      <c r="A191" t="s">
        <v>1409</v>
      </c>
      <c r="B191">
        <v>9001211400</v>
      </c>
      <c r="C191" t="s">
        <v>1410</v>
      </c>
      <c r="D191">
        <v>5025</v>
      </c>
      <c r="E191">
        <v>2.8037010210000002</v>
      </c>
      <c r="F191">
        <v>1792.2738420000001</v>
      </c>
      <c r="G191">
        <v>1</v>
      </c>
      <c r="H191">
        <v>714</v>
      </c>
      <c r="I191">
        <v>14.071738270000001</v>
      </c>
      <c r="J191">
        <v>0.60899999999999999</v>
      </c>
      <c r="K191">
        <f t="shared" si="2"/>
        <v>4</v>
      </c>
      <c r="N191">
        <v>3.5</v>
      </c>
      <c r="O191">
        <v>4</v>
      </c>
    </row>
    <row r="192" spans="1:15" x14ac:dyDescent="0.2">
      <c r="A192" t="s">
        <v>1411</v>
      </c>
      <c r="B192">
        <v>9001220100</v>
      </c>
      <c r="C192" t="s">
        <v>1412</v>
      </c>
      <c r="D192">
        <v>5193</v>
      </c>
      <c r="E192">
        <v>4.2436961100000001</v>
      </c>
      <c r="F192">
        <v>1223.6974250000001</v>
      </c>
      <c r="G192">
        <v>1</v>
      </c>
      <c r="H192">
        <v>472</v>
      </c>
      <c r="I192">
        <v>8.7716037910000004</v>
      </c>
      <c r="J192">
        <v>0.36699999999999999</v>
      </c>
      <c r="K192">
        <f t="shared" si="2"/>
        <v>2</v>
      </c>
      <c r="N192">
        <v>2</v>
      </c>
      <c r="O192">
        <v>2</v>
      </c>
    </row>
    <row r="193" spans="1:15" x14ac:dyDescent="0.2">
      <c r="A193" t="s">
        <v>1413</v>
      </c>
      <c r="B193">
        <v>9001220200</v>
      </c>
      <c r="C193" t="s">
        <v>1414</v>
      </c>
      <c r="D193">
        <v>4893</v>
      </c>
      <c r="E193">
        <v>11.873892469999999</v>
      </c>
      <c r="F193">
        <v>412.08053840000002</v>
      </c>
      <c r="G193">
        <v>1</v>
      </c>
      <c r="H193">
        <v>503</v>
      </c>
      <c r="I193">
        <v>9.9348212520000008</v>
      </c>
      <c r="J193">
        <v>0.41799999999999998</v>
      </c>
      <c r="K193">
        <f t="shared" si="2"/>
        <v>3</v>
      </c>
      <c r="N193">
        <v>2</v>
      </c>
      <c r="O193">
        <v>2</v>
      </c>
    </row>
    <row r="194" spans="1:15" x14ac:dyDescent="0.2">
      <c r="A194" t="s">
        <v>1415</v>
      </c>
      <c r="B194">
        <v>9001220300</v>
      </c>
      <c r="C194" t="s">
        <v>1416</v>
      </c>
      <c r="D194">
        <v>3795</v>
      </c>
      <c r="E194">
        <v>4.3243949390000003</v>
      </c>
      <c r="F194">
        <v>877.57941940000001</v>
      </c>
      <c r="G194">
        <v>1</v>
      </c>
      <c r="H194">
        <v>254</v>
      </c>
      <c r="I194">
        <v>7.234406152</v>
      </c>
      <c r="J194">
        <v>0.27200000000000002</v>
      </c>
      <c r="K194">
        <f t="shared" si="2"/>
        <v>2</v>
      </c>
      <c r="N194">
        <v>2</v>
      </c>
      <c r="O194">
        <v>2</v>
      </c>
    </row>
    <row r="195" spans="1:15" x14ac:dyDescent="0.2">
      <c r="A195" t="s">
        <v>1417</v>
      </c>
      <c r="B195">
        <v>9001230100</v>
      </c>
      <c r="C195" t="s">
        <v>1418</v>
      </c>
      <c r="D195">
        <v>7061</v>
      </c>
      <c r="E195">
        <v>15.379121059999999</v>
      </c>
      <c r="F195">
        <v>459.12896919999997</v>
      </c>
      <c r="G195">
        <v>1</v>
      </c>
      <c r="H195">
        <v>503</v>
      </c>
      <c r="I195">
        <v>7.00459546</v>
      </c>
      <c r="J195">
        <v>0.25700000000000001</v>
      </c>
      <c r="K195">
        <f t="shared" ref="K195:K258" si="3">IF(J195&lt;0.2,1,IF(J195&lt;0.4,2,IF(J195&lt;0.6,3,IF(J195&lt;0.8,4,5))))</f>
        <v>2</v>
      </c>
      <c r="N195">
        <v>2</v>
      </c>
      <c r="O195">
        <v>2</v>
      </c>
    </row>
    <row r="196" spans="1:15" x14ac:dyDescent="0.2">
      <c r="A196" t="s">
        <v>1419</v>
      </c>
      <c r="B196">
        <v>9001230200</v>
      </c>
      <c r="C196" t="s">
        <v>1420</v>
      </c>
      <c r="D196">
        <v>1941</v>
      </c>
      <c r="E196">
        <v>2.3068415760000001</v>
      </c>
      <c r="F196">
        <v>841.4101862</v>
      </c>
      <c r="G196">
        <v>1</v>
      </c>
      <c r="H196">
        <v>123</v>
      </c>
      <c r="I196">
        <v>6.5460351250000004</v>
      </c>
      <c r="J196">
        <v>0.23400000000000001</v>
      </c>
      <c r="K196">
        <f t="shared" si="3"/>
        <v>2</v>
      </c>
      <c r="N196">
        <v>1.5</v>
      </c>
      <c r="O196">
        <v>2</v>
      </c>
    </row>
    <row r="197" spans="1:15" x14ac:dyDescent="0.2">
      <c r="A197" t="s">
        <v>1421</v>
      </c>
      <c r="B197">
        <v>9001230300</v>
      </c>
      <c r="C197" t="s">
        <v>1422</v>
      </c>
      <c r="D197">
        <v>3441</v>
      </c>
      <c r="E197">
        <v>8.0032625629999998</v>
      </c>
      <c r="F197">
        <v>429.94965780000001</v>
      </c>
      <c r="G197">
        <v>1</v>
      </c>
      <c r="H197">
        <v>135</v>
      </c>
      <c r="I197">
        <v>3.7762237760000001</v>
      </c>
      <c r="J197">
        <v>9.5000000000000001E-2</v>
      </c>
      <c r="K197">
        <f t="shared" si="3"/>
        <v>1</v>
      </c>
      <c r="N197">
        <v>1</v>
      </c>
      <c r="O197">
        <v>1</v>
      </c>
    </row>
    <row r="198" spans="1:15" x14ac:dyDescent="0.2">
      <c r="A198" t="s">
        <v>1423</v>
      </c>
      <c r="B198">
        <v>9001230400</v>
      </c>
      <c r="C198" t="s">
        <v>1424</v>
      </c>
      <c r="D198">
        <v>5651</v>
      </c>
      <c r="E198">
        <v>13.847707400000001</v>
      </c>
      <c r="F198">
        <v>408.08199050000002</v>
      </c>
      <c r="G198">
        <v>1</v>
      </c>
      <c r="H198">
        <v>560</v>
      </c>
      <c r="I198">
        <v>9.2976921800000003</v>
      </c>
      <c r="J198">
        <v>0.39</v>
      </c>
      <c r="K198">
        <f t="shared" si="3"/>
        <v>2</v>
      </c>
      <c r="N198">
        <v>1.5</v>
      </c>
      <c r="O198">
        <v>2</v>
      </c>
    </row>
    <row r="199" spans="1:15" x14ac:dyDescent="0.2">
      <c r="A199" t="s">
        <v>1425</v>
      </c>
      <c r="B199">
        <v>9001230501</v>
      </c>
      <c r="C199" t="s">
        <v>1426</v>
      </c>
      <c r="D199">
        <v>4329</v>
      </c>
      <c r="E199">
        <v>7.7456104039999998</v>
      </c>
      <c r="F199">
        <v>558.89720420000003</v>
      </c>
      <c r="G199">
        <v>1</v>
      </c>
      <c r="H199">
        <v>381</v>
      </c>
      <c r="I199">
        <v>9.2633114509999999</v>
      </c>
      <c r="J199">
        <v>0.38700000000000001</v>
      </c>
      <c r="K199">
        <f t="shared" si="3"/>
        <v>2</v>
      </c>
      <c r="N199">
        <v>1.5</v>
      </c>
      <c r="O199">
        <v>2</v>
      </c>
    </row>
    <row r="200" spans="1:15" x14ac:dyDescent="0.2">
      <c r="A200" t="s">
        <v>1427</v>
      </c>
      <c r="B200">
        <v>9001230502</v>
      </c>
      <c r="C200" t="s">
        <v>1428</v>
      </c>
      <c r="D200">
        <v>5137</v>
      </c>
      <c r="E200">
        <v>10.37608167</v>
      </c>
      <c r="F200">
        <v>495.08091450000001</v>
      </c>
      <c r="G200">
        <v>1</v>
      </c>
      <c r="H200">
        <v>402</v>
      </c>
      <c r="I200">
        <v>7.9588200359999997</v>
      </c>
      <c r="J200">
        <v>0.307</v>
      </c>
      <c r="K200">
        <f t="shared" si="3"/>
        <v>2</v>
      </c>
      <c r="N200">
        <v>1.5</v>
      </c>
      <c r="O200">
        <v>2</v>
      </c>
    </row>
    <row r="201" spans="1:15" x14ac:dyDescent="0.2">
      <c r="A201" t="s">
        <v>1429</v>
      </c>
      <c r="B201">
        <v>9001240100</v>
      </c>
      <c r="C201" t="s">
        <v>1430</v>
      </c>
      <c r="D201">
        <v>4599</v>
      </c>
      <c r="E201">
        <v>13.37270945</v>
      </c>
      <c r="F201">
        <v>343.90936390000002</v>
      </c>
      <c r="G201">
        <v>1</v>
      </c>
      <c r="H201">
        <v>81</v>
      </c>
      <c r="I201">
        <v>1.7597219200000001</v>
      </c>
      <c r="J201">
        <v>1.4999999999999999E-2</v>
      </c>
      <c r="K201">
        <f t="shared" si="3"/>
        <v>1</v>
      </c>
      <c r="N201">
        <v>1</v>
      </c>
      <c r="O201">
        <v>1</v>
      </c>
    </row>
    <row r="202" spans="1:15" x14ac:dyDescent="0.2">
      <c r="A202" t="s">
        <v>1431</v>
      </c>
      <c r="B202">
        <v>9001240200</v>
      </c>
      <c r="C202" t="s">
        <v>1432</v>
      </c>
      <c r="D202">
        <v>4559</v>
      </c>
      <c r="E202">
        <v>18.12648437</v>
      </c>
      <c r="F202">
        <v>251.51043670000001</v>
      </c>
      <c r="G202">
        <v>2</v>
      </c>
      <c r="H202">
        <v>380</v>
      </c>
      <c r="I202">
        <v>8.3096435599999996</v>
      </c>
      <c r="J202">
        <v>0.32700000000000001</v>
      </c>
      <c r="K202">
        <f t="shared" si="3"/>
        <v>2</v>
      </c>
      <c r="N202">
        <v>1.5</v>
      </c>
      <c r="O202">
        <v>2</v>
      </c>
    </row>
    <row r="203" spans="1:15" x14ac:dyDescent="0.2">
      <c r="A203" t="s">
        <v>1433</v>
      </c>
      <c r="B203">
        <v>9001245100</v>
      </c>
      <c r="C203" t="s">
        <v>1434</v>
      </c>
      <c r="D203">
        <v>2870</v>
      </c>
      <c r="E203">
        <v>3.9950327959999998</v>
      </c>
      <c r="F203">
        <v>718.39210009999999</v>
      </c>
      <c r="G203">
        <v>1</v>
      </c>
      <c r="H203">
        <v>169</v>
      </c>
      <c r="I203">
        <v>5.849775009</v>
      </c>
      <c r="J203">
        <v>0.19500000000000001</v>
      </c>
      <c r="K203">
        <f t="shared" si="3"/>
        <v>1</v>
      </c>
      <c r="N203">
        <v>1</v>
      </c>
      <c r="O203">
        <v>1</v>
      </c>
    </row>
    <row r="204" spans="1:15" x14ac:dyDescent="0.2">
      <c r="A204" t="s">
        <v>1435</v>
      </c>
      <c r="B204">
        <v>9001245200</v>
      </c>
      <c r="C204" t="s">
        <v>1436</v>
      </c>
      <c r="D204">
        <v>4397</v>
      </c>
      <c r="E204">
        <v>7.305212225</v>
      </c>
      <c r="F204">
        <v>601.89900920000002</v>
      </c>
      <c r="G204">
        <v>1</v>
      </c>
      <c r="H204">
        <v>534</v>
      </c>
      <c r="I204">
        <v>11.89309577</v>
      </c>
      <c r="J204">
        <v>0.503</v>
      </c>
      <c r="K204">
        <f t="shared" si="3"/>
        <v>3</v>
      </c>
      <c r="N204">
        <v>2</v>
      </c>
      <c r="O204">
        <v>2</v>
      </c>
    </row>
    <row r="205" spans="1:15" x14ac:dyDescent="0.2">
      <c r="A205" t="s">
        <v>1437</v>
      </c>
      <c r="B205">
        <v>9001245300</v>
      </c>
      <c r="C205" t="s">
        <v>1438</v>
      </c>
      <c r="D205">
        <v>4974</v>
      </c>
      <c r="E205">
        <v>5.2728329240000003</v>
      </c>
      <c r="F205">
        <v>943.32592580000005</v>
      </c>
      <c r="G205">
        <v>1</v>
      </c>
      <c r="H205">
        <v>335</v>
      </c>
      <c r="I205">
        <v>6.6973210720000003</v>
      </c>
      <c r="J205">
        <v>0.24199999999999999</v>
      </c>
      <c r="K205">
        <f t="shared" si="3"/>
        <v>2</v>
      </c>
      <c r="N205">
        <v>1.5</v>
      </c>
      <c r="O205">
        <v>2</v>
      </c>
    </row>
    <row r="206" spans="1:15" x14ac:dyDescent="0.2">
      <c r="A206" t="s">
        <v>1439</v>
      </c>
      <c r="B206">
        <v>9001245400</v>
      </c>
      <c r="C206" t="s">
        <v>1440</v>
      </c>
      <c r="D206">
        <v>3311</v>
      </c>
      <c r="E206">
        <v>4.8555541570000003</v>
      </c>
      <c r="F206">
        <v>681.8995099</v>
      </c>
      <c r="G206">
        <v>1</v>
      </c>
      <c r="H206">
        <v>125</v>
      </c>
      <c r="I206">
        <v>4.1295011559999999</v>
      </c>
      <c r="J206">
        <v>0.112</v>
      </c>
      <c r="K206">
        <f t="shared" si="3"/>
        <v>1</v>
      </c>
      <c r="N206">
        <v>1</v>
      </c>
      <c r="O206">
        <v>1</v>
      </c>
    </row>
    <row r="207" spans="1:15" x14ac:dyDescent="0.2">
      <c r="A207" t="s">
        <v>1441</v>
      </c>
      <c r="B207">
        <v>9001245500</v>
      </c>
      <c r="C207" t="s">
        <v>1442</v>
      </c>
      <c r="D207">
        <v>3099</v>
      </c>
      <c r="E207">
        <v>2.9917984180000001</v>
      </c>
      <c r="F207">
        <v>1035.8318200000001</v>
      </c>
      <c r="G207">
        <v>1</v>
      </c>
      <c r="H207">
        <v>425</v>
      </c>
      <c r="I207">
        <v>13.98026316</v>
      </c>
      <c r="J207">
        <v>0.59899999999999998</v>
      </c>
      <c r="K207">
        <f t="shared" si="3"/>
        <v>3</v>
      </c>
      <c r="N207">
        <v>2</v>
      </c>
      <c r="O207">
        <v>2</v>
      </c>
    </row>
    <row r="208" spans="1:15" x14ac:dyDescent="0.2">
      <c r="A208" t="s">
        <v>1443</v>
      </c>
      <c r="B208">
        <v>9001245600</v>
      </c>
      <c r="C208" t="s">
        <v>1444</v>
      </c>
      <c r="D208">
        <v>5987</v>
      </c>
      <c r="E208">
        <v>10.094934029999999</v>
      </c>
      <c r="F208">
        <v>593.06974979999995</v>
      </c>
      <c r="G208">
        <v>1</v>
      </c>
      <c r="H208">
        <v>777</v>
      </c>
      <c r="I208">
        <v>11.783439489999999</v>
      </c>
      <c r="J208">
        <v>0.49299999999999999</v>
      </c>
      <c r="K208">
        <f t="shared" si="3"/>
        <v>3</v>
      </c>
      <c r="N208">
        <v>2</v>
      </c>
      <c r="O208">
        <v>2</v>
      </c>
    </row>
    <row r="209" spans="1:15" x14ac:dyDescent="0.2">
      <c r="A209" t="s">
        <v>1445</v>
      </c>
      <c r="B209">
        <v>9001257100</v>
      </c>
      <c r="C209" t="s">
        <v>1446</v>
      </c>
      <c r="D209">
        <v>3581</v>
      </c>
      <c r="E209">
        <v>21.891781739999999</v>
      </c>
      <c r="F209">
        <v>163.57736629999999</v>
      </c>
      <c r="G209">
        <v>2</v>
      </c>
      <c r="H209">
        <v>211</v>
      </c>
      <c r="I209">
        <v>5.7824061389999999</v>
      </c>
      <c r="J209">
        <v>0.193</v>
      </c>
      <c r="K209">
        <f t="shared" si="3"/>
        <v>1</v>
      </c>
      <c r="N209">
        <v>1.5</v>
      </c>
      <c r="O209">
        <v>2</v>
      </c>
    </row>
    <row r="210" spans="1:15" x14ac:dyDescent="0.2">
      <c r="A210" t="s">
        <v>1447</v>
      </c>
      <c r="B210">
        <v>9001257200</v>
      </c>
      <c r="C210" t="s">
        <v>1448</v>
      </c>
      <c r="D210">
        <v>3722</v>
      </c>
      <c r="E210">
        <v>0.59978849300000003</v>
      </c>
      <c r="F210">
        <v>6205.5208499999999</v>
      </c>
      <c r="G210">
        <v>1</v>
      </c>
      <c r="H210">
        <v>788</v>
      </c>
      <c r="I210">
        <v>19.23828125</v>
      </c>
      <c r="J210">
        <v>0.73699999999999999</v>
      </c>
      <c r="K210">
        <f t="shared" si="3"/>
        <v>4</v>
      </c>
      <c r="N210">
        <v>4.5</v>
      </c>
      <c r="O210">
        <v>5</v>
      </c>
    </row>
    <row r="211" spans="1:15" x14ac:dyDescent="0.2">
      <c r="A211" t="s">
        <v>1449</v>
      </c>
      <c r="B211">
        <v>9003330100</v>
      </c>
      <c r="C211" t="s">
        <v>1450</v>
      </c>
      <c r="D211">
        <v>2114</v>
      </c>
      <c r="E211">
        <v>33.079351719999998</v>
      </c>
      <c r="F211">
        <v>63.906935599999997</v>
      </c>
      <c r="G211">
        <v>2</v>
      </c>
      <c r="H211">
        <v>262</v>
      </c>
      <c r="I211">
        <v>13.21897074</v>
      </c>
      <c r="J211">
        <v>0.56399999999999995</v>
      </c>
      <c r="K211">
        <f t="shared" si="3"/>
        <v>3</v>
      </c>
      <c r="N211">
        <v>3</v>
      </c>
      <c r="O211">
        <v>3</v>
      </c>
    </row>
    <row r="212" spans="1:15" x14ac:dyDescent="0.2">
      <c r="A212" t="s">
        <v>1451</v>
      </c>
      <c r="B212">
        <v>9003400100</v>
      </c>
      <c r="C212" t="s">
        <v>1452</v>
      </c>
      <c r="D212">
        <v>7195</v>
      </c>
      <c r="E212">
        <v>7.535148425</v>
      </c>
      <c r="F212">
        <v>954.85843060000002</v>
      </c>
      <c r="G212">
        <v>1</v>
      </c>
      <c r="H212">
        <v>647</v>
      </c>
      <c r="I212">
        <v>8.8135131449999999</v>
      </c>
      <c r="J212">
        <v>0.36299999999999999</v>
      </c>
      <c r="K212">
        <f t="shared" si="3"/>
        <v>2</v>
      </c>
      <c r="N212">
        <v>2.5</v>
      </c>
      <c r="O212">
        <v>3</v>
      </c>
    </row>
    <row r="213" spans="1:15" x14ac:dyDescent="0.2">
      <c r="A213" t="s">
        <v>1453</v>
      </c>
      <c r="B213">
        <v>9003400200</v>
      </c>
      <c r="C213" t="s">
        <v>1454</v>
      </c>
      <c r="D213">
        <v>5769</v>
      </c>
      <c r="E213">
        <v>12.7262246</v>
      </c>
      <c r="F213">
        <v>453.3159033</v>
      </c>
      <c r="G213">
        <v>1</v>
      </c>
      <c r="H213">
        <v>469</v>
      </c>
      <c r="I213">
        <v>7.5027995519999999</v>
      </c>
      <c r="J213">
        <v>0.27600000000000002</v>
      </c>
      <c r="K213">
        <f t="shared" si="3"/>
        <v>2</v>
      </c>
      <c r="N213">
        <v>2</v>
      </c>
      <c r="O213">
        <v>2</v>
      </c>
    </row>
    <row r="214" spans="1:15" x14ac:dyDescent="0.2">
      <c r="A214" t="s">
        <v>1455</v>
      </c>
      <c r="B214">
        <v>9003400300</v>
      </c>
      <c r="C214" t="s">
        <v>1456</v>
      </c>
      <c r="D214">
        <v>6902</v>
      </c>
      <c r="E214">
        <v>6.0630022219999997</v>
      </c>
      <c r="F214">
        <v>1138.379923</v>
      </c>
      <c r="G214">
        <v>1</v>
      </c>
      <c r="H214">
        <v>453</v>
      </c>
      <c r="I214">
        <v>6.5728380729999998</v>
      </c>
      <c r="J214">
        <v>0.23400000000000001</v>
      </c>
      <c r="K214">
        <f t="shared" si="3"/>
        <v>2</v>
      </c>
      <c r="N214">
        <v>2</v>
      </c>
      <c r="O214">
        <v>2</v>
      </c>
    </row>
    <row r="215" spans="1:15" x14ac:dyDescent="0.2">
      <c r="A215" t="s">
        <v>1457</v>
      </c>
      <c r="B215">
        <v>9003405100</v>
      </c>
      <c r="C215" t="s">
        <v>1458</v>
      </c>
      <c r="D215">
        <v>3171</v>
      </c>
      <c r="E215">
        <v>0.99943860699999998</v>
      </c>
      <c r="F215">
        <v>3172.781176</v>
      </c>
      <c r="G215">
        <v>1</v>
      </c>
      <c r="H215">
        <v>480</v>
      </c>
      <c r="I215">
        <v>14.589665650000001</v>
      </c>
      <c r="J215">
        <v>0.60599999999999998</v>
      </c>
      <c r="K215">
        <f t="shared" si="3"/>
        <v>4</v>
      </c>
      <c r="N215">
        <v>4</v>
      </c>
      <c r="O215">
        <v>4</v>
      </c>
    </row>
    <row r="216" spans="1:15" x14ac:dyDescent="0.2">
      <c r="A216" t="s">
        <v>1459</v>
      </c>
      <c r="B216">
        <v>9003405200</v>
      </c>
      <c r="C216" t="s">
        <v>1460</v>
      </c>
      <c r="D216">
        <v>4447</v>
      </c>
      <c r="E216">
        <v>1.401490277</v>
      </c>
      <c r="F216">
        <v>3173.0509109999998</v>
      </c>
      <c r="G216">
        <v>1</v>
      </c>
      <c r="H216">
        <v>267</v>
      </c>
      <c r="I216">
        <v>6.8251533740000001</v>
      </c>
      <c r="J216">
        <v>0.246</v>
      </c>
      <c r="K216">
        <f t="shared" si="3"/>
        <v>2</v>
      </c>
      <c r="N216">
        <v>3.5</v>
      </c>
      <c r="O216">
        <v>4</v>
      </c>
    </row>
    <row r="217" spans="1:15" x14ac:dyDescent="0.2">
      <c r="A217" t="s">
        <v>1461</v>
      </c>
      <c r="B217">
        <v>9003405300</v>
      </c>
      <c r="C217" t="s">
        <v>1462</v>
      </c>
      <c r="D217">
        <v>6140</v>
      </c>
      <c r="E217">
        <v>1.348223621</v>
      </c>
      <c r="F217">
        <v>4554.1406509999997</v>
      </c>
      <c r="G217">
        <v>1</v>
      </c>
      <c r="H217">
        <v>879</v>
      </c>
      <c r="I217">
        <v>13.644830799999999</v>
      </c>
      <c r="J217">
        <v>0.58699999999999997</v>
      </c>
      <c r="K217">
        <f t="shared" si="3"/>
        <v>3</v>
      </c>
      <c r="N217">
        <v>4</v>
      </c>
      <c r="O217">
        <v>4</v>
      </c>
    </row>
    <row r="218" spans="1:15" x14ac:dyDescent="0.2">
      <c r="A218" t="s">
        <v>1463</v>
      </c>
      <c r="B218">
        <v>9003405401</v>
      </c>
      <c r="C218" t="s">
        <v>1464</v>
      </c>
      <c r="D218">
        <v>3325</v>
      </c>
      <c r="E218">
        <v>1.469337696</v>
      </c>
      <c r="F218">
        <v>2262.9243160000001</v>
      </c>
      <c r="G218">
        <v>1</v>
      </c>
      <c r="H218">
        <v>623</v>
      </c>
      <c r="I218">
        <v>18.328920270000001</v>
      </c>
      <c r="J218">
        <v>0.71799999999999997</v>
      </c>
      <c r="K218">
        <f t="shared" si="3"/>
        <v>4</v>
      </c>
      <c r="N218">
        <v>3.5</v>
      </c>
      <c r="O218">
        <v>4</v>
      </c>
    </row>
    <row r="219" spans="1:15" x14ac:dyDescent="0.2">
      <c r="A219" t="s">
        <v>1465</v>
      </c>
      <c r="B219">
        <v>9003405402</v>
      </c>
      <c r="C219" t="s">
        <v>1466</v>
      </c>
      <c r="D219">
        <v>3982</v>
      </c>
      <c r="E219">
        <v>1.76169156</v>
      </c>
      <c r="F219">
        <v>2260.3275680000002</v>
      </c>
      <c r="G219">
        <v>1</v>
      </c>
      <c r="H219">
        <v>1020</v>
      </c>
      <c r="I219">
        <v>27.084439719999999</v>
      </c>
      <c r="J219">
        <v>0.86599999999999999</v>
      </c>
      <c r="K219">
        <f t="shared" si="3"/>
        <v>5</v>
      </c>
      <c r="N219">
        <v>5</v>
      </c>
      <c r="O219">
        <v>5</v>
      </c>
    </row>
    <row r="220" spans="1:15" x14ac:dyDescent="0.2">
      <c r="A220" t="s">
        <v>1467</v>
      </c>
      <c r="B220">
        <v>9003405500</v>
      </c>
      <c r="C220" t="s">
        <v>1468</v>
      </c>
      <c r="D220">
        <v>5206</v>
      </c>
      <c r="E220">
        <v>3.2382752350000001</v>
      </c>
      <c r="F220">
        <v>1607.645929</v>
      </c>
      <c r="G220">
        <v>1</v>
      </c>
      <c r="H220">
        <v>419</v>
      </c>
      <c r="I220">
        <v>7.8273865120000004</v>
      </c>
      <c r="J220">
        <v>0.29599999999999999</v>
      </c>
      <c r="K220">
        <f t="shared" si="3"/>
        <v>2</v>
      </c>
      <c r="N220">
        <v>3</v>
      </c>
      <c r="O220">
        <v>3</v>
      </c>
    </row>
    <row r="221" spans="1:15" x14ac:dyDescent="0.2">
      <c r="A221" t="s">
        <v>1469</v>
      </c>
      <c r="B221">
        <v>9003405600</v>
      </c>
      <c r="C221" t="s">
        <v>1470</v>
      </c>
      <c r="D221">
        <v>7222</v>
      </c>
      <c r="E221">
        <v>2.9392862050000002</v>
      </c>
      <c r="F221">
        <v>2457.0591279999999</v>
      </c>
      <c r="G221">
        <v>1</v>
      </c>
      <c r="H221">
        <v>895</v>
      </c>
      <c r="I221">
        <v>12.0408987</v>
      </c>
      <c r="J221">
        <v>0.51400000000000001</v>
      </c>
      <c r="K221">
        <f t="shared" si="3"/>
        <v>3</v>
      </c>
      <c r="N221">
        <v>3.5</v>
      </c>
      <c r="O221">
        <v>4</v>
      </c>
    </row>
    <row r="222" spans="1:15" x14ac:dyDescent="0.2">
      <c r="A222" t="s">
        <v>1471</v>
      </c>
      <c r="B222">
        <v>9003405700</v>
      </c>
      <c r="C222" t="s">
        <v>1472</v>
      </c>
      <c r="D222">
        <v>2186</v>
      </c>
      <c r="E222">
        <v>1.381813352</v>
      </c>
      <c r="F222">
        <v>1581.979214</v>
      </c>
      <c r="G222">
        <v>1</v>
      </c>
      <c r="H222">
        <v>252</v>
      </c>
      <c r="I222">
        <v>11.93181818</v>
      </c>
      <c r="J222">
        <v>0.50600000000000001</v>
      </c>
      <c r="K222">
        <f t="shared" si="3"/>
        <v>3</v>
      </c>
      <c r="N222">
        <v>4</v>
      </c>
      <c r="O222">
        <v>4</v>
      </c>
    </row>
    <row r="223" spans="1:15" x14ac:dyDescent="0.2">
      <c r="A223" t="s">
        <v>1473</v>
      </c>
      <c r="B223">
        <v>9003405800</v>
      </c>
      <c r="C223" t="s">
        <v>1474</v>
      </c>
      <c r="D223">
        <v>7388</v>
      </c>
      <c r="E223">
        <v>5.9912980290000002</v>
      </c>
      <c r="F223">
        <v>1233.1217650000001</v>
      </c>
      <c r="G223">
        <v>1</v>
      </c>
      <c r="H223">
        <v>643</v>
      </c>
      <c r="I223">
        <v>8.3964481590000002</v>
      </c>
      <c r="J223">
        <v>0.33300000000000002</v>
      </c>
      <c r="K223">
        <f t="shared" si="3"/>
        <v>2</v>
      </c>
      <c r="N223">
        <v>2.5</v>
      </c>
      <c r="O223">
        <v>3</v>
      </c>
    </row>
    <row r="224" spans="1:15" x14ac:dyDescent="0.2">
      <c r="A224" t="s">
        <v>1475</v>
      </c>
      <c r="B224">
        <v>9003405900</v>
      </c>
      <c r="C224" t="s">
        <v>1476</v>
      </c>
      <c r="D224">
        <v>4636</v>
      </c>
      <c r="E224">
        <v>2.0465399839999998</v>
      </c>
      <c r="F224">
        <v>2265.286795</v>
      </c>
      <c r="G224">
        <v>1</v>
      </c>
      <c r="H224">
        <v>232</v>
      </c>
      <c r="I224">
        <v>5.0107991360000002</v>
      </c>
      <c r="J224">
        <v>0.155</v>
      </c>
      <c r="K224">
        <f t="shared" si="3"/>
        <v>1</v>
      </c>
      <c r="N224">
        <v>2</v>
      </c>
      <c r="O224">
        <v>2</v>
      </c>
    </row>
    <row r="225" spans="1:15" x14ac:dyDescent="0.2">
      <c r="A225" t="s">
        <v>1477</v>
      </c>
      <c r="B225">
        <v>9003406001</v>
      </c>
      <c r="C225" t="s">
        <v>1478</v>
      </c>
      <c r="D225">
        <v>4054</v>
      </c>
      <c r="E225">
        <v>1.6448454589999999</v>
      </c>
      <c r="F225">
        <v>2464.6692360000002</v>
      </c>
      <c r="G225">
        <v>1</v>
      </c>
      <c r="H225">
        <v>736</v>
      </c>
      <c r="I225">
        <v>18.2494421</v>
      </c>
      <c r="J225">
        <v>0.71599999999999997</v>
      </c>
      <c r="K225">
        <f t="shared" si="3"/>
        <v>4</v>
      </c>
      <c r="N225">
        <v>4.5</v>
      </c>
      <c r="O225">
        <v>5</v>
      </c>
    </row>
    <row r="226" spans="1:15" x14ac:dyDescent="0.2">
      <c r="A226" t="s">
        <v>1479</v>
      </c>
      <c r="B226">
        <v>9003406002</v>
      </c>
      <c r="C226" t="s">
        <v>1480</v>
      </c>
      <c r="D226">
        <v>4810</v>
      </c>
      <c r="E226">
        <v>1.4946853040000001</v>
      </c>
      <c r="F226">
        <v>3218.068706</v>
      </c>
      <c r="G226">
        <v>1</v>
      </c>
      <c r="H226">
        <v>367</v>
      </c>
      <c r="I226">
        <v>8.3751711550000003</v>
      </c>
      <c r="J226">
        <v>0.33</v>
      </c>
      <c r="K226">
        <f t="shared" si="3"/>
        <v>2</v>
      </c>
      <c r="N226">
        <v>2.5</v>
      </c>
      <c r="O226">
        <v>3</v>
      </c>
    </row>
    <row r="227" spans="1:15" x14ac:dyDescent="0.2">
      <c r="A227" t="s">
        <v>1481</v>
      </c>
      <c r="B227">
        <v>9003406100</v>
      </c>
      <c r="C227" t="s">
        <v>1482</v>
      </c>
      <c r="D227">
        <v>3910</v>
      </c>
      <c r="E227">
        <v>0.69401286799999995</v>
      </c>
      <c r="F227">
        <v>5633.9013009999999</v>
      </c>
      <c r="G227">
        <v>1</v>
      </c>
      <c r="H227">
        <v>831</v>
      </c>
      <c r="I227">
        <v>21.82247899</v>
      </c>
      <c r="J227">
        <v>0.79300000000000004</v>
      </c>
      <c r="K227">
        <f t="shared" si="3"/>
        <v>4</v>
      </c>
      <c r="N227">
        <v>4.5</v>
      </c>
      <c r="O227">
        <v>5</v>
      </c>
    </row>
    <row r="228" spans="1:15" x14ac:dyDescent="0.2">
      <c r="A228" t="s">
        <v>1483</v>
      </c>
      <c r="B228">
        <v>9003410101</v>
      </c>
      <c r="C228" t="s">
        <v>1484</v>
      </c>
      <c r="D228">
        <v>5246</v>
      </c>
      <c r="E228">
        <v>16.95862722</v>
      </c>
      <c r="F228">
        <v>309.34107649999999</v>
      </c>
      <c r="G228">
        <v>2</v>
      </c>
      <c r="H228">
        <v>291</v>
      </c>
      <c r="I228">
        <v>5.3092501370000003</v>
      </c>
      <c r="J228">
        <v>0.17100000000000001</v>
      </c>
      <c r="K228">
        <f t="shared" si="3"/>
        <v>1</v>
      </c>
      <c r="N228">
        <v>1.5</v>
      </c>
      <c r="O228">
        <v>2</v>
      </c>
    </row>
    <row r="229" spans="1:15" x14ac:dyDescent="0.2">
      <c r="A229" t="s">
        <v>1485</v>
      </c>
      <c r="B229">
        <v>9003410102</v>
      </c>
      <c r="C229" t="s">
        <v>1486</v>
      </c>
      <c r="D229">
        <v>4055</v>
      </c>
      <c r="E229">
        <v>12.78199281</v>
      </c>
      <c r="F229">
        <v>317.24317639999998</v>
      </c>
      <c r="G229">
        <v>2</v>
      </c>
      <c r="H229">
        <v>275</v>
      </c>
      <c r="I229">
        <v>6.5820966969999999</v>
      </c>
      <c r="J229">
        <v>0.23699999999999999</v>
      </c>
      <c r="K229">
        <f t="shared" si="3"/>
        <v>2</v>
      </c>
      <c r="N229">
        <v>1.5</v>
      </c>
      <c r="O229">
        <v>2</v>
      </c>
    </row>
    <row r="230" spans="1:15" x14ac:dyDescent="0.2">
      <c r="A230" t="s">
        <v>1487</v>
      </c>
      <c r="B230">
        <v>9003415300</v>
      </c>
      <c r="C230" t="s">
        <v>1488</v>
      </c>
      <c r="D230">
        <v>2282</v>
      </c>
      <c r="E230">
        <v>0.208951161</v>
      </c>
      <c r="F230">
        <v>10921.21234</v>
      </c>
      <c r="G230">
        <v>1</v>
      </c>
      <c r="H230">
        <v>495</v>
      </c>
      <c r="I230">
        <v>23.79807692</v>
      </c>
      <c r="J230">
        <v>0.81699999999999995</v>
      </c>
      <c r="K230">
        <f t="shared" si="3"/>
        <v>5</v>
      </c>
      <c r="N230">
        <v>5</v>
      </c>
      <c r="O230">
        <v>5</v>
      </c>
    </row>
    <row r="231" spans="1:15" x14ac:dyDescent="0.2">
      <c r="A231" t="s">
        <v>1489</v>
      </c>
      <c r="B231">
        <v>9003415400</v>
      </c>
      <c r="C231" t="s">
        <v>1490</v>
      </c>
      <c r="D231">
        <v>6289</v>
      </c>
      <c r="E231">
        <v>1.0841007760000001</v>
      </c>
      <c r="F231">
        <v>5801.1212059999998</v>
      </c>
      <c r="G231">
        <v>1</v>
      </c>
      <c r="H231">
        <v>658</v>
      </c>
      <c r="I231">
        <v>10.31186334</v>
      </c>
      <c r="J231">
        <v>0.42799999999999999</v>
      </c>
      <c r="K231">
        <f t="shared" si="3"/>
        <v>3</v>
      </c>
      <c r="N231">
        <v>4</v>
      </c>
      <c r="O231">
        <v>4</v>
      </c>
    </row>
    <row r="232" spans="1:15" x14ac:dyDescent="0.2">
      <c r="A232" t="s">
        <v>1491</v>
      </c>
      <c r="B232">
        <v>9003415500</v>
      </c>
      <c r="C232" t="s">
        <v>1492</v>
      </c>
      <c r="D232">
        <v>2930</v>
      </c>
      <c r="E232">
        <v>0.43336224000000001</v>
      </c>
      <c r="F232">
        <v>6761.0874530000001</v>
      </c>
      <c r="G232">
        <v>1</v>
      </c>
      <c r="H232">
        <v>614</v>
      </c>
      <c r="I232">
        <v>20.81355932</v>
      </c>
      <c r="J232">
        <v>0.76800000000000002</v>
      </c>
      <c r="K232">
        <f t="shared" si="3"/>
        <v>4</v>
      </c>
      <c r="N232">
        <v>4.5</v>
      </c>
      <c r="O232">
        <v>5</v>
      </c>
    </row>
    <row r="233" spans="1:15" x14ac:dyDescent="0.2">
      <c r="A233" t="s">
        <v>1493</v>
      </c>
      <c r="B233">
        <v>9003415600</v>
      </c>
      <c r="C233" t="s">
        <v>1494</v>
      </c>
      <c r="D233">
        <v>4215</v>
      </c>
      <c r="E233">
        <v>0.44101169600000001</v>
      </c>
      <c r="F233">
        <v>9557.5696520000001</v>
      </c>
      <c r="G233">
        <v>1</v>
      </c>
      <c r="H233">
        <v>1472</v>
      </c>
      <c r="I233">
        <v>32.027850299999997</v>
      </c>
      <c r="J233">
        <v>0.92100000000000004</v>
      </c>
      <c r="K233">
        <f t="shared" si="3"/>
        <v>5</v>
      </c>
      <c r="N233">
        <v>5</v>
      </c>
      <c r="O233">
        <v>5</v>
      </c>
    </row>
    <row r="234" spans="1:15" x14ac:dyDescent="0.2">
      <c r="A234" t="s">
        <v>1495</v>
      </c>
      <c r="B234">
        <v>9003415700</v>
      </c>
      <c r="C234" t="s">
        <v>1496</v>
      </c>
      <c r="D234">
        <v>3266</v>
      </c>
      <c r="E234">
        <v>0.49382506799999998</v>
      </c>
      <c r="F234">
        <v>6613.6780250000002</v>
      </c>
      <c r="G234">
        <v>1</v>
      </c>
      <c r="H234">
        <v>492</v>
      </c>
      <c r="I234">
        <v>15.764178149999999</v>
      </c>
      <c r="J234">
        <v>0.64300000000000002</v>
      </c>
      <c r="K234">
        <f t="shared" si="3"/>
        <v>4</v>
      </c>
      <c r="N234">
        <v>4.5</v>
      </c>
      <c r="O234">
        <v>5</v>
      </c>
    </row>
    <row r="235" spans="1:15" x14ac:dyDescent="0.2">
      <c r="A235" t="s">
        <v>1497</v>
      </c>
      <c r="B235">
        <v>9003415800</v>
      </c>
      <c r="C235" t="s">
        <v>1498</v>
      </c>
      <c r="D235">
        <v>2473</v>
      </c>
      <c r="E235">
        <v>0.52907040500000002</v>
      </c>
      <c r="F235">
        <v>4674.2361259999998</v>
      </c>
      <c r="G235">
        <v>1</v>
      </c>
      <c r="H235">
        <v>379</v>
      </c>
      <c r="I235">
        <v>13.837166849999999</v>
      </c>
      <c r="J235">
        <v>0.59499999999999997</v>
      </c>
      <c r="K235">
        <f t="shared" si="3"/>
        <v>3</v>
      </c>
      <c r="N235">
        <v>4</v>
      </c>
      <c r="O235">
        <v>4</v>
      </c>
    </row>
    <row r="236" spans="1:15" x14ac:dyDescent="0.2">
      <c r="A236" t="s">
        <v>1499</v>
      </c>
      <c r="B236">
        <v>9003415900</v>
      </c>
      <c r="C236" t="s">
        <v>1500</v>
      </c>
      <c r="D236">
        <v>1788</v>
      </c>
      <c r="E236">
        <v>0.251401551</v>
      </c>
      <c r="F236">
        <v>7112.1279629999999</v>
      </c>
      <c r="G236">
        <v>1</v>
      </c>
      <c r="H236">
        <v>190</v>
      </c>
      <c r="I236">
        <v>13.24965132</v>
      </c>
      <c r="J236">
        <v>0.56499999999999995</v>
      </c>
      <c r="K236">
        <f t="shared" si="3"/>
        <v>3</v>
      </c>
      <c r="N236">
        <v>4</v>
      </c>
      <c r="O236">
        <v>4</v>
      </c>
    </row>
    <row r="237" spans="1:15" x14ac:dyDescent="0.2">
      <c r="A237" t="s">
        <v>1501</v>
      </c>
      <c r="B237">
        <v>9003416000</v>
      </c>
      <c r="C237" t="s">
        <v>1502</v>
      </c>
      <c r="D237">
        <v>4516</v>
      </c>
      <c r="E237">
        <v>0.31354508199999997</v>
      </c>
      <c r="F237">
        <v>14403.03248</v>
      </c>
      <c r="G237">
        <v>1</v>
      </c>
      <c r="H237">
        <v>529</v>
      </c>
      <c r="I237">
        <v>11.122792260000001</v>
      </c>
      <c r="J237">
        <v>0.46700000000000003</v>
      </c>
      <c r="K237">
        <f t="shared" si="3"/>
        <v>3</v>
      </c>
      <c r="N237">
        <v>4</v>
      </c>
      <c r="O237">
        <v>4</v>
      </c>
    </row>
    <row r="238" spans="1:15" x14ac:dyDescent="0.2">
      <c r="A238" t="s">
        <v>1503</v>
      </c>
      <c r="B238">
        <v>9003416100</v>
      </c>
      <c r="C238" t="s">
        <v>1504</v>
      </c>
      <c r="D238">
        <v>4809</v>
      </c>
      <c r="E238">
        <v>0.34612515599999999</v>
      </c>
      <c r="F238">
        <v>13893.818230000001</v>
      </c>
      <c r="G238">
        <v>1</v>
      </c>
      <c r="H238">
        <v>1470</v>
      </c>
      <c r="I238">
        <v>31.210191080000001</v>
      </c>
      <c r="J238">
        <v>0.91</v>
      </c>
      <c r="K238">
        <f t="shared" si="3"/>
        <v>5</v>
      </c>
      <c r="N238">
        <v>5</v>
      </c>
      <c r="O238">
        <v>5</v>
      </c>
    </row>
    <row r="239" spans="1:15" x14ac:dyDescent="0.2">
      <c r="A239" t="s">
        <v>1505</v>
      </c>
      <c r="B239">
        <v>9003416200</v>
      </c>
      <c r="C239" t="s">
        <v>1506</v>
      </c>
      <c r="D239">
        <v>3102</v>
      </c>
      <c r="E239">
        <v>0.21479751999999999</v>
      </c>
      <c r="F239">
        <v>14441.5075</v>
      </c>
      <c r="G239">
        <v>1</v>
      </c>
      <c r="H239">
        <v>657</v>
      </c>
      <c r="I239">
        <v>21.921921919999999</v>
      </c>
      <c r="J239">
        <v>0.79600000000000004</v>
      </c>
      <c r="K239">
        <f t="shared" si="3"/>
        <v>4</v>
      </c>
      <c r="N239">
        <v>4.5</v>
      </c>
      <c r="O239">
        <v>5</v>
      </c>
    </row>
    <row r="240" spans="1:15" x14ac:dyDescent="0.2">
      <c r="A240" t="s">
        <v>1507</v>
      </c>
      <c r="B240">
        <v>9003416300</v>
      </c>
      <c r="C240" t="s">
        <v>1508</v>
      </c>
      <c r="D240">
        <v>3737</v>
      </c>
      <c r="E240">
        <v>0.708157335</v>
      </c>
      <c r="F240">
        <v>5277.0758910000004</v>
      </c>
      <c r="G240">
        <v>1</v>
      </c>
      <c r="H240">
        <v>795</v>
      </c>
      <c r="I240">
        <v>20.24446142</v>
      </c>
      <c r="J240">
        <v>0.76100000000000001</v>
      </c>
      <c r="K240">
        <f t="shared" si="3"/>
        <v>4</v>
      </c>
      <c r="N240">
        <v>4.5</v>
      </c>
      <c r="O240">
        <v>5</v>
      </c>
    </row>
    <row r="241" spans="1:15" x14ac:dyDescent="0.2">
      <c r="A241" t="s">
        <v>1509</v>
      </c>
      <c r="B241">
        <v>9003416400</v>
      </c>
      <c r="C241" t="s">
        <v>1510</v>
      </c>
      <c r="D241">
        <v>3313</v>
      </c>
      <c r="E241">
        <v>1.7285176609999999</v>
      </c>
      <c r="F241">
        <v>1916.6711889999999</v>
      </c>
      <c r="G241">
        <v>1</v>
      </c>
      <c r="H241">
        <v>371</v>
      </c>
      <c r="I241">
        <v>11.05153411</v>
      </c>
      <c r="J241">
        <v>0.46500000000000002</v>
      </c>
      <c r="K241">
        <f t="shared" si="3"/>
        <v>3</v>
      </c>
      <c r="N241">
        <v>3</v>
      </c>
      <c r="O241">
        <v>3</v>
      </c>
    </row>
    <row r="242" spans="1:15" x14ac:dyDescent="0.2">
      <c r="A242" t="s">
        <v>1511</v>
      </c>
      <c r="B242">
        <v>9003416500</v>
      </c>
      <c r="C242" t="s">
        <v>1512</v>
      </c>
      <c r="D242">
        <v>4703</v>
      </c>
      <c r="E242">
        <v>1.1988070989999999</v>
      </c>
      <c r="F242">
        <v>3923.0665260000001</v>
      </c>
      <c r="G242">
        <v>1</v>
      </c>
      <c r="H242">
        <v>665</v>
      </c>
      <c r="I242">
        <v>13.51626016</v>
      </c>
      <c r="J242">
        <v>0.58299999999999996</v>
      </c>
      <c r="K242">
        <f t="shared" si="3"/>
        <v>3</v>
      </c>
      <c r="N242">
        <v>3.5</v>
      </c>
      <c r="O242">
        <v>4</v>
      </c>
    </row>
    <row r="243" spans="1:15" x14ac:dyDescent="0.2">
      <c r="A243" t="s">
        <v>1513</v>
      </c>
      <c r="B243">
        <v>9003416600</v>
      </c>
      <c r="C243" t="s">
        <v>1514</v>
      </c>
      <c r="D243">
        <v>2937</v>
      </c>
      <c r="E243">
        <v>0.61718162399999998</v>
      </c>
      <c r="F243">
        <v>4758.7288500000004</v>
      </c>
      <c r="G243">
        <v>1</v>
      </c>
      <c r="H243">
        <v>552</v>
      </c>
      <c r="I243">
        <v>18.585858590000001</v>
      </c>
      <c r="J243">
        <v>0.72599999999999998</v>
      </c>
      <c r="K243">
        <f t="shared" si="3"/>
        <v>4</v>
      </c>
      <c r="N243">
        <v>4.5</v>
      </c>
      <c r="O243">
        <v>5</v>
      </c>
    </row>
    <row r="244" spans="1:15" x14ac:dyDescent="0.2">
      <c r="A244" t="s">
        <v>1515</v>
      </c>
      <c r="B244">
        <v>9003416700</v>
      </c>
      <c r="C244" t="s">
        <v>1516</v>
      </c>
      <c r="D244">
        <v>6561</v>
      </c>
      <c r="E244">
        <v>1.0137436929999999</v>
      </c>
      <c r="F244">
        <v>6472.0501299999996</v>
      </c>
      <c r="G244">
        <v>1</v>
      </c>
      <c r="H244">
        <v>1483</v>
      </c>
      <c r="I244">
        <v>22.210573610000001</v>
      </c>
      <c r="J244">
        <v>0.80100000000000005</v>
      </c>
      <c r="K244">
        <f t="shared" si="3"/>
        <v>5</v>
      </c>
      <c r="N244">
        <v>5</v>
      </c>
      <c r="O244">
        <v>5</v>
      </c>
    </row>
    <row r="245" spans="1:15" x14ac:dyDescent="0.2">
      <c r="A245" t="s">
        <v>1517</v>
      </c>
      <c r="B245">
        <v>9003416800</v>
      </c>
      <c r="C245" t="s">
        <v>1518</v>
      </c>
      <c r="D245">
        <v>3019</v>
      </c>
      <c r="E245">
        <v>0.45797856999999997</v>
      </c>
      <c r="F245">
        <v>6592.0115029999997</v>
      </c>
      <c r="G245">
        <v>1</v>
      </c>
      <c r="H245">
        <v>744</v>
      </c>
      <c r="I245">
        <v>24.891267979999999</v>
      </c>
      <c r="J245">
        <v>0.83</v>
      </c>
      <c r="K245">
        <f t="shared" si="3"/>
        <v>5</v>
      </c>
      <c r="N245">
        <v>5</v>
      </c>
      <c r="O245">
        <v>5</v>
      </c>
    </row>
    <row r="246" spans="1:15" x14ac:dyDescent="0.2">
      <c r="A246" t="s">
        <v>1519</v>
      </c>
      <c r="B246">
        <v>9003417100</v>
      </c>
      <c r="C246" t="s">
        <v>1520</v>
      </c>
      <c r="D246">
        <v>1886</v>
      </c>
      <c r="E246">
        <v>0.457929535</v>
      </c>
      <c r="F246">
        <v>4118.5375839999997</v>
      </c>
      <c r="G246">
        <v>1</v>
      </c>
      <c r="H246">
        <v>362</v>
      </c>
      <c r="I246">
        <v>21.14485981</v>
      </c>
      <c r="J246">
        <v>0.77400000000000002</v>
      </c>
      <c r="K246">
        <f t="shared" si="3"/>
        <v>4</v>
      </c>
      <c r="N246">
        <v>4.5</v>
      </c>
      <c r="O246">
        <v>5</v>
      </c>
    </row>
    <row r="247" spans="1:15" x14ac:dyDescent="0.2">
      <c r="A247" t="s">
        <v>1521</v>
      </c>
      <c r="B247">
        <v>9003417200</v>
      </c>
      <c r="C247" t="s">
        <v>1522</v>
      </c>
      <c r="D247">
        <v>1822</v>
      </c>
      <c r="E247">
        <v>0.23241652099999999</v>
      </c>
      <c r="F247">
        <v>7839.3738679999997</v>
      </c>
      <c r="G247">
        <v>1</v>
      </c>
      <c r="H247">
        <v>377</v>
      </c>
      <c r="I247">
        <v>25.319006040000001</v>
      </c>
      <c r="J247">
        <v>0.83899999999999997</v>
      </c>
      <c r="K247">
        <f t="shared" si="3"/>
        <v>5</v>
      </c>
      <c r="N247">
        <v>5</v>
      </c>
      <c r="O247">
        <v>5</v>
      </c>
    </row>
    <row r="248" spans="1:15" x14ac:dyDescent="0.2">
      <c r="A248" t="s">
        <v>1523</v>
      </c>
      <c r="B248">
        <v>9003417400</v>
      </c>
      <c r="C248" t="s">
        <v>1524</v>
      </c>
      <c r="D248">
        <v>2954</v>
      </c>
      <c r="E248">
        <v>1.056280184</v>
      </c>
      <c r="F248">
        <v>2796.6064740000002</v>
      </c>
      <c r="G248">
        <v>1</v>
      </c>
      <c r="H248">
        <v>566</v>
      </c>
      <c r="I248">
        <v>19.680111270000001</v>
      </c>
      <c r="J248">
        <v>0.754</v>
      </c>
      <c r="K248">
        <f t="shared" si="3"/>
        <v>4</v>
      </c>
      <c r="N248">
        <v>4</v>
      </c>
      <c r="O248">
        <v>4</v>
      </c>
    </row>
    <row r="249" spans="1:15" x14ac:dyDescent="0.2">
      <c r="A249" t="s">
        <v>1525</v>
      </c>
      <c r="B249">
        <v>9003417500</v>
      </c>
      <c r="C249" t="s">
        <v>1526</v>
      </c>
      <c r="D249">
        <v>4454</v>
      </c>
      <c r="E249">
        <v>1.3800415290000001</v>
      </c>
      <c r="F249">
        <v>3227.4391070000001</v>
      </c>
      <c r="G249">
        <v>1</v>
      </c>
      <c r="H249">
        <v>790</v>
      </c>
      <c r="I249">
        <v>18.23638042</v>
      </c>
      <c r="J249">
        <v>0.72399999999999998</v>
      </c>
      <c r="K249">
        <f t="shared" si="3"/>
        <v>4</v>
      </c>
      <c r="N249">
        <v>4.5</v>
      </c>
      <c r="O249">
        <v>5</v>
      </c>
    </row>
    <row r="250" spans="1:15" x14ac:dyDescent="0.2">
      <c r="A250" t="s">
        <v>1527</v>
      </c>
      <c r="B250">
        <v>9003420400</v>
      </c>
      <c r="C250" t="s">
        <v>1528</v>
      </c>
      <c r="D250">
        <v>2839</v>
      </c>
      <c r="E250">
        <v>2.2316508800000001</v>
      </c>
      <c r="F250">
        <v>1272.15239</v>
      </c>
      <c r="G250">
        <v>1</v>
      </c>
      <c r="H250">
        <v>480</v>
      </c>
      <c r="I250">
        <v>14.82854495</v>
      </c>
      <c r="J250">
        <v>0.62</v>
      </c>
      <c r="K250">
        <f t="shared" si="3"/>
        <v>4</v>
      </c>
      <c r="N250">
        <v>3.5</v>
      </c>
      <c r="O250">
        <v>4</v>
      </c>
    </row>
    <row r="251" spans="1:15" x14ac:dyDescent="0.2">
      <c r="A251" t="s">
        <v>1529</v>
      </c>
      <c r="B251">
        <v>9003420500</v>
      </c>
      <c r="C251" t="s">
        <v>1530</v>
      </c>
      <c r="D251">
        <v>5442</v>
      </c>
      <c r="E251">
        <v>1.8250115440000001</v>
      </c>
      <c r="F251">
        <v>2981.8989459999998</v>
      </c>
      <c r="G251">
        <v>1</v>
      </c>
      <c r="H251">
        <v>836</v>
      </c>
      <c r="I251">
        <v>16.841257049999999</v>
      </c>
      <c r="J251">
        <v>0.68200000000000005</v>
      </c>
      <c r="K251">
        <f t="shared" si="3"/>
        <v>4</v>
      </c>
      <c r="N251">
        <v>4</v>
      </c>
      <c r="O251">
        <v>4</v>
      </c>
    </row>
    <row r="252" spans="1:15" x14ac:dyDescent="0.2">
      <c r="A252" t="s">
        <v>1531</v>
      </c>
      <c r="B252">
        <v>9003420600</v>
      </c>
      <c r="C252" t="s">
        <v>1532</v>
      </c>
      <c r="D252">
        <v>5880</v>
      </c>
      <c r="E252">
        <v>2.2541270459999998</v>
      </c>
      <c r="F252">
        <v>2608.5486219999998</v>
      </c>
      <c r="G252">
        <v>1</v>
      </c>
      <c r="H252">
        <v>713</v>
      </c>
      <c r="I252">
        <v>11.991254619999999</v>
      </c>
      <c r="J252">
        <v>0.52100000000000002</v>
      </c>
      <c r="K252">
        <f t="shared" si="3"/>
        <v>3</v>
      </c>
      <c r="N252">
        <v>3.5</v>
      </c>
      <c r="O252">
        <v>4</v>
      </c>
    </row>
    <row r="253" spans="1:15" x14ac:dyDescent="0.2">
      <c r="A253" t="s">
        <v>1533</v>
      </c>
      <c r="B253">
        <v>9003420700</v>
      </c>
      <c r="C253" t="s">
        <v>1534</v>
      </c>
      <c r="D253">
        <v>3555</v>
      </c>
      <c r="E253">
        <v>3.3997331260000001</v>
      </c>
      <c r="F253">
        <v>1045.670312</v>
      </c>
      <c r="G253">
        <v>1</v>
      </c>
      <c r="H253">
        <v>132</v>
      </c>
      <c r="I253">
        <v>3.801843318</v>
      </c>
      <c r="J253">
        <v>0.10199999999999999</v>
      </c>
      <c r="K253">
        <f t="shared" si="3"/>
        <v>1</v>
      </c>
      <c r="N253">
        <v>2.5</v>
      </c>
      <c r="O253">
        <v>3</v>
      </c>
    </row>
    <row r="254" spans="1:15" x14ac:dyDescent="0.2">
      <c r="A254" t="s">
        <v>1535</v>
      </c>
      <c r="B254">
        <v>9003430100</v>
      </c>
      <c r="C254" t="s">
        <v>1536</v>
      </c>
      <c r="D254">
        <v>4103</v>
      </c>
      <c r="E254">
        <v>1.2663375269999999</v>
      </c>
      <c r="F254">
        <v>3240.0524439999999</v>
      </c>
      <c r="G254">
        <v>1</v>
      </c>
      <c r="H254">
        <v>557</v>
      </c>
      <c r="I254">
        <v>12.16157205</v>
      </c>
      <c r="J254">
        <v>0.52500000000000002</v>
      </c>
      <c r="K254">
        <f t="shared" si="3"/>
        <v>3</v>
      </c>
      <c r="N254">
        <v>3.5</v>
      </c>
      <c r="O254">
        <v>4</v>
      </c>
    </row>
    <row r="255" spans="1:15" x14ac:dyDescent="0.2">
      <c r="A255" t="s">
        <v>1537</v>
      </c>
      <c r="B255">
        <v>9003430201</v>
      </c>
      <c r="C255" t="s">
        <v>1538</v>
      </c>
      <c r="D255">
        <v>3388</v>
      </c>
      <c r="E255">
        <v>2.5185244099999999</v>
      </c>
      <c r="F255">
        <v>1345.2321469999999</v>
      </c>
      <c r="G255">
        <v>1</v>
      </c>
      <c r="H255">
        <v>332</v>
      </c>
      <c r="I255">
        <v>9.1083676269999998</v>
      </c>
      <c r="J255">
        <v>0.38900000000000001</v>
      </c>
      <c r="K255">
        <f t="shared" si="3"/>
        <v>2</v>
      </c>
      <c r="N255">
        <v>3</v>
      </c>
      <c r="O255">
        <v>3</v>
      </c>
    </row>
    <row r="256" spans="1:15" x14ac:dyDescent="0.2">
      <c r="A256" t="s">
        <v>1539</v>
      </c>
      <c r="B256">
        <v>9003430202</v>
      </c>
      <c r="C256" t="s">
        <v>1540</v>
      </c>
      <c r="D256">
        <v>4709</v>
      </c>
      <c r="E256">
        <v>6.2864688949999996</v>
      </c>
      <c r="F256">
        <v>749.06916409999997</v>
      </c>
      <c r="G256">
        <v>1</v>
      </c>
      <c r="H256">
        <v>432</v>
      </c>
      <c r="I256">
        <v>8.7061668680000004</v>
      </c>
      <c r="J256">
        <v>0.36599999999999999</v>
      </c>
      <c r="K256">
        <f t="shared" si="3"/>
        <v>2</v>
      </c>
      <c r="N256">
        <v>1.5</v>
      </c>
      <c r="O256">
        <v>2</v>
      </c>
    </row>
    <row r="257" spans="1:15" x14ac:dyDescent="0.2">
      <c r="A257" t="s">
        <v>1541</v>
      </c>
      <c r="B257">
        <v>9003430203</v>
      </c>
      <c r="C257" t="s">
        <v>1542</v>
      </c>
      <c r="D257">
        <v>4212</v>
      </c>
      <c r="E257">
        <v>2.0054301410000002</v>
      </c>
      <c r="F257">
        <v>2100.297544</v>
      </c>
      <c r="G257">
        <v>1</v>
      </c>
      <c r="H257">
        <v>274</v>
      </c>
      <c r="I257">
        <v>6.2216167120000003</v>
      </c>
      <c r="J257">
        <v>0.22600000000000001</v>
      </c>
      <c r="K257">
        <f t="shared" si="3"/>
        <v>2</v>
      </c>
      <c r="N257">
        <v>3</v>
      </c>
      <c r="O257">
        <v>3</v>
      </c>
    </row>
    <row r="258" spans="1:15" x14ac:dyDescent="0.2">
      <c r="A258" t="s">
        <v>1543</v>
      </c>
      <c r="B258">
        <v>9003430301</v>
      </c>
      <c r="C258" t="s">
        <v>1544</v>
      </c>
      <c r="D258">
        <v>3599</v>
      </c>
      <c r="E258">
        <v>3.6606188909999999</v>
      </c>
      <c r="F258">
        <v>983.1670838</v>
      </c>
      <c r="G258">
        <v>1</v>
      </c>
      <c r="H258">
        <v>208</v>
      </c>
      <c r="I258">
        <v>5.6094929880000004</v>
      </c>
      <c r="J258">
        <v>0.19500000000000001</v>
      </c>
      <c r="K258">
        <f t="shared" si="3"/>
        <v>1</v>
      </c>
      <c r="N258">
        <v>1</v>
      </c>
      <c r="O258">
        <v>1</v>
      </c>
    </row>
    <row r="259" spans="1:15" x14ac:dyDescent="0.2">
      <c r="A259" t="s">
        <v>1545</v>
      </c>
      <c r="B259">
        <v>9003430302</v>
      </c>
      <c r="C259" t="s">
        <v>1546</v>
      </c>
      <c r="D259">
        <v>2755</v>
      </c>
      <c r="E259">
        <v>1.7104666120000001</v>
      </c>
      <c r="F259">
        <v>1610.671603</v>
      </c>
      <c r="G259">
        <v>1</v>
      </c>
      <c r="H259">
        <v>67</v>
      </c>
      <c r="I259">
        <v>2.3255813949999999</v>
      </c>
      <c r="J259">
        <v>3.1E-2</v>
      </c>
      <c r="K259">
        <f t="shared" ref="K259:K322" si="4">IF(J259&lt;0.2,1,IF(J259&lt;0.4,2,IF(J259&lt;0.6,3,IF(J259&lt;0.8,4,5))))</f>
        <v>1</v>
      </c>
      <c r="N259">
        <v>2</v>
      </c>
      <c r="O259">
        <v>2</v>
      </c>
    </row>
    <row r="260" spans="1:15" x14ac:dyDescent="0.2">
      <c r="A260" t="s">
        <v>1547</v>
      </c>
      <c r="B260">
        <v>9003430400</v>
      </c>
      <c r="C260" t="s">
        <v>1548</v>
      </c>
      <c r="D260">
        <v>5049</v>
      </c>
      <c r="E260">
        <v>3.8524749919999999</v>
      </c>
      <c r="F260">
        <v>1310.586055</v>
      </c>
      <c r="G260">
        <v>1</v>
      </c>
      <c r="H260">
        <v>137</v>
      </c>
      <c r="I260">
        <v>3.3685763460000002</v>
      </c>
      <c r="J260">
        <v>7.9000000000000001E-2</v>
      </c>
      <c r="K260">
        <f t="shared" si="4"/>
        <v>1</v>
      </c>
      <c r="N260">
        <v>2</v>
      </c>
      <c r="O260">
        <v>2</v>
      </c>
    </row>
    <row r="261" spans="1:15" x14ac:dyDescent="0.2">
      <c r="A261" t="s">
        <v>1549</v>
      </c>
      <c r="B261">
        <v>9003430500</v>
      </c>
      <c r="C261" t="s">
        <v>1550</v>
      </c>
      <c r="D261">
        <v>6547</v>
      </c>
      <c r="E261">
        <v>4.7830240909999997</v>
      </c>
      <c r="F261">
        <v>1368.7992939999999</v>
      </c>
      <c r="G261">
        <v>1</v>
      </c>
      <c r="H261">
        <v>17</v>
      </c>
      <c r="I261">
        <v>0.25275051999999998</v>
      </c>
      <c r="J261">
        <v>0</v>
      </c>
      <c r="K261">
        <f t="shared" si="4"/>
        <v>1</v>
      </c>
      <c r="N261">
        <v>1</v>
      </c>
      <c r="O261">
        <v>1</v>
      </c>
    </row>
    <row r="262" spans="1:15" x14ac:dyDescent="0.2">
      <c r="A262" t="s">
        <v>1551</v>
      </c>
      <c r="B262">
        <v>9003430601</v>
      </c>
      <c r="C262" t="s">
        <v>1552</v>
      </c>
      <c r="D262">
        <v>5202</v>
      </c>
      <c r="E262">
        <v>8.4193239510000009</v>
      </c>
      <c r="F262">
        <v>617.86433569999997</v>
      </c>
      <c r="G262">
        <v>1</v>
      </c>
      <c r="H262">
        <v>494</v>
      </c>
      <c r="I262">
        <v>9.4346829640000003</v>
      </c>
      <c r="J262">
        <v>0.39200000000000002</v>
      </c>
      <c r="K262">
        <f t="shared" si="4"/>
        <v>2</v>
      </c>
      <c r="N262">
        <v>3.5</v>
      </c>
      <c r="O262">
        <v>4</v>
      </c>
    </row>
    <row r="263" spans="1:15" x14ac:dyDescent="0.2">
      <c r="A263" t="s">
        <v>1553</v>
      </c>
      <c r="B263">
        <v>9003430602</v>
      </c>
      <c r="C263" t="s">
        <v>1554</v>
      </c>
      <c r="D263">
        <v>3505</v>
      </c>
      <c r="E263">
        <v>1.409440121</v>
      </c>
      <c r="F263">
        <v>2486.8030560000002</v>
      </c>
      <c r="G263">
        <v>1</v>
      </c>
      <c r="H263">
        <v>234</v>
      </c>
      <c r="I263">
        <v>6.5509518480000004</v>
      </c>
      <c r="J263">
        <v>0.23899999999999999</v>
      </c>
      <c r="K263">
        <f t="shared" si="4"/>
        <v>2</v>
      </c>
      <c r="N263">
        <v>2.5</v>
      </c>
      <c r="O263">
        <v>3</v>
      </c>
    </row>
    <row r="264" spans="1:15" x14ac:dyDescent="0.2">
      <c r="A264" t="s">
        <v>1555</v>
      </c>
      <c r="B264">
        <v>9003460100</v>
      </c>
      <c r="C264" t="s">
        <v>1556</v>
      </c>
      <c r="D264">
        <v>3325</v>
      </c>
      <c r="E264">
        <v>3.8003650979999999</v>
      </c>
      <c r="F264">
        <v>874.91593939999996</v>
      </c>
      <c r="G264">
        <v>1</v>
      </c>
      <c r="H264">
        <v>439</v>
      </c>
      <c r="I264">
        <v>13.60818351</v>
      </c>
      <c r="J264">
        <v>0.58699999999999997</v>
      </c>
      <c r="K264">
        <f t="shared" si="4"/>
        <v>3</v>
      </c>
      <c r="N264">
        <v>2.5</v>
      </c>
      <c r="O264">
        <v>3</v>
      </c>
    </row>
    <row r="265" spans="1:15" x14ac:dyDescent="0.2">
      <c r="A265" t="s">
        <v>1557</v>
      </c>
      <c r="B265">
        <v>9003460202</v>
      </c>
      <c r="C265" t="s">
        <v>1558</v>
      </c>
      <c r="D265">
        <v>4119</v>
      </c>
      <c r="E265">
        <v>7.6055989449999997</v>
      </c>
      <c r="F265">
        <v>541.57470439999997</v>
      </c>
      <c r="G265">
        <v>1</v>
      </c>
      <c r="H265">
        <v>938</v>
      </c>
      <c r="I265">
        <v>21.687861269999999</v>
      </c>
      <c r="J265">
        <v>0.78800000000000003</v>
      </c>
      <c r="K265">
        <f t="shared" si="4"/>
        <v>4</v>
      </c>
      <c r="N265">
        <v>3</v>
      </c>
      <c r="O265">
        <v>3</v>
      </c>
    </row>
    <row r="266" spans="1:15" x14ac:dyDescent="0.2">
      <c r="A266" t="s">
        <v>1559</v>
      </c>
      <c r="B266">
        <v>9003460203</v>
      </c>
      <c r="C266" t="s">
        <v>1560</v>
      </c>
      <c r="D266">
        <v>3018</v>
      </c>
      <c r="E266">
        <v>4.7342084209999999</v>
      </c>
      <c r="F266">
        <v>637.4877765</v>
      </c>
      <c r="G266">
        <v>1</v>
      </c>
      <c r="H266">
        <v>965</v>
      </c>
      <c r="I266">
        <v>29.84843798</v>
      </c>
      <c r="J266">
        <v>0.89100000000000001</v>
      </c>
      <c r="K266">
        <f t="shared" si="4"/>
        <v>5</v>
      </c>
      <c r="N266">
        <v>4</v>
      </c>
      <c r="O266">
        <v>4</v>
      </c>
    </row>
    <row r="267" spans="1:15" x14ac:dyDescent="0.2">
      <c r="A267" t="s">
        <v>1561</v>
      </c>
      <c r="B267">
        <v>9003460204</v>
      </c>
      <c r="C267" t="s">
        <v>1562</v>
      </c>
      <c r="D267">
        <v>5941</v>
      </c>
      <c r="E267">
        <v>6.7924395789999998</v>
      </c>
      <c r="F267">
        <v>874.64892859999998</v>
      </c>
      <c r="G267">
        <v>1</v>
      </c>
      <c r="H267">
        <v>1319</v>
      </c>
      <c r="I267">
        <v>21.436697550000002</v>
      </c>
      <c r="J267">
        <v>0.78300000000000003</v>
      </c>
      <c r="K267">
        <f t="shared" si="4"/>
        <v>4</v>
      </c>
      <c r="N267">
        <v>3.5</v>
      </c>
      <c r="O267">
        <v>4</v>
      </c>
    </row>
    <row r="268" spans="1:15" x14ac:dyDescent="0.2">
      <c r="A268" t="s">
        <v>1563</v>
      </c>
      <c r="B268">
        <v>9003460301</v>
      </c>
      <c r="C268" t="s">
        <v>1564</v>
      </c>
      <c r="D268">
        <v>4982</v>
      </c>
      <c r="E268">
        <v>2.8572781030000001</v>
      </c>
      <c r="F268">
        <v>1743.6174639999999</v>
      </c>
      <c r="G268">
        <v>1</v>
      </c>
      <c r="H268">
        <v>457</v>
      </c>
      <c r="I268">
        <v>9.5686767170000007</v>
      </c>
      <c r="J268">
        <v>0.40899999999999997</v>
      </c>
      <c r="K268">
        <f t="shared" si="4"/>
        <v>3</v>
      </c>
      <c r="N268">
        <v>3</v>
      </c>
      <c r="O268">
        <v>3</v>
      </c>
    </row>
    <row r="269" spans="1:15" x14ac:dyDescent="0.2">
      <c r="A269" t="s">
        <v>1565</v>
      </c>
      <c r="B269">
        <v>9003460302</v>
      </c>
      <c r="C269" t="s">
        <v>1566</v>
      </c>
      <c r="D269">
        <v>4033</v>
      </c>
      <c r="E269">
        <v>2.2399219609999999</v>
      </c>
      <c r="F269">
        <v>1800.5091560000001</v>
      </c>
      <c r="G269">
        <v>1</v>
      </c>
      <c r="H269">
        <v>489</v>
      </c>
      <c r="I269">
        <v>12.817824379999999</v>
      </c>
      <c r="J269">
        <v>0.55700000000000005</v>
      </c>
      <c r="K269">
        <f t="shared" si="4"/>
        <v>3</v>
      </c>
      <c r="N269">
        <v>3</v>
      </c>
      <c r="O269">
        <v>3</v>
      </c>
    </row>
    <row r="270" spans="1:15" x14ac:dyDescent="0.2">
      <c r="A270" t="s">
        <v>1567</v>
      </c>
      <c r="B270">
        <v>9003462101</v>
      </c>
      <c r="C270" t="s">
        <v>1568</v>
      </c>
      <c r="D270">
        <v>5833</v>
      </c>
      <c r="E270">
        <v>4.1099244480000001</v>
      </c>
      <c r="F270">
        <v>1419.2475010000001</v>
      </c>
      <c r="G270">
        <v>1</v>
      </c>
      <c r="H270">
        <v>947</v>
      </c>
      <c r="I270">
        <v>14.977067849999999</v>
      </c>
      <c r="J270">
        <v>0.61899999999999999</v>
      </c>
      <c r="K270">
        <f t="shared" si="4"/>
        <v>4</v>
      </c>
      <c r="N270">
        <v>3</v>
      </c>
      <c r="O270">
        <v>3</v>
      </c>
    </row>
    <row r="271" spans="1:15" x14ac:dyDescent="0.2">
      <c r="A271" t="s">
        <v>1569</v>
      </c>
      <c r="B271">
        <v>9003462102</v>
      </c>
      <c r="C271" t="s">
        <v>1570</v>
      </c>
      <c r="D271">
        <v>4239</v>
      </c>
      <c r="E271">
        <v>4.3947914040000002</v>
      </c>
      <c r="F271">
        <v>964.55089899999996</v>
      </c>
      <c r="G271">
        <v>1</v>
      </c>
      <c r="H271">
        <v>839</v>
      </c>
      <c r="I271">
        <v>21.283612380000001</v>
      </c>
      <c r="J271">
        <v>0.77500000000000002</v>
      </c>
      <c r="K271">
        <f t="shared" si="4"/>
        <v>4</v>
      </c>
      <c r="N271">
        <v>2.5</v>
      </c>
      <c r="O271">
        <v>3</v>
      </c>
    </row>
    <row r="272" spans="1:15" x14ac:dyDescent="0.2">
      <c r="A272" t="s">
        <v>1571</v>
      </c>
      <c r="B272">
        <v>9003462201</v>
      </c>
      <c r="C272" t="s">
        <v>1572</v>
      </c>
      <c r="D272">
        <v>5256</v>
      </c>
      <c r="E272">
        <v>8.5129297899999994</v>
      </c>
      <c r="F272">
        <v>617.41376119999995</v>
      </c>
      <c r="G272">
        <v>1</v>
      </c>
      <c r="H272">
        <v>771</v>
      </c>
      <c r="I272">
        <v>14.866949480000001</v>
      </c>
      <c r="J272">
        <v>0.61799999999999999</v>
      </c>
      <c r="K272">
        <f t="shared" si="4"/>
        <v>4</v>
      </c>
      <c r="N272">
        <v>3.5</v>
      </c>
      <c r="O272">
        <v>4</v>
      </c>
    </row>
    <row r="273" spans="1:15" x14ac:dyDescent="0.2">
      <c r="A273" t="s">
        <v>1573</v>
      </c>
      <c r="B273">
        <v>9003462202</v>
      </c>
      <c r="C273" t="s">
        <v>1574</v>
      </c>
      <c r="D273">
        <v>2692</v>
      </c>
      <c r="E273">
        <v>6.122822963</v>
      </c>
      <c r="F273">
        <v>439.6664768</v>
      </c>
      <c r="G273">
        <v>1</v>
      </c>
      <c r="H273">
        <v>813</v>
      </c>
      <c r="I273">
        <v>28.41663754</v>
      </c>
      <c r="J273">
        <v>0.871</v>
      </c>
      <c r="K273">
        <f t="shared" si="4"/>
        <v>5</v>
      </c>
      <c r="N273">
        <v>3</v>
      </c>
      <c r="O273">
        <v>3</v>
      </c>
    </row>
    <row r="274" spans="1:15" x14ac:dyDescent="0.2">
      <c r="A274" t="s">
        <v>1575</v>
      </c>
      <c r="B274">
        <v>9003464101</v>
      </c>
      <c r="C274" t="s">
        <v>1576</v>
      </c>
      <c r="D274">
        <v>5285</v>
      </c>
      <c r="E274">
        <v>20.37469479</v>
      </c>
      <c r="F274">
        <v>259.39038870000002</v>
      </c>
      <c r="G274">
        <v>2</v>
      </c>
      <c r="H274">
        <v>162</v>
      </c>
      <c r="I274">
        <v>3.003893937</v>
      </c>
      <c r="J274">
        <v>5.1999999999999998E-2</v>
      </c>
      <c r="K274">
        <f t="shared" si="4"/>
        <v>1</v>
      </c>
      <c r="N274">
        <v>1.5</v>
      </c>
      <c r="O274">
        <v>2</v>
      </c>
    </row>
    <row r="275" spans="1:15" x14ac:dyDescent="0.2">
      <c r="A275" t="s">
        <v>1577</v>
      </c>
      <c r="B275">
        <v>9003464102</v>
      </c>
      <c r="C275" t="s">
        <v>1578</v>
      </c>
      <c r="D275">
        <v>5007</v>
      </c>
      <c r="E275">
        <v>4.2109731779999997</v>
      </c>
      <c r="F275">
        <v>1189.036308</v>
      </c>
      <c r="G275">
        <v>1</v>
      </c>
      <c r="H275">
        <v>487</v>
      </c>
      <c r="I275">
        <v>9.9489274769999998</v>
      </c>
      <c r="J275">
        <v>0.41799999999999998</v>
      </c>
      <c r="K275">
        <f t="shared" si="4"/>
        <v>3</v>
      </c>
      <c r="N275">
        <v>3</v>
      </c>
      <c r="O275">
        <v>3</v>
      </c>
    </row>
    <row r="276" spans="1:15" x14ac:dyDescent="0.2">
      <c r="A276" t="s">
        <v>1579</v>
      </c>
      <c r="B276">
        <v>9003466101</v>
      </c>
      <c r="C276" t="s">
        <v>1580</v>
      </c>
      <c r="D276">
        <v>4200</v>
      </c>
      <c r="E276">
        <v>5.3551001009999997</v>
      </c>
      <c r="F276">
        <v>784.29906459999995</v>
      </c>
      <c r="G276">
        <v>1</v>
      </c>
      <c r="H276">
        <v>168</v>
      </c>
      <c r="I276">
        <v>3.8312428729999999</v>
      </c>
      <c r="J276">
        <v>9.9000000000000005E-2</v>
      </c>
      <c r="K276">
        <f t="shared" si="4"/>
        <v>1</v>
      </c>
      <c r="N276">
        <v>1.5</v>
      </c>
      <c r="O276">
        <v>2</v>
      </c>
    </row>
    <row r="277" spans="1:15" x14ac:dyDescent="0.2">
      <c r="A277" t="s">
        <v>1581</v>
      </c>
      <c r="B277">
        <v>9003466102</v>
      </c>
      <c r="C277" t="s">
        <v>1582</v>
      </c>
      <c r="D277">
        <v>4978</v>
      </c>
      <c r="E277">
        <v>4.2594517810000001</v>
      </c>
      <c r="F277">
        <v>1168.6949999999999</v>
      </c>
      <c r="G277">
        <v>1</v>
      </c>
      <c r="H277">
        <v>441</v>
      </c>
      <c r="I277">
        <v>8.9871611980000008</v>
      </c>
      <c r="J277">
        <v>0.376</v>
      </c>
      <c r="K277">
        <f t="shared" si="4"/>
        <v>2</v>
      </c>
      <c r="N277">
        <v>2</v>
      </c>
      <c r="O277">
        <v>2</v>
      </c>
    </row>
    <row r="278" spans="1:15" x14ac:dyDescent="0.2">
      <c r="A278" t="s">
        <v>1583</v>
      </c>
      <c r="B278">
        <v>9003466201</v>
      </c>
      <c r="C278" t="s">
        <v>1584</v>
      </c>
      <c r="D278">
        <v>2318</v>
      </c>
      <c r="E278">
        <v>3.1226607999999998</v>
      </c>
      <c r="F278">
        <v>742.31565590000002</v>
      </c>
      <c r="G278">
        <v>1</v>
      </c>
      <c r="H278">
        <v>393</v>
      </c>
      <c r="I278">
        <v>13.57512953</v>
      </c>
      <c r="J278">
        <v>0.59</v>
      </c>
      <c r="K278">
        <f t="shared" si="4"/>
        <v>3</v>
      </c>
      <c r="N278">
        <v>3</v>
      </c>
      <c r="O278">
        <v>3</v>
      </c>
    </row>
    <row r="279" spans="1:15" x14ac:dyDescent="0.2">
      <c r="A279" t="s">
        <v>1585</v>
      </c>
      <c r="B279">
        <v>9003466202</v>
      </c>
      <c r="C279" t="s">
        <v>1586</v>
      </c>
      <c r="D279">
        <v>4732</v>
      </c>
      <c r="E279">
        <v>11.024516330000001</v>
      </c>
      <c r="F279">
        <v>429.22517950000002</v>
      </c>
      <c r="G279">
        <v>1</v>
      </c>
      <c r="H279">
        <v>355</v>
      </c>
      <c r="I279">
        <v>7.2066585459999999</v>
      </c>
      <c r="J279">
        <v>0.27300000000000002</v>
      </c>
      <c r="K279">
        <f t="shared" si="4"/>
        <v>2</v>
      </c>
      <c r="N279">
        <v>1.5</v>
      </c>
      <c r="O279">
        <v>2</v>
      </c>
    </row>
    <row r="280" spans="1:15" x14ac:dyDescent="0.2">
      <c r="A280" t="s">
        <v>1587</v>
      </c>
      <c r="B280">
        <v>9003466300</v>
      </c>
      <c r="C280" t="s">
        <v>1588</v>
      </c>
      <c r="D280">
        <v>4866</v>
      </c>
      <c r="E280">
        <v>4.0479890249999997</v>
      </c>
      <c r="F280">
        <v>1202.078358</v>
      </c>
      <c r="G280">
        <v>1</v>
      </c>
      <c r="H280">
        <v>353</v>
      </c>
      <c r="I280">
        <v>7.0067487100000001</v>
      </c>
      <c r="J280">
        <v>0.25900000000000001</v>
      </c>
      <c r="K280">
        <f t="shared" si="4"/>
        <v>2</v>
      </c>
      <c r="N280">
        <v>1.5</v>
      </c>
      <c r="O280">
        <v>2</v>
      </c>
    </row>
    <row r="281" spans="1:15" x14ac:dyDescent="0.2">
      <c r="A281" t="s">
        <v>1589</v>
      </c>
      <c r="B281">
        <v>9003466400</v>
      </c>
      <c r="C281" t="s">
        <v>1590</v>
      </c>
      <c r="D281">
        <v>2417</v>
      </c>
      <c r="E281">
        <v>6.1140318020000004</v>
      </c>
      <c r="F281">
        <v>395.320155</v>
      </c>
      <c r="G281">
        <v>1</v>
      </c>
      <c r="H281">
        <v>323</v>
      </c>
      <c r="I281">
        <v>12.1978852</v>
      </c>
      <c r="J281">
        <v>0.52300000000000002</v>
      </c>
      <c r="K281">
        <f t="shared" si="4"/>
        <v>3</v>
      </c>
      <c r="N281">
        <v>2.5</v>
      </c>
      <c r="O281">
        <v>3</v>
      </c>
    </row>
    <row r="282" spans="1:15" x14ac:dyDescent="0.2">
      <c r="A282" t="s">
        <v>1591</v>
      </c>
      <c r="B282">
        <v>9003468101</v>
      </c>
      <c r="C282" t="s">
        <v>1592</v>
      </c>
      <c r="D282">
        <v>7468</v>
      </c>
      <c r="E282">
        <v>35.342737110000002</v>
      </c>
      <c r="F282">
        <v>211.3022536</v>
      </c>
      <c r="G282">
        <v>1</v>
      </c>
      <c r="H282">
        <v>397</v>
      </c>
      <c r="I282">
        <v>5.3699445419999998</v>
      </c>
      <c r="J282">
        <v>0.17899999999999999</v>
      </c>
      <c r="K282">
        <f t="shared" si="4"/>
        <v>1</v>
      </c>
      <c r="N282">
        <v>1</v>
      </c>
      <c r="O282">
        <v>1</v>
      </c>
    </row>
    <row r="283" spans="1:15" x14ac:dyDescent="0.2">
      <c r="A283" t="s">
        <v>1593</v>
      </c>
      <c r="B283">
        <v>9003468102</v>
      </c>
      <c r="C283" t="s">
        <v>1594</v>
      </c>
      <c r="D283">
        <v>3814</v>
      </c>
      <c r="E283">
        <v>5.3353888129999998</v>
      </c>
      <c r="F283">
        <v>714.84949529999994</v>
      </c>
      <c r="G283">
        <v>1</v>
      </c>
      <c r="H283">
        <v>257</v>
      </c>
      <c r="I283">
        <v>6.4768145160000001</v>
      </c>
      <c r="J283">
        <v>0.23799999999999999</v>
      </c>
      <c r="K283">
        <f t="shared" si="4"/>
        <v>2</v>
      </c>
      <c r="N283">
        <v>2</v>
      </c>
      <c r="O283">
        <v>2</v>
      </c>
    </row>
    <row r="284" spans="1:15" x14ac:dyDescent="0.2">
      <c r="A284" t="s">
        <v>1595</v>
      </c>
      <c r="B284">
        <v>9003470100</v>
      </c>
      <c r="C284" t="s">
        <v>1596</v>
      </c>
      <c r="D284">
        <v>5148</v>
      </c>
      <c r="E284">
        <v>16.651323090000002</v>
      </c>
      <c r="F284">
        <v>309.16462139999999</v>
      </c>
      <c r="G284">
        <v>1</v>
      </c>
      <c r="H284">
        <v>712</v>
      </c>
      <c r="I284">
        <v>13.42383107</v>
      </c>
      <c r="J284">
        <v>0.57799999999999996</v>
      </c>
      <c r="K284">
        <f t="shared" si="4"/>
        <v>3</v>
      </c>
      <c r="N284">
        <v>3</v>
      </c>
      <c r="O284">
        <v>3</v>
      </c>
    </row>
    <row r="285" spans="1:15" x14ac:dyDescent="0.2">
      <c r="A285" t="s">
        <v>1597</v>
      </c>
      <c r="B285">
        <v>9003471100</v>
      </c>
      <c r="C285" t="s">
        <v>1598</v>
      </c>
      <c r="D285">
        <v>3635</v>
      </c>
      <c r="E285">
        <v>1.0545902140000001</v>
      </c>
      <c r="F285">
        <v>3446.8364590000001</v>
      </c>
      <c r="G285">
        <v>1</v>
      </c>
      <c r="H285">
        <v>387</v>
      </c>
      <c r="I285">
        <v>9.9511442530000007</v>
      </c>
      <c r="J285">
        <v>0.41499999999999998</v>
      </c>
      <c r="K285">
        <f t="shared" si="4"/>
        <v>3</v>
      </c>
      <c r="N285">
        <v>3.5</v>
      </c>
      <c r="O285">
        <v>4</v>
      </c>
    </row>
    <row r="286" spans="1:15" x14ac:dyDescent="0.2">
      <c r="A286" t="s">
        <v>1599</v>
      </c>
      <c r="B286">
        <v>9003471200</v>
      </c>
      <c r="C286" t="s">
        <v>1600</v>
      </c>
      <c r="D286">
        <v>3347</v>
      </c>
      <c r="E286">
        <v>2.2447285469999998</v>
      </c>
      <c r="F286">
        <v>1491.048886</v>
      </c>
      <c r="G286">
        <v>1</v>
      </c>
      <c r="H286">
        <v>146</v>
      </c>
      <c r="I286">
        <v>4.4376899700000001</v>
      </c>
      <c r="J286">
        <v>0.13100000000000001</v>
      </c>
      <c r="K286">
        <f t="shared" si="4"/>
        <v>1</v>
      </c>
      <c r="N286">
        <v>2.5</v>
      </c>
      <c r="O286">
        <v>3</v>
      </c>
    </row>
    <row r="287" spans="1:15" x14ac:dyDescent="0.2">
      <c r="A287" t="s">
        <v>1601</v>
      </c>
      <c r="B287">
        <v>9003471300</v>
      </c>
      <c r="C287" t="s">
        <v>1602</v>
      </c>
      <c r="D287">
        <v>4577</v>
      </c>
      <c r="E287">
        <v>3.4100227489999999</v>
      </c>
      <c r="F287">
        <v>1342.219785</v>
      </c>
      <c r="G287">
        <v>1</v>
      </c>
      <c r="H287">
        <v>141</v>
      </c>
      <c r="I287">
        <v>3.1473214289999998</v>
      </c>
      <c r="J287">
        <v>5.8999999999999997E-2</v>
      </c>
      <c r="K287">
        <f t="shared" si="4"/>
        <v>1</v>
      </c>
      <c r="N287">
        <v>2</v>
      </c>
      <c r="O287">
        <v>2</v>
      </c>
    </row>
    <row r="288" spans="1:15" x14ac:dyDescent="0.2">
      <c r="A288" t="s">
        <v>1603</v>
      </c>
      <c r="B288">
        <v>9003471400</v>
      </c>
      <c r="C288" t="s">
        <v>1604</v>
      </c>
      <c r="D288">
        <v>5515</v>
      </c>
      <c r="E288">
        <v>12.885838079999999</v>
      </c>
      <c r="F288">
        <v>427.98923639999998</v>
      </c>
      <c r="G288">
        <v>1</v>
      </c>
      <c r="H288">
        <v>422</v>
      </c>
      <c r="I288">
        <v>7.692307692</v>
      </c>
      <c r="J288">
        <v>0.28499999999999998</v>
      </c>
      <c r="K288">
        <f t="shared" si="4"/>
        <v>2</v>
      </c>
      <c r="N288">
        <v>2</v>
      </c>
      <c r="O288">
        <v>2</v>
      </c>
    </row>
    <row r="289" spans="1:15" x14ac:dyDescent="0.2">
      <c r="A289" t="s">
        <v>1605</v>
      </c>
      <c r="B289">
        <v>9003471500</v>
      </c>
      <c r="C289" t="s">
        <v>1606</v>
      </c>
      <c r="D289">
        <v>3412</v>
      </c>
      <c r="E289">
        <v>6.4674901970000001</v>
      </c>
      <c r="F289">
        <v>527.56168100000002</v>
      </c>
      <c r="G289">
        <v>1</v>
      </c>
      <c r="H289">
        <v>476</v>
      </c>
      <c r="I289">
        <v>12.27753418</v>
      </c>
      <c r="J289">
        <v>0.52200000000000002</v>
      </c>
      <c r="K289">
        <f t="shared" si="4"/>
        <v>3</v>
      </c>
      <c r="N289">
        <v>3</v>
      </c>
      <c r="O289">
        <v>3</v>
      </c>
    </row>
    <row r="290" spans="1:15" x14ac:dyDescent="0.2">
      <c r="A290" t="s">
        <v>1607</v>
      </c>
      <c r="B290">
        <v>9003473100</v>
      </c>
      <c r="C290" t="s">
        <v>1608</v>
      </c>
      <c r="D290">
        <v>6246</v>
      </c>
      <c r="E290">
        <v>4.0921093070000003</v>
      </c>
      <c r="F290">
        <v>1526.352189</v>
      </c>
      <c r="G290">
        <v>1</v>
      </c>
      <c r="H290">
        <v>163</v>
      </c>
      <c r="I290">
        <v>2.5492649360000001</v>
      </c>
      <c r="J290">
        <v>3.1E-2</v>
      </c>
      <c r="K290">
        <f t="shared" si="4"/>
        <v>1</v>
      </c>
      <c r="N290">
        <v>1.5</v>
      </c>
      <c r="O290">
        <v>2</v>
      </c>
    </row>
    <row r="291" spans="1:15" x14ac:dyDescent="0.2">
      <c r="A291" t="s">
        <v>1609</v>
      </c>
      <c r="B291">
        <v>9003473400</v>
      </c>
      <c r="C291" t="s">
        <v>1610</v>
      </c>
      <c r="D291">
        <v>1854</v>
      </c>
      <c r="E291">
        <v>0.88954311799999997</v>
      </c>
      <c r="F291">
        <v>2084.2160020000001</v>
      </c>
      <c r="G291">
        <v>1</v>
      </c>
      <c r="H291">
        <v>133</v>
      </c>
      <c r="I291">
        <v>7.7280650780000002</v>
      </c>
      <c r="J291">
        <v>0.28899999999999998</v>
      </c>
      <c r="K291">
        <f t="shared" si="4"/>
        <v>2</v>
      </c>
      <c r="N291">
        <v>3</v>
      </c>
      <c r="O291">
        <v>3</v>
      </c>
    </row>
    <row r="292" spans="1:15" x14ac:dyDescent="0.2">
      <c r="A292" t="s">
        <v>1611</v>
      </c>
      <c r="B292">
        <v>9003473501</v>
      </c>
      <c r="C292" t="s">
        <v>1612</v>
      </c>
      <c r="D292">
        <v>4400</v>
      </c>
      <c r="E292">
        <v>9.6119217540000008</v>
      </c>
      <c r="F292">
        <v>457.76485830000001</v>
      </c>
      <c r="G292">
        <v>1</v>
      </c>
      <c r="H292">
        <v>573</v>
      </c>
      <c r="I292">
        <v>13.56534091</v>
      </c>
      <c r="J292">
        <v>0.57899999999999996</v>
      </c>
      <c r="K292">
        <f t="shared" si="4"/>
        <v>3</v>
      </c>
      <c r="N292">
        <v>2.5</v>
      </c>
      <c r="O292">
        <v>3</v>
      </c>
    </row>
    <row r="293" spans="1:15" x14ac:dyDescent="0.2">
      <c r="A293" t="s">
        <v>1613</v>
      </c>
      <c r="B293">
        <v>9003473502</v>
      </c>
      <c r="C293" t="s">
        <v>1614</v>
      </c>
      <c r="D293">
        <v>3241</v>
      </c>
      <c r="E293">
        <v>5.4175258729999998</v>
      </c>
      <c r="F293">
        <v>598.24356660000001</v>
      </c>
      <c r="G293">
        <v>1</v>
      </c>
      <c r="H293">
        <v>267</v>
      </c>
      <c r="I293">
        <v>8.7084148730000006</v>
      </c>
      <c r="J293">
        <v>0.36099999999999999</v>
      </c>
      <c r="K293">
        <f t="shared" si="4"/>
        <v>2</v>
      </c>
      <c r="N293">
        <v>2.5</v>
      </c>
      <c r="O293">
        <v>3</v>
      </c>
    </row>
    <row r="294" spans="1:15" x14ac:dyDescent="0.2">
      <c r="A294" t="s">
        <v>1615</v>
      </c>
      <c r="B294">
        <v>9003473601</v>
      </c>
      <c r="C294" t="s">
        <v>1616</v>
      </c>
      <c r="D294">
        <v>3320</v>
      </c>
      <c r="E294">
        <v>4.819932756</v>
      </c>
      <c r="F294">
        <v>688.80628999999999</v>
      </c>
      <c r="G294">
        <v>1</v>
      </c>
      <c r="H294">
        <v>430</v>
      </c>
      <c r="I294">
        <v>13.94293126</v>
      </c>
      <c r="J294">
        <v>0.58699999999999997</v>
      </c>
      <c r="K294">
        <f t="shared" si="4"/>
        <v>3</v>
      </c>
      <c r="N294">
        <v>3</v>
      </c>
      <c r="O294">
        <v>3</v>
      </c>
    </row>
    <row r="295" spans="1:15" x14ac:dyDescent="0.2">
      <c r="A295" t="s">
        <v>1617</v>
      </c>
      <c r="B295">
        <v>9003473602</v>
      </c>
      <c r="C295" t="s">
        <v>1618</v>
      </c>
      <c r="D295">
        <v>2260</v>
      </c>
      <c r="E295">
        <v>1.2559042739999999</v>
      </c>
      <c r="F295">
        <v>1799.5002059999999</v>
      </c>
      <c r="G295">
        <v>1</v>
      </c>
      <c r="H295">
        <v>637</v>
      </c>
      <c r="I295">
        <v>24.863387979999999</v>
      </c>
      <c r="J295">
        <v>0.81899999999999995</v>
      </c>
      <c r="K295">
        <f t="shared" si="4"/>
        <v>5</v>
      </c>
      <c r="N295">
        <v>4</v>
      </c>
      <c r="O295">
        <v>4</v>
      </c>
    </row>
    <row r="296" spans="1:15" x14ac:dyDescent="0.2">
      <c r="A296" t="s">
        <v>1619</v>
      </c>
      <c r="B296">
        <v>9003473700</v>
      </c>
      <c r="C296" t="s">
        <v>1620</v>
      </c>
      <c r="D296">
        <v>5865</v>
      </c>
      <c r="E296">
        <v>2.7591039030000002</v>
      </c>
      <c r="F296">
        <v>2125.6901539999999</v>
      </c>
      <c r="G296">
        <v>1</v>
      </c>
      <c r="H296">
        <v>792</v>
      </c>
      <c r="I296">
        <v>13.11909889</v>
      </c>
      <c r="J296">
        <v>0.56100000000000005</v>
      </c>
      <c r="K296">
        <f t="shared" si="4"/>
        <v>3</v>
      </c>
      <c r="N296">
        <v>3.5</v>
      </c>
      <c r="O296">
        <v>4</v>
      </c>
    </row>
    <row r="297" spans="1:15" x14ac:dyDescent="0.2">
      <c r="A297" t="s">
        <v>1621</v>
      </c>
      <c r="B297">
        <v>9003473800</v>
      </c>
      <c r="C297" t="s">
        <v>1622</v>
      </c>
      <c r="D297">
        <v>1858</v>
      </c>
      <c r="E297">
        <v>0.728708782</v>
      </c>
      <c r="F297">
        <v>2549.7153960000001</v>
      </c>
      <c r="G297">
        <v>1</v>
      </c>
      <c r="H297">
        <v>526</v>
      </c>
      <c r="I297">
        <v>29.700734050000001</v>
      </c>
      <c r="J297">
        <v>0.88400000000000001</v>
      </c>
      <c r="K297">
        <f t="shared" si="4"/>
        <v>5</v>
      </c>
      <c r="N297">
        <v>4.5</v>
      </c>
      <c r="O297">
        <v>5</v>
      </c>
    </row>
    <row r="298" spans="1:15" x14ac:dyDescent="0.2">
      <c r="A298" t="s">
        <v>1623</v>
      </c>
      <c r="B298">
        <v>9003476100</v>
      </c>
      <c r="C298" t="s">
        <v>1624</v>
      </c>
      <c r="D298">
        <v>4570</v>
      </c>
      <c r="E298">
        <v>2.4510704300000001</v>
      </c>
      <c r="F298">
        <v>1864.491507</v>
      </c>
      <c r="G298">
        <v>1</v>
      </c>
      <c r="H298">
        <v>309</v>
      </c>
      <c r="I298">
        <v>6.6480206539999998</v>
      </c>
      <c r="J298">
        <v>0.245</v>
      </c>
      <c r="K298">
        <f t="shared" si="4"/>
        <v>2</v>
      </c>
      <c r="N298">
        <v>3</v>
      </c>
      <c r="O298">
        <v>3</v>
      </c>
    </row>
    <row r="299" spans="1:15" x14ac:dyDescent="0.2">
      <c r="A299" t="s">
        <v>1625</v>
      </c>
      <c r="B299">
        <v>9003476200</v>
      </c>
      <c r="C299" t="s">
        <v>1626</v>
      </c>
      <c r="D299">
        <v>2814</v>
      </c>
      <c r="E299">
        <v>1.538820257</v>
      </c>
      <c r="F299">
        <v>1828.673614</v>
      </c>
      <c r="G299">
        <v>1</v>
      </c>
      <c r="H299">
        <v>266</v>
      </c>
      <c r="I299">
        <v>9.4393186660000001</v>
      </c>
      <c r="J299">
        <v>0.39200000000000002</v>
      </c>
      <c r="K299">
        <f t="shared" si="4"/>
        <v>2</v>
      </c>
      <c r="N299">
        <v>3</v>
      </c>
      <c r="O299">
        <v>3</v>
      </c>
    </row>
    <row r="300" spans="1:15" x14ac:dyDescent="0.2">
      <c r="A300" t="s">
        <v>1627</v>
      </c>
      <c r="B300">
        <v>9003476300</v>
      </c>
      <c r="C300" t="s">
        <v>1628</v>
      </c>
      <c r="D300">
        <v>5114</v>
      </c>
      <c r="E300">
        <v>3.6157132769999998</v>
      </c>
      <c r="F300">
        <v>1414.3820619999999</v>
      </c>
      <c r="G300">
        <v>1</v>
      </c>
      <c r="H300">
        <v>896</v>
      </c>
      <c r="I300">
        <v>17.214217099999999</v>
      </c>
      <c r="J300">
        <v>0.67500000000000004</v>
      </c>
      <c r="K300">
        <f t="shared" si="4"/>
        <v>4</v>
      </c>
      <c r="N300">
        <v>4</v>
      </c>
      <c r="O300">
        <v>4</v>
      </c>
    </row>
    <row r="301" spans="1:15" x14ac:dyDescent="0.2">
      <c r="A301" t="s">
        <v>1629</v>
      </c>
      <c r="B301">
        <v>9003477101</v>
      </c>
      <c r="C301" t="s">
        <v>1630</v>
      </c>
      <c r="D301">
        <v>4259</v>
      </c>
      <c r="E301">
        <v>17.499784170000002</v>
      </c>
      <c r="F301">
        <v>243.37443020000001</v>
      </c>
      <c r="G301">
        <v>1</v>
      </c>
      <c r="H301">
        <v>218</v>
      </c>
      <c r="I301">
        <v>5.2165589849999998</v>
      </c>
      <c r="J301">
        <v>0.17100000000000001</v>
      </c>
      <c r="K301">
        <f t="shared" si="4"/>
        <v>1</v>
      </c>
      <c r="N301">
        <v>1.5</v>
      </c>
      <c r="O301">
        <v>2</v>
      </c>
    </row>
    <row r="302" spans="1:15" x14ac:dyDescent="0.2">
      <c r="A302" t="s">
        <v>1631</v>
      </c>
      <c r="B302">
        <v>9003477102</v>
      </c>
      <c r="C302" t="s">
        <v>1632</v>
      </c>
      <c r="D302">
        <v>8521</v>
      </c>
      <c r="E302">
        <v>10.62522375</v>
      </c>
      <c r="F302">
        <v>801.95958259999998</v>
      </c>
      <c r="G302">
        <v>1</v>
      </c>
      <c r="H302">
        <v>1391</v>
      </c>
      <c r="I302">
        <v>16.28233642</v>
      </c>
      <c r="J302">
        <v>0.64900000000000002</v>
      </c>
      <c r="K302">
        <f t="shared" si="4"/>
        <v>4</v>
      </c>
      <c r="N302">
        <v>3</v>
      </c>
      <c r="O302">
        <v>3</v>
      </c>
    </row>
    <row r="303" spans="1:15" x14ac:dyDescent="0.2">
      <c r="A303" t="s">
        <v>1633</v>
      </c>
      <c r="B303">
        <v>9003477200</v>
      </c>
      <c r="C303" t="s">
        <v>1634</v>
      </c>
      <c r="D303">
        <v>2955</v>
      </c>
      <c r="E303">
        <v>13.905159790000001</v>
      </c>
      <c r="F303">
        <v>212.51104219999999</v>
      </c>
      <c r="G303">
        <v>1</v>
      </c>
      <c r="H303">
        <v>100</v>
      </c>
      <c r="I303">
        <v>3.3715441670000001</v>
      </c>
      <c r="J303">
        <v>7.8E-2</v>
      </c>
      <c r="K303">
        <f t="shared" si="4"/>
        <v>1</v>
      </c>
      <c r="N303">
        <v>1.5</v>
      </c>
      <c r="O303">
        <v>2</v>
      </c>
    </row>
    <row r="304" spans="1:15" x14ac:dyDescent="0.2">
      <c r="A304" t="s">
        <v>1635</v>
      </c>
      <c r="B304">
        <v>9003480300</v>
      </c>
      <c r="C304" t="s">
        <v>1636</v>
      </c>
      <c r="D304">
        <v>2244</v>
      </c>
      <c r="E304">
        <v>1.134458924</v>
      </c>
      <c r="F304">
        <v>1978.035478</v>
      </c>
      <c r="G304">
        <v>1</v>
      </c>
      <c r="H304">
        <v>147</v>
      </c>
      <c r="I304">
        <v>6.6275924259999996</v>
      </c>
      <c r="J304">
        <v>0.24199999999999999</v>
      </c>
      <c r="K304">
        <f t="shared" si="4"/>
        <v>2</v>
      </c>
      <c r="N304">
        <v>3</v>
      </c>
      <c r="O304">
        <v>3</v>
      </c>
    </row>
    <row r="305" spans="1:15" x14ac:dyDescent="0.2">
      <c r="A305" t="s">
        <v>1637</v>
      </c>
      <c r="B305">
        <v>9003480400</v>
      </c>
      <c r="C305" t="s">
        <v>1638</v>
      </c>
      <c r="D305">
        <v>3730</v>
      </c>
      <c r="E305">
        <v>1.6232341619999999</v>
      </c>
      <c r="F305">
        <v>2297.8816539999998</v>
      </c>
      <c r="G305">
        <v>1</v>
      </c>
      <c r="H305">
        <v>350</v>
      </c>
      <c r="I305">
        <v>9.5082857920000006</v>
      </c>
      <c r="J305">
        <v>0.40200000000000002</v>
      </c>
      <c r="K305">
        <f t="shared" si="4"/>
        <v>3</v>
      </c>
      <c r="N305">
        <v>3</v>
      </c>
      <c r="O305">
        <v>3</v>
      </c>
    </row>
    <row r="306" spans="1:15" x14ac:dyDescent="0.2">
      <c r="A306" t="s">
        <v>1639</v>
      </c>
      <c r="B306">
        <v>9003480500</v>
      </c>
      <c r="C306" t="s">
        <v>1640</v>
      </c>
      <c r="D306">
        <v>3253</v>
      </c>
      <c r="E306">
        <v>1.404285271</v>
      </c>
      <c r="F306">
        <v>2316.4808939999998</v>
      </c>
      <c r="G306">
        <v>1</v>
      </c>
      <c r="H306">
        <v>313</v>
      </c>
      <c r="I306">
        <v>9.46191052</v>
      </c>
      <c r="J306">
        <v>0.39300000000000002</v>
      </c>
      <c r="K306">
        <f t="shared" si="4"/>
        <v>2</v>
      </c>
      <c r="N306">
        <v>3</v>
      </c>
      <c r="O306">
        <v>3</v>
      </c>
    </row>
    <row r="307" spans="1:15" x14ac:dyDescent="0.2">
      <c r="A307" t="s">
        <v>1641</v>
      </c>
      <c r="B307">
        <v>9003480600</v>
      </c>
      <c r="C307" t="s">
        <v>1642</v>
      </c>
      <c r="D307">
        <v>4955</v>
      </c>
      <c r="E307">
        <v>0.67413285300000003</v>
      </c>
      <c r="F307">
        <v>7350.1832420000001</v>
      </c>
      <c r="G307">
        <v>1</v>
      </c>
      <c r="H307">
        <v>1583</v>
      </c>
      <c r="I307">
        <v>33.048016699999998</v>
      </c>
      <c r="J307">
        <v>0.91900000000000004</v>
      </c>
      <c r="K307">
        <f t="shared" si="4"/>
        <v>5</v>
      </c>
      <c r="N307">
        <v>5</v>
      </c>
      <c r="O307">
        <v>5</v>
      </c>
    </row>
    <row r="308" spans="1:15" x14ac:dyDescent="0.2">
      <c r="A308" t="s">
        <v>1643</v>
      </c>
      <c r="B308">
        <v>9003480700</v>
      </c>
      <c r="C308" t="s">
        <v>1644</v>
      </c>
      <c r="D308">
        <v>2210</v>
      </c>
      <c r="E308">
        <v>0.90687215499999996</v>
      </c>
      <c r="F308">
        <v>2436.9476850000001</v>
      </c>
      <c r="G308">
        <v>1</v>
      </c>
      <c r="H308">
        <v>288</v>
      </c>
      <c r="I308">
        <v>11.930405970000001</v>
      </c>
      <c r="J308">
        <v>0.50800000000000001</v>
      </c>
      <c r="K308">
        <f t="shared" si="4"/>
        <v>3</v>
      </c>
      <c r="N308">
        <v>4</v>
      </c>
      <c r="O308">
        <v>4</v>
      </c>
    </row>
    <row r="309" spans="1:15" x14ac:dyDescent="0.2">
      <c r="A309" t="s">
        <v>1645</v>
      </c>
      <c r="B309">
        <v>9003480800</v>
      </c>
      <c r="C309" t="s">
        <v>1646</v>
      </c>
      <c r="D309">
        <v>4425</v>
      </c>
      <c r="E309">
        <v>5.079765621</v>
      </c>
      <c r="F309">
        <v>871.10318280000001</v>
      </c>
      <c r="G309">
        <v>1</v>
      </c>
      <c r="H309">
        <v>536</v>
      </c>
      <c r="I309">
        <v>11.65977812</v>
      </c>
      <c r="J309">
        <v>0.49</v>
      </c>
      <c r="K309">
        <f t="shared" si="4"/>
        <v>3</v>
      </c>
      <c r="N309">
        <v>3.5</v>
      </c>
      <c r="O309">
        <v>4</v>
      </c>
    </row>
    <row r="310" spans="1:15" x14ac:dyDescent="0.2">
      <c r="A310" t="s">
        <v>1647</v>
      </c>
      <c r="B310">
        <v>9003480900</v>
      </c>
      <c r="C310" t="s">
        <v>1648</v>
      </c>
      <c r="D310">
        <v>2246</v>
      </c>
      <c r="E310">
        <v>2.2558436560000001</v>
      </c>
      <c r="F310">
        <v>995.63637470000003</v>
      </c>
      <c r="G310">
        <v>1</v>
      </c>
      <c r="H310">
        <v>143</v>
      </c>
      <c r="I310">
        <v>6.4472497750000004</v>
      </c>
      <c r="J310">
        <v>0.23899999999999999</v>
      </c>
      <c r="K310">
        <f t="shared" si="4"/>
        <v>2</v>
      </c>
      <c r="N310">
        <v>2.5</v>
      </c>
      <c r="O310">
        <v>3</v>
      </c>
    </row>
    <row r="311" spans="1:15" x14ac:dyDescent="0.2">
      <c r="A311" t="s">
        <v>1649</v>
      </c>
      <c r="B311">
        <v>9003481000</v>
      </c>
      <c r="C311" t="s">
        <v>1650</v>
      </c>
      <c r="D311">
        <v>3644</v>
      </c>
      <c r="E311">
        <v>7.5065282160000004</v>
      </c>
      <c r="F311">
        <v>485.44412219999998</v>
      </c>
      <c r="G311">
        <v>1</v>
      </c>
      <c r="H311">
        <v>191</v>
      </c>
      <c r="I311">
        <v>5.2029419780000001</v>
      </c>
      <c r="J311">
        <v>0.17</v>
      </c>
      <c r="K311">
        <f t="shared" si="4"/>
        <v>1</v>
      </c>
      <c r="N311">
        <v>1.5</v>
      </c>
      <c r="O311">
        <v>2</v>
      </c>
    </row>
    <row r="312" spans="1:15" x14ac:dyDescent="0.2">
      <c r="A312" t="s">
        <v>1651</v>
      </c>
      <c r="B312">
        <v>9003481100</v>
      </c>
      <c r="C312" t="s">
        <v>1652</v>
      </c>
      <c r="D312">
        <v>3855</v>
      </c>
      <c r="E312">
        <v>2.2182373050000002</v>
      </c>
      <c r="F312">
        <v>1737.8663650000001</v>
      </c>
      <c r="G312">
        <v>1</v>
      </c>
      <c r="H312">
        <v>332</v>
      </c>
      <c r="I312">
        <v>8.4456881199999998</v>
      </c>
      <c r="J312">
        <v>0.33900000000000002</v>
      </c>
      <c r="K312">
        <f t="shared" si="4"/>
        <v>2</v>
      </c>
      <c r="N312">
        <v>3</v>
      </c>
      <c r="O312">
        <v>3</v>
      </c>
    </row>
    <row r="313" spans="1:15" x14ac:dyDescent="0.2">
      <c r="A313" t="s">
        <v>1653</v>
      </c>
      <c r="B313">
        <v>9003481200</v>
      </c>
      <c r="C313" t="s">
        <v>1654</v>
      </c>
      <c r="D313">
        <v>3769</v>
      </c>
      <c r="E313">
        <v>2.3702522949999998</v>
      </c>
      <c r="F313">
        <v>1590.126084</v>
      </c>
      <c r="G313">
        <v>1</v>
      </c>
      <c r="H313">
        <v>399</v>
      </c>
      <c r="I313">
        <v>10.01757469</v>
      </c>
      <c r="J313">
        <v>0.41</v>
      </c>
      <c r="K313">
        <f t="shared" si="4"/>
        <v>3</v>
      </c>
      <c r="N313">
        <v>3</v>
      </c>
      <c r="O313">
        <v>3</v>
      </c>
    </row>
    <row r="314" spans="1:15" x14ac:dyDescent="0.2">
      <c r="A314" t="s">
        <v>1655</v>
      </c>
      <c r="B314">
        <v>9003481300</v>
      </c>
      <c r="C314" t="s">
        <v>1656</v>
      </c>
      <c r="D314">
        <v>3032</v>
      </c>
      <c r="E314">
        <v>3.0247016590000002</v>
      </c>
      <c r="F314">
        <v>1002.412913</v>
      </c>
      <c r="G314">
        <v>1</v>
      </c>
      <c r="H314">
        <v>121</v>
      </c>
      <c r="I314">
        <v>4.2233856889999997</v>
      </c>
      <c r="J314">
        <v>0.124</v>
      </c>
      <c r="K314">
        <f t="shared" si="4"/>
        <v>1</v>
      </c>
      <c r="N314">
        <v>2</v>
      </c>
      <c r="O314">
        <v>2</v>
      </c>
    </row>
    <row r="315" spans="1:15" x14ac:dyDescent="0.2">
      <c r="A315" t="s">
        <v>1657</v>
      </c>
      <c r="B315">
        <v>9003484100</v>
      </c>
      <c r="C315" t="s">
        <v>1658</v>
      </c>
      <c r="D315">
        <v>5527</v>
      </c>
      <c r="E315">
        <v>12.94079007</v>
      </c>
      <c r="F315">
        <v>427.09911599999998</v>
      </c>
      <c r="G315">
        <v>1</v>
      </c>
      <c r="H315">
        <v>1037</v>
      </c>
      <c r="I315">
        <v>19.536548610000001</v>
      </c>
      <c r="J315">
        <v>0.73199999999999998</v>
      </c>
      <c r="K315">
        <f t="shared" si="4"/>
        <v>4</v>
      </c>
      <c r="N315">
        <v>4</v>
      </c>
      <c r="O315">
        <v>4</v>
      </c>
    </row>
    <row r="316" spans="1:15" x14ac:dyDescent="0.2">
      <c r="A316" t="s">
        <v>1659</v>
      </c>
      <c r="B316">
        <v>9003484200</v>
      </c>
      <c r="C316" t="s">
        <v>1660</v>
      </c>
      <c r="D316">
        <v>5635</v>
      </c>
      <c r="E316">
        <v>13.30991109</v>
      </c>
      <c r="F316">
        <v>423.36871839999998</v>
      </c>
      <c r="G316">
        <v>1</v>
      </c>
      <c r="H316">
        <v>778</v>
      </c>
      <c r="I316">
        <v>12.67720385</v>
      </c>
      <c r="J316">
        <v>0.54200000000000004</v>
      </c>
      <c r="K316">
        <f t="shared" si="4"/>
        <v>3</v>
      </c>
      <c r="N316">
        <v>3.5</v>
      </c>
      <c r="O316">
        <v>4</v>
      </c>
    </row>
    <row r="317" spans="1:15" x14ac:dyDescent="0.2">
      <c r="A317" t="s">
        <v>1661</v>
      </c>
      <c r="B317">
        <v>9003487100</v>
      </c>
      <c r="C317" t="s">
        <v>1662</v>
      </c>
      <c r="D317">
        <v>6781</v>
      </c>
      <c r="E317">
        <v>7.063096431</v>
      </c>
      <c r="F317">
        <v>960.06051539999999</v>
      </c>
      <c r="G317">
        <v>1</v>
      </c>
      <c r="H317">
        <v>931</v>
      </c>
      <c r="I317">
        <v>13.09055118</v>
      </c>
      <c r="J317">
        <v>0.55200000000000005</v>
      </c>
      <c r="K317">
        <f t="shared" si="4"/>
        <v>3</v>
      </c>
      <c r="N317">
        <v>2.5</v>
      </c>
      <c r="O317">
        <v>3</v>
      </c>
    </row>
    <row r="318" spans="1:15" x14ac:dyDescent="0.2">
      <c r="A318" t="s">
        <v>1663</v>
      </c>
      <c r="B318">
        <v>9003487201</v>
      </c>
      <c r="C318" t="s">
        <v>1664</v>
      </c>
      <c r="D318">
        <v>4567</v>
      </c>
      <c r="E318">
        <v>2.7955561960000002</v>
      </c>
      <c r="F318">
        <v>1633.6641729999999</v>
      </c>
      <c r="G318">
        <v>1</v>
      </c>
      <c r="H318">
        <v>883</v>
      </c>
      <c r="I318">
        <v>19.075394249999999</v>
      </c>
      <c r="J318">
        <v>0.72199999999999998</v>
      </c>
      <c r="K318">
        <f t="shared" si="4"/>
        <v>4</v>
      </c>
      <c r="N318">
        <v>3</v>
      </c>
      <c r="O318">
        <v>3</v>
      </c>
    </row>
    <row r="319" spans="1:15" x14ac:dyDescent="0.2">
      <c r="A319" t="s">
        <v>1665</v>
      </c>
      <c r="B319">
        <v>9003487202</v>
      </c>
      <c r="C319" t="s">
        <v>1666</v>
      </c>
      <c r="D319">
        <v>3659</v>
      </c>
      <c r="E319">
        <v>2.2125793630000001</v>
      </c>
      <c r="F319">
        <v>1653.725991</v>
      </c>
      <c r="G319">
        <v>1</v>
      </c>
      <c r="H319">
        <v>603</v>
      </c>
      <c r="I319">
        <v>16.815393199999999</v>
      </c>
      <c r="J319">
        <v>0.66100000000000003</v>
      </c>
      <c r="K319">
        <f t="shared" si="4"/>
        <v>4</v>
      </c>
      <c r="N319">
        <v>2.5</v>
      </c>
      <c r="O319">
        <v>3</v>
      </c>
    </row>
    <row r="320" spans="1:15" x14ac:dyDescent="0.2">
      <c r="A320" t="s">
        <v>1667</v>
      </c>
      <c r="B320">
        <v>9003487300</v>
      </c>
      <c r="C320" t="s">
        <v>1668</v>
      </c>
      <c r="D320">
        <v>1595</v>
      </c>
      <c r="E320">
        <v>6.2391227300000001</v>
      </c>
      <c r="F320">
        <v>255.644915</v>
      </c>
      <c r="G320">
        <v>1</v>
      </c>
      <c r="H320">
        <v>208</v>
      </c>
      <c r="I320">
        <v>13.75661376</v>
      </c>
      <c r="J320">
        <v>0.58099999999999996</v>
      </c>
      <c r="K320">
        <f t="shared" si="4"/>
        <v>3</v>
      </c>
      <c r="N320">
        <v>2.5</v>
      </c>
      <c r="O320">
        <v>3</v>
      </c>
    </row>
    <row r="321" spans="1:15" x14ac:dyDescent="0.2">
      <c r="A321" t="s">
        <v>1669</v>
      </c>
      <c r="B321">
        <v>9003487400</v>
      </c>
      <c r="C321" t="s">
        <v>1670</v>
      </c>
      <c r="D321">
        <v>2317</v>
      </c>
      <c r="E321">
        <v>5.136922642</v>
      </c>
      <c r="F321">
        <v>451.04825620000003</v>
      </c>
      <c r="G321">
        <v>1</v>
      </c>
      <c r="H321">
        <v>292</v>
      </c>
      <c r="I321">
        <v>12.19715957</v>
      </c>
      <c r="J321">
        <v>0.51700000000000002</v>
      </c>
      <c r="K321">
        <f t="shared" si="4"/>
        <v>3</v>
      </c>
      <c r="N321">
        <v>2.5</v>
      </c>
      <c r="O321">
        <v>3</v>
      </c>
    </row>
    <row r="322" spans="1:15" x14ac:dyDescent="0.2">
      <c r="A322" t="s">
        <v>1671</v>
      </c>
      <c r="B322">
        <v>9003487500</v>
      </c>
      <c r="C322" t="s">
        <v>1672</v>
      </c>
      <c r="D322">
        <v>6790</v>
      </c>
      <c r="E322">
        <v>4.6155453230000001</v>
      </c>
      <c r="F322">
        <v>1471.1154429999999</v>
      </c>
      <c r="G322">
        <v>1</v>
      </c>
      <c r="H322">
        <v>1830</v>
      </c>
      <c r="I322">
        <v>27.45686422</v>
      </c>
      <c r="J322">
        <v>0.86099999999999999</v>
      </c>
      <c r="K322">
        <f t="shared" si="4"/>
        <v>5</v>
      </c>
      <c r="N322">
        <v>4.5</v>
      </c>
      <c r="O322">
        <v>5</v>
      </c>
    </row>
    <row r="323" spans="1:15" x14ac:dyDescent="0.2">
      <c r="A323" t="s">
        <v>1673</v>
      </c>
      <c r="B323">
        <v>9003490100</v>
      </c>
      <c r="C323" t="s">
        <v>1674</v>
      </c>
      <c r="D323">
        <v>5316</v>
      </c>
      <c r="E323">
        <v>4.3108678500000002</v>
      </c>
      <c r="F323">
        <v>1233.1623669999999</v>
      </c>
      <c r="G323">
        <v>1</v>
      </c>
      <c r="H323">
        <v>1270</v>
      </c>
      <c r="I323">
        <v>22.27679354</v>
      </c>
      <c r="J323">
        <v>0.79100000000000004</v>
      </c>
      <c r="K323">
        <f t="shared" ref="K323:K386" si="5">IF(J323&lt;0.2,1,IF(J323&lt;0.4,2,IF(J323&lt;0.6,3,IF(J323&lt;0.8,4,5))))</f>
        <v>4</v>
      </c>
      <c r="N323">
        <v>4</v>
      </c>
      <c r="O323">
        <v>4</v>
      </c>
    </row>
    <row r="324" spans="1:15" x14ac:dyDescent="0.2">
      <c r="A324" t="s">
        <v>1675</v>
      </c>
      <c r="B324">
        <v>9003490302</v>
      </c>
      <c r="C324" t="s">
        <v>1676</v>
      </c>
      <c r="D324">
        <v>8249</v>
      </c>
      <c r="E324">
        <v>4.6750479150000004</v>
      </c>
      <c r="F324">
        <v>1764.473894</v>
      </c>
      <c r="G324">
        <v>1</v>
      </c>
      <c r="H324">
        <v>2870</v>
      </c>
      <c r="I324">
        <v>35.599106919999997</v>
      </c>
      <c r="J324">
        <v>0.93799999999999994</v>
      </c>
      <c r="K324">
        <f t="shared" si="5"/>
        <v>5</v>
      </c>
      <c r="N324">
        <v>4</v>
      </c>
      <c r="O324">
        <v>4</v>
      </c>
    </row>
    <row r="325" spans="1:15" x14ac:dyDescent="0.2">
      <c r="A325" t="s">
        <v>1677</v>
      </c>
      <c r="B325">
        <v>9003492100</v>
      </c>
      <c r="C325" t="s">
        <v>1678</v>
      </c>
      <c r="D325">
        <v>3319</v>
      </c>
      <c r="E325">
        <v>3.431130955</v>
      </c>
      <c r="F325">
        <v>967.31953499999997</v>
      </c>
      <c r="G325">
        <v>1</v>
      </c>
      <c r="H325">
        <v>109</v>
      </c>
      <c r="I325">
        <v>3.2296296299999998</v>
      </c>
      <c r="J325">
        <v>6.9000000000000006E-2</v>
      </c>
      <c r="K325">
        <f t="shared" si="5"/>
        <v>1</v>
      </c>
      <c r="N325">
        <v>2</v>
      </c>
      <c r="O325">
        <v>2</v>
      </c>
    </row>
    <row r="326" spans="1:15" x14ac:dyDescent="0.2">
      <c r="A326" t="s">
        <v>1679</v>
      </c>
      <c r="B326">
        <v>9003492200</v>
      </c>
      <c r="C326" t="s">
        <v>1680</v>
      </c>
      <c r="D326">
        <v>4163</v>
      </c>
      <c r="E326">
        <v>1.0437198940000001</v>
      </c>
      <c r="F326">
        <v>3988.6180429999999</v>
      </c>
      <c r="G326">
        <v>1</v>
      </c>
      <c r="H326">
        <v>572</v>
      </c>
      <c r="I326">
        <v>14.56582633</v>
      </c>
      <c r="J326">
        <v>0.59399999999999997</v>
      </c>
      <c r="K326">
        <f t="shared" si="5"/>
        <v>3</v>
      </c>
      <c r="N326">
        <v>3</v>
      </c>
      <c r="O326">
        <v>3</v>
      </c>
    </row>
    <row r="327" spans="1:15" x14ac:dyDescent="0.2">
      <c r="A327" t="s">
        <v>1681</v>
      </c>
      <c r="B327">
        <v>9003492300</v>
      </c>
      <c r="C327" t="s">
        <v>1682</v>
      </c>
      <c r="D327">
        <v>5815</v>
      </c>
      <c r="E327">
        <v>2.1036012519999998</v>
      </c>
      <c r="F327">
        <v>2764.307159</v>
      </c>
      <c r="G327">
        <v>1</v>
      </c>
      <c r="H327">
        <v>1575</v>
      </c>
      <c r="I327">
        <v>26.969178079999999</v>
      </c>
      <c r="J327">
        <v>0.85399999999999998</v>
      </c>
      <c r="K327">
        <f t="shared" si="5"/>
        <v>5</v>
      </c>
      <c r="N327">
        <v>4.5</v>
      </c>
      <c r="O327">
        <v>5</v>
      </c>
    </row>
    <row r="328" spans="1:15" x14ac:dyDescent="0.2">
      <c r="A328" t="s">
        <v>1683</v>
      </c>
      <c r="B328">
        <v>9003492400</v>
      </c>
      <c r="C328" t="s">
        <v>1684</v>
      </c>
      <c r="D328">
        <v>2967</v>
      </c>
      <c r="E328">
        <v>1.161444763</v>
      </c>
      <c r="F328">
        <v>2554.5769319999999</v>
      </c>
      <c r="G328">
        <v>1</v>
      </c>
      <c r="H328">
        <v>489</v>
      </c>
      <c r="I328">
        <v>15.85603113</v>
      </c>
      <c r="J328">
        <v>0.63300000000000001</v>
      </c>
      <c r="K328">
        <f t="shared" si="5"/>
        <v>4</v>
      </c>
      <c r="N328">
        <v>3.5</v>
      </c>
      <c r="O328">
        <v>4</v>
      </c>
    </row>
    <row r="329" spans="1:15" x14ac:dyDescent="0.2">
      <c r="A329" t="s">
        <v>1685</v>
      </c>
      <c r="B329">
        <v>9003492500</v>
      </c>
      <c r="C329" t="s">
        <v>1686</v>
      </c>
      <c r="D329">
        <v>3433</v>
      </c>
      <c r="E329">
        <v>1.244531249</v>
      </c>
      <c r="F329">
        <v>2758.4683020000002</v>
      </c>
      <c r="G329">
        <v>1</v>
      </c>
      <c r="H329">
        <v>198</v>
      </c>
      <c r="I329">
        <v>5.8858501780000001</v>
      </c>
      <c r="J329">
        <v>0.20799999999999999</v>
      </c>
      <c r="K329">
        <f t="shared" si="5"/>
        <v>2</v>
      </c>
      <c r="N329">
        <v>2</v>
      </c>
      <c r="O329">
        <v>2</v>
      </c>
    </row>
    <row r="330" spans="1:15" x14ac:dyDescent="0.2">
      <c r="A330" t="s">
        <v>1687</v>
      </c>
      <c r="B330">
        <v>9003492600</v>
      </c>
      <c r="C330" t="s">
        <v>1688</v>
      </c>
      <c r="D330">
        <v>6971</v>
      </c>
      <c r="E330">
        <v>3.3257825900000002</v>
      </c>
      <c r="F330">
        <v>2096.0480160000002</v>
      </c>
      <c r="G330">
        <v>1</v>
      </c>
      <c r="H330">
        <v>310</v>
      </c>
      <c r="I330">
        <v>4.7105303149999997</v>
      </c>
      <c r="J330">
        <v>0.14000000000000001</v>
      </c>
      <c r="K330">
        <f t="shared" si="5"/>
        <v>1</v>
      </c>
      <c r="N330">
        <v>2</v>
      </c>
      <c r="O330">
        <v>2</v>
      </c>
    </row>
    <row r="331" spans="1:15" x14ac:dyDescent="0.2">
      <c r="A331" t="s">
        <v>1689</v>
      </c>
      <c r="B331">
        <v>9003494100</v>
      </c>
      <c r="C331" t="s">
        <v>1690</v>
      </c>
      <c r="D331">
        <v>6048</v>
      </c>
      <c r="E331">
        <v>1.948131034</v>
      </c>
      <c r="F331">
        <v>3104.5139650000001</v>
      </c>
      <c r="G331">
        <v>1</v>
      </c>
      <c r="H331">
        <v>1044</v>
      </c>
      <c r="I331">
        <v>18.006209040000002</v>
      </c>
      <c r="J331">
        <v>0.70099999999999996</v>
      </c>
      <c r="K331">
        <f t="shared" si="5"/>
        <v>4</v>
      </c>
      <c r="N331">
        <v>3.5</v>
      </c>
      <c r="O331">
        <v>4</v>
      </c>
    </row>
    <row r="332" spans="1:15" x14ac:dyDescent="0.2">
      <c r="A332" t="s">
        <v>1691</v>
      </c>
      <c r="B332">
        <v>9003494201</v>
      </c>
      <c r="C332" t="s">
        <v>1692</v>
      </c>
      <c r="D332">
        <v>4822</v>
      </c>
      <c r="E332">
        <v>2.3396471339999998</v>
      </c>
      <c r="F332">
        <v>2060.9945539999999</v>
      </c>
      <c r="G332">
        <v>1</v>
      </c>
      <c r="H332">
        <v>841</v>
      </c>
      <c r="I332">
        <v>17.765103509999999</v>
      </c>
      <c r="J332">
        <v>0.69599999999999995</v>
      </c>
      <c r="K332">
        <f t="shared" si="5"/>
        <v>4</v>
      </c>
      <c r="N332">
        <v>4</v>
      </c>
      <c r="O332">
        <v>4</v>
      </c>
    </row>
    <row r="333" spans="1:15" x14ac:dyDescent="0.2">
      <c r="A333" t="s">
        <v>1693</v>
      </c>
      <c r="B333">
        <v>9003494202</v>
      </c>
      <c r="C333" t="s">
        <v>1694</v>
      </c>
      <c r="D333">
        <v>2815</v>
      </c>
      <c r="E333">
        <v>0.96015271099999999</v>
      </c>
      <c r="F333">
        <v>2931.8252889999999</v>
      </c>
      <c r="G333">
        <v>1</v>
      </c>
      <c r="H333">
        <v>465</v>
      </c>
      <c r="I333">
        <v>17.939814810000001</v>
      </c>
      <c r="J333">
        <v>0.69799999999999995</v>
      </c>
      <c r="K333">
        <f t="shared" si="5"/>
        <v>4</v>
      </c>
      <c r="N333">
        <v>3.5</v>
      </c>
      <c r="O333">
        <v>4</v>
      </c>
    </row>
    <row r="334" spans="1:15" x14ac:dyDescent="0.2">
      <c r="A334" t="s">
        <v>1695</v>
      </c>
      <c r="B334">
        <v>9003494300</v>
      </c>
      <c r="C334" t="s">
        <v>1696</v>
      </c>
      <c r="D334">
        <v>4140</v>
      </c>
      <c r="E334">
        <v>1.9843644060000001</v>
      </c>
      <c r="F334">
        <v>2086.3103510000001</v>
      </c>
      <c r="G334">
        <v>1</v>
      </c>
      <c r="H334">
        <v>447</v>
      </c>
      <c r="I334">
        <v>10.347222220000001</v>
      </c>
      <c r="J334">
        <v>0.436</v>
      </c>
      <c r="K334">
        <f t="shared" si="5"/>
        <v>3</v>
      </c>
      <c r="N334">
        <v>3</v>
      </c>
      <c r="O334">
        <v>3</v>
      </c>
    </row>
    <row r="335" spans="1:15" x14ac:dyDescent="0.2">
      <c r="A335" t="s">
        <v>1697</v>
      </c>
      <c r="B335">
        <v>9003494400</v>
      </c>
      <c r="C335" t="s">
        <v>1698</v>
      </c>
      <c r="D335">
        <v>4758</v>
      </c>
      <c r="E335">
        <v>1.673024354</v>
      </c>
      <c r="F335">
        <v>2843.9514279999999</v>
      </c>
      <c r="G335">
        <v>1</v>
      </c>
      <c r="H335">
        <v>860</v>
      </c>
      <c r="I335">
        <v>18.135807679999999</v>
      </c>
      <c r="J335">
        <v>0.70099999999999996</v>
      </c>
      <c r="K335">
        <f t="shared" si="5"/>
        <v>4</v>
      </c>
      <c r="N335">
        <v>4</v>
      </c>
      <c r="O335">
        <v>4</v>
      </c>
    </row>
    <row r="336" spans="1:15" x14ac:dyDescent="0.2">
      <c r="A336" t="s">
        <v>1699</v>
      </c>
      <c r="B336">
        <v>9003494500</v>
      </c>
      <c r="C336" t="s">
        <v>1700</v>
      </c>
      <c r="D336">
        <v>4497</v>
      </c>
      <c r="E336">
        <v>1.9948104010000001</v>
      </c>
      <c r="F336">
        <v>2254.3495859999998</v>
      </c>
      <c r="G336">
        <v>1</v>
      </c>
      <c r="H336">
        <v>741</v>
      </c>
      <c r="I336">
        <v>16.264266899999999</v>
      </c>
      <c r="J336">
        <v>0.64900000000000002</v>
      </c>
      <c r="K336">
        <f t="shared" si="5"/>
        <v>4</v>
      </c>
      <c r="N336">
        <v>3.5</v>
      </c>
      <c r="O336">
        <v>4</v>
      </c>
    </row>
    <row r="337" spans="1:15" x14ac:dyDescent="0.2">
      <c r="A337" t="s">
        <v>1701</v>
      </c>
      <c r="B337">
        <v>9003494600</v>
      </c>
      <c r="C337" t="s">
        <v>1702</v>
      </c>
      <c r="D337">
        <v>3482</v>
      </c>
      <c r="E337">
        <v>2.2408250540000001</v>
      </c>
      <c r="F337">
        <v>1553.891944</v>
      </c>
      <c r="G337">
        <v>1</v>
      </c>
      <c r="H337">
        <v>494</v>
      </c>
      <c r="I337">
        <v>14.14662085</v>
      </c>
      <c r="J337">
        <v>0.59299999999999997</v>
      </c>
      <c r="K337">
        <f t="shared" si="5"/>
        <v>3</v>
      </c>
      <c r="N337">
        <v>3</v>
      </c>
      <c r="O337">
        <v>3</v>
      </c>
    </row>
    <row r="338" spans="1:15" x14ac:dyDescent="0.2">
      <c r="A338" t="s">
        <v>1703</v>
      </c>
      <c r="B338">
        <v>9003496100</v>
      </c>
      <c r="C338" t="s">
        <v>1704</v>
      </c>
      <c r="D338">
        <v>2691</v>
      </c>
      <c r="E338">
        <v>1.22144118</v>
      </c>
      <c r="F338">
        <v>2203.135151</v>
      </c>
      <c r="G338">
        <v>1</v>
      </c>
      <c r="H338">
        <v>734</v>
      </c>
      <c r="I338">
        <v>24.94901428</v>
      </c>
      <c r="J338">
        <v>0.81699999999999995</v>
      </c>
      <c r="K338">
        <f t="shared" si="5"/>
        <v>5</v>
      </c>
      <c r="N338">
        <v>4.5</v>
      </c>
      <c r="O338">
        <v>5</v>
      </c>
    </row>
    <row r="339" spans="1:15" x14ac:dyDescent="0.2">
      <c r="A339" t="s">
        <v>1705</v>
      </c>
      <c r="B339">
        <v>9003496200</v>
      </c>
      <c r="C339" t="s">
        <v>1706</v>
      </c>
      <c r="D339">
        <v>4592</v>
      </c>
      <c r="E339">
        <v>1.0602485420000001</v>
      </c>
      <c r="F339">
        <v>4331.0599540000003</v>
      </c>
      <c r="G339">
        <v>1</v>
      </c>
      <c r="H339">
        <v>1258</v>
      </c>
      <c r="I339">
        <v>26.90909091</v>
      </c>
      <c r="J339">
        <v>0.85</v>
      </c>
      <c r="K339">
        <f t="shared" si="5"/>
        <v>5</v>
      </c>
      <c r="N339">
        <v>4</v>
      </c>
      <c r="O339">
        <v>4</v>
      </c>
    </row>
    <row r="340" spans="1:15" x14ac:dyDescent="0.2">
      <c r="A340" t="s">
        <v>1707</v>
      </c>
      <c r="B340">
        <v>9003496300</v>
      </c>
      <c r="C340" t="s">
        <v>1708</v>
      </c>
      <c r="D340">
        <v>3565</v>
      </c>
      <c r="E340">
        <v>0.84199424899999997</v>
      </c>
      <c r="F340">
        <v>4233.9956670000001</v>
      </c>
      <c r="G340">
        <v>1</v>
      </c>
      <c r="H340">
        <v>438</v>
      </c>
      <c r="I340">
        <v>11.45098039</v>
      </c>
      <c r="J340">
        <v>0.49</v>
      </c>
      <c r="K340">
        <f t="shared" si="5"/>
        <v>3</v>
      </c>
      <c r="N340">
        <v>2.5</v>
      </c>
      <c r="O340">
        <v>3</v>
      </c>
    </row>
    <row r="341" spans="1:15" x14ac:dyDescent="0.2">
      <c r="A341" t="s">
        <v>1709</v>
      </c>
      <c r="B341">
        <v>9003496400</v>
      </c>
      <c r="C341" t="s">
        <v>1710</v>
      </c>
      <c r="D341">
        <v>2954</v>
      </c>
      <c r="E341">
        <v>1.103006269</v>
      </c>
      <c r="F341">
        <v>2678.1352780000002</v>
      </c>
      <c r="G341">
        <v>1</v>
      </c>
      <c r="H341">
        <v>272</v>
      </c>
      <c r="I341">
        <v>9.1706001350000008</v>
      </c>
      <c r="J341">
        <v>0.39500000000000002</v>
      </c>
      <c r="K341">
        <f t="shared" si="5"/>
        <v>2</v>
      </c>
      <c r="N341">
        <v>2</v>
      </c>
      <c r="O341">
        <v>2</v>
      </c>
    </row>
    <row r="342" spans="1:15" x14ac:dyDescent="0.2">
      <c r="A342" t="s">
        <v>1711</v>
      </c>
      <c r="B342">
        <v>9003496500</v>
      </c>
      <c r="C342" t="s">
        <v>1712</v>
      </c>
      <c r="D342">
        <v>2700</v>
      </c>
      <c r="E342">
        <v>0.52780437599999996</v>
      </c>
      <c r="F342">
        <v>5115.531669</v>
      </c>
      <c r="G342">
        <v>1</v>
      </c>
      <c r="H342">
        <v>285</v>
      </c>
      <c r="I342">
        <v>10.63036181</v>
      </c>
      <c r="J342">
        <v>0.45500000000000002</v>
      </c>
      <c r="K342">
        <f t="shared" si="5"/>
        <v>3</v>
      </c>
      <c r="N342">
        <v>2</v>
      </c>
      <c r="O342">
        <v>2</v>
      </c>
    </row>
    <row r="343" spans="1:15" x14ac:dyDescent="0.2">
      <c r="A343" t="s">
        <v>1713</v>
      </c>
      <c r="B343">
        <v>9003496600</v>
      </c>
      <c r="C343" t="s">
        <v>1714</v>
      </c>
      <c r="D343">
        <v>2741</v>
      </c>
      <c r="E343">
        <v>1.244646693</v>
      </c>
      <c r="F343">
        <v>2202.2313760000002</v>
      </c>
      <c r="G343">
        <v>1</v>
      </c>
      <c r="H343">
        <v>427</v>
      </c>
      <c r="I343">
        <v>15.70430305</v>
      </c>
      <c r="J343">
        <v>0.63</v>
      </c>
      <c r="K343">
        <f t="shared" si="5"/>
        <v>4</v>
      </c>
      <c r="N343">
        <v>2.5</v>
      </c>
      <c r="O343">
        <v>3</v>
      </c>
    </row>
    <row r="344" spans="1:15" x14ac:dyDescent="0.2">
      <c r="A344" t="s">
        <v>1715</v>
      </c>
      <c r="B344">
        <v>9003496700</v>
      </c>
      <c r="C344" t="s">
        <v>1716</v>
      </c>
      <c r="D344">
        <v>3979</v>
      </c>
      <c r="E344">
        <v>0.49899652</v>
      </c>
      <c r="F344">
        <v>7974.0034990000004</v>
      </c>
      <c r="G344">
        <v>1</v>
      </c>
      <c r="H344">
        <v>866</v>
      </c>
      <c r="I344">
        <v>24.928036850000002</v>
      </c>
      <c r="J344">
        <v>0.81699999999999995</v>
      </c>
      <c r="K344">
        <f t="shared" si="5"/>
        <v>5</v>
      </c>
      <c r="N344">
        <v>4.5</v>
      </c>
      <c r="O344">
        <v>5</v>
      </c>
    </row>
    <row r="345" spans="1:15" x14ac:dyDescent="0.2">
      <c r="A345" t="s">
        <v>1717</v>
      </c>
      <c r="B345">
        <v>9003496800</v>
      </c>
      <c r="C345" t="s">
        <v>1718</v>
      </c>
      <c r="D345">
        <v>3523</v>
      </c>
      <c r="E345">
        <v>0.53618086300000001</v>
      </c>
      <c r="F345">
        <v>6570.5440939999999</v>
      </c>
      <c r="G345">
        <v>1</v>
      </c>
      <c r="H345">
        <v>1042</v>
      </c>
      <c r="I345">
        <v>32.633886629999999</v>
      </c>
      <c r="J345">
        <v>0.91200000000000003</v>
      </c>
      <c r="K345">
        <f t="shared" si="5"/>
        <v>5</v>
      </c>
      <c r="N345">
        <v>4</v>
      </c>
      <c r="O345">
        <v>4</v>
      </c>
    </row>
    <row r="346" spans="1:15" x14ac:dyDescent="0.2">
      <c r="A346" t="s">
        <v>1719</v>
      </c>
      <c r="B346">
        <v>9003496900</v>
      </c>
      <c r="C346" t="s">
        <v>1720</v>
      </c>
      <c r="D346">
        <v>6332</v>
      </c>
      <c r="E346">
        <v>0.82732198000000001</v>
      </c>
      <c r="F346">
        <v>7653.6102680000004</v>
      </c>
      <c r="G346">
        <v>1</v>
      </c>
      <c r="H346">
        <v>646</v>
      </c>
      <c r="I346">
        <v>10.42776433</v>
      </c>
      <c r="J346">
        <v>0.44600000000000001</v>
      </c>
      <c r="K346">
        <f t="shared" si="5"/>
        <v>3</v>
      </c>
      <c r="N346">
        <v>3</v>
      </c>
      <c r="O346">
        <v>3</v>
      </c>
    </row>
    <row r="347" spans="1:15" x14ac:dyDescent="0.2">
      <c r="A347" t="s">
        <v>1721</v>
      </c>
      <c r="B347">
        <v>9003497000</v>
      </c>
      <c r="C347" t="s">
        <v>1722</v>
      </c>
      <c r="D347">
        <v>4342</v>
      </c>
      <c r="E347">
        <v>0.92950121799999996</v>
      </c>
      <c r="F347">
        <v>4671.3225510000002</v>
      </c>
      <c r="G347">
        <v>1</v>
      </c>
      <c r="H347">
        <v>261</v>
      </c>
      <c r="I347">
        <v>6.0528756960000001</v>
      </c>
      <c r="J347">
        <v>0.22</v>
      </c>
      <c r="K347">
        <f t="shared" si="5"/>
        <v>2</v>
      </c>
      <c r="N347">
        <v>1.5</v>
      </c>
      <c r="O347">
        <v>2</v>
      </c>
    </row>
    <row r="348" spans="1:15" x14ac:dyDescent="0.2">
      <c r="A348" t="s">
        <v>1723</v>
      </c>
      <c r="B348">
        <v>9003497100</v>
      </c>
      <c r="C348" t="s">
        <v>1724</v>
      </c>
      <c r="D348">
        <v>4070</v>
      </c>
      <c r="E348">
        <v>0.51762556400000004</v>
      </c>
      <c r="F348">
        <v>7862.8264920000001</v>
      </c>
      <c r="G348">
        <v>1</v>
      </c>
      <c r="H348">
        <v>354</v>
      </c>
      <c r="I348">
        <v>8.5838991270000005</v>
      </c>
      <c r="J348">
        <v>0.36499999999999999</v>
      </c>
      <c r="K348">
        <f t="shared" si="5"/>
        <v>2</v>
      </c>
      <c r="N348">
        <v>2.5</v>
      </c>
      <c r="O348">
        <v>3</v>
      </c>
    </row>
    <row r="349" spans="1:15" x14ac:dyDescent="0.2">
      <c r="A349" t="s">
        <v>1725</v>
      </c>
      <c r="B349">
        <v>9003497200</v>
      </c>
      <c r="C349" t="s">
        <v>1726</v>
      </c>
      <c r="D349">
        <v>2415</v>
      </c>
      <c r="E349">
        <v>0.69433410500000003</v>
      </c>
      <c r="F349">
        <v>3478.1526389999999</v>
      </c>
      <c r="G349">
        <v>1</v>
      </c>
      <c r="H349">
        <v>150</v>
      </c>
      <c r="I349">
        <v>6.7628494139999997</v>
      </c>
      <c r="J349">
        <v>0.253</v>
      </c>
      <c r="K349">
        <f t="shared" si="5"/>
        <v>2</v>
      </c>
      <c r="N349">
        <v>1.5</v>
      </c>
      <c r="O349">
        <v>2</v>
      </c>
    </row>
    <row r="350" spans="1:15" x14ac:dyDescent="0.2">
      <c r="A350" t="s">
        <v>1727</v>
      </c>
      <c r="B350">
        <v>9003497300</v>
      </c>
      <c r="C350" t="s">
        <v>1728</v>
      </c>
      <c r="D350">
        <v>5207</v>
      </c>
      <c r="E350">
        <v>2.0507789999999999</v>
      </c>
      <c r="F350">
        <v>2539.035167</v>
      </c>
      <c r="G350">
        <v>1</v>
      </c>
      <c r="H350">
        <v>853</v>
      </c>
      <c r="I350">
        <v>15.93796712</v>
      </c>
      <c r="J350">
        <v>0.63900000000000001</v>
      </c>
      <c r="K350">
        <f t="shared" si="5"/>
        <v>4</v>
      </c>
      <c r="N350">
        <v>2.5</v>
      </c>
      <c r="O350">
        <v>3</v>
      </c>
    </row>
    <row r="351" spans="1:15" x14ac:dyDescent="0.2">
      <c r="A351" t="s">
        <v>1729</v>
      </c>
      <c r="B351">
        <v>9003497400</v>
      </c>
      <c r="C351" t="s">
        <v>1730</v>
      </c>
      <c r="D351">
        <v>3834</v>
      </c>
      <c r="E351">
        <v>1.5662616970000001</v>
      </c>
      <c r="F351">
        <v>2447.8667949999999</v>
      </c>
      <c r="G351">
        <v>1</v>
      </c>
      <c r="H351">
        <v>306</v>
      </c>
      <c r="I351">
        <v>7.5462392109999996</v>
      </c>
      <c r="J351">
        <v>0.29199999999999998</v>
      </c>
      <c r="K351">
        <f t="shared" si="5"/>
        <v>2</v>
      </c>
      <c r="N351">
        <v>1.5</v>
      </c>
      <c r="O351">
        <v>2</v>
      </c>
    </row>
    <row r="352" spans="1:15" x14ac:dyDescent="0.2">
      <c r="A352" t="s">
        <v>1731</v>
      </c>
      <c r="B352">
        <v>9003497500</v>
      </c>
      <c r="C352" t="s">
        <v>1732</v>
      </c>
      <c r="D352">
        <v>3841</v>
      </c>
      <c r="E352">
        <v>1.4780562690000001</v>
      </c>
      <c r="F352">
        <v>2598.6832039999999</v>
      </c>
      <c r="G352">
        <v>1</v>
      </c>
      <c r="H352">
        <v>858</v>
      </c>
      <c r="I352">
        <v>23.66896552</v>
      </c>
      <c r="J352">
        <v>0.80400000000000005</v>
      </c>
      <c r="K352">
        <f t="shared" si="5"/>
        <v>5</v>
      </c>
      <c r="N352">
        <v>3.5</v>
      </c>
      <c r="O352">
        <v>4</v>
      </c>
    </row>
    <row r="353" spans="1:15" x14ac:dyDescent="0.2">
      <c r="A353" t="s">
        <v>1733</v>
      </c>
      <c r="B353">
        <v>9003497600</v>
      </c>
      <c r="C353" t="s">
        <v>1734</v>
      </c>
      <c r="D353">
        <v>2342</v>
      </c>
      <c r="E353">
        <v>0.69178042500000003</v>
      </c>
      <c r="F353">
        <v>3385.4672879999998</v>
      </c>
      <c r="G353">
        <v>1</v>
      </c>
      <c r="H353">
        <v>219</v>
      </c>
      <c r="I353">
        <v>9.8118279570000002</v>
      </c>
      <c r="J353">
        <v>0.41499999999999998</v>
      </c>
      <c r="K353">
        <f t="shared" si="5"/>
        <v>3</v>
      </c>
      <c r="N353">
        <v>2</v>
      </c>
      <c r="O353">
        <v>2</v>
      </c>
    </row>
    <row r="354" spans="1:15" x14ac:dyDescent="0.2">
      <c r="A354" t="s">
        <v>1735</v>
      </c>
      <c r="B354">
        <v>9003497700</v>
      </c>
      <c r="C354" t="s">
        <v>1736</v>
      </c>
      <c r="D354">
        <v>4140</v>
      </c>
      <c r="E354">
        <v>6.0470646969999997</v>
      </c>
      <c r="F354">
        <v>684.62968520000004</v>
      </c>
      <c r="G354">
        <v>1</v>
      </c>
      <c r="H354">
        <v>527</v>
      </c>
      <c r="I354">
        <v>11.776536309999999</v>
      </c>
      <c r="J354">
        <v>0.503</v>
      </c>
      <c r="K354">
        <f t="shared" si="5"/>
        <v>3</v>
      </c>
      <c r="N354">
        <v>2</v>
      </c>
      <c r="O354">
        <v>2</v>
      </c>
    </row>
    <row r="355" spans="1:15" x14ac:dyDescent="0.2">
      <c r="A355" t="s">
        <v>1737</v>
      </c>
      <c r="B355">
        <v>9003500100</v>
      </c>
      <c r="C355" t="s">
        <v>1738</v>
      </c>
      <c r="D355">
        <v>4099</v>
      </c>
      <c r="E355">
        <v>0.155808058</v>
      </c>
      <c r="F355">
        <v>26308.01037</v>
      </c>
      <c r="G355">
        <v>1</v>
      </c>
      <c r="H355">
        <v>2069</v>
      </c>
      <c r="I355">
        <v>52.753697090000003</v>
      </c>
      <c r="J355">
        <v>0.99299999999999999</v>
      </c>
      <c r="K355">
        <f t="shared" si="5"/>
        <v>5</v>
      </c>
      <c r="N355">
        <v>5</v>
      </c>
      <c r="O355">
        <v>5</v>
      </c>
    </row>
    <row r="356" spans="1:15" x14ac:dyDescent="0.2">
      <c r="A356" t="s">
        <v>1739</v>
      </c>
      <c r="B356">
        <v>9003500200</v>
      </c>
      <c r="C356" t="s">
        <v>1740</v>
      </c>
      <c r="D356">
        <v>2335</v>
      </c>
      <c r="E356">
        <v>0.15034702899999999</v>
      </c>
      <c r="F356">
        <v>15530.735930000001</v>
      </c>
      <c r="G356">
        <v>1</v>
      </c>
      <c r="H356">
        <v>1210</v>
      </c>
      <c r="I356">
        <v>51.206093950000003</v>
      </c>
      <c r="J356">
        <v>0.99299999999999999</v>
      </c>
      <c r="K356">
        <f t="shared" si="5"/>
        <v>5</v>
      </c>
      <c r="N356">
        <v>5</v>
      </c>
      <c r="O356">
        <v>5</v>
      </c>
    </row>
    <row r="357" spans="1:15" x14ac:dyDescent="0.2">
      <c r="A357" t="s">
        <v>1741</v>
      </c>
      <c r="B357">
        <v>9003500300</v>
      </c>
      <c r="C357" t="s">
        <v>1742</v>
      </c>
      <c r="D357">
        <v>2343</v>
      </c>
      <c r="E357">
        <v>0.20521948400000001</v>
      </c>
      <c r="F357">
        <v>11417.044610000001</v>
      </c>
      <c r="G357">
        <v>1</v>
      </c>
      <c r="H357">
        <v>737</v>
      </c>
      <c r="I357">
        <v>31.960104080000001</v>
      </c>
      <c r="J357">
        <v>0.90800000000000003</v>
      </c>
      <c r="K357">
        <f t="shared" si="5"/>
        <v>5</v>
      </c>
      <c r="N357">
        <v>5</v>
      </c>
      <c r="O357">
        <v>5</v>
      </c>
    </row>
    <row r="358" spans="1:15" x14ac:dyDescent="0.2">
      <c r="A358" t="s">
        <v>1743</v>
      </c>
      <c r="B358">
        <v>9003500400</v>
      </c>
      <c r="C358" t="s">
        <v>1744</v>
      </c>
      <c r="D358">
        <v>1687</v>
      </c>
      <c r="E358">
        <v>0.36630246900000002</v>
      </c>
      <c r="F358">
        <v>4605.4835579999999</v>
      </c>
      <c r="G358">
        <v>1</v>
      </c>
      <c r="H358">
        <v>756</v>
      </c>
      <c r="I358">
        <v>45</v>
      </c>
      <c r="J358">
        <v>0.98199999999999998</v>
      </c>
      <c r="K358">
        <f t="shared" si="5"/>
        <v>5</v>
      </c>
      <c r="N358">
        <v>5</v>
      </c>
      <c r="O358">
        <v>5</v>
      </c>
    </row>
    <row r="359" spans="1:15" x14ac:dyDescent="0.2">
      <c r="A359" t="s">
        <v>1745</v>
      </c>
      <c r="B359">
        <v>9003500500</v>
      </c>
      <c r="C359" t="s">
        <v>1746</v>
      </c>
      <c r="D359">
        <v>1477</v>
      </c>
      <c r="E359">
        <v>0.109122127</v>
      </c>
      <c r="F359">
        <v>13535.29333</v>
      </c>
      <c r="G359">
        <v>1</v>
      </c>
      <c r="H359">
        <v>687</v>
      </c>
      <c r="I359">
        <v>47.087045920000001</v>
      </c>
      <c r="J359">
        <v>0.98899999999999999</v>
      </c>
      <c r="K359">
        <f t="shared" si="5"/>
        <v>5</v>
      </c>
      <c r="N359">
        <v>5</v>
      </c>
      <c r="O359">
        <v>5</v>
      </c>
    </row>
    <row r="360" spans="1:15" x14ac:dyDescent="0.2">
      <c r="A360" t="s">
        <v>1747</v>
      </c>
      <c r="B360">
        <v>9003500900</v>
      </c>
      <c r="C360" t="s">
        <v>1748</v>
      </c>
      <c r="D360">
        <v>2124</v>
      </c>
      <c r="E360">
        <v>0.19459163500000001</v>
      </c>
      <c r="F360">
        <v>10915.165999999999</v>
      </c>
      <c r="G360">
        <v>1</v>
      </c>
      <c r="H360">
        <v>831</v>
      </c>
      <c r="I360">
        <v>39.439962029999997</v>
      </c>
      <c r="J360">
        <v>0.96499999999999997</v>
      </c>
      <c r="K360">
        <f t="shared" si="5"/>
        <v>5</v>
      </c>
      <c r="N360">
        <v>5</v>
      </c>
      <c r="O360">
        <v>5</v>
      </c>
    </row>
    <row r="361" spans="1:15" x14ac:dyDescent="0.2">
      <c r="A361" t="s">
        <v>1749</v>
      </c>
      <c r="B361">
        <v>9003501200</v>
      </c>
      <c r="C361" t="s">
        <v>1750</v>
      </c>
      <c r="D361">
        <v>2369</v>
      </c>
      <c r="E361">
        <v>0.28261636699999998</v>
      </c>
      <c r="F361">
        <v>8382.3878370000002</v>
      </c>
      <c r="G361">
        <v>1</v>
      </c>
      <c r="H361">
        <v>454</v>
      </c>
      <c r="I361">
        <v>15.93541594</v>
      </c>
      <c r="J361">
        <v>0.64700000000000002</v>
      </c>
      <c r="K361">
        <f t="shared" si="5"/>
        <v>4</v>
      </c>
      <c r="N361">
        <v>4.5</v>
      </c>
      <c r="O361">
        <v>5</v>
      </c>
    </row>
    <row r="362" spans="1:15" x14ac:dyDescent="0.2">
      <c r="A362" t="s">
        <v>1751</v>
      </c>
      <c r="B362">
        <v>9003501300</v>
      </c>
      <c r="C362" t="s">
        <v>1752</v>
      </c>
      <c r="D362">
        <v>1735</v>
      </c>
      <c r="E362">
        <v>0.101255681</v>
      </c>
      <c r="F362">
        <v>17134.840970000001</v>
      </c>
      <c r="G362">
        <v>1</v>
      </c>
      <c r="H362">
        <v>340</v>
      </c>
      <c r="I362">
        <v>19.48424069</v>
      </c>
      <c r="J362">
        <v>0.73899999999999999</v>
      </c>
      <c r="K362">
        <f t="shared" si="5"/>
        <v>4</v>
      </c>
      <c r="N362">
        <v>4.5</v>
      </c>
      <c r="O362">
        <v>5</v>
      </c>
    </row>
    <row r="363" spans="1:15" x14ac:dyDescent="0.2">
      <c r="A363" t="s">
        <v>1753</v>
      </c>
      <c r="B363">
        <v>9003501400</v>
      </c>
      <c r="C363" t="s">
        <v>1754</v>
      </c>
      <c r="D363">
        <v>2641</v>
      </c>
      <c r="E363">
        <v>0.142857805</v>
      </c>
      <c r="F363">
        <v>18486.914349999999</v>
      </c>
      <c r="G363">
        <v>1</v>
      </c>
      <c r="H363">
        <v>397</v>
      </c>
      <c r="I363">
        <v>15.25749424</v>
      </c>
      <c r="J363">
        <v>0.63200000000000001</v>
      </c>
      <c r="K363">
        <f t="shared" si="5"/>
        <v>4</v>
      </c>
      <c r="N363">
        <v>4.5</v>
      </c>
      <c r="O363">
        <v>5</v>
      </c>
    </row>
    <row r="364" spans="1:15" x14ac:dyDescent="0.2">
      <c r="A364" t="s">
        <v>1755</v>
      </c>
      <c r="B364">
        <v>9003501500</v>
      </c>
      <c r="C364" t="s">
        <v>1756</v>
      </c>
      <c r="D364">
        <v>3550</v>
      </c>
      <c r="E364">
        <v>0.69100281500000005</v>
      </c>
      <c r="F364">
        <v>5137.4609780000001</v>
      </c>
      <c r="G364">
        <v>1</v>
      </c>
      <c r="H364">
        <v>383</v>
      </c>
      <c r="I364">
        <v>12.275641029999999</v>
      </c>
      <c r="J364">
        <v>0.53600000000000003</v>
      </c>
      <c r="K364">
        <f t="shared" si="5"/>
        <v>3</v>
      </c>
      <c r="N364">
        <v>4</v>
      </c>
      <c r="O364">
        <v>4</v>
      </c>
    </row>
    <row r="365" spans="1:15" x14ac:dyDescent="0.2">
      <c r="A365" t="s">
        <v>1757</v>
      </c>
      <c r="B365">
        <v>9003501700</v>
      </c>
      <c r="C365" t="s">
        <v>1758</v>
      </c>
      <c r="D365">
        <v>1318</v>
      </c>
      <c r="E365">
        <v>0.114904007</v>
      </c>
      <c r="F365">
        <v>11470.444170000001</v>
      </c>
      <c r="G365">
        <v>1</v>
      </c>
      <c r="H365">
        <v>558</v>
      </c>
      <c r="I365">
        <v>32.404181180000002</v>
      </c>
      <c r="J365">
        <v>0.91900000000000004</v>
      </c>
      <c r="K365">
        <f t="shared" si="5"/>
        <v>5</v>
      </c>
      <c r="N365">
        <v>5</v>
      </c>
      <c r="O365">
        <v>5</v>
      </c>
    </row>
    <row r="366" spans="1:15" x14ac:dyDescent="0.2">
      <c r="A366" t="s">
        <v>1759</v>
      </c>
      <c r="B366">
        <v>9003501800</v>
      </c>
      <c r="C366" t="s">
        <v>1760</v>
      </c>
      <c r="D366">
        <v>2863</v>
      </c>
      <c r="E366">
        <v>0.198044161</v>
      </c>
      <c r="F366">
        <v>14456.37169</v>
      </c>
      <c r="G366">
        <v>1</v>
      </c>
      <c r="H366">
        <v>1160</v>
      </c>
      <c r="I366">
        <v>38.423318979999998</v>
      </c>
      <c r="J366">
        <v>0.96499999999999997</v>
      </c>
      <c r="K366">
        <f t="shared" si="5"/>
        <v>5</v>
      </c>
      <c r="N366">
        <v>5</v>
      </c>
      <c r="O366">
        <v>5</v>
      </c>
    </row>
    <row r="367" spans="1:15" x14ac:dyDescent="0.2">
      <c r="A367" t="s">
        <v>1761</v>
      </c>
      <c r="B367">
        <v>9003502100</v>
      </c>
      <c r="C367" t="s">
        <v>1762</v>
      </c>
      <c r="D367">
        <v>1852</v>
      </c>
      <c r="E367">
        <v>0.88824233900000005</v>
      </c>
      <c r="F367">
        <v>2085.0165750000001</v>
      </c>
      <c r="G367">
        <v>1</v>
      </c>
      <c r="H367">
        <v>609</v>
      </c>
      <c r="I367">
        <v>25.343320850000001</v>
      </c>
      <c r="J367">
        <v>0.84</v>
      </c>
      <c r="K367">
        <f t="shared" si="5"/>
        <v>5</v>
      </c>
      <c r="N367">
        <v>4</v>
      </c>
      <c r="O367">
        <v>4</v>
      </c>
    </row>
    <row r="368" spans="1:15" x14ac:dyDescent="0.2">
      <c r="A368" t="s">
        <v>1763</v>
      </c>
      <c r="B368">
        <v>9003502300</v>
      </c>
      <c r="C368" t="s">
        <v>1764</v>
      </c>
      <c r="D368">
        <v>5998</v>
      </c>
      <c r="E368">
        <v>0.66644826199999996</v>
      </c>
      <c r="F368">
        <v>8999.9484520000005</v>
      </c>
      <c r="G368">
        <v>1</v>
      </c>
      <c r="H368">
        <v>2638</v>
      </c>
      <c r="I368">
        <v>44.20982068</v>
      </c>
      <c r="J368">
        <v>0.98399999999999999</v>
      </c>
      <c r="K368">
        <f t="shared" si="5"/>
        <v>5</v>
      </c>
      <c r="N368">
        <v>5</v>
      </c>
      <c r="O368">
        <v>5</v>
      </c>
    </row>
    <row r="369" spans="1:15" x14ac:dyDescent="0.2">
      <c r="A369" t="s">
        <v>1765</v>
      </c>
      <c r="B369">
        <v>9003502400</v>
      </c>
      <c r="C369" t="s">
        <v>1766</v>
      </c>
      <c r="D369">
        <v>6055</v>
      </c>
      <c r="E369">
        <v>0.28303644700000002</v>
      </c>
      <c r="F369">
        <v>21393.00459</v>
      </c>
      <c r="G369">
        <v>1</v>
      </c>
      <c r="H369">
        <v>3500</v>
      </c>
      <c r="I369">
        <v>56.753688990000001</v>
      </c>
      <c r="J369">
        <v>0.997</v>
      </c>
      <c r="K369">
        <f t="shared" si="5"/>
        <v>5</v>
      </c>
      <c r="N369">
        <v>5</v>
      </c>
      <c r="O369">
        <v>5</v>
      </c>
    </row>
    <row r="370" spans="1:15" x14ac:dyDescent="0.2">
      <c r="A370" t="s">
        <v>1767</v>
      </c>
      <c r="B370">
        <v>9003502500</v>
      </c>
      <c r="C370" t="s">
        <v>1768</v>
      </c>
      <c r="D370">
        <v>1828</v>
      </c>
      <c r="E370">
        <v>2.0907776409999999</v>
      </c>
      <c r="F370">
        <v>874.31583560000001</v>
      </c>
      <c r="G370">
        <v>1</v>
      </c>
      <c r="H370">
        <v>993</v>
      </c>
      <c r="I370">
        <v>46.100278549999999</v>
      </c>
      <c r="J370">
        <v>0.98899999999999999</v>
      </c>
      <c r="K370">
        <f t="shared" si="5"/>
        <v>5</v>
      </c>
      <c r="N370">
        <v>5</v>
      </c>
      <c r="O370">
        <v>5</v>
      </c>
    </row>
    <row r="371" spans="1:15" x14ac:dyDescent="0.2">
      <c r="A371" t="s">
        <v>1769</v>
      </c>
      <c r="B371">
        <v>9003502600</v>
      </c>
      <c r="C371" t="s">
        <v>1770</v>
      </c>
      <c r="D371">
        <v>3838</v>
      </c>
      <c r="E371">
        <v>0.21110638400000001</v>
      </c>
      <c r="F371">
        <v>18180.40713</v>
      </c>
      <c r="G371">
        <v>1</v>
      </c>
      <c r="H371">
        <v>2061</v>
      </c>
      <c r="I371">
        <v>50.951792339999997</v>
      </c>
      <c r="J371">
        <v>0.995</v>
      </c>
      <c r="K371">
        <f t="shared" si="5"/>
        <v>5</v>
      </c>
      <c r="N371">
        <v>5</v>
      </c>
      <c r="O371">
        <v>5</v>
      </c>
    </row>
    <row r="372" spans="1:15" x14ac:dyDescent="0.2">
      <c r="A372" t="s">
        <v>1771</v>
      </c>
      <c r="B372">
        <v>9003502700</v>
      </c>
      <c r="C372" t="s">
        <v>1772</v>
      </c>
      <c r="D372">
        <v>5240</v>
      </c>
      <c r="E372">
        <v>0.34860702100000002</v>
      </c>
      <c r="F372">
        <v>15031.25207</v>
      </c>
      <c r="G372">
        <v>1</v>
      </c>
      <c r="H372">
        <v>1445</v>
      </c>
      <c r="I372">
        <v>29.12132205</v>
      </c>
      <c r="J372">
        <v>0.88900000000000001</v>
      </c>
      <c r="K372">
        <f t="shared" si="5"/>
        <v>5</v>
      </c>
      <c r="N372">
        <v>5</v>
      </c>
      <c r="O372">
        <v>5</v>
      </c>
    </row>
    <row r="373" spans="1:15" x14ac:dyDescent="0.2">
      <c r="A373" t="s">
        <v>1773</v>
      </c>
      <c r="B373">
        <v>9003502800</v>
      </c>
      <c r="C373" t="s">
        <v>1774</v>
      </c>
      <c r="D373">
        <v>3283</v>
      </c>
      <c r="E373">
        <v>0.17989620000000001</v>
      </c>
      <c r="F373">
        <v>18249.412690000001</v>
      </c>
      <c r="G373">
        <v>1</v>
      </c>
      <c r="H373">
        <v>1173</v>
      </c>
      <c r="I373">
        <v>41.507430999999997</v>
      </c>
      <c r="J373">
        <v>0.98599999999999999</v>
      </c>
      <c r="K373">
        <f t="shared" si="5"/>
        <v>5</v>
      </c>
      <c r="N373">
        <v>5</v>
      </c>
      <c r="O373">
        <v>5</v>
      </c>
    </row>
    <row r="374" spans="1:15" x14ac:dyDescent="0.2">
      <c r="A374" t="s">
        <v>1775</v>
      </c>
      <c r="B374">
        <v>9003502900</v>
      </c>
      <c r="C374" t="s">
        <v>1776</v>
      </c>
      <c r="D374">
        <v>2938</v>
      </c>
      <c r="E374">
        <v>0.296082067</v>
      </c>
      <c r="F374">
        <v>9922.9245179999998</v>
      </c>
      <c r="G374">
        <v>1</v>
      </c>
      <c r="H374">
        <v>1408</v>
      </c>
      <c r="I374">
        <v>46.209386279999997</v>
      </c>
      <c r="J374">
        <v>0.99299999999999999</v>
      </c>
      <c r="K374">
        <f t="shared" si="5"/>
        <v>5</v>
      </c>
      <c r="N374">
        <v>5</v>
      </c>
      <c r="O374">
        <v>5</v>
      </c>
    </row>
    <row r="375" spans="1:15" x14ac:dyDescent="0.2">
      <c r="A375" t="s">
        <v>1777</v>
      </c>
      <c r="B375">
        <v>9003503000</v>
      </c>
      <c r="C375" t="s">
        <v>1778</v>
      </c>
      <c r="D375">
        <v>3255</v>
      </c>
      <c r="E375">
        <v>0.16433242200000001</v>
      </c>
      <c r="F375">
        <v>19807.412120000001</v>
      </c>
      <c r="G375">
        <v>1</v>
      </c>
      <c r="H375">
        <v>904</v>
      </c>
      <c r="I375">
        <v>31.741573030000001</v>
      </c>
      <c r="J375">
        <v>0.92900000000000005</v>
      </c>
      <c r="K375">
        <f t="shared" si="5"/>
        <v>5</v>
      </c>
      <c r="N375">
        <v>5</v>
      </c>
      <c r="O375">
        <v>5</v>
      </c>
    </row>
    <row r="376" spans="1:15" x14ac:dyDescent="0.2">
      <c r="A376" t="s">
        <v>1779</v>
      </c>
      <c r="B376">
        <v>9003503100</v>
      </c>
      <c r="C376" t="s">
        <v>1780</v>
      </c>
      <c r="D376">
        <v>4478</v>
      </c>
      <c r="E376">
        <v>0.27098156400000001</v>
      </c>
      <c r="F376">
        <v>16525.109410000001</v>
      </c>
      <c r="G376">
        <v>1</v>
      </c>
      <c r="H376">
        <v>1315</v>
      </c>
      <c r="I376">
        <v>31.663857449999998</v>
      </c>
      <c r="J376">
        <v>0.92800000000000005</v>
      </c>
      <c r="K376">
        <f t="shared" si="5"/>
        <v>5</v>
      </c>
      <c r="N376">
        <v>5</v>
      </c>
      <c r="O376">
        <v>5</v>
      </c>
    </row>
    <row r="377" spans="1:15" x14ac:dyDescent="0.2">
      <c r="A377" t="s">
        <v>1781</v>
      </c>
      <c r="B377">
        <v>9003503300</v>
      </c>
      <c r="C377" t="s">
        <v>1782</v>
      </c>
      <c r="D377">
        <v>2390</v>
      </c>
      <c r="E377">
        <v>0.106136013</v>
      </c>
      <c r="F377">
        <v>22518.275679999999</v>
      </c>
      <c r="G377">
        <v>1</v>
      </c>
      <c r="H377">
        <v>846</v>
      </c>
      <c r="I377">
        <v>30.010642069999999</v>
      </c>
      <c r="J377">
        <v>0.91</v>
      </c>
      <c r="K377">
        <f t="shared" si="5"/>
        <v>5</v>
      </c>
      <c r="N377">
        <v>5</v>
      </c>
      <c r="O377">
        <v>5</v>
      </c>
    </row>
    <row r="378" spans="1:15" x14ac:dyDescent="0.2">
      <c r="A378" t="s">
        <v>1783</v>
      </c>
      <c r="B378">
        <v>9003503500</v>
      </c>
      <c r="C378" t="s">
        <v>1784</v>
      </c>
      <c r="D378">
        <v>1622</v>
      </c>
      <c r="E378">
        <v>8.6270669999999994E-2</v>
      </c>
      <c r="F378">
        <v>18801.29134</v>
      </c>
      <c r="G378">
        <v>1</v>
      </c>
      <c r="H378">
        <v>279</v>
      </c>
      <c r="I378">
        <v>17.714285709999999</v>
      </c>
      <c r="J378">
        <v>0.72499999999999998</v>
      </c>
      <c r="K378">
        <f t="shared" si="5"/>
        <v>4</v>
      </c>
      <c r="N378">
        <v>4.5</v>
      </c>
      <c r="O378">
        <v>5</v>
      </c>
    </row>
    <row r="379" spans="1:15" x14ac:dyDescent="0.2">
      <c r="A379" t="s">
        <v>1785</v>
      </c>
      <c r="B379">
        <v>9003503700</v>
      </c>
      <c r="C379" t="s">
        <v>1786</v>
      </c>
      <c r="D379">
        <v>2651</v>
      </c>
      <c r="E379">
        <v>0.23441382699999999</v>
      </c>
      <c r="F379">
        <v>11309.05983</v>
      </c>
      <c r="G379">
        <v>1</v>
      </c>
      <c r="H379">
        <v>158</v>
      </c>
      <c r="I379">
        <v>6.6191872639999998</v>
      </c>
      <c r="J379">
        <v>0.26600000000000001</v>
      </c>
      <c r="K379">
        <f t="shared" si="5"/>
        <v>2</v>
      </c>
      <c r="N379">
        <v>3.5</v>
      </c>
      <c r="O379">
        <v>4</v>
      </c>
    </row>
    <row r="380" spans="1:15" x14ac:dyDescent="0.2">
      <c r="A380" t="s">
        <v>1787</v>
      </c>
      <c r="B380">
        <v>9003503800</v>
      </c>
      <c r="C380" t="s">
        <v>1788</v>
      </c>
      <c r="D380">
        <v>3508</v>
      </c>
      <c r="E380">
        <v>0.71547281299999999</v>
      </c>
      <c r="F380">
        <v>4903.0514320000002</v>
      </c>
      <c r="G380">
        <v>1</v>
      </c>
      <c r="H380">
        <v>367</v>
      </c>
      <c r="I380">
        <v>13.27305606</v>
      </c>
      <c r="J380">
        <v>0.6</v>
      </c>
      <c r="K380">
        <f t="shared" si="5"/>
        <v>4</v>
      </c>
      <c r="N380">
        <v>4</v>
      </c>
      <c r="O380">
        <v>4</v>
      </c>
    </row>
    <row r="381" spans="1:15" x14ac:dyDescent="0.2">
      <c r="A381" t="s">
        <v>1789</v>
      </c>
      <c r="B381">
        <v>9003503900</v>
      </c>
      <c r="C381" t="s">
        <v>1790</v>
      </c>
      <c r="D381">
        <v>5203</v>
      </c>
      <c r="E381">
        <v>0.69281904000000005</v>
      </c>
      <c r="F381">
        <v>7509.8975330000003</v>
      </c>
      <c r="G381">
        <v>1</v>
      </c>
      <c r="H381">
        <v>348</v>
      </c>
      <c r="I381">
        <v>7.278811964</v>
      </c>
      <c r="J381">
        <v>0.29599999999999999</v>
      </c>
      <c r="K381">
        <f t="shared" si="5"/>
        <v>2</v>
      </c>
      <c r="N381">
        <v>3.5</v>
      </c>
      <c r="O381">
        <v>4</v>
      </c>
    </row>
    <row r="382" spans="1:15" x14ac:dyDescent="0.2">
      <c r="A382" t="s">
        <v>1791</v>
      </c>
      <c r="B382">
        <v>9003504000</v>
      </c>
      <c r="C382" t="s">
        <v>1792</v>
      </c>
      <c r="D382">
        <v>3413</v>
      </c>
      <c r="E382">
        <v>0.35855108200000002</v>
      </c>
      <c r="F382">
        <v>9518.8668240000006</v>
      </c>
      <c r="G382">
        <v>1</v>
      </c>
      <c r="H382">
        <v>127</v>
      </c>
      <c r="I382">
        <v>4.007573367</v>
      </c>
      <c r="J382">
        <v>0.128</v>
      </c>
      <c r="K382">
        <f t="shared" si="5"/>
        <v>1</v>
      </c>
      <c r="N382">
        <v>2.5</v>
      </c>
      <c r="O382">
        <v>3</v>
      </c>
    </row>
    <row r="383" spans="1:15" x14ac:dyDescent="0.2">
      <c r="A383" t="s">
        <v>1793</v>
      </c>
      <c r="B383">
        <v>9003504100</v>
      </c>
      <c r="C383" t="s">
        <v>1794</v>
      </c>
      <c r="D383">
        <v>1855</v>
      </c>
      <c r="E383">
        <v>0.125195947</v>
      </c>
      <c r="F383">
        <v>14816.7736</v>
      </c>
      <c r="G383">
        <v>1</v>
      </c>
      <c r="H383">
        <v>578</v>
      </c>
      <c r="I383">
        <v>32.022160659999997</v>
      </c>
      <c r="J383">
        <v>0.93200000000000005</v>
      </c>
      <c r="K383">
        <f t="shared" si="5"/>
        <v>5</v>
      </c>
      <c r="N383">
        <v>5</v>
      </c>
      <c r="O383">
        <v>5</v>
      </c>
    </row>
    <row r="384" spans="1:15" x14ac:dyDescent="0.2">
      <c r="A384" t="s">
        <v>1795</v>
      </c>
      <c r="B384">
        <v>9003504200</v>
      </c>
      <c r="C384" t="s">
        <v>1796</v>
      </c>
      <c r="D384">
        <v>5123</v>
      </c>
      <c r="E384">
        <v>0.45103259200000001</v>
      </c>
      <c r="F384">
        <v>11358.38096</v>
      </c>
      <c r="G384">
        <v>1</v>
      </c>
      <c r="H384">
        <v>1827</v>
      </c>
      <c r="I384">
        <v>36.214073339999999</v>
      </c>
      <c r="J384">
        <v>0.96099999999999997</v>
      </c>
      <c r="K384">
        <f t="shared" si="5"/>
        <v>5</v>
      </c>
      <c r="N384">
        <v>5</v>
      </c>
      <c r="O384">
        <v>5</v>
      </c>
    </row>
    <row r="385" spans="1:15" x14ac:dyDescent="0.2">
      <c r="A385" t="s">
        <v>1797</v>
      </c>
      <c r="B385">
        <v>9003504300</v>
      </c>
      <c r="C385" t="s">
        <v>1798</v>
      </c>
      <c r="D385">
        <v>2946</v>
      </c>
      <c r="E385">
        <v>0.31312886400000001</v>
      </c>
      <c r="F385">
        <v>9408.2671370000007</v>
      </c>
      <c r="G385">
        <v>1</v>
      </c>
      <c r="H385">
        <v>1214</v>
      </c>
      <c r="I385">
        <v>40.013183920000003</v>
      </c>
      <c r="J385">
        <v>0.98099999999999998</v>
      </c>
      <c r="K385">
        <f t="shared" si="5"/>
        <v>5</v>
      </c>
      <c r="N385">
        <v>5</v>
      </c>
      <c r="O385">
        <v>5</v>
      </c>
    </row>
    <row r="386" spans="1:15" x14ac:dyDescent="0.2">
      <c r="A386" t="s">
        <v>1799</v>
      </c>
      <c r="B386">
        <v>9003504500</v>
      </c>
      <c r="C386" t="s">
        <v>1800</v>
      </c>
      <c r="D386">
        <v>3701</v>
      </c>
      <c r="E386">
        <v>0.34253942500000001</v>
      </c>
      <c r="F386">
        <v>10804.59571</v>
      </c>
      <c r="G386">
        <v>1</v>
      </c>
      <c r="H386">
        <v>1318</v>
      </c>
      <c r="I386">
        <v>40.26886648</v>
      </c>
      <c r="J386">
        <v>0.98399999999999999</v>
      </c>
      <c r="K386">
        <f t="shared" si="5"/>
        <v>5</v>
      </c>
      <c r="N386">
        <v>5</v>
      </c>
      <c r="O386">
        <v>5</v>
      </c>
    </row>
    <row r="387" spans="1:15" x14ac:dyDescent="0.2">
      <c r="A387" t="s">
        <v>1801</v>
      </c>
      <c r="B387">
        <v>9003504800</v>
      </c>
      <c r="C387" t="s">
        <v>1802</v>
      </c>
      <c r="D387">
        <v>4560</v>
      </c>
      <c r="E387">
        <v>0.57594822800000001</v>
      </c>
      <c r="F387">
        <v>7917.3782920000003</v>
      </c>
      <c r="G387">
        <v>1</v>
      </c>
      <c r="H387">
        <v>2012</v>
      </c>
      <c r="I387">
        <v>40.605449040000003</v>
      </c>
      <c r="J387">
        <v>0.98599999999999999</v>
      </c>
      <c r="K387">
        <f t="shared" ref="K387:K450" si="6">IF(J387&lt;0.2,1,IF(J387&lt;0.4,2,IF(J387&lt;0.6,3,IF(J387&lt;0.8,4,5))))</f>
        <v>5</v>
      </c>
      <c r="N387">
        <v>5</v>
      </c>
      <c r="O387">
        <v>5</v>
      </c>
    </row>
    <row r="388" spans="1:15" x14ac:dyDescent="0.2">
      <c r="A388" t="s">
        <v>1803</v>
      </c>
      <c r="B388">
        <v>9003504900</v>
      </c>
      <c r="C388" t="s">
        <v>1804</v>
      </c>
      <c r="D388">
        <v>4548</v>
      </c>
      <c r="E388">
        <v>0.60123521800000002</v>
      </c>
      <c r="F388">
        <v>7564.427138</v>
      </c>
      <c r="G388">
        <v>1</v>
      </c>
      <c r="H388">
        <v>1712</v>
      </c>
      <c r="I388">
        <v>36.55776212</v>
      </c>
      <c r="J388">
        <v>0.97199999999999998</v>
      </c>
      <c r="K388">
        <f t="shared" si="6"/>
        <v>5</v>
      </c>
      <c r="N388">
        <v>5</v>
      </c>
      <c r="O388">
        <v>5</v>
      </c>
    </row>
    <row r="389" spans="1:15" x14ac:dyDescent="0.2">
      <c r="A389" t="s">
        <v>1805</v>
      </c>
      <c r="B389">
        <v>9003510100</v>
      </c>
      <c r="C389" t="s">
        <v>1806</v>
      </c>
      <c r="D389">
        <v>2232</v>
      </c>
      <c r="E389">
        <v>1.253199629</v>
      </c>
      <c r="F389">
        <v>1781.041064</v>
      </c>
      <c r="G389">
        <v>1</v>
      </c>
      <c r="H389">
        <v>259</v>
      </c>
      <c r="I389">
        <v>13.46853874</v>
      </c>
      <c r="J389">
        <v>0.61699999999999999</v>
      </c>
      <c r="K389">
        <f t="shared" si="6"/>
        <v>4</v>
      </c>
      <c r="N389">
        <v>4.5</v>
      </c>
      <c r="O389">
        <v>5</v>
      </c>
    </row>
    <row r="390" spans="1:15" x14ac:dyDescent="0.2">
      <c r="A390" t="s">
        <v>1807</v>
      </c>
      <c r="B390">
        <v>9003510200</v>
      </c>
      <c r="C390" t="s">
        <v>1808</v>
      </c>
      <c r="D390">
        <v>2502</v>
      </c>
      <c r="E390">
        <v>1.1213156200000001</v>
      </c>
      <c r="F390">
        <v>2231.307542</v>
      </c>
      <c r="G390">
        <v>1</v>
      </c>
      <c r="H390">
        <v>711</v>
      </c>
      <c r="I390">
        <v>27.356675639999999</v>
      </c>
      <c r="J390">
        <v>0.90100000000000002</v>
      </c>
      <c r="K390">
        <f t="shared" si="6"/>
        <v>5</v>
      </c>
      <c r="N390">
        <v>5</v>
      </c>
      <c r="O390">
        <v>5</v>
      </c>
    </row>
    <row r="391" spans="1:15" x14ac:dyDescent="0.2">
      <c r="A391" t="s">
        <v>1809</v>
      </c>
      <c r="B391">
        <v>9003510300</v>
      </c>
      <c r="C391" t="s">
        <v>1810</v>
      </c>
      <c r="D391">
        <v>4310</v>
      </c>
      <c r="E391">
        <v>0.92202589400000001</v>
      </c>
      <c r="F391">
        <v>4674.4891120000002</v>
      </c>
      <c r="G391">
        <v>1</v>
      </c>
      <c r="H391">
        <v>585</v>
      </c>
      <c r="I391">
        <v>14.17494548</v>
      </c>
      <c r="J391">
        <v>0.63400000000000001</v>
      </c>
      <c r="K391">
        <f t="shared" si="6"/>
        <v>4</v>
      </c>
      <c r="N391">
        <v>4.5</v>
      </c>
      <c r="O391">
        <v>5</v>
      </c>
    </row>
    <row r="392" spans="1:15" x14ac:dyDescent="0.2">
      <c r="A392" t="s">
        <v>1811</v>
      </c>
      <c r="B392">
        <v>9003510400</v>
      </c>
      <c r="C392" t="s">
        <v>1812</v>
      </c>
      <c r="D392">
        <v>5659</v>
      </c>
      <c r="E392">
        <v>1.0436731749999999</v>
      </c>
      <c r="F392">
        <v>5422.1955049999997</v>
      </c>
      <c r="G392">
        <v>1</v>
      </c>
      <c r="H392">
        <v>1281</v>
      </c>
      <c r="I392">
        <v>19.539353259999999</v>
      </c>
      <c r="J392">
        <v>0.77100000000000002</v>
      </c>
      <c r="K392">
        <f t="shared" si="6"/>
        <v>4</v>
      </c>
      <c r="N392">
        <v>4.5</v>
      </c>
      <c r="O392">
        <v>5</v>
      </c>
    </row>
    <row r="393" spans="1:15" x14ac:dyDescent="0.2">
      <c r="A393" t="s">
        <v>1813</v>
      </c>
      <c r="B393">
        <v>9003510500</v>
      </c>
      <c r="C393" t="s">
        <v>1814</v>
      </c>
      <c r="D393">
        <v>3458</v>
      </c>
      <c r="E393">
        <v>1.401036607</v>
      </c>
      <c r="F393">
        <v>2468.1724819999999</v>
      </c>
      <c r="G393">
        <v>1</v>
      </c>
      <c r="H393">
        <v>944</v>
      </c>
      <c r="I393">
        <v>31.185992729999999</v>
      </c>
      <c r="J393">
        <v>0.93700000000000006</v>
      </c>
      <c r="K393">
        <f t="shared" si="6"/>
        <v>5</v>
      </c>
      <c r="N393">
        <v>4.5</v>
      </c>
      <c r="O393">
        <v>5</v>
      </c>
    </row>
    <row r="394" spans="1:15" x14ac:dyDescent="0.2">
      <c r="A394" t="s">
        <v>1815</v>
      </c>
      <c r="B394">
        <v>9003510600</v>
      </c>
      <c r="C394" t="s">
        <v>1816</v>
      </c>
      <c r="D394">
        <v>5007</v>
      </c>
      <c r="E394">
        <v>2.6409045139999998</v>
      </c>
      <c r="F394">
        <v>1895.9413239999999</v>
      </c>
      <c r="G394">
        <v>1</v>
      </c>
      <c r="H394">
        <v>1201</v>
      </c>
      <c r="I394">
        <v>26.01256227</v>
      </c>
      <c r="J394">
        <v>0.88400000000000001</v>
      </c>
      <c r="K394">
        <f t="shared" si="6"/>
        <v>5</v>
      </c>
      <c r="N394">
        <v>5</v>
      </c>
      <c r="O394">
        <v>5</v>
      </c>
    </row>
    <row r="395" spans="1:15" x14ac:dyDescent="0.2">
      <c r="A395" t="s">
        <v>1817</v>
      </c>
      <c r="B395">
        <v>9003510700</v>
      </c>
      <c r="C395" t="s">
        <v>1818</v>
      </c>
      <c r="D395">
        <v>4961</v>
      </c>
      <c r="E395">
        <v>1.300701393</v>
      </c>
      <c r="F395">
        <v>3814.0960150000001</v>
      </c>
      <c r="G395">
        <v>1</v>
      </c>
      <c r="H395">
        <v>1041</v>
      </c>
      <c r="I395">
        <v>22.96999117</v>
      </c>
      <c r="J395">
        <v>0.84399999999999997</v>
      </c>
      <c r="K395">
        <f t="shared" si="6"/>
        <v>5</v>
      </c>
      <c r="N395">
        <v>4.5</v>
      </c>
      <c r="O395">
        <v>5</v>
      </c>
    </row>
    <row r="396" spans="1:15" x14ac:dyDescent="0.2">
      <c r="A396" t="s">
        <v>1819</v>
      </c>
      <c r="B396">
        <v>9003510800</v>
      </c>
      <c r="C396" t="s">
        <v>1820</v>
      </c>
      <c r="D396">
        <v>3143</v>
      </c>
      <c r="E396">
        <v>1.0942591239999999</v>
      </c>
      <c r="F396">
        <v>2872.2630049999998</v>
      </c>
      <c r="G396">
        <v>1</v>
      </c>
      <c r="H396">
        <v>404</v>
      </c>
      <c r="I396">
        <v>12.625</v>
      </c>
      <c r="J396">
        <v>0.59299999999999997</v>
      </c>
      <c r="K396">
        <f t="shared" si="6"/>
        <v>3</v>
      </c>
      <c r="N396">
        <v>4</v>
      </c>
      <c r="O396">
        <v>4</v>
      </c>
    </row>
    <row r="397" spans="1:15" x14ac:dyDescent="0.2">
      <c r="A397" t="s">
        <v>1821</v>
      </c>
      <c r="B397">
        <v>9003510900</v>
      </c>
      <c r="C397" t="s">
        <v>1822</v>
      </c>
      <c r="D397">
        <v>3680</v>
      </c>
      <c r="E397">
        <v>1.2351215529999999</v>
      </c>
      <c r="F397">
        <v>2979.4638369999998</v>
      </c>
      <c r="G397">
        <v>1</v>
      </c>
      <c r="H397">
        <v>637</v>
      </c>
      <c r="I397">
        <v>17.342771580000001</v>
      </c>
      <c r="J397">
        <v>0.72199999999999998</v>
      </c>
      <c r="K397">
        <f t="shared" si="6"/>
        <v>4</v>
      </c>
      <c r="N397">
        <v>3.5</v>
      </c>
      <c r="O397">
        <v>4</v>
      </c>
    </row>
    <row r="398" spans="1:15" x14ac:dyDescent="0.2">
      <c r="A398" t="s">
        <v>1823</v>
      </c>
      <c r="B398">
        <v>9003511000</v>
      </c>
      <c r="C398" t="s">
        <v>1824</v>
      </c>
      <c r="D398">
        <v>3415</v>
      </c>
      <c r="E398">
        <v>1.297802924</v>
      </c>
      <c r="F398">
        <v>2631.370246</v>
      </c>
      <c r="G398">
        <v>1</v>
      </c>
      <c r="H398">
        <v>494</v>
      </c>
      <c r="I398">
        <v>13.7374861</v>
      </c>
      <c r="J398">
        <v>0.63500000000000001</v>
      </c>
      <c r="K398">
        <f t="shared" si="6"/>
        <v>4</v>
      </c>
      <c r="N398">
        <v>3.5</v>
      </c>
      <c r="O398">
        <v>4</v>
      </c>
    </row>
    <row r="399" spans="1:15" x14ac:dyDescent="0.2">
      <c r="A399" t="s">
        <v>1825</v>
      </c>
      <c r="B399">
        <v>9003511100</v>
      </c>
      <c r="C399" t="s">
        <v>1826</v>
      </c>
      <c r="D399">
        <v>3592</v>
      </c>
      <c r="E399">
        <v>1.596393111</v>
      </c>
      <c r="F399">
        <v>2250.0723509999998</v>
      </c>
      <c r="G399">
        <v>1</v>
      </c>
      <c r="H399">
        <v>541</v>
      </c>
      <c r="I399">
        <v>16.384009689999999</v>
      </c>
      <c r="J399">
        <v>0.69299999999999995</v>
      </c>
      <c r="K399">
        <f t="shared" si="6"/>
        <v>4</v>
      </c>
      <c r="N399">
        <v>3.5</v>
      </c>
      <c r="O399">
        <v>4</v>
      </c>
    </row>
    <row r="400" spans="1:15" x14ac:dyDescent="0.2">
      <c r="A400" t="s">
        <v>1827</v>
      </c>
      <c r="B400">
        <v>9003511200</v>
      </c>
      <c r="C400" t="s">
        <v>1828</v>
      </c>
      <c r="D400">
        <v>3363</v>
      </c>
      <c r="E400">
        <v>0.73333081099999997</v>
      </c>
      <c r="F400">
        <v>4585.9248660000003</v>
      </c>
      <c r="G400">
        <v>1</v>
      </c>
      <c r="H400">
        <v>1152</v>
      </c>
      <c r="I400">
        <v>35.555555560000002</v>
      </c>
      <c r="J400">
        <v>0.96699999999999997</v>
      </c>
      <c r="K400">
        <f t="shared" si="6"/>
        <v>5</v>
      </c>
      <c r="N400">
        <v>4.5</v>
      </c>
      <c r="O400">
        <v>5</v>
      </c>
    </row>
    <row r="401" spans="1:15" x14ac:dyDescent="0.2">
      <c r="A401" t="s">
        <v>1829</v>
      </c>
      <c r="B401">
        <v>9003511300</v>
      </c>
      <c r="C401" t="s">
        <v>1830</v>
      </c>
      <c r="D401">
        <v>3509</v>
      </c>
      <c r="E401">
        <v>0.676619737</v>
      </c>
      <c r="F401">
        <v>5186.0739599999997</v>
      </c>
      <c r="G401">
        <v>1</v>
      </c>
      <c r="H401">
        <v>624</v>
      </c>
      <c r="I401">
        <v>17.049180329999999</v>
      </c>
      <c r="J401">
        <v>0.71499999999999997</v>
      </c>
      <c r="K401">
        <f t="shared" si="6"/>
        <v>4</v>
      </c>
      <c r="N401">
        <v>4.5</v>
      </c>
      <c r="O401">
        <v>5</v>
      </c>
    </row>
    <row r="402" spans="1:15" x14ac:dyDescent="0.2">
      <c r="A402" t="s">
        <v>1831</v>
      </c>
      <c r="B402">
        <v>9003511400</v>
      </c>
      <c r="C402" t="s">
        <v>1832</v>
      </c>
      <c r="D402">
        <v>2421</v>
      </c>
      <c r="E402">
        <v>1.679904308</v>
      </c>
      <c r="F402">
        <v>1441.1535160000001</v>
      </c>
      <c r="G402">
        <v>1</v>
      </c>
      <c r="H402">
        <v>331</v>
      </c>
      <c r="I402">
        <v>14.90990991</v>
      </c>
      <c r="J402">
        <v>0.65500000000000003</v>
      </c>
      <c r="K402">
        <f t="shared" si="6"/>
        <v>4</v>
      </c>
      <c r="N402">
        <v>3.5</v>
      </c>
      <c r="O402">
        <v>4</v>
      </c>
    </row>
    <row r="403" spans="1:15" x14ac:dyDescent="0.2">
      <c r="A403" t="s">
        <v>1833</v>
      </c>
      <c r="B403">
        <v>9003514101</v>
      </c>
      <c r="C403" t="s">
        <v>1834</v>
      </c>
      <c r="D403">
        <v>3659</v>
      </c>
      <c r="E403">
        <v>1.8171219329999999</v>
      </c>
      <c r="F403">
        <v>2013.623816</v>
      </c>
      <c r="G403">
        <v>1</v>
      </c>
      <c r="H403">
        <v>415</v>
      </c>
      <c r="I403">
        <v>12.008101849999999</v>
      </c>
      <c r="J403">
        <v>0.57399999999999995</v>
      </c>
      <c r="K403">
        <f t="shared" si="6"/>
        <v>3</v>
      </c>
      <c r="N403">
        <v>3</v>
      </c>
      <c r="O403">
        <v>3</v>
      </c>
    </row>
    <row r="404" spans="1:15" x14ac:dyDescent="0.2">
      <c r="A404" t="s">
        <v>1835</v>
      </c>
      <c r="B404">
        <v>9003514102</v>
      </c>
      <c r="C404" t="s">
        <v>1836</v>
      </c>
      <c r="D404">
        <v>7398</v>
      </c>
      <c r="E404">
        <v>4.7768422089999998</v>
      </c>
      <c r="F404">
        <v>1548.7218700000001</v>
      </c>
      <c r="G404">
        <v>1</v>
      </c>
      <c r="H404">
        <v>4552</v>
      </c>
      <c r="I404">
        <v>57.236263049999998</v>
      </c>
      <c r="J404">
        <v>1</v>
      </c>
      <c r="K404">
        <f t="shared" si="6"/>
        <v>5</v>
      </c>
      <c r="N404">
        <v>4</v>
      </c>
      <c r="O404">
        <v>4</v>
      </c>
    </row>
    <row r="405" spans="1:15" x14ac:dyDescent="0.2">
      <c r="A405" t="s">
        <v>1837</v>
      </c>
      <c r="B405">
        <v>9003514200</v>
      </c>
      <c r="C405" t="s">
        <v>1838</v>
      </c>
      <c r="D405">
        <v>3076</v>
      </c>
      <c r="E405">
        <v>1.379580523</v>
      </c>
      <c r="F405">
        <v>2229.6632549999999</v>
      </c>
      <c r="G405">
        <v>1</v>
      </c>
      <c r="H405">
        <v>727</v>
      </c>
      <c r="I405">
        <v>23.836065569999999</v>
      </c>
      <c r="J405">
        <v>0.85499999999999998</v>
      </c>
      <c r="K405">
        <f t="shared" si="6"/>
        <v>5</v>
      </c>
      <c r="N405">
        <v>4.5</v>
      </c>
      <c r="O405">
        <v>5</v>
      </c>
    </row>
    <row r="406" spans="1:15" x14ac:dyDescent="0.2">
      <c r="A406" t="s">
        <v>1839</v>
      </c>
      <c r="B406">
        <v>9003514300</v>
      </c>
      <c r="C406" t="s">
        <v>1840</v>
      </c>
      <c r="D406">
        <v>4291</v>
      </c>
      <c r="E406">
        <v>0.846451026</v>
      </c>
      <c r="F406">
        <v>5069.4013809999997</v>
      </c>
      <c r="G406">
        <v>1</v>
      </c>
      <c r="H406">
        <v>395</v>
      </c>
      <c r="I406">
        <v>9.9974689950000002</v>
      </c>
      <c r="J406">
        <v>0.46899999999999997</v>
      </c>
      <c r="K406">
        <f t="shared" si="6"/>
        <v>3</v>
      </c>
      <c r="N406">
        <v>3.5</v>
      </c>
      <c r="O406">
        <v>4</v>
      </c>
    </row>
    <row r="407" spans="1:15" x14ac:dyDescent="0.2">
      <c r="A407" t="s">
        <v>1841</v>
      </c>
      <c r="B407">
        <v>9003514400</v>
      </c>
      <c r="C407" t="s">
        <v>1842</v>
      </c>
      <c r="D407">
        <v>4768</v>
      </c>
      <c r="E407">
        <v>0.94892292899999997</v>
      </c>
      <c r="F407">
        <v>5024.6441020000002</v>
      </c>
      <c r="G407">
        <v>1</v>
      </c>
      <c r="H407">
        <v>573</v>
      </c>
      <c r="I407">
        <v>13.30392384</v>
      </c>
      <c r="J407">
        <v>0.63</v>
      </c>
      <c r="K407">
        <f t="shared" si="6"/>
        <v>4</v>
      </c>
      <c r="N407">
        <v>4</v>
      </c>
      <c r="O407">
        <v>4</v>
      </c>
    </row>
    <row r="408" spans="1:15" x14ac:dyDescent="0.2">
      <c r="A408" t="s">
        <v>1843</v>
      </c>
      <c r="B408">
        <v>9003514500</v>
      </c>
      <c r="C408" t="s">
        <v>1844</v>
      </c>
      <c r="D408">
        <v>4364</v>
      </c>
      <c r="E408">
        <v>1.0321395310000001</v>
      </c>
      <c r="F408">
        <v>4228.1105109999999</v>
      </c>
      <c r="G408">
        <v>1</v>
      </c>
      <c r="H408">
        <v>1066</v>
      </c>
      <c r="I408">
        <v>23.13870198</v>
      </c>
      <c r="J408">
        <v>0.85099999999999998</v>
      </c>
      <c r="K408">
        <f t="shared" si="6"/>
        <v>5</v>
      </c>
      <c r="N408">
        <v>4.5</v>
      </c>
      <c r="O408">
        <v>5</v>
      </c>
    </row>
    <row r="409" spans="1:15" x14ac:dyDescent="0.2">
      <c r="A409" t="s">
        <v>1845</v>
      </c>
      <c r="B409">
        <v>9003514600</v>
      </c>
      <c r="C409" t="s">
        <v>1846</v>
      </c>
      <c r="D409">
        <v>5261</v>
      </c>
      <c r="E409">
        <v>0.82816484099999998</v>
      </c>
      <c r="F409">
        <v>6352.6000379999996</v>
      </c>
      <c r="G409">
        <v>1</v>
      </c>
      <c r="H409">
        <v>1065</v>
      </c>
      <c r="I409">
        <v>20.37887486</v>
      </c>
      <c r="J409">
        <v>0.8</v>
      </c>
      <c r="K409">
        <f t="shared" si="6"/>
        <v>5</v>
      </c>
      <c r="N409">
        <v>4</v>
      </c>
      <c r="O409">
        <v>4</v>
      </c>
    </row>
    <row r="410" spans="1:15" x14ac:dyDescent="0.2">
      <c r="A410" t="s">
        <v>1847</v>
      </c>
      <c r="B410">
        <v>9003514700</v>
      </c>
      <c r="C410" t="s">
        <v>1848</v>
      </c>
      <c r="D410">
        <v>4298</v>
      </c>
      <c r="E410">
        <v>0.53397776399999997</v>
      </c>
      <c r="F410">
        <v>8049.0243099999998</v>
      </c>
      <c r="G410">
        <v>1</v>
      </c>
      <c r="H410">
        <v>1199</v>
      </c>
      <c r="I410">
        <v>26.608965820000002</v>
      </c>
      <c r="J410">
        <v>0.89100000000000001</v>
      </c>
      <c r="K410">
        <f t="shared" si="6"/>
        <v>5</v>
      </c>
      <c r="N410">
        <v>5</v>
      </c>
      <c r="O410">
        <v>5</v>
      </c>
    </row>
    <row r="411" spans="1:15" x14ac:dyDescent="0.2">
      <c r="A411" t="s">
        <v>1849</v>
      </c>
      <c r="B411">
        <v>9003514800</v>
      </c>
      <c r="C411" t="s">
        <v>1850</v>
      </c>
      <c r="D411">
        <v>3485</v>
      </c>
      <c r="E411">
        <v>0.53186462599999995</v>
      </c>
      <c r="F411">
        <v>6552.4192190000003</v>
      </c>
      <c r="G411">
        <v>1</v>
      </c>
      <c r="H411">
        <v>1117</v>
      </c>
      <c r="I411">
        <v>34.337534580000003</v>
      </c>
      <c r="J411">
        <v>0.96599999999999997</v>
      </c>
      <c r="K411">
        <f t="shared" si="6"/>
        <v>5</v>
      </c>
      <c r="N411">
        <v>4.5</v>
      </c>
      <c r="O411">
        <v>5</v>
      </c>
    </row>
    <row r="412" spans="1:15" x14ac:dyDescent="0.2">
      <c r="A412" t="s">
        <v>1851</v>
      </c>
      <c r="B412">
        <v>9003514900</v>
      </c>
      <c r="C412" t="s">
        <v>1852</v>
      </c>
      <c r="D412">
        <v>2881</v>
      </c>
      <c r="E412">
        <v>1.369123332</v>
      </c>
      <c r="F412">
        <v>2104.2662359999999</v>
      </c>
      <c r="G412">
        <v>1</v>
      </c>
      <c r="H412">
        <v>251</v>
      </c>
      <c r="I412">
        <v>9.0093323759999997</v>
      </c>
      <c r="J412">
        <v>0.434</v>
      </c>
      <c r="K412">
        <f t="shared" si="6"/>
        <v>3</v>
      </c>
      <c r="N412">
        <v>3.5</v>
      </c>
      <c r="O412">
        <v>4</v>
      </c>
    </row>
    <row r="413" spans="1:15" x14ac:dyDescent="0.2">
      <c r="A413" t="s">
        <v>1853</v>
      </c>
      <c r="B413">
        <v>9003515000</v>
      </c>
      <c r="C413" t="s">
        <v>1854</v>
      </c>
      <c r="D413">
        <v>2923</v>
      </c>
      <c r="E413">
        <v>2.2469996000000001</v>
      </c>
      <c r="F413">
        <v>1300.8458029999999</v>
      </c>
      <c r="G413">
        <v>1</v>
      </c>
      <c r="H413">
        <v>409</v>
      </c>
      <c r="I413">
        <v>13.287849250000001</v>
      </c>
      <c r="J413">
        <v>0.63400000000000001</v>
      </c>
      <c r="K413">
        <f t="shared" si="6"/>
        <v>4</v>
      </c>
      <c r="N413">
        <v>3</v>
      </c>
      <c r="O413">
        <v>3</v>
      </c>
    </row>
    <row r="414" spans="1:15" x14ac:dyDescent="0.2">
      <c r="A414" t="s">
        <v>1855</v>
      </c>
      <c r="B414">
        <v>9003515101</v>
      </c>
      <c r="C414" t="s">
        <v>1856</v>
      </c>
      <c r="D414">
        <v>2555</v>
      </c>
      <c r="E414">
        <v>1.1288797479999999</v>
      </c>
      <c r="F414">
        <v>2263.3057290000002</v>
      </c>
      <c r="G414">
        <v>1</v>
      </c>
      <c r="H414">
        <v>291</v>
      </c>
      <c r="I414">
        <v>11.81965881</v>
      </c>
      <c r="J414">
        <v>0.56999999999999995</v>
      </c>
      <c r="K414">
        <f t="shared" si="6"/>
        <v>3</v>
      </c>
      <c r="N414">
        <v>3.5</v>
      </c>
      <c r="O414">
        <v>4</v>
      </c>
    </row>
    <row r="415" spans="1:15" x14ac:dyDescent="0.2">
      <c r="A415" t="s">
        <v>1857</v>
      </c>
      <c r="B415">
        <v>9003515102</v>
      </c>
      <c r="C415" t="s">
        <v>1858</v>
      </c>
      <c r="D415">
        <v>5866</v>
      </c>
      <c r="E415">
        <v>5.5487720410000003</v>
      </c>
      <c r="F415">
        <v>1057.17084</v>
      </c>
      <c r="G415">
        <v>1</v>
      </c>
      <c r="H415">
        <v>1897</v>
      </c>
      <c r="I415">
        <v>31.2984656</v>
      </c>
      <c r="J415">
        <v>0.94399999999999995</v>
      </c>
      <c r="K415">
        <f t="shared" si="6"/>
        <v>5</v>
      </c>
      <c r="N415">
        <v>4.5</v>
      </c>
      <c r="O415">
        <v>5</v>
      </c>
    </row>
    <row r="416" spans="1:15" x14ac:dyDescent="0.2">
      <c r="A416" t="s">
        <v>1859</v>
      </c>
      <c r="B416">
        <v>9003515200</v>
      </c>
      <c r="C416" t="s">
        <v>1860</v>
      </c>
      <c r="D416">
        <v>3416</v>
      </c>
      <c r="E416">
        <v>4.4139115699999998</v>
      </c>
      <c r="F416">
        <v>773.91672800000003</v>
      </c>
      <c r="G416">
        <v>1</v>
      </c>
      <c r="H416">
        <v>458</v>
      </c>
      <c r="I416">
        <v>14.7314249</v>
      </c>
      <c r="J416">
        <v>0.66</v>
      </c>
      <c r="K416">
        <f t="shared" si="6"/>
        <v>4</v>
      </c>
      <c r="N416">
        <v>3</v>
      </c>
      <c r="O416">
        <v>3</v>
      </c>
    </row>
    <row r="417" spans="1:15" x14ac:dyDescent="0.2">
      <c r="A417" t="s">
        <v>1861</v>
      </c>
      <c r="B417">
        <v>9003520100</v>
      </c>
      <c r="C417" t="s">
        <v>1862</v>
      </c>
      <c r="D417">
        <v>5830</v>
      </c>
      <c r="E417">
        <v>5.6104333300000002</v>
      </c>
      <c r="F417">
        <v>1039.135421</v>
      </c>
      <c r="G417">
        <v>1</v>
      </c>
      <c r="H417">
        <v>858</v>
      </c>
      <c r="I417">
        <v>14.429868819999999</v>
      </c>
      <c r="J417">
        <v>0.65500000000000003</v>
      </c>
      <c r="K417">
        <f t="shared" si="6"/>
        <v>4</v>
      </c>
      <c r="N417">
        <v>2.5</v>
      </c>
      <c r="O417">
        <v>3</v>
      </c>
    </row>
    <row r="418" spans="1:15" x14ac:dyDescent="0.2">
      <c r="A418" t="s">
        <v>1863</v>
      </c>
      <c r="B418">
        <v>9003520201</v>
      </c>
      <c r="C418" t="s">
        <v>1864</v>
      </c>
      <c r="D418">
        <v>3739</v>
      </c>
      <c r="E418">
        <v>11.83297065</v>
      </c>
      <c r="F418">
        <v>315.9815155</v>
      </c>
      <c r="G418">
        <v>1</v>
      </c>
      <c r="H418">
        <v>635</v>
      </c>
      <c r="I418">
        <v>17.580287930000001</v>
      </c>
      <c r="J418">
        <v>0.74199999999999999</v>
      </c>
      <c r="K418">
        <f t="shared" si="6"/>
        <v>4</v>
      </c>
      <c r="N418">
        <v>2.5</v>
      </c>
      <c r="O418">
        <v>3</v>
      </c>
    </row>
    <row r="419" spans="1:15" x14ac:dyDescent="0.2">
      <c r="A419" t="s">
        <v>1865</v>
      </c>
      <c r="B419">
        <v>9003520202</v>
      </c>
      <c r="C419" t="s">
        <v>1866</v>
      </c>
      <c r="D419">
        <v>4280</v>
      </c>
      <c r="E419">
        <v>13.60132325</v>
      </c>
      <c r="F419">
        <v>314.67526520000001</v>
      </c>
      <c r="G419">
        <v>1</v>
      </c>
      <c r="H419">
        <v>315</v>
      </c>
      <c r="I419">
        <v>7.9325107030000002</v>
      </c>
      <c r="J419">
        <v>0.35799999999999998</v>
      </c>
      <c r="K419">
        <f t="shared" si="6"/>
        <v>2</v>
      </c>
      <c r="N419">
        <v>1.5</v>
      </c>
      <c r="O419">
        <v>2</v>
      </c>
    </row>
    <row r="420" spans="1:15" x14ac:dyDescent="0.2">
      <c r="A420" t="s">
        <v>1867</v>
      </c>
      <c r="B420">
        <v>9003520301</v>
      </c>
      <c r="C420" t="s">
        <v>1868</v>
      </c>
      <c r="D420">
        <v>4578</v>
      </c>
      <c r="E420">
        <v>2.8692349149999998</v>
      </c>
      <c r="F420">
        <v>1595.547292</v>
      </c>
      <c r="G420">
        <v>1</v>
      </c>
      <c r="H420">
        <v>756</v>
      </c>
      <c r="I420">
        <v>17.244525549999999</v>
      </c>
      <c r="J420">
        <v>0.72599999999999998</v>
      </c>
      <c r="K420">
        <f t="shared" si="6"/>
        <v>4</v>
      </c>
      <c r="N420">
        <v>3.5</v>
      </c>
      <c r="O420">
        <v>4</v>
      </c>
    </row>
    <row r="421" spans="1:15" x14ac:dyDescent="0.2">
      <c r="A421" t="s">
        <v>1869</v>
      </c>
      <c r="B421">
        <v>9003520302</v>
      </c>
      <c r="C421" t="s">
        <v>1870</v>
      </c>
      <c r="D421">
        <v>3877</v>
      </c>
      <c r="E421">
        <v>3.1484601470000002</v>
      </c>
      <c r="F421">
        <v>1231.3956089999999</v>
      </c>
      <c r="G421">
        <v>1</v>
      </c>
      <c r="H421">
        <v>938</v>
      </c>
      <c r="I421">
        <v>22.50479846</v>
      </c>
      <c r="J421">
        <v>0.85099999999999998</v>
      </c>
      <c r="K421">
        <f t="shared" si="6"/>
        <v>5</v>
      </c>
      <c r="N421">
        <v>4.5</v>
      </c>
      <c r="O421">
        <v>5</v>
      </c>
    </row>
    <row r="422" spans="1:15" x14ac:dyDescent="0.2">
      <c r="A422" t="s">
        <v>1871</v>
      </c>
      <c r="B422">
        <v>9003520400</v>
      </c>
      <c r="C422" t="s">
        <v>1872</v>
      </c>
      <c r="D422">
        <v>7718</v>
      </c>
      <c r="E422">
        <v>6.981616131</v>
      </c>
      <c r="F422">
        <v>1105.4747</v>
      </c>
      <c r="G422">
        <v>1</v>
      </c>
      <c r="H422">
        <v>936</v>
      </c>
      <c r="I422">
        <v>11.463563990000001</v>
      </c>
      <c r="J422">
        <v>0.55600000000000005</v>
      </c>
      <c r="K422">
        <f t="shared" si="6"/>
        <v>3</v>
      </c>
      <c r="N422">
        <v>2</v>
      </c>
      <c r="O422">
        <v>2</v>
      </c>
    </row>
    <row r="423" spans="1:15" x14ac:dyDescent="0.2">
      <c r="A423" t="s">
        <v>1873</v>
      </c>
      <c r="B423">
        <v>9003520501</v>
      </c>
      <c r="C423" t="s">
        <v>1874</v>
      </c>
      <c r="D423">
        <v>4405</v>
      </c>
      <c r="E423">
        <v>7.225800274</v>
      </c>
      <c r="F423">
        <v>609.62105689999999</v>
      </c>
      <c r="G423">
        <v>1</v>
      </c>
      <c r="H423">
        <v>514</v>
      </c>
      <c r="I423">
        <v>11.9036591</v>
      </c>
      <c r="J423">
        <v>0.58299999999999996</v>
      </c>
      <c r="K423">
        <f t="shared" si="6"/>
        <v>3</v>
      </c>
      <c r="N423">
        <v>2</v>
      </c>
      <c r="O423">
        <v>2</v>
      </c>
    </row>
    <row r="424" spans="1:15" x14ac:dyDescent="0.2">
      <c r="A424" t="s">
        <v>1875</v>
      </c>
      <c r="B424">
        <v>9003524100</v>
      </c>
      <c r="C424" t="s">
        <v>1876</v>
      </c>
      <c r="D424">
        <v>6404</v>
      </c>
      <c r="E424">
        <v>23.351148729999998</v>
      </c>
      <c r="F424">
        <v>274.24775</v>
      </c>
      <c r="G424">
        <v>1</v>
      </c>
      <c r="H424">
        <v>114</v>
      </c>
      <c r="I424">
        <v>1.7902010049999999</v>
      </c>
      <c r="J424">
        <v>2.4E-2</v>
      </c>
      <c r="K424">
        <f t="shared" si="6"/>
        <v>1</v>
      </c>
      <c r="N424">
        <v>1.5</v>
      </c>
      <c r="O424">
        <v>2</v>
      </c>
    </row>
    <row r="425" spans="1:15" x14ac:dyDescent="0.2">
      <c r="A425" t="s">
        <v>1877</v>
      </c>
      <c r="B425">
        <v>9003524200</v>
      </c>
      <c r="C425" t="s">
        <v>1878</v>
      </c>
      <c r="D425">
        <v>6144</v>
      </c>
      <c r="E425">
        <v>4.4684600860000003</v>
      </c>
      <c r="F425">
        <v>1374.970321</v>
      </c>
      <c r="G425">
        <v>1</v>
      </c>
      <c r="H425">
        <v>800</v>
      </c>
      <c r="I425">
        <v>12.490242</v>
      </c>
      <c r="J425">
        <v>0.6</v>
      </c>
      <c r="K425">
        <f t="shared" si="6"/>
        <v>4</v>
      </c>
      <c r="N425">
        <v>3</v>
      </c>
      <c r="O425">
        <v>3</v>
      </c>
    </row>
    <row r="426" spans="1:15" x14ac:dyDescent="0.2">
      <c r="A426" t="s">
        <v>1879</v>
      </c>
      <c r="B426">
        <v>9003524300</v>
      </c>
      <c r="C426" t="s">
        <v>1880</v>
      </c>
      <c r="D426">
        <v>7291</v>
      </c>
      <c r="E426">
        <v>5.0719875920000002</v>
      </c>
      <c r="F426">
        <v>1437.5035170000001</v>
      </c>
      <c r="G426">
        <v>1</v>
      </c>
      <c r="H426">
        <v>1074</v>
      </c>
      <c r="I426">
        <v>16.607391369999998</v>
      </c>
      <c r="J426">
        <v>0.71199999999999997</v>
      </c>
      <c r="K426">
        <f t="shared" si="6"/>
        <v>4</v>
      </c>
      <c r="N426">
        <v>3.5</v>
      </c>
      <c r="O426">
        <v>4</v>
      </c>
    </row>
    <row r="427" spans="1:15" x14ac:dyDescent="0.2">
      <c r="A427" t="s">
        <v>1881</v>
      </c>
      <c r="B427">
        <v>9003524400</v>
      </c>
      <c r="C427" t="s">
        <v>1882</v>
      </c>
      <c r="D427">
        <v>3057</v>
      </c>
      <c r="E427">
        <v>1.061308006</v>
      </c>
      <c r="F427">
        <v>2880.407933</v>
      </c>
      <c r="G427">
        <v>1</v>
      </c>
      <c r="H427">
        <v>726</v>
      </c>
      <c r="I427">
        <v>21.756068320000001</v>
      </c>
      <c r="J427">
        <v>0.83399999999999996</v>
      </c>
      <c r="K427">
        <f t="shared" si="6"/>
        <v>5</v>
      </c>
      <c r="N427">
        <v>5</v>
      </c>
      <c r="O427">
        <v>5</v>
      </c>
    </row>
    <row r="428" spans="1:15" x14ac:dyDescent="0.2">
      <c r="A428" t="s">
        <v>1883</v>
      </c>
      <c r="B428">
        <v>9003524501</v>
      </c>
      <c r="C428" t="s">
        <v>1884</v>
      </c>
      <c r="D428">
        <v>2704</v>
      </c>
      <c r="E428">
        <v>0.16307527299999999</v>
      </c>
      <c r="F428">
        <v>16581.299859999999</v>
      </c>
      <c r="G428">
        <v>1</v>
      </c>
      <c r="H428">
        <v>1005</v>
      </c>
      <c r="I428">
        <v>40.007961780000002</v>
      </c>
      <c r="J428">
        <v>0.98699999999999999</v>
      </c>
      <c r="K428">
        <f t="shared" si="6"/>
        <v>5</v>
      </c>
      <c r="N428">
        <v>5</v>
      </c>
      <c r="O428">
        <v>5</v>
      </c>
    </row>
    <row r="429" spans="1:15" x14ac:dyDescent="0.2">
      <c r="A429" t="s">
        <v>1885</v>
      </c>
      <c r="B429">
        <v>9003524502</v>
      </c>
      <c r="C429" t="s">
        <v>1886</v>
      </c>
      <c r="D429">
        <v>2158</v>
      </c>
      <c r="E429">
        <v>0.65855787700000001</v>
      </c>
      <c r="F429">
        <v>3276.8570140000002</v>
      </c>
      <c r="G429">
        <v>1</v>
      </c>
      <c r="H429">
        <v>430</v>
      </c>
      <c r="I429">
        <v>20.934761439999999</v>
      </c>
      <c r="J429">
        <v>0.81599999999999995</v>
      </c>
      <c r="K429">
        <f t="shared" si="6"/>
        <v>5</v>
      </c>
      <c r="N429">
        <v>5</v>
      </c>
      <c r="O429">
        <v>5</v>
      </c>
    </row>
    <row r="430" spans="1:15" x14ac:dyDescent="0.2">
      <c r="A430" t="s">
        <v>1887</v>
      </c>
      <c r="B430">
        <v>9003524600</v>
      </c>
      <c r="C430" t="s">
        <v>1888</v>
      </c>
      <c r="D430">
        <v>3311</v>
      </c>
      <c r="E430">
        <v>0.49609303199999999</v>
      </c>
      <c r="F430">
        <v>6674.1513910000003</v>
      </c>
      <c r="G430">
        <v>1</v>
      </c>
      <c r="H430">
        <v>1018</v>
      </c>
      <c r="I430">
        <v>33.798140770000003</v>
      </c>
      <c r="J430">
        <v>0.95699999999999996</v>
      </c>
      <c r="K430">
        <f t="shared" si="6"/>
        <v>5</v>
      </c>
      <c r="N430">
        <v>5</v>
      </c>
      <c r="O430">
        <v>5</v>
      </c>
    </row>
    <row r="431" spans="1:15" x14ac:dyDescent="0.2">
      <c r="A431" t="s">
        <v>1889</v>
      </c>
      <c r="B431">
        <v>9003524700</v>
      </c>
      <c r="C431" t="s">
        <v>1890</v>
      </c>
      <c r="D431">
        <v>3624</v>
      </c>
      <c r="E431">
        <v>0.68990126600000001</v>
      </c>
      <c r="F431">
        <v>5252.925569</v>
      </c>
      <c r="G431">
        <v>1</v>
      </c>
      <c r="H431">
        <v>1037</v>
      </c>
      <c r="I431">
        <v>29.552579080000001</v>
      </c>
      <c r="J431">
        <v>0.93100000000000005</v>
      </c>
      <c r="K431">
        <f t="shared" si="6"/>
        <v>5</v>
      </c>
      <c r="N431">
        <v>4.5</v>
      </c>
      <c r="O431">
        <v>5</v>
      </c>
    </row>
    <row r="432" spans="1:15" x14ac:dyDescent="0.2">
      <c r="A432" t="s">
        <v>1891</v>
      </c>
      <c r="B432">
        <v>9005250100</v>
      </c>
      <c r="C432" t="s">
        <v>1892</v>
      </c>
      <c r="D432">
        <v>1727</v>
      </c>
      <c r="E432">
        <v>16.395230399999999</v>
      </c>
      <c r="F432">
        <v>105.3355127</v>
      </c>
      <c r="G432">
        <v>2</v>
      </c>
      <c r="H432">
        <v>96</v>
      </c>
      <c r="I432">
        <v>5.6239015820000002</v>
      </c>
      <c r="J432">
        <v>0.23799999999999999</v>
      </c>
      <c r="K432">
        <f t="shared" si="6"/>
        <v>2</v>
      </c>
      <c r="N432">
        <v>2</v>
      </c>
      <c r="O432">
        <v>2</v>
      </c>
    </row>
    <row r="433" spans="1:15" x14ac:dyDescent="0.2">
      <c r="A433" t="s">
        <v>1893</v>
      </c>
      <c r="B433">
        <v>9005253100</v>
      </c>
      <c r="C433" t="s">
        <v>1894</v>
      </c>
      <c r="D433">
        <v>3511</v>
      </c>
      <c r="E433">
        <v>1.9580449790000001</v>
      </c>
      <c r="F433">
        <v>1793.11509</v>
      </c>
      <c r="G433">
        <v>1</v>
      </c>
      <c r="H433">
        <v>532</v>
      </c>
      <c r="I433">
        <v>15.53284672</v>
      </c>
      <c r="J433">
        <v>0.68700000000000006</v>
      </c>
      <c r="K433">
        <f t="shared" si="6"/>
        <v>4</v>
      </c>
      <c r="N433">
        <v>4.5</v>
      </c>
      <c r="O433">
        <v>5</v>
      </c>
    </row>
    <row r="434" spans="1:15" x14ac:dyDescent="0.2">
      <c r="A434" t="s">
        <v>1895</v>
      </c>
      <c r="B434">
        <v>9005253200</v>
      </c>
      <c r="C434" t="s">
        <v>1896</v>
      </c>
      <c r="D434">
        <v>7429</v>
      </c>
      <c r="E434">
        <v>11.942436409999999</v>
      </c>
      <c r="F434">
        <v>622.06736909999995</v>
      </c>
      <c r="G434">
        <v>1</v>
      </c>
      <c r="H434">
        <v>880</v>
      </c>
      <c r="I434">
        <v>12.77769711</v>
      </c>
      <c r="J434">
        <v>0.63</v>
      </c>
      <c r="K434">
        <f t="shared" si="6"/>
        <v>4</v>
      </c>
      <c r="N434">
        <v>3</v>
      </c>
      <c r="O434">
        <v>3</v>
      </c>
    </row>
    <row r="435" spans="1:15" x14ac:dyDescent="0.2">
      <c r="A435" t="s">
        <v>1897</v>
      </c>
      <c r="B435">
        <v>9005253300</v>
      </c>
      <c r="C435" t="s">
        <v>1898</v>
      </c>
      <c r="D435">
        <v>2215</v>
      </c>
      <c r="E435">
        <v>2.5342464910000002</v>
      </c>
      <c r="F435">
        <v>874.02705619999995</v>
      </c>
      <c r="G435">
        <v>1</v>
      </c>
      <c r="H435">
        <v>214</v>
      </c>
      <c r="I435">
        <v>10.15662079</v>
      </c>
      <c r="J435">
        <v>0.50600000000000001</v>
      </c>
      <c r="K435">
        <f t="shared" si="6"/>
        <v>3</v>
      </c>
      <c r="N435">
        <v>2.5</v>
      </c>
      <c r="O435">
        <v>3</v>
      </c>
    </row>
    <row r="436" spans="1:15" x14ac:dyDescent="0.2">
      <c r="A436" t="s">
        <v>1899</v>
      </c>
      <c r="B436">
        <v>9005253400</v>
      </c>
      <c r="C436" t="s">
        <v>1900</v>
      </c>
      <c r="D436">
        <v>6308</v>
      </c>
      <c r="E436">
        <v>14.40645555</v>
      </c>
      <c r="F436">
        <v>437.85926230000001</v>
      </c>
      <c r="G436">
        <v>1</v>
      </c>
      <c r="H436">
        <v>323</v>
      </c>
      <c r="I436">
        <v>5.3046477249999997</v>
      </c>
      <c r="J436">
        <v>0.215</v>
      </c>
      <c r="K436">
        <f t="shared" si="6"/>
        <v>2</v>
      </c>
      <c r="N436">
        <v>2</v>
      </c>
      <c r="O436">
        <v>2</v>
      </c>
    </row>
    <row r="437" spans="1:15" x14ac:dyDescent="0.2">
      <c r="A437" t="s">
        <v>1901</v>
      </c>
      <c r="B437">
        <v>9005253500</v>
      </c>
      <c r="C437" t="s">
        <v>1902</v>
      </c>
      <c r="D437">
        <v>6114</v>
      </c>
      <c r="E437">
        <v>26.564693349999999</v>
      </c>
      <c r="F437">
        <v>230.155113</v>
      </c>
      <c r="G437">
        <v>1</v>
      </c>
      <c r="H437">
        <v>936</v>
      </c>
      <c r="I437">
        <v>16.252821669999999</v>
      </c>
      <c r="J437">
        <v>0.70599999999999996</v>
      </c>
      <c r="K437">
        <f t="shared" si="6"/>
        <v>4</v>
      </c>
      <c r="N437">
        <v>3</v>
      </c>
      <c r="O437">
        <v>3</v>
      </c>
    </row>
    <row r="438" spans="1:15" x14ac:dyDescent="0.2">
      <c r="A438" t="s">
        <v>1903</v>
      </c>
      <c r="B438">
        <v>9005253600</v>
      </c>
      <c r="C438" t="s">
        <v>1904</v>
      </c>
      <c r="D438">
        <v>2565</v>
      </c>
      <c r="E438">
        <v>4.1601061469999996</v>
      </c>
      <c r="F438">
        <v>616.57080589999998</v>
      </c>
      <c r="G438">
        <v>1</v>
      </c>
      <c r="H438">
        <v>367</v>
      </c>
      <c r="I438">
        <v>13.36002912</v>
      </c>
      <c r="J438">
        <v>0.64900000000000002</v>
      </c>
      <c r="K438">
        <f t="shared" si="6"/>
        <v>4</v>
      </c>
      <c r="N438">
        <v>4</v>
      </c>
      <c r="O438">
        <v>4</v>
      </c>
    </row>
    <row r="439" spans="1:15" x14ac:dyDescent="0.2">
      <c r="A439" t="s">
        <v>1905</v>
      </c>
      <c r="B439">
        <v>9005260200</v>
      </c>
      <c r="C439" t="s">
        <v>1906</v>
      </c>
      <c r="D439">
        <v>3315</v>
      </c>
      <c r="E439">
        <v>19.466365870000001</v>
      </c>
      <c r="F439">
        <v>170.2937273</v>
      </c>
      <c r="G439">
        <v>5</v>
      </c>
      <c r="H439">
        <v>162</v>
      </c>
      <c r="I439">
        <v>4.9375190489999996</v>
      </c>
      <c r="J439">
        <v>0.193</v>
      </c>
      <c r="K439">
        <f t="shared" si="6"/>
        <v>1</v>
      </c>
      <c r="N439">
        <v>3.3333333330000001</v>
      </c>
      <c r="O439">
        <v>4</v>
      </c>
    </row>
    <row r="440" spans="1:15" x14ac:dyDescent="0.2">
      <c r="A440" t="s">
        <v>1907</v>
      </c>
      <c r="B440">
        <v>9005261100</v>
      </c>
      <c r="C440" t="s">
        <v>1908</v>
      </c>
      <c r="D440">
        <v>3741</v>
      </c>
      <c r="E440">
        <v>57.241788769999999</v>
      </c>
      <c r="F440">
        <v>65.354351789999996</v>
      </c>
      <c r="G440">
        <v>5</v>
      </c>
      <c r="H440">
        <v>126</v>
      </c>
      <c r="I440">
        <v>3.4758620690000002</v>
      </c>
      <c r="J440">
        <v>0.113</v>
      </c>
      <c r="K440">
        <f t="shared" si="6"/>
        <v>1</v>
      </c>
      <c r="N440">
        <v>3</v>
      </c>
      <c r="O440">
        <v>3</v>
      </c>
    </row>
    <row r="441" spans="1:15" x14ac:dyDescent="0.2">
      <c r="A441" t="s">
        <v>1909</v>
      </c>
      <c r="B441">
        <v>9005262100</v>
      </c>
      <c r="C441" t="s">
        <v>1910</v>
      </c>
      <c r="D441">
        <v>2782</v>
      </c>
      <c r="E441">
        <v>58.76519235</v>
      </c>
      <c r="F441">
        <v>47.340949440000003</v>
      </c>
      <c r="G441">
        <v>5</v>
      </c>
      <c r="H441">
        <v>127</v>
      </c>
      <c r="I441">
        <v>4.7037037039999996</v>
      </c>
      <c r="J441">
        <v>0.17100000000000001</v>
      </c>
      <c r="K441">
        <f t="shared" si="6"/>
        <v>1</v>
      </c>
      <c r="N441">
        <v>3</v>
      </c>
      <c r="O441">
        <v>3</v>
      </c>
    </row>
    <row r="442" spans="1:15" x14ac:dyDescent="0.2">
      <c r="A442" t="s">
        <v>1911</v>
      </c>
      <c r="B442">
        <v>9005263200</v>
      </c>
      <c r="C442" t="s">
        <v>1912</v>
      </c>
      <c r="D442">
        <v>1420</v>
      </c>
      <c r="E442">
        <v>46.060997970000003</v>
      </c>
      <c r="F442">
        <v>30.828685060000002</v>
      </c>
      <c r="G442">
        <v>5</v>
      </c>
      <c r="H442">
        <v>109</v>
      </c>
      <c r="I442">
        <v>8.4430673899999995</v>
      </c>
      <c r="J442">
        <v>0.40799999999999997</v>
      </c>
      <c r="K442">
        <f t="shared" si="6"/>
        <v>3</v>
      </c>
      <c r="N442">
        <v>3.6666666669999999</v>
      </c>
      <c r="O442">
        <v>4</v>
      </c>
    </row>
    <row r="443" spans="1:15" x14ac:dyDescent="0.2">
      <c r="A443" t="s">
        <v>1913</v>
      </c>
      <c r="B443">
        <v>9005265100</v>
      </c>
      <c r="C443" t="s">
        <v>1914</v>
      </c>
      <c r="D443">
        <v>1461</v>
      </c>
      <c r="E443">
        <v>26.30879023</v>
      </c>
      <c r="F443">
        <v>55.532770110000001</v>
      </c>
      <c r="G443">
        <v>2</v>
      </c>
      <c r="H443">
        <v>51</v>
      </c>
      <c r="I443">
        <v>3.5003431709999999</v>
      </c>
      <c r="J443">
        <v>0.114</v>
      </c>
      <c r="K443">
        <f t="shared" si="6"/>
        <v>1</v>
      </c>
      <c r="N443">
        <v>1.5</v>
      </c>
      <c r="O443">
        <v>2</v>
      </c>
    </row>
    <row r="444" spans="1:15" x14ac:dyDescent="0.2">
      <c r="A444" t="s">
        <v>1915</v>
      </c>
      <c r="B444">
        <v>9005266100</v>
      </c>
      <c r="C444" t="s">
        <v>1916</v>
      </c>
      <c r="D444">
        <v>2979</v>
      </c>
      <c r="E444">
        <v>48.550055829999998</v>
      </c>
      <c r="F444">
        <v>61.359352710000003</v>
      </c>
      <c r="G444">
        <v>5</v>
      </c>
      <c r="H444">
        <v>226</v>
      </c>
      <c r="I444">
        <v>8.0743122540000005</v>
      </c>
      <c r="J444">
        <v>0.36599999999999999</v>
      </c>
      <c r="K444">
        <f t="shared" si="6"/>
        <v>2</v>
      </c>
      <c r="N444">
        <v>3.3333333330000001</v>
      </c>
      <c r="O444">
        <v>4</v>
      </c>
    </row>
    <row r="445" spans="1:15" x14ac:dyDescent="0.2">
      <c r="A445" t="s">
        <v>1917</v>
      </c>
      <c r="B445">
        <v>9005267100</v>
      </c>
      <c r="C445" t="s">
        <v>1918</v>
      </c>
      <c r="D445">
        <v>3578</v>
      </c>
      <c r="E445">
        <v>38.070548979999998</v>
      </c>
      <c r="F445">
        <v>93.983409649999999</v>
      </c>
      <c r="G445">
        <v>5</v>
      </c>
      <c r="H445">
        <v>309</v>
      </c>
      <c r="I445">
        <v>8.9565217389999994</v>
      </c>
      <c r="J445">
        <v>0.44</v>
      </c>
      <c r="K445">
        <f t="shared" si="6"/>
        <v>3</v>
      </c>
      <c r="N445">
        <v>3.3333333330000001</v>
      </c>
      <c r="O445">
        <v>4</v>
      </c>
    </row>
    <row r="446" spans="1:15" x14ac:dyDescent="0.2">
      <c r="A446" t="s">
        <v>1919</v>
      </c>
      <c r="B446">
        <v>9005268100</v>
      </c>
      <c r="C446" t="s">
        <v>1920</v>
      </c>
      <c r="D446">
        <v>2262</v>
      </c>
      <c r="E446">
        <v>26.30168364</v>
      </c>
      <c r="F446">
        <v>86.002099000000001</v>
      </c>
      <c r="G446">
        <v>5</v>
      </c>
      <c r="H446">
        <v>74</v>
      </c>
      <c r="I446">
        <v>3.5154394299999998</v>
      </c>
      <c r="J446">
        <v>0.115</v>
      </c>
      <c r="K446">
        <f t="shared" si="6"/>
        <v>1</v>
      </c>
      <c r="N446">
        <v>2.3333333330000001</v>
      </c>
      <c r="O446">
        <v>3</v>
      </c>
    </row>
    <row r="447" spans="1:15" x14ac:dyDescent="0.2">
      <c r="A447" t="s">
        <v>1921</v>
      </c>
      <c r="B447">
        <v>9005290100</v>
      </c>
      <c r="C447" t="s">
        <v>1922</v>
      </c>
      <c r="D447">
        <v>3799</v>
      </c>
      <c r="E447">
        <v>36.25374789</v>
      </c>
      <c r="F447">
        <v>104.78916580000001</v>
      </c>
      <c r="G447">
        <v>2</v>
      </c>
      <c r="H447">
        <v>199</v>
      </c>
      <c r="I447">
        <v>5.4535489180000001</v>
      </c>
      <c r="J447">
        <v>0.224</v>
      </c>
      <c r="K447">
        <f t="shared" si="6"/>
        <v>2</v>
      </c>
      <c r="N447">
        <v>2</v>
      </c>
      <c r="O447">
        <v>2</v>
      </c>
    </row>
    <row r="448" spans="1:15" x14ac:dyDescent="0.2">
      <c r="A448" t="s">
        <v>1923</v>
      </c>
      <c r="B448">
        <v>9005293100</v>
      </c>
      <c r="C448" t="s">
        <v>1924</v>
      </c>
      <c r="D448">
        <v>1485</v>
      </c>
      <c r="E448">
        <v>31.531427170000001</v>
      </c>
      <c r="F448">
        <v>47.095870159999997</v>
      </c>
      <c r="G448">
        <v>3</v>
      </c>
      <c r="H448">
        <v>31</v>
      </c>
      <c r="I448">
        <v>2.0889487870000001</v>
      </c>
      <c r="J448">
        <v>3.4000000000000002E-2</v>
      </c>
      <c r="K448">
        <f t="shared" si="6"/>
        <v>1</v>
      </c>
      <c r="N448">
        <v>2</v>
      </c>
      <c r="O448">
        <v>2</v>
      </c>
    </row>
    <row r="449" spans="1:15" x14ac:dyDescent="0.2">
      <c r="A449" t="s">
        <v>1925</v>
      </c>
      <c r="B449">
        <v>9005296100</v>
      </c>
      <c r="C449" t="s">
        <v>1926</v>
      </c>
      <c r="D449">
        <v>2976</v>
      </c>
      <c r="E449">
        <v>43.631416049999999</v>
      </c>
      <c r="F449">
        <v>68.207733540000007</v>
      </c>
      <c r="G449">
        <v>5</v>
      </c>
      <c r="H449">
        <v>250</v>
      </c>
      <c r="I449">
        <v>8.6715227190000004</v>
      </c>
      <c r="J449">
        <v>0.42099999999999999</v>
      </c>
      <c r="K449">
        <f t="shared" si="6"/>
        <v>3</v>
      </c>
      <c r="N449">
        <v>3.6666666669999999</v>
      </c>
      <c r="O449">
        <v>4</v>
      </c>
    </row>
    <row r="450" spans="1:15" x14ac:dyDescent="0.2">
      <c r="A450" t="s">
        <v>1927</v>
      </c>
      <c r="B450">
        <v>9005298300</v>
      </c>
      <c r="C450" t="s">
        <v>1928</v>
      </c>
      <c r="D450">
        <v>2767</v>
      </c>
      <c r="E450">
        <v>6.7376254250000001</v>
      </c>
      <c r="F450">
        <v>410.67881119999998</v>
      </c>
      <c r="G450">
        <v>2</v>
      </c>
      <c r="H450">
        <v>43</v>
      </c>
      <c r="I450">
        <v>1.6494054469999999</v>
      </c>
      <c r="J450">
        <v>1.2999999999999999E-2</v>
      </c>
      <c r="K450">
        <f t="shared" si="6"/>
        <v>1</v>
      </c>
      <c r="N450">
        <v>2</v>
      </c>
      <c r="O450">
        <v>2</v>
      </c>
    </row>
    <row r="451" spans="1:15" x14ac:dyDescent="0.2">
      <c r="A451" t="s">
        <v>1929</v>
      </c>
      <c r="B451">
        <v>9005298400</v>
      </c>
      <c r="C451" t="s">
        <v>1930</v>
      </c>
      <c r="D451">
        <v>2875</v>
      </c>
      <c r="E451">
        <v>24.05547748</v>
      </c>
      <c r="F451">
        <v>119.5153995</v>
      </c>
      <c r="G451">
        <v>2</v>
      </c>
      <c r="H451">
        <v>56</v>
      </c>
      <c r="I451">
        <v>1.9656019659999999</v>
      </c>
      <c r="J451">
        <v>2.5999999999999999E-2</v>
      </c>
      <c r="K451">
        <f t="shared" ref="K451:K514" si="7">IF(J451&lt;0.2,1,IF(J451&lt;0.4,2,IF(J451&lt;0.6,3,IF(J451&lt;0.8,4,5))))</f>
        <v>1</v>
      </c>
      <c r="N451">
        <v>1.5</v>
      </c>
      <c r="O451">
        <v>2</v>
      </c>
    </row>
    <row r="452" spans="1:15" x14ac:dyDescent="0.2">
      <c r="A452" t="s">
        <v>1931</v>
      </c>
      <c r="B452">
        <v>9005300100</v>
      </c>
      <c r="C452" t="s">
        <v>1932</v>
      </c>
      <c r="D452">
        <v>2716</v>
      </c>
      <c r="E452">
        <v>21.181598139999998</v>
      </c>
      <c r="F452">
        <v>128.22450799999999</v>
      </c>
      <c r="G452">
        <v>3</v>
      </c>
      <c r="H452">
        <v>106</v>
      </c>
      <c r="I452">
        <v>4.7533632289999996</v>
      </c>
      <c r="J452">
        <v>0.16300000000000001</v>
      </c>
      <c r="K452">
        <f t="shared" si="7"/>
        <v>1</v>
      </c>
      <c r="N452">
        <v>2</v>
      </c>
      <c r="O452">
        <v>2</v>
      </c>
    </row>
    <row r="453" spans="1:15" x14ac:dyDescent="0.2">
      <c r="A453" t="s">
        <v>1933</v>
      </c>
      <c r="B453">
        <v>9005300400</v>
      </c>
      <c r="C453" t="s">
        <v>1934</v>
      </c>
      <c r="D453">
        <v>2074</v>
      </c>
      <c r="E453">
        <v>11.66278956</v>
      </c>
      <c r="F453">
        <v>177.8305259</v>
      </c>
      <c r="G453">
        <v>2</v>
      </c>
      <c r="H453">
        <v>109</v>
      </c>
      <c r="I453">
        <v>5.4364089780000002</v>
      </c>
      <c r="J453">
        <v>0.20899999999999999</v>
      </c>
      <c r="K453">
        <f t="shared" si="7"/>
        <v>2</v>
      </c>
      <c r="N453">
        <v>2.5</v>
      </c>
      <c r="O453">
        <v>3</v>
      </c>
    </row>
    <row r="454" spans="1:15" x14ac:dyDescent="0.2">
      <c r="A454" t="s">
        <v>1935</v>
      </c>
      <c r="B454">
        <v>9005300500</v>
      </c>
      <c r="C454" t="s">
        <v>1936</v>
      </c>
      <c r="D454">
        <v>3676</v>
      </c>
      <c r="E454">
        <v>23.254267200000001</v>
      </c>
      <c r="F454">
        <v>158.07851389999999</v>
      </c>
      <c r="G454">
        <v>2</v>
      </c>
      <c r="H454">
        <v>161</v>
      </c>
      <c r="I454">
        <v>4.1155419220000002</v>
      </c>
      <c r="J454">
        <v>0.13700000000000001</v>
      </c>
      <c r="K454">
        <f t="shared" si="7"/>
        <v>1</v>
      </c>
      <c r="N454">
        <v>2</v>
      </c>
      <c r="O454">
        <v>2</v>
      </c>
    </row>
    <row r="455" spans="1:15" x14ac:dyDescent="0.2">
      <c r="A455" t="s">
        <v>1937</v>
      </c>
      <c r="B455">
        <v>9005303100</v>
      </c>
      <c r="C455" t="s">
        <v>1938</v>
      </c>
      <c r="D455">
        <v>2388</v>
      </c>
      <c r="E455">
        <v>17.346009330000001</v>
      </c>
      <c r="F455">
        <v>137.66855279999999</v>
      </c>
      <c r="G455">
        <v>2</v>
      </c>
      <c r="H455">
        <v>62</v>
      </c>
      <c r="I455">
        <v>2.8117913830000001</v>
      </c>
      <c r="J455">
        <v>5.2999999999999999E-2</v>
      </c>
      <c r="K455">
        <f t="shared" si="7"/>
        <v>1</v>
      </c>
      <c r="N455">
        <v>2</v>
      </c>
      <c r="O455">
        <v>2</v>
      </c>
    </row>
    <row r="456" spans="1:15" x14ac:dyDescent="0.2">
      <c r="A456" t="s">
        <v>1939</v>
      </c>
      <c r="B456">
        <v>9005306100</v>
      </c>
      <c r="C456" t="s">
        <v>1940</v>
      </c>
      <c r="D456">
        <v>6970</v>
      </c>
      <c r="E456">
        <v>37.037713689999997</v>
      </c>
      <c r="F456">
        <v>188.18656189999999</v>
      </c>
      <c r="G456">
        <v>2</v>
      </c>
      <c r="H456">
        <v>115</v>
      </c>
      <c r="I456">
        <v>1.715649709</v>
      </c>
      <c r="J456">
        <v>1.6E-2</v>
      </c>
      <c r="K456">
        <f t="shared" si="7"/>
        <v>1</v>
      </c>
      <c r="N456">
        <v>1.5</v>
      </c>
      <c r="O456">
        <v>2</v>
      </c>
    </row>
    <row r="457" spans="1:15" x14ac:dyDescent="0.2">
      <c r="A457" t="s">
        <v>1941</v>
      </c>
      <c r="B457">
        <v>9005310100</v>
      </c>
      <c r="C457" t="s">
        <v>1942</v>
      </c>
      <c r="D457">
        <v>4406</v>
      </c>
      <c r="E457">
        <v>1.30006278</v>
      </c>
      <c r="F457">
        <v>3389.0671029999999</v>
      </c>
      <c r="G457">
        <v>2</v>
      </c>
      <c r="H457">
        <v>427</v>
      </c>
      <c r="I457">
        <v>10.33898305</v>
      </c>
      <c r="J457">
        <v>0.48699999999999999</v>
      </c>
      <c r="K457">
        <f t="shared" si="7"/>
        <v>3</v>
      </c>
      <c r="N457">
        <v>4</v>
      </c>
      <c r="O457">
        <v>4</v>
      </c>
    </row>
    <row r="458" spans="1:15" x14ac:dyDescent="0.2">
      <c r="A458" t="s">
        <v>1943</v>
      </c>
      <c r="B458">
        <v>9005310200</v>
      </c>
      <c r="C458" t="s">
        <v>1944</v>
      </c>
      <c r="D458">
        <v>2929</v>
      </c>
      <c r="E458">
        <v>0.52899434300000003</v>
      </c>
      <c r="F458">
        <v>5536.9212159999997</v>
      </c>
      <c r="G458">
        <v>2</v>
      </c>
      <c r="H458">
        <v>203</v>
      </c>
      <c r="I458">
        <v>8.0747812250000006</v>
      </c>
      <c r="J458">
        <v>0.35299999999999998</v>
      </c>
      <c r="K458">
        <f t="shared" si="7"/>
        <v>2</v>
      </c>
      <c r="N458">
        <v>3.5</v>
      </c>
      <c r="O458">
        <v>4</v>
      </c>
    </row>
    <row r="459" spans="1:15" x14ac:dyDescent="0.2">
      <c r="A459" t="s">
        <v>1945</v>
      </c>
      <c r="B459">
        <v>9005310300</v>
      </c>
      <c r="C459" t="s">
        <v>1946</v>
      </c>
      <c r="D459">
        <v>1817</v>
      </c>
      <c r="E459">
        <v>0.37459748799999998</v>
      </c>
      <c r="F459">
        <v>4850.5397279999997</v>
      </c>
      <c r="G459">
        <v>2</v>
      </c>
      <c r="H459">
        <v>126</v>
      </c>
      <c r="I459">
        <v>7.7681874229999996</v>
      </c>
      <c r="J459">
        <v>0.33700000000000002</v>
      </c>
      <c r="K459">
        <f t="shared" si="7"/>
        <v>2</v>
      </c>
      <c r="N459">
        <v>3.5</v>
      </c>
      <c r="O459">
        <v>4</v>
      </c>
    </row>
    <row r="460" spans="1:15" x14ac:dyDescent="0.2">
      <c r="A460" t="s">
        <v>1947</v>
      </c>
      <c r="B460">
        <v>9005310400</v>
      </c>
      <c r="C460" t="s">
        <v>1948</v>
      </c>
      <c r="D460">
        <v>2644</v>
      </c>
      <c r="E460">
        <v>0.77931210500000003</v>
      </c>
      <c r="F460">
        <v>3392.7357000000002</v>
      </c>
      <c r="G460">
        <v>2</v>
      </c>
      <c r="H460">
        <v>293</v>
      </c>
      <c r="I460">
        <v>11.954304369999999</v>
      </c>
      <c r="J460">
        <v>0.57299999999999995</v>
      </c>
      <c r="K460">
        <f t="shared" si="7"/>
        <v>3</v>
      </c>
      <c r="N460">
        <v>3.5</v>
      </c>
      <c r="O460">
        <v>4</v>
      </c>
    </row>
    <row r="461" spans="1:15" x14ac:dyDescent="0.2">
      <c r="A461" t="s">
        <v>1949</v>
      </c>
      <c r="B461">
        <v>9005310500</v>
      </c>
      <c r="C461" t="s">
        <v>1950</v>
      </c>
      <c r="D461">
        <v>1806</v>
      </c>
      <c r="E461">
        <v>0.562329246</v>
      </c>
      <c r="F461">
        <v>3211.641599</v>
      </c>
      <c r="G461">
        <v>2</v>
      </c>
      <c r="H461">
        <v>77</v>
      </c>
      <c r="I461">
        <v>3.8790931990000002</v>
      </c>
      <c r="J461">
        <v>0.123</v>
      </c>
      <c r="K461">
        <f t="shared" si="7"/>
        <v>1</v>
      </c>
      <c r="N461">
        <v>3</v>
      </c>
      <c r="O461">
        <v>3</v>
      </c>
    </row>
    <row r="462" spans="1:15" x14ac:dyDescent="0.2">
      <c r="A462" t="s">
        <v>1951</v>
      </c>
      <c r="B462">
        <v>9005310601</v>
      </c>
      <c r="C462" t="s">
        <v>1952</v>
      </c>
      <c r="D462">
        <v>3740</v>
      </c>
      <c r="E462">
        <v>5.2423852929999999</v>
      </c>
      <c r="F462">
        <v>713.41570509999997</v>
      </c>
      <c r="G462">
        <v>2</v>
      </c>
      <c r="H462">
        <v>385</v>
      </c>
      <c r="I462">
        <v>10.58273777</v>
      </c>
      <c r="J462">
        <v>0.5</v>
      </c>
      <c r="K462">
        <f t="shared" si="7"/>
        <v>3</v>
      </c>
      <c r="N462">
        <v>3</v>
      </c>
      <c r="O462">
        <v>3</v>
      </c>
    </row>
    <row r="463" spans="1:15" x14ac:dyDescent="0.2">
      <c r="A463" t="s">
        <v>1953</v>
      </c>
      <c r="B463">
        <v>9005310602</v>
      </c>
      <c r="C463" t="s">
        <v>1954</v>
      </c>
      <c r="D463">
        <v>4605</v>
      </c>
      <c r="E463">
        <v>2.3671074920000001</v>
      </c>
      <c r="F463">
        <v>1945.4122870000001</v>
      </c>
      <c r="G463">
        <v>2</v>
      </c>
      <c r="H463">
        <v>103</v>
      </c>
      <c r="I463">
        <v>2.315126995</v>
      </c>
      <c r="J463">
        <v>0.03</v>
      </c>
      <c r="K463">
        <f t="shared" si="7"/>
        <v>1</v>
      </c>
      <c r="N463">
        <v>2.5</v>
      </c>
      <c r="O463">
        <v>3</v>
      </c>
    </row>
    <row r="464" spans="1:15" x14ac:dyDescent="0.2">
      <c r="A464" t="s">
        <v>1955</v>
      </c>
      <c r="B464">
        <v>9005310700</v>
      </c>
      <c r="C464" t="s">
        <v>1956</v>
      </c>
      <c r="D464">
        <v>4279</v>
      </c>
      <c r="E464">
        <v>19.314517670000001</v>
      </c>
      <c r="F464">
        <v>221.5431973</v>
      </c>
      <c r="G464">
        <v>2</v>
      </c>
      <c r="H464">
        <v>114</v>
      </c>
      <c r="I464">
        <v>2.9457364340000001</v>
      </c>
      <c r="J464">
        <v>5.1999999999999998E-2</v>
      </c>
      <c r="K464">
        <f t="shared" si="7"/>
        <v>1</v>
      </c>
      <c r="N464">
        <v>3</v>
      </c>
      <c r="O464">
        <v>3</v>
      </c>
    </row>
    <row r="465" spans="1:15" x14ac:dyDescent="0.2">
      <c r="A465" t="s">
        <v>1957</v>
      </c>
      <c r="B465">
        <v>9005310801</v>
      </c>
      <c r="C465" t="s">
        <v>1958</v>
      </c>
      <c r="D465">
        <v>2414</v>
      </c>
      <c r="E465">
        <v>1.583554055</v>
      </c>
      <c r="F465">
        <v>1524.4190699999999</v>
      </c>
      <c r="G465">
        <v>2</v>
      </c>
      <c r="H465">
        <v>233</v>
      </c>
      <c r="I465">
        <v>10.121633360000001</v>
      </c>
      <c r="J465">
        <v>0.47599999999999998</v>
      </c>
      <c r="K465">
        <f t="shared" si="7"/>
        <v>3</v>
      </c>
      <c r="N465">
        <v>4</v>
      </c>
      <c r="O465">
        <v>4</v>
      </c>
    </row>
    <row r="466" spans="1:15" x14ac:dyDescent="0.2">
      <c r="A466" t="s">
        <v>1959</v>
      </c>
      <c r="B466">
        <v>9005310803</v>
      </c>
      <c r="C466" t="s">
        <v>1960</v>
      </c>
      <c r="D466">
        <v>4826</v>
      </c>
      <c r="E466">
        <v>2.2926631319999999</v>
      </c>
      <c r="F466">
        <v>2104.975621</v>
      </c>
      <c r="G466">
        <v>2</v>
      </c>
      <c r="H466">
        <v>823</v>
      </c>
      <c r="I466">
        <v>17.544233640000002</v>
      </c>
      <c r="J466">
        <v>0.72499999999999998</v>
      </c>
      <c r="K466">
        <f t="shared" si="7"/>
        <v>4</v>
      </c>
      <c r="N466">
        <v>4.5</v>
      </c>
      <c r="O466">
        <v>5</v>
      </c>
    </row>
    <row r="467" spans="1:15" x14ac:dyDescent="0.2">
      <c r="A467" t="s">
        <v>1961</v>
      </c>
      <c r="B467">
        <v>9005310804</v>
      </c>
      <c r="C467" t="s">
        <v>1962</v>
      </c>
      <c r="D467">
        <v>2917</v>
      </c>
      <c r="E467">
        <v>5.4085895380000002</v>
      </c>
      <c r="F467">
        <v>539.32730140000001</v>
      </c>
      <c r="G467">
        <v>2</v>
      </c>
      <c r="H467">
        <v>237</v>
      </c>
      <c r="I467">
        <v>8.3538949589999998</v>
      </c>
      <c r="J467">
        <v>0.38100000000000001</v>
      </c>
      <c r="K467">
        <f t="shared" si="7"/>
        <v>2</v>
      </c>
      <c r="N467">
        <v>3.5</v>
      </c>
      <c r="O467">
        <v>4</v>
      </c>
    </row>
    <row r="468" spans="1:15" x14ac:dyDescent="0.2">
      <c r="A468" t="s">
        <v>1963</v>
      </c>
      <c r="B468">
        <v>9005320100</v>
      </c>
      <c r="C468" t="s">
        <v>1964</v>
      </c>
      <c r="D468">
        <v>6345</v>
      </c>
      <c r="E468">
        <v>9.8187308200000007</v>
      </c>
      <c r="F468">
        <v>646.21386570000004</v>
      </c>
      <c r="G468">
        <v>2</v>
      </c>
      <c r="H468">
        <v>211</v>
      </c>
      <c r="I468">
        <v>3.3679169990000002</v>
      </c>
      <c r="J468">
        <v>8.5999999999999993E-2</v>
      </c>
      <c r="K468">
        <f t="shared" si="7"/>
        <v>1</v>
      </c>
      <c r="N468">
        <v>3</v>
      </c>
      <c r="O468">
        <v>3</v>
      </c>
    </row>
    <row r="469" spans="1:15" x14ac:dyDescent="0.2">
      <c r="A469" t="s">
        <v>1965</v>
      </c>
      <c r="B469">
        <v>9005320200</v>
      </c>
      <c r="C469" t="s">
        <v>1966</v>
      </c>
      <c r="D469">
        <v>4897</v>
      </c>
      <c r="E469">
        <v>22.693433710000001</v>
      </c>
      <c r="F469">
        <v>215.7892923</v>
      </c>
      <c r="G469">
        <v>2</v>
      </c>
      <c r="H469">
        <v>517</v>
      </c>
      <c r="I469">
        <v>11.57894737</v>
      </c>
      <c r="J469">
        <v>0.54300000000000004</v>
      </c>
      <c r="K469">
        <f t="shared" si="7"/>
        <v>3</v>
      </c>
      <c r="N469">
        <v>3.5</v>
      </c>
      <c r="O469">
        <v>4</v>
      </c>
    </row>
    <row r="470" spans="1:15" x14ac:dyDescent="0.2">
      <c r="A470" t="s">
        <v>1967</v>
      </c>
      <c r="B470">
        <v>9005342100</v>
      </c>
      <c r="C470" t="s">
        <v>1968</v>
      </c>
      <c r="D470">
        <v>3607</v>
      </c>
      <c r="E470">
        <v>19.375040349999999</v>
      </c>
      <c r="F470">
        <v>186.1673543</v>
      </c>
      <c r="G470">
        <v>2</v>
      </c>
      <c r="H470">
        <v>287</v>
      </c>
      <c r="I470">
        <v>8.3600349549999997</v>
      </c>
      <c r="J470">
        <v>0.38200000000000001</v>
      </c>
      <c r="K470">
        <f t="shared" si="7"/>
        <v>2</v>
      </c>
      <c r="N470">
        <v>2</v>
      </c>
      <c r="O470">
        <v>2</v>
      </c>
    </row>
    <row r="471" spans="1:15" x14ac:dyDescent="0.2">
      <c r="A471" t="s">
        <v>1969</v>
      </c>
      <c r="B471">
        <v>9005349100</v>
      </c>
      <c r="C471" t="s">
        <v>1970</v>
      </c>
      <c r="D471">
        <v>5045</v>
      </c>
      <c r="E471">
        <v>8.4237648979999999</v>
      </c>
      <c r="F471">
        <v>598.90085509999994</v>
      </c>
      <c r="G471">
        <v>1</v>
      </c>
      <c r="H471">
        <v>88</v>
      </c>
      <c r="I471">
        <v>1.7374136229999999</v>
      </c>
      <c r="J471">
        <v>1.6E-2</v>
      </c>
      <c r="K471">
        <f t="shared" si="7"/>
        <v>1</v>
      </c>
      <c r="N471">
        <v>2</v>
      </c>
      <c r="O471">
        <v>2</v>
      </c>
    </row>
    <row r="472" spans="1:15" x14ac:dyDescent="0.2">
      <c r="A472" t="s">
        <v>1971</v>
      </c>
      <c r="B472">
        <v>9005349200</v>
      </c>
      <c r="C472" t="s">
        <v>1972</v>
      </c>
      <c r="D472">
        <v>2842</v>
      </c>
      <c r="E472">
        <v>3.544973954</v>
      </c>
      <c r="F472">
        <v>801.69841510000003</v>
      </c>
      <c r="G472">
        <v>1</v>
      </c>
      <c r="H472">
        <v>13</v>
      </c>
      <c r="I472">
        <v>0.51302288900000004</v>
      </c>
      <c r="J472">
        <v>0</v>
      </c>
      <c r="K472">
        <f t="shared" si="7"/>
        <v>1</v>
      </c>
      <c r="N472">
        <v>2</v>
      </c>
      <c r="O472">
        <v>2</v>
      </c>
    </row>
    <row r="473" spans="1:15" x14ac:dyDescent="0.2">
      <c r="A473" t="s">
        <v>1973</v>
      </c>
      <c r="B473">
        <v>9005360100</v>
      </c>
      <c r="C473" t="s">
        <v>1974</v>
      </c>
      <c r="D473">
        <v>5357</v>
      </c>
      <c r="E473">
        <v>3.6229426550000001</v>
      </c>
      <c r="F473">
        <v>1478.632292</v>
      </c>
      <c r="G473">
        <v>1</v>
      </c>
      <c r="H473">
        <v>421</v>
      </c>
      <c r="I473">
        <v>8.6965503000000002</v>
      </c>
      <c r="J473">
        <v>0.40200000000000002</v>
      </c>
      <c r="K473">
        <f t="shared" si="7"/>
        <v>3</v>
      </c>
      <c r="N473">
        <v>3.5</v>
      </c>
      <c r="O473">
        <v>4</v>
      </c>
    </row>
    <row r="474" spans="1:15" x14ac:dyDescent="0.2">
      <c r="A474" t="s">
        <v>1975</v>
      </c>
      <c r="B474">
        <v>9005360200</v>
      </c>
      <c r="C474" t="s">
        <v>1976</v>
      </c>
      <c r="D474">
        <v>7765</v>
      </c>
      <c r="E474">
        <v>21.102913990000001</v>
      </c>
      <c r="F474">
        <v>367.95866219999999</v>
      </c>
      <c r="G474">
        <v>1</v>
      </c>
      <c r="H474">
        <v>492</v>
      </c>
      <c r="I474">
        <v>6.1785759139999996</v>
      </c>
      <c r="J474">
        <v>0.24399999999999999</v>
      </c>
      <c r="K474">
        <f t="shared" si="7"/>
        <v>2</v>
      </c>
      <c r="N474">
        <v>2</v>
      </c>
      <c r="O474">
        <v>2</v>
      </c>
    </row>
    <row r="475" spans="1:15" x14ac:dyDescent="0.2">
      <c r="A475" t="s">
        <v>1977</v>
      </c>
      <c r="B475">
        <v>9005360300</v>
      </c>
      <c r="C475" t="s">
        <v>1978</v>
      </c>
      <c r="D475">
        <v>3396</v>
      </c>
      <c r="E475">
        <v>2.1952476230000002</v>
      </c>
      <c r="F475">
        <v>1546.978102</v>
      </c>
      <c r="G475">
        <v>1</v>
      </c>
      <c r="H475">
        <v>238</v>
      </c>
      <c r="I475">
        <v>7.3411474400000003</v>
      </c>
      <c r="J475">
        <v>0.307</v>
      </c>
      <c r="K475">
        <f t="shared" si="7"/>
        <v>2</v>
      </c>
      <c r="N475">
        <v>3</v>
      </c>
      <c r="O475">
        <v>3</v>
      </c>
    </row>
    <row r="476" spans="1:15" x14ac:dyDescent="0.2">
      <c r="A476" t="s">
        <v>1979</v>
      </c>
      <c r="B476">
        <v>9005360400</v>
      </c>
      <c r="C476" t="s">
        <v>1980</v>
      </c>
      <c r="D476">
        <v>5996</v>
      </c>
      <c r="E476">
        <v>2.0845907389999998</v>
      </c>
      <c r="F476">
        <v>2876.3439680000001</v>
      </c>
      <c r="G476">
        <v>1</v>
      </c>
      <c r="H476">
        <v>768</v>
      </c>
      <c r="I476">
        <v>13.46187555</v>
      </c>
      <c r="J476">
        <v>0.61699999999999999</v>
      </c>
      <c r="K476">
        <f t="shared" si="7"/>
        <v>4</v>
      </c>
      <c r="N476">
        <v>4</v>
      </c>
      <c r="O476">
        <v>4</v>
      </c>
    </row>
    <row r="477" spans="1:15" x14ac:dyDescent="0.2">
      <c r="A477" t="s">
        <v>1981</v>
      </c>
      <c r="B477">
        <v>9005362101</v>
      </c>
      <c r="C477" t="s">
        <v>1982</v>
      </c>
      <c r="D477">
        <v>4159</v>
      </c>
      <c r="E477">
        <v>9.998662156</v>
      </c>
      <c r="F477">
        <v>415.95564839999997</v>
      </c>
      <c r="G477">
        <v>1</v>
      </c>
      <c r="H477">
        <v>288</v>
      </c>
      <c r="I477">
        <v>6.855510593</v>
      </c>
      <c r="J477">
        <v>0.27500000000000002</v>
      </c>
      <c r="K477">
        <f t="shared" si="7"/>
        <v>2</v>
      </c>
      <c r="N477">
        <v>2.5</v>
      </c>
      <c r="O477">
        <v>3</v>
      </c>
    </row>
    <row r="478" spans="1:15" x14ac:dyDescent="0.2">
      <c r="A478" t="s">
        <v>1983</v>
      </c>
      <c r="B478">
        <v>9005362102</v>
      </c>
      <c r="C478" t="s">
        <v>1984</v>
      </c>
      <c r="D478">
        <v>5816</v>
      </c>
      <c r="E478">
        <v>26.400081</v>
      </c>
      <c r="F478">
        <v>220.30235429999999</v>
      </c>
      <c r="G478">
        <v>2</v>
      </c>
      <c r="H478">
        <v>207</v>
      </c>
      <c r="I478">
        <v>3.8612199220000001</v>
      </c>
      <c r="J478">
        <v>0.112</v>
      </c>
      <c r="K478">
        <f t="shared" si="7"/>
        <v>1</v>
      </c>
      <c r="N478">
        <v>1.5</v>
      </c>
      <c r="O478">
        <v>2</v>
      </c>
    </row>
    <row r="479" spans="1:15" x14ac:dyDescent="0.2">
      <c r="A479" t="s">
        <v>1985</v>
      </c>
      <c r="B479">
        <v>9005425300</v>
      </c>
      <c r="C479" t="s">
        <v>1986</v>
      </c>
      <c r="D479">
        <v>4107</v>
      </c>
      <c r="E479">
        <v>6.9832532040000004</v>
      </c>
      <c r="F479">
        <v>588.12130679999996</v>
      </c>
      <c r="G479">
        <v>1</v>
      </c>
      <c r="H479">
        <v>121</v>
      </c>
      <c r="I479">
        <v>3.0563273550000001</v>
      </c>
      <c r="J479">
        <v>5.3999999999999999E-2</v>
      </c>
      <c r="K479">
        <f t="shared" si="7"/>
        <v>1</v>
      </c>
      <c r="N479">
        <v>2</v>
      </c>
      <c r="O479">
        <v>2</v>
      </c>
    </row>
    <row r="480" spans="1:15" x14ac:dyDescent="0.2">
      <c r="A480" t="s">
        <v>1987</v>
      </c>
      <c r="B480">
        <v>9005425400</v>
      </c>
      <c r="C480" t="s">
        <v>1988</v>
      </c>
      <c r="D480">
        <v>4818</v>
      </c>
      <c r="E480">
        <v>13.116497450000001</v>
      </c>
      <c r="F480">
        <v>367.32367140000002</v>
      </c>
      <c r="G480">
        <v>1</v>
      </c>
      <c r="H480">
        <v>364</v>
      </c>
      <c r="I480">
        <v>7.7645051189999998</v>
      </c>
      <c r="J480">
        <v>0.32300000000000001</v>
      </c>
      <c r="K480">
        <f t="shared" si="7"/>
        <v>2</v>
      </c>
      <c r="N480">
        <v>2.5</v>
      </c>
      <c r="O480">
        <v>3</v>
      </c>
    </row>
    <row r="481" spans="1:15" x14ac:dyDescent="0.2">
      <c r="A481" t="s">
        <v>1989</v>
      </c>
      <c r="B481">
        <v>9005425500</v>
      </c>
      <c r="C481" t="s">
        <v>1990</v>
      </c>
      <c r="D481">
        <v>3318</v>
      </c>
      <c r="E481">
        <v>1.792592475</v>
      </c>
      <c r="F481">
        <v>1850.9505340000001</v>
      </c>
      <c r="G481">
        <v>1</v>
      </c>
      <c r="H481">
        <v>342</v>
      </c>
      <c r="I481">
        <v>11.161879900000001</v>
      </c>
      <c r="J481">
        <v>0.51</v>
      </c>
      <c r="K481">
        <f t="shared" si="7"/>
        <v>3</v>
      </c>
      <c r="N481">
        <v>3.5</v>
      </c>
      <c r="O481">
        <v>4</v>
      </c>
    </row>
    <row r="482" spans="1:15" x14ac:dyDescent="0.2">
      <c r="A482" t="s">
        <v>1991</v>
      </c>
      <c r="B482">
        <v>9005425600</v>
      </c>
      <c r="C482" t="s">
        <v>1992</v>
      </c>
      <c r="D482">
        <v>2943</v>
      </c>
      <c r="E482">
        <v>78.234308810000002</v>
      </c>
      <c r="F482">
        <v>37.617767000000001</v>
      </c>
      <c r="G482">
        <v>5</v>
      </c>
      <c r="H482">
        <v>147</v>
      </c>
      <c r="I482">
        <v>5.3049440639999998</v>
      </c>
      <c r="J482">
        <v>0.186</v>
      </c>
      <c r="K482">
        <f t="shared" si="7"/>
        <v>1</v>
      </c>
      <c r="N482">
        <v>3.3333333330000001</v>
      </c>
      <c r="O482">
        <v>4</v>
      </c>
    </row>
    <row r="483" spans="1:15" x14ac:dyDescent="0.2">
      <c r="A483" t="s">
        <v>1993</v>
      </c>
      <c r="B483">
        <v>9007541100</v>
      </c>
      <c r="C483" t="s">
        <v>1994</v>
      </c>
      <c r="D483">
        <v>2579</v>
      </c>
      <c r="E483">
        <v>0.60277383500000004</v>
      </c>
      <c r="F483">
        <v>4278.5533299999997</v>
      </c>
      <c r="G483">
        <v>1</v>
      </c>
      <c r="H483">
        <v>430</v>
      </c>
      <c r="I483">
        <v>19.53657428</v>
      </c>
      <c r="J483">
        <v>0.76</v>
      </c>
      <c r="K483">
        <f t="shared" si="7"/>
        <v>4</v>
      </c>
      <c r="N483">
        <v>4.5</v>
      </c>
      <c r="O483">
        <v>5</v>
      </c>
    </row>
    <row r="484" spans="1:15" x14ac:dyDescent="0.2">
      <c r="A484" t="s">
        <v>1995</v>
      </c>
      <c r="B484">
        <v>9007541200</v>
      </c>
      <c r="C484" t="s">
        <v>1996</v>
      </c>
      <c r="D484">
        <v>5190</v>
      </c>
      <c r="E484">
        <v>3.450725254</v>
      </c>
      <c r="F484">
        <v>1504.031651</v>
      </c>
      <c r="G484">
        <v>1</v>
      </c>
      <c r="H484">
        <v>779</v>
      </c>
      <c r="I484">
        <v>15.018315019999999</v>
      </c>
      <c r="J484">
        <v>0.63700000000000001</v>
      </c>
      <c r="K484">
        <f t="shared" si="7"/>
        <v>4</v>
      </c>
      <c r="N484">
        <v>4</v>
      </c>
      <c r="O484">
        <v>4</v>
      </c>
    </row>
    <row r="485" spans="1:15" x14ac:dyDescent="0.2">
      <c r="A485" t="s">
        <v>1997</v>
      </c>
      <c r="B485">
        <v>9007541300</v>
      </c>
      <c r="C485" t="s">
        <v>1998</v>
      </c>
      <c r="D485">
        <v>6207</v>
      </c>
      <c r="E485">
        <v>0.83243744799999997</v>
      </c>
      <c r="F485">
        <v>7456.4161160000003</v>
      </c>
      <c r="G485">
        <v>1</v>
      </c>
      <c r="H485">
        <v>1234</v>
      </c>
      <c r="I485">
        <v>19.900016130000001</v>
      </c>
      <c r="J485">
        <v>0.77100000000000002</v>
      </c>
      <c r="K485">
        <f t="shared" si="7"/>
        <v>4</v>
      </c>
      <c r="N485">
        <v>3.5</v>
      </c>
      <c r="O485">
        <v>4</v>
      </c>
    </row>
    <row r="486" spans="1:15" x14ac:dyDescent="0.2">
      <c r="A486" t="s">
        <v>1999</v>
      </c>
      <c r="B486">
        <v>9007541401</v>
      </c>
      <c r="C486" t="s">
        <v>2000</v>
      </c>
      <c r="D486">
        <v>3339</v>
      </c>
      <c r="E486">
        <v>8.6443307849999993</v>
      </c>
      <c r="F486">
        <v>386.26471880000003</v>
      </c>
      <c r="G486">
        <v>1</v>
      </c>
      <c r="H486">
        <v>235</v>
      </c>
      <c r="I486">
        <v>7.2530864199999998</v>
      </c>
      <c r="J486">
        <v>0.3</v>
      </c>
      <c r="K486">
        <f t="shared" si="7"/>
        <v>2</v>
      </c>
      <c r="N486">
        <v>1.5</v>
      </c>
      <c r="O486">
        <v>2</v>
      </c>
    </row>
    <row r="487" spans="1:15" x14ac:dyDescent="0.2">
      <c r="A487" t="s">
        <v>2001</v>
      </c>
      <c r="B487">
        <v>9007541402</v>
      </c>
      <c r="C487" t="s">
        <v>2002</v>
      </c>
      <c r="D487">
        <v>5479</v>
      </c>
      <c r="E487">
        <v>3.0580087630000001</v>
      </c>
      <c r="F487">
        <v>1791.6887830000001</v>
      </c>
      <c r="G487">
        <v>1</v>
      </c>
      <c r="H487">
        <v>446</v>
      </c>
      <c r="I487">
        <v>7.9120099340000003</v>
      </c>
      <c r="J487">
        <v>0.33</v>
      </c>
      <c r="K487">
        <f t="shared" si="7"/>
        <v>2</v>
      </c>
      <c r="N487">
        <v>3</v>
      </c>
      <c r="O487">
        <v>3</v>
      </c>
    </row>
    <row r="488" spans="1:15" x14ac:dyDescent="0.2">
      <c r="A488" t="s">
        <v>2003</v>
      </c>
      <c r="B488">
        <v>9007541500</v>
      </c>
      <c r="C488" t="s">
        <v>2004</v>
      </c>
      <c r="D488">
        <v>3227</v>
      </c>
      <c r="E488">
        <v>0.47237825</v>
      </c>
      <c r="F488">
        <v>6831.3898810000001</v>
      </c>
      <c r="G488">
        <v>1</v>
      </c>
      <c r="H488">
        <v>742</v>
      </c>
      <c r="I488">
        <v>21.933195390000002</v>
      </c>
      <c r="J488">
        <v>0.81899999999999995</v>
      </c>
      <c r="K488">
        <f t="shared" si="7"/>
        <v>5</v>
      </c>
      <c r="N488">
        <v>4.5</v>
      </c>
      <c r="O488">
        <v>5</v>
      </c>
    </row>
    <row r="489" spans="1:15" x14ac:dyDescent="0.2">
      <c r="A489" t="s">
        <v>2005</v>
      </c>
      <c r="B489">
        <v>9007541600</v>
      </c>
      <c r="C489" t="s">
        <v>2006</v>
      </c>
      <c r="D489">
        <v>1540</v>
      </c>
      <c r="E489">
        <v>0.253534765</v>
      </c>
      <c r="F489">
        <v>6074.1176759999998</v>
      </c>
      <c r="G489">
        <v>1</v>
      </c>
      <c r="H489">
        <v>273</v>
      </c>
      <c r="I489">
        <v>21.344800630000002</v>
      </c>
      <c r="J489">
        <v>0.80100000000000005</v>
      </c>
      <c r="K489">
        <f t="shared" si="7"/>
        <v>5</v>
      </c>
      <c r="N489">
        <v>5</v>
      </c>
      <c r="O489">
        <v>5</v>
      </c>
    </row>
    <row r="490" spans="1:15" x14ac:dyDescent="0.2">
      <c r="A490" t="s">
        <v>2007</v>
      </c>
      <c r="B490">
        <v>9007541700</v>
      </c>
      <c r="C490" t="s">
        <v>2008</v>
      </c>
      <c r="D490">
        <v>3740</v>
      </c>
      <c r="E490">
        <v>0.72545162399999996</v>
      </c>
      <c r="F490">
        <v>5155.4092339999997</v>
      </c>
      <c r="G490">
        <v>1</v>
      </c>
      <c r="H490">
        <v>434</v>
      </c>
      <c r="I490">
        <v>13.12367705</v>
      </c>
      <c r="J490">
        <v>0.61</v>
      </c>
      <c r="K490">
        <f t="shared" si="7"/>
        <v>4</v>
      </c>
      <c r="N490">
        <v>4.5</v>
      </c>
      <c r="O490">
        <v>5</v>
      </c>
    </row>
    <row r="491" spans="1:15" x14ac:dyDescent="0.2">
      <c r="A491" t="s">
        <v>2009</v>
      </c>
      <c r="B491">
        <v>9007542000</v>
      </c>
      <c r="C491" t="s">
        <v>2010</v>
      </c>
      <c r="D491">
        <v>4439</v>
      </c>
      <c r="E491">
        <v>1.5390384050000001</v>
      </c>
      <c r="F491">
        <v>2884.2685059999999</v>
      </c>
      <c r="G491">
        <v>1</v>
      </c>
      <c r="H491">
        <v>344</v>
      </c>
      <c r="I491">
        <v>8.4458629999999992</v>
      </c>
      <c r="J491">
        <v>0.376</v>
      </c>
      <c r="K491">
        <f t="shared" si="7"/>
        <v>2</v>
      </c>
      <c r="N491">
        <v>3</v>
      </c>
      <c r="O491">
        <v>3</v>
      </c>
    </row>
    <row r="492" spans="1:15" x14ac:dyDescent="0.2">
      <c r="A492" t="s">
        <v>2011</v>
      </c>
      <c r="B492">
        <v>9007542100</v>
      </c>
      <c r="C492" t="s">
        <v>2012</v>
      </c>
      <c r="D492">
        <v>3544</v>
      </c>
      <c r="E492">
        <v>1.8827156730000001</v>
      </c>
      <c r="F492">
        <v>1882.387262</v>
      </c>
      <c r="G492">
        <v>1</v>
      </c>
      <c r="H492">
        <v>510</v>
      </c>
      <c r="I492">
        <v>13.127413130000001</v>
      </c>
      <c r="J492">
        <v>0.61</v>
      </c>
      <c r="K492">
        <f t="shared" si="7"/>
        <v>4</v>
      </c>
      <c r="N492">
        <v>4.5</v>
      </c>
      <c r="O492">
        <v>5</v>
      </c>
    </row>
    <row r="493" spans="1:15" x14ac:dyDescent="0.2">
      <c r="A493" t="s">
        <v>2013</v>
      </c>
      <c r="B493">
        <v>9007542200</v>
      </c>
      <c r="C493" t="s">
        <v>2014</v>
      </c>
      <c r="D493">
        <v>1638</v>
      </c>
      <c r="E493">
        <v>1.4697029479999999</v>
      </c>
      <c r="F493">
        <v>1114.5109299999999</v>
      </c>
      <c r="G493">
        <v>1</v>
      </c>
      <c r="H493">
        <v>186</v>
      </c>
      <c r="I493">
        <v>11.204819280000001</v>
      </c>
      <c r="J493">
        <v>0.51600000000000001</v>
      </c>
      <c r="K493">
        <f t="shared" si="7"/>
        <v>3</v>
      </c>
      <c r="N493">
        <v>2.5</v>
      </c>
      <c r="O493">
        <v>3</v>
      </c>
    </row>
    <row r="494" spans="1:15" x14ac:dyDescent="0.2">
      <c r="A494" t="s">
        <v>2015</v>
      </c>
      <c r="B494">
        <v>9007550100</v>
      </c>
      <c r="C494" t="s">
        <v>2016</v>
      </c>
      <c r="D494">
        <v>5829</v>
      </c>
      <c r="E494">
        <v>12.646811489999999</v>
      </c>
      <c r="F494">
        <v>460.90668820000002</v>
      </c>
      <c r="G494">
        <v>2</v>
      </c>
      <c r="H494">
        <v>700</v>
      </c>
      <c r="I494">
        <v>12.341325810000001</v>
      </c>
      <c r="J494">
        <v>0.56899999999999995</v>
      </c>
      <c r="K494">
        <f t="shared" si="7"/>
        <v>3</v>
      </c>
      <c r="N494">
        <v>3</v>
      </c>
      <c r="O494">
        <v>3</v>
      </c>
    </row>
    <row r="495" spans="1:15" x14ac:dyDescent="0.2">
      <c r="A495" t="s">
        <v>2017</v>
      </c>
      <c r="B495">
        <v>9007550201</v>
      </c>
      <c r="C495" t="s">
        <v>2018</v>
      </c>
      <c r="D495">
        <v>3954</v>
      </c>
      <c r="E495">
        <v>12.384916840000001</v>
      </c>
      <c r="F495">
        <v>319.25930959999999</v>
      </c>
      <c r="G495">
        <v>2</v>
      </c>
      <c r="H495">
        <v>223</v>
      </c>
      <c r="I495">
        <v>5.6341586660000003</v>
      </c>
      <c r="J495">
        <v>0.214</v>
      </c>
      <c r="K495">
        <f t="shared" si="7"/>
        <v>2</v>
      </c>
      <c r="N495">
        <v>2</v>
      </c>
      <c r="O495">
        <v>2</v>
      </c>
    </row>
    <row r="496" spans="1:15" x14ac:dyDescent="0.2">
      <c r="A496" t="s">
        <v>2019</v>
      </c>
      <c r="B496">
        <v>9007550202</v>
      </c>
      <c r="C496" t="s">
        <v>2020</v>
      </c>
      <c r="D496">
        <v>3176</v>
      </c>
      <c r="E496">
        <v>10.618344949999999</v>
      </c>
      <c r="F496">
        <v>299.10499379999999</v>
      </c>
      <c r="G496">
        <v>2</v>
      </c>
      <c r="H496">
        <v>64</v>
      </c>
      <c r="I496">
        <v>2.001876759</v>
      </c>
      <c r="J496">
        <v>2.1000000000000001E-2</v>
      </c>
      <c r="K496">
        <f t="shared" si="7"/>
        <v>1</v>
      </c>
      <c r="N496">
        <v>2</v>
      </c>
      <c r="O496">
        <v>2</v>
      </c>
    </row>
    <row r="497" spans="1:15" x14ac:dyDescent="0.2">
      <c r="A497" t="s">
        <v>2021</v>
      </c>
      <c r="B497">
        <v>9007560100</v>
      </c>
      <c r="C497" t="s">
        <v>2022</v>
      </c>
      <c r="D497">
        <v>5816</v>
      </c>
      <c r="E497">
        <v>21.124519500000002</v>
      </c>
      <c r="F497">
        <v>275.31987179999999</v>
      </c>
      <c r="G497">
        <v>1</v>
      </c>
      <c r="H497">
        <v>148</v>
      </c>
      <c r="I497">
        <v>2.604258314</v>
      </c>
      <c r="J497">
        <v>2.7E-2</v>
      </c>
      <c r="K497">
        <f t="shared" si="7"/>
        <v>1</v>
      </c>
      <c r="N497">
        <v>1.5</v>
      </c>
      <c r="O497">
        <v>2</v>
      </c>
    </row>
    <row r="498" spans="1:15" x14ac:dyDescent="0.2">
      <c r="A498" t="s">
        <v>2023</v>
      </c>
      <c r="B498">
        <v>9007560200</v>
      </c>
      <c r="C498" t="s">
        <v>2024</v>
      </c>
      <c r="D498">
        <v>3692</v>
      </c>
      <c r="E498">
        <v>2.2257222809999999</v>
      </c>
      <c r="F498">
        <v>1658.787366</v>
      </c>
      <c r="G498">
        <v>1</v>
      </c>
      <c r="H498">
        <v>108</v>
      </c>
      <c r="I498">
        <v>2.9678483099999999</v>
      </c>
      <c r="J498">
        <v>4.4999999999999998E-2</v>
      </c>
      <c r="K498">
        <f t="shared" si="7"/>
        <v>1</v>
      </c>
      <c r="N498">
        <v>2.5</v>
      </c>
      <c r="O498">
        <v>3</v>
      </c>
    </row>
    <row r="499" spans="1:15" x14ac:dyDescent="0.2">
      <c r="A499" t="s">
        <v>2025</v>
      </c>
      <c r="B499">
        <v>9007570100</v>
      </c>
      <c r="C499" t="s">
        <v>2026</v>
      </c>
      <c r="D499">
        <v>4675</v>
      </c>
      <c r="E499">
        <v>3.9177922829999998</v>
      </c>
      <c r="F499">
        <v>1193.274085</v>
      </c>
      <c r="G499">
        <v>1</v>
      </c>
      <c r="H499">
        <v>389</v>
      </c>
      <c r="I499">
        <v>8.2206255279999993</v>
      </c>
      <c r="J499">
        <v>0.35699999999999998</v>
      </c>
      <c r="K499">
        <f t="shared" si="7"/>
        <v>2</v>
      </c>
      <c r="N499">
        <v>2</v>
      </c>
      <c r="O499">
        <v>2</v>
      </c>
    </row>
    <row r="500" spans="1:15" x14ac:dyDescent="0.2">
      <c r="A500" t="s">
        <v>2027</v>
      </c>
      <c r="B500">
        <v>9007570200</v>
      </c>
      <c r="C500" t="s">
        <v>2028</v>
      </c>
      <c r="D500">
        <v>3388</v>
      </c>
      <c r="E500">
        <v>2.4815196049999999</v>
      </c>
      <c r="F500">
        <v>1365.292457</v>
      </c>
      <c r="G500">
        <v>1</v>
      </c>
      <c r="H500">
        <v>214</v>
      </c>
      <c r="I500">
        <v>6.286721504</v>
      </c>
      <c r="J500">
        <v>0.248</v>
      </c>
      <c r="K500">
        <f t="shared" si="7"/>
        <v>2</v>
      </c>
      <c r="N500">
        <v>2</v>
      </c>
      <c r="O500">
        <v>2</v>
      </c>
    </row>
    <row r="501" spans="1:15" x14ac:dyDescent="0.2">
      <c r="A501" t="s">
        <v>2029</v>
      </c>
      <c r="B501">
        <v>9007570300</v>
      </c>
      <c r="C501" t="s">
        <v>2030</v>
      </c>
      <c r="D501">
        <v>5942</v>
      </c>
      <c r="E501">
        <v>6.0534519849999997</v>
      </c>
      <c r="F501">
        <v>981.58868930000006</v>
      </c>
      <c r="G501">
        <v>1</v>
      </c>
      <c r="H501">
        <v>338</v>
      </c>
      <c r="I501">
        <v>5.8538275029999998</v>
      </c>
      <c r="J501">
        <v>0.215</v>
      </c>
      <c r="K501">
        <f t="shared" si="7"/>
        <v>2</v>
      </c>
      <c r="N501">
        <v>3</v>
      </c>
      <c r="O501">
        <v>3</v>
      </c>
    </row>
    <row r="502" spans="1:15" x14ac:dyDescent="0.2">
      <c r="A502" t="s">
        <v>2031</v>
      </c>
      <c r="B502">
        <v>9007580100</v>
      </c>
      <c r="C502" t="s">
        <v>2032</v>
      </c>
      <c r="D502">
        <v>4425</v>
      </c>
      <c r="E502">
        <v>12.648591809999999</v>
      </c>
      <c r="F502">
        <v>349.8413157</v>
      </c>
      <c r="G502">
        <v>1</v>
      </c>
      <c r="H502">
        <v>133</v>
      </c>
      <c r="I502">
        <v>3.035836567</v>
      </c>
      <c r="J502">
        <v>4.5999999999999999E-2</v>
      </c>
      <c r="K502">
        <f t="shared" si="7"/>
        <v>1</v>
      </c>
      <c r="N502">
        <v>2</v>
      </c>
      <c r="O502">
        <v>2</v>
      </c>
    </row>
    <row r="503" spans="1:15" x14ac:dyDescent="0.2">
      <c r="A503" t="s">
        <v>2033</v>
      </c>
      <c r="B503">
        <v>9007585100</v>
      </c>
      <c r="C503" t="s">
        <v>2034</v>
      </c>
      <c r="D503">
        <v>7388</v>
      </c>
      <c r="E503">
        <v>23.65904437</v>
      </c>
      <c r="F503">
        <v>312.2695865</v>
      </c>
      <c r="G503">
        <v>1</v>
      </c>
      <c r="H503">
        <v>194</v>
      </c>
      <c r="I503">
        <v>2.686608503</v>
      </c>
      <c r="J503">
        <v>0.03</v>
      </c>
      <c r="K503">
        <f t="shared" si="7"/>
        <v>1</v>
      </c>
      <c r="N503">
        <v>1.5</v>
      </c>
      <c r="O503">
        <v>2</v>
      </c>
    </row>
    <row r="504" spans="1:15" x14ac:dyDescent="0.2">
      <c r="A504" t="s">
        <v>2035</v>
      </c>
      <c r="B504">
        <v>9007590100</v>
      </c>
      <c r="C504" t="s">
        <v>2036</v>
      </c>
      <c r="D504">
        <v>8346</v>
      </c>
      <c r="E504">
        <v>43.936902410000002</v>
      </c>
      <c r="F504">
        <v>189.9542194</v>
      </c>
      <c r="G504">
        <v>2</v>
      </c>
      <c r="H504">
        <v>405</v>
      </c>
      <c r="I504">
        <v>4.9228151210000002</v>
      </c>
      <c r="J504">
        <v>0.155</v>
      </c>
      <c r="K504">
        <f t="shared" si="7"/>
        <v>1</v>
      </c>
      <c r="N504">
        <v>1.5</v>
      </c>
      <c r="O504">
        <v>2</v>
      </c>
    </row>
    <row r="505" spans="1:15" x14ac:dyDescent="0.2">
      <c r="A505" t="s">
        <v>2037</v>
      </c>
      <c r="B505">
        <v>9007595101</v>
      </c>
      <c r="C505" t="s">
        <v>2038</v>
      </c>
      <c r="D505">
        <v>3697</v>
      </c>
      <c r="E505">
        <v>34.292008299999999</v>
      </c>
      <c r="F505">
        <v>107.8093755</v>
      </c>
      <c r="G505">
        <v>2</v>
      </c>
      <c r="H505">
        <v>126</v>
      </c>
      <c r="I505">
        <v>3.2583397980000002</v>
      </c>
      <c r="J505">
        <v>5.8999999999999997E-2</v>
      </c>
      <c r="K505">
        <f t="shared" si="7"/>
        <v>1</v>
      </c>
      <c r="N505">
        <v>1.5</v>
      </c>
      <c r="O505">
        <v>2</v>
      </c>
    </row>
    <row r="506" spans="1:15" x14ac:dyDescent="0.2">
      <c r="A506" t="s">
        <v>2039</v>
      </c>
      <c r="B506">
        <v>9007595102</v>
      </c>
      <c r="C506" t="s">
        <v>2040</v>
      </c>
      <c r="D506">
        <v>5429</v>
      </c>
      <c r="E506">
        <v>19.961304070000001</v>
      </c>
      <c r="F506">
        <v>271.9762187</v>
      </c>
      <c r="G506">
        <v>2</v>
      </c>
      <c r="H506">
        <v>269</v>
      </c>
      <c r="I506">
        <v>5.2334630349999998</v>
      </c>
      <c r="J506">
        <v>0.17499999999999999</v>
      </c>
      <c r="K506">
        <f t="shared" si="7"/>
        <v>1</v>
      </c>
      <c r="N506">
        <v>2</v>
      </c>
      <c r="O506">
        <v>2</v>
      </c>
    </row>
    <row r="507" spans="1:15" x14ac:dyDescent="0.2">
      <c r="A507" t="s">
        <v>2041</v>
      </c>
      <c r="B507">
        <v>9007600100</v>
      </c>
      <c r="C507" t="s">
        <v>2042</v>
      </c>
      <c r="D507">
        <v>3994</v>
      </c>
      <c r="E507">
        <v>16.051479390000001</v>
      </c>
      <c r="F507">
        <v>248.82441689999999</v>
      </c>
      <c r="G507">
        <v>1</v>
      </c>
      <c r="H507">
        <v>89</v>
      </c>
      <c r="I507">
        <v>2.1020311760000001</v>
      </c>
      <c r="J507">
        <v>2.1000000000000001E-2</v>
      </c>
      <c r="K507">
        <f t="shared" si="7"/>
        <v>1</v>
      </c>
      <c r="N507">
        <v>1.5</v>
      </c>
      <c r="O507">
        <v>2</v>
      </c>
    </row>
    <row r="508" spans="1:15" x14ac:dyDescent="0.2">
      <c r="A508" t="s">
        <v>2043</v>
      </c>
      <c r="B508">
        <v>9007610100</v>
      </c>
      <c r="C508" t="s">
        <v>2044</v>
      </c>
      <c r="D508">
        <v>2149</v>
      </c>
      <c r="E508">
        <v>2.0573913859999999</v>
      </c>
      <c r="F508">
        <v>1044.526586</v>
      </c>
      <c r="G508">
        <v>1</v>
      </c>
      <c r="H508">
        <v>103</v>
      </c>
      <c r="I508">
        <v>5.1784816490000001</v>
      </c>
      <c r="J508">
        <v>0.16300000000000001</v>
      </c>
      <c r="K508">
        <f t="shared" si="7"/>
        <v>1</v>
      </c>
      <c r="N508">
        <v>2</v>
      </c>
      <c r="O508">
        <v>2</v>
      </c>
    </row>
    <row r="509" spans="1:15" x14ac:dyDescent="0.2">
      <c r="A509" t="s">
        <v>2045</v>
      </c>
      <c r="B509">
        <v>9007610200</v>
      </c>
      <c r="C509" t="s">
        <v>2046</v>
      </c>
      <c r="D509">
        <v>3513</v>
      </c>
      <c r="E509">
        <v>3.1804645429999998</v>
      </c>
      <c r="F509">
        <v>1104.555625</v>
      </c>
      <c r="G509">
        <v>1</v>
      </c>
      <c r="H509">
        <v>273</v>
      </c>
      <c r="I509">
        <v>7.5082508250000002</v>
      </c>
      <c r="J509">
        <v>0.28699999999999998</v>
      </c>
      <c r="K509">
        <f t="shared" si="7"/>
        <v>2</v>
      </c>
      <c r="N509">
        <v>3</v>
      </c>
      <c r="O509">
        <v>3</v>
      </c>
    </row>
    <row r="510" spans="1:15" x14ac:dyDescent="0.2">
      <c r="A510" t="s">
        <v>2047</v>
      </c>
      <c r="B510">
        <v>9007610300</v>
      </c>
      <c r="C510" t="s">
        <v>2048</v>
      </c>
      <c r="D510">
        <v>4212</v>
      </c>
      <c r="E510">
        <v>6.3282208259999999</v>
      </c>
      <c r="F510">
        <v>665.58992109999997</v>
      </c>
      <c r="G510">
        <v>1</v>
      </c>
      <c r="H510">
        <v>224</v>
      </c>
      <c r="I510">
        <v>5.3794428429999996</v>
      </c>
      <c r="J510">
        <v>0.17399999999999999</v>
      </c>
      <c r="K510">
        <f t="shared" si="7"/>
        <v>1</v>
      </c>
      <c r="N510">
        <v>2</v>
      </c>
      <c r="O510">
        <v>2</v>
      </c>
    </row>
    <row r="511" spans="1:15" x14ac:dyDescent="0.2">
      <c r="A511" t="s">
        <v>2049</v>
      </c>
      <c r="B511">
        <v>9007610400</v>
      </c>
      <c r="C511" t="s">
        <v>2050</v>
      </c>
      <c r="D511">
        <v>3386</v>
      </c>
      <c r="E511">
        <v>4.6407655170000002</v>
      </c>
      <c r="F511">
        <v>729.6210049</v>
      </c>
      <c r="G511">
        <v>1</v>
      </c>
      <c r="H511">
        <v>99</v>
      </c>
      <c r="I511">
        <v>3.1378763869999999</v>
      </c>
      <c r="J511">
        <v>4.1000000000000002E-2</v>
      </c>
      <c r="K511">
        <f t="shared" si="7"/>
        <v>1</v>
      </c>
      <c r="N511">
        <v>1.5</v>
      </c>
      <c r="O511">
        <v>2</v>
      </c>
    </row>
    <row r="512" spans="1:15" x14ac:dyDescent="0.2">
      <c r="A512" t="s">
        <v>2051</v>
      </c>
      <c r="B512">
        <v>9007620100</v>
      </c>
      <c r="C512" t="s">
        <v>2052</v>
      </c>
      <c r="D512">
        <v>4629</v>
      </c>
      <c r="E512">
        <v>13.513561839999999</v>
      </c>
      <c r="F512">
        <v>342.54477500000002</v>
      </c>
      <c r="G512">
        <v>1</v>
      </c>
      <c r="H512">
        <v>244</v>
      </c>
      <c r="I512">
        <v>5.4464285710000002</v>
      </c>
      <c r="J512">
        <v>0.17499999999999999</v>
      </c>
      <c r="K512">
        <f t="shared" si="7"/>
        <v>1</v>
      </c>
      <c r="N512">
        <v>2</v>
      </c>
      <c r="O512">
        <v>2</v>
      </c>
    </row>
    <row r="513" spans="1:15" x14ac:dyDescent="0.2">
      <c r="A513" t="s">
        <v>2053</v>
      </c>
      <c r="B513">
        <v>9007630100</v>
      </c>
      <c r="C513" t="s">
        <v>2054</v>
      </c>
      <c r="D513">
        <v>6683</v>
      </c>
      <c r="E513">
        <v>10.40243121</v>
      </c>
      <c r="F513">
        <v>642.44596920000004</v>
      </c>
      <c r="G513">
        <v>1</v>
      </c>
      <c r="H513">
        <v>563</v>
      </c>
      <c r="I513">
        <v>8.525136281</v>
      </c>
      <c r="J513">
        <v>0.35399999999999998</v>
      </c>
      <c r="K513">
        <f t="shared" si="7"/>
        <v>2</v>
      </c>
      <c r="N513">
        <v>2</v>
      </c>
      <c r="O513">
        <v>2</v>
      </c>
    </row>
    <row r="514" spans="1:15" x14ac:dyDescent="0.2">
      <c r="A514" t="s">
        <v>2055</v>
      </c>
      <c r="B514">
        <v>9007640100</v>
      </c>
      <c r="C514" t="s">
        <v>2056</v>
      </c>
      <c r="D514">
        <v>6525</v>
      </c>
      <c r="E514">
        <v>35.330880299999997</v>
      </c>
      <c r="F514">
        <v>184.68263300000001</v>
      </c>
      <c r="G514">
        <v>2</v>
      </c>
      <c r="H514">
        <v>175</v>
      </c>
      <c r="I514">
        <v>2.737797247</v>
      </c>
      <c r="J514">
        <v>2.8000000000000001E-2</v>
      </c>
      <c r="K514">
        <f t="shared" si="7"/>
        <v>1</v>
      </c>
      <c r="N514">
        <v>1.5</v>
      </c>
      <c r="O514">
        <v>2</v>
      </c>
    </row>
    <row r="515" spans="1:15" x14ac:dyDescent="0.2">
      <c r="A515" t="s">
        <v>2057</v>
      </c>
      <c r="B515">
        <v>9007670100</v>
      </c>
      <c r="C515" t="s">
        <v>2058</v>
      </c>
      <c r="D515">
        <v>4848</v>
      </c>
      <c r="E515">
        <v>9.7010839430000004</v>
      </c>
      <c r="F515">
        <v>499.73797039999999</v>
      </c>
      <c r="G515">
        <v>1</v>
      </c>
      <c r="H515">
        <v>372</v>
      </c>
      <c r="I515">
        <v>8.3091355819999997</v>
      </c>
      <c r="J515">
        <v>0.33400000000000002</v>
      </c>
      <c r="K515">
        <f t="shared" ref="K515:K578" si="8">IF(J515&lt;0.2,1,IF(J515&lt;0.4,2,IF(J515&lt;0.6,3,IF(J515&lt;0.8,4,5))))</f>
        <v>2</v>
      </c>
      <c r="N515">
        <v>2</v>
      </c>
      <c r="O515">
        <v>2</v>
      </c>
    </row>
    <row r="516" spans="1:15" x14ac:dyDescent="0.2">
      <c r="A516" t="s">
        <v>2059</v>
      </c>
      <c r="B516">
        <v>9007670200</v>
      </c>
      <c r="C516" t="s">
        <v>2060</v>
      </c>
      <c r="D516">
        <v>5394</v>
      </c>
      <c r="E516">
        <v>5.3429930949999997</v>
      </c>
      <c r="F516">
        <v>1009.546504</v>
      </c>
      <c r="G516">
        <v>1</v>
      </c>
      <c r="H516">
        <v>194</v>
      </c>
      <c r="I516">
        <v>3.4562622479999998</v>
      </c>
      <c r="J516">
        <v>7.0000000000000007E-2</v>
      </c>
      <c r="K516">
        <f t="shared" si="8"/>
        <v>1</v>
      </c>
      <c r="N516">
        <v>2</v>
      </c>
      <c r="O516">
        <v>2</v>
      </c>
    </row>
    <row r="517" spans="1:15" x14ac:dyDescent="0.2">
      <c r="A517" t="s">
        <v>2061</v>
      </c>
      <c r="B517">
        <v>9007680100</v>
      </c>
      <c r="C517" t="s">
        <v>2062</v>
      </c>
      <c r="D517">
        <v>6938</v>
      </c>
      <c r="E517">
        <v>15.78315845</v>
      </c>
      <c r="F517">
        <v>439.58248409999999</v>
      </c>
      <c r="G517">
        <v>1</v>
      </c>
      <c r="H517">
        <v>476</v>
      </c>
      <c r="I517">
        <v>6.8955526579999997</v>
      </c>
      <c r="J517">
        <v>0.24199999999999999</v>
      </c>
      <c r="K517">
        <f t="shared" si="8"/>
        <v>2</v>
      </c>
      <c r="N517">
        <v>2.5</v>
      </c>
      <c r="O517">
        <v>3</v>
      </c>
    </row>
    <row r="518" spans="1:15" x14ac:dyDescent="0.2">
      <c r="A518" t="s">
        <v>2063</v>
      </c>
      <c r="B518">
        <v>9007680200</v>
      </c>
      <c r="C518" t="s">
        <v>2064</v>
      </c>
      <c r="D518">
        <v>6726</v>
      </c>
      <c r="E518">
        <v>18.086957160000001</v>
      </c>
      <c r="F518">
        <v>371.8701792</v>
      </c>
      <c r="G518">
        <v>1</v>
      </c>
      <c r="H518">
        <v>512</v>
      </c>
      <c r="I518">
        <v>7.9281511299999998</v>
      </c>
      <c r="J518">
        <v>0.29799999999999999</v>
      </c>
      <c r="K518">
        <f t="shared" si="8"/>
        <v>2</v>
      </c>
      <c r="N518">
        <v>3</v>
      </c>
      <c r="O518">
        <v>3</v>
      </c>
    </row>
    <row r="519" spans="1:15" x14ac:dyDescent="0.2">
      <c r="A519" t="s">
        <v>2065</v>
      </c>
      <c r="B519">
        <v>9009120100</v>
      </c>
      <c r="C519" t="s">
        <v>2066</v>
      </c>
      <c r="D519">
        <v>6721</v>
      </c>
      <c r="E519">
        <v>2.3995018510000001</v>
      </c>
      <c r="F519">
        <v>2800.9980479999999</v>
      </c>
      <c r="G519">
        <v>1</v>
      </c>
      <c r="H519">
        <v>421</v>
      </c>
      <c r="I519">
        <v>6.750040083</v>
      </c>
      <c r="J519">
        <v>0.23699999999999999</v>
      </c>
      <c r="K519">
        <f t="shared" si="8"/>
        <v>2</v>
      </c>
      <c r="N519">
        <v>3</v>
      </c>
      <c r="O519">
        <v>3</v>
      </c>
    </row>
    <row r="520" spans="1:15" x14ac:dyDescent="0.2">
      <c r="A520" t="s">
        <v>2067</v>
      </c>
      <c r="B520">
        <v>9009120200</v>
      </c>
      <c r="C520" t="s">
        <v>2068</v>
      </c>
      <c r="D520">
        <v>6181</v>
      </c>
      <c r="E520">
        <v>2.6559709929999999</v>
      </c>
      <c r="F520">
        <v>2327.209151</v>
      </c>
      <c r="G520">
        <v>1</v>
      </c>
      <c r="H520">
        <v>1328</v>
      </c>
      <c r="I520">
        <v>21.254801539999999</v>
      </c>
      <c r="J520">
        <v>0.77700000000000002</v>
      </c>
      <c r="K520">
        <f t="shared" si="8"/>
        <v>4</v>
      </c>
      <c r="N520">
        <v>4.5</v>
      </c>
      <c r="O520">
        <v>5</v>
      </c>
    </row>
    <row r="521" spans="1:15" x14ac:dyDescent="0.2">
      <c r="A521" t="s">
        <v>2069</v>
      </c>
      <c r="B521">
        <v>9009125100</v>
      </c>
      <c r="C521" t="s">
        <v>2070</v>
      </c>
      <c r="D521">
        <v>4503</v>
      </c>
      <c r="E521">
        <v>1.6046062759999999</v>
      </c>
      <c r="F521">
        <v>2806.2958910000002</v>
      </c>
      <c r="G521">
        <v>1</v>
      </c>
      <c r="H521">
        <v>286</v>
      </c>
      <c r="I521">
        <v>5.8799342110000001</v>
      </c>
      <c r="J521">
        <v>0.19</v>
      </c>
      <c r="K521">
        <f t="shared" si="8"/>
        <v>1</v>
      </c>
      <c r="N521">
        <v>2</v>
      </c>
      <c r="O521">
        <v>2</v>
      </c>
    </row>
    <row r="522" spans="1:15" x14ac:dyDescent="0.2">
      <c r="A522" t="s">
        <v>2071</v>
      </c>
      <c r="B522">
        <v>9009125200</v>
      </c>
      <c r="C522" t="s">
        <v>2072</v>
      </c>
      <c r="D522">
        <v>5812</v>
      </c>
      <c r="E522">
        <v>2.4131084779999998</v>
      </c>
      <c r="F522">
        <v>2408.5116990000001</v>
      </c>
      <c r="G522">
        <v>1</v>
      </c>
      <c r="H522">
        <v>593</v>
      </c>
      <c r="I522">
        <v>10.429124160000001</v>
      </c>
      <c r="J522">
        <v>0.437</v>
      </c>
      <c r="K522">
        <f t="shared" si="8"/>
        <v>3</v>
      </c>
      <c r="N522">
        <v>4</v>
      </c>
      <c r="O522">
        <v>4</v>
      </c>
    </row>
    <row r="523" spans="1:15" x14ac:dyDescent="0.2">
      <c r="A523" t="s">
        <v>2073</v>
      </c>
      <c r="B523">
        <v>9009125300</v>
      </c>
      <c r="C523" t="s">
        <v>2074</v>
      </c>
      <c r="D523">
        <v>5540</v>
      </c>
      <c r="E523">
        <v>1.2530374660000001</v>
      </c>
      <c r="F523">
        <v>4421.2564679999996</v>
      </c>
      <c r="G523">
        <v>1</v>
      </c>
      <c r="H523">
        <v>1755</v>
      </c>
      <c r="I523">
        <v>36.877495269999997</v>
      </c>
      <c r="J523">
        <v>0.97599999999999998</v>
      </c>
      <c r="K523">
        <f t="shared" si="8"/>
        <v>5</v>
      </c>
      <c r="N523">
        <v>5</v>
      </c>
      <c r="O523">
        <v>5</v>
      </c>
    </row>
    <row r="524" spans="1:15" x14ac:dyDescent="0.2">
      <c r="A524" t="s">
        <v>2075</v>
      </c>
      <c r="B524">
        <v>9009125400</v>
      </c>
      <c r="C524" t="s">
        <v>2076</v>
      </c>
      <c r="D524">
        <v>3394</v>
      </c>
      <c r="E524">
        <v>0.74813358200000002</v>
      </c>
      <c r="F524">
        <v>4536.6229789999998</v>
      </c>
      <c r="G524">
        <v>1</v>
      </c>
      <c r="H524">
        <v>449</v>
      </c>
      <c r="I524">
        <v>12.85427999</v>
      </c>
      <c r="J524">
        <v>0.56899999999999995</v>
      </c>
      <c r="K524">
        <f t="shared" si="8"/>
        <v>3</v>
      </c>
      <c r="N524">
        <v>4</v>
      </c>
      <c r="O524">
        <v>4</v>
      </c>
    </row>
    <row r="525" spans="1:15" x14ac:dyDescent="0.2">
      <c r="A525" t="s">
        <v>2077</v>
      </c>
      <c r="B525">
        <v>9009130101</v>
      </c>
      <c r="C525" t="s">
        <v>2078</v>
      </c>
      <c r="D525">
        <v>4911</v>
      </c>
      <c r="E525">
        <v>3.3433691579999998</v>
      </c>
      <c r="F525">
        <v>1468.8775800000001</v>
      </c>
      <c r="G525">
        <v>1</v>
      </c>
      <c r="H525">
        <v>368</v>
      </c>
      <c r="I525">
        <v>7.0349837510000004</v>
      </c>
      <c r="J525">
        <v>0.252</v>
      </c>
      <c r="K525">
        <f t="shared" si="8"/>
        <v>2</v>
      </c>
      <c r="N525">
        <v>3</v>
      </c>
      <c r="O525">
        <v>3</v>
      </c>
    </row>
    <row r="526" spans="1:15" x14ac:dyDescent="0.2">
      <c r="A526" t="s">
        <v>2079</v>
      </c>
      <c r="B526">
        <v>9009130102</v>
      </c>
      <c r="C526" t="s">
        <v>2080</v>
      </c>
      <c r="D526">
        <v>3113</v>
      </c>
      <c r="E526">
        <v>2.8647179060000001</v>
      </c>
      <c r="F526">
        <v>1086.66895</v>
      </c>
      <c r="G526">
        <v>1</v>
      </c>
      <c r="H526">
        <v>188</v>
      </c>
      <c r="I526">
        <v>6.3880394159999998</v>
      </c>
      <c r="J526">
        <v>0.23300000000000001</v>
      </c>
      <c r="K526">
        <f t="shared" si="8"/>
        <v>2</v>
      </c>
      <c r="N526">
        <v>3</v>
      </c>
      <c r="O526">
        <v>3</v>
      </c>
    </row>
    <row r="527" spans="1:15" x14ac:dyDescent="0.2">
      <c r="A527" t="s">
        <v>2081</v>
      </c>
      <c r="B527">
        <v>9009130200</v>
      </c>
      <c r="C527" t="s">
        <v>2082</v>
      </c>
      <c r="D527">
        <v>8516</v>
      </c>
      <c r="E527">
        <v>8.309543133</v>
      </c>
      <c r="F527">
        <v>1024.8457539999999</v>
      </c>
      <c r="G527">
        <v>1</v>
      </c>
      <c r="H527">
        <v>1047</v>
      </c>
      <c r="I527">
        <v>12.562994959999999</v>
      </c>
      <c r="J527">
        <v>0.55100000000000005</v>
      </c>
      <c r="K527">
        <f t="shared" si="8"/>
        <v>3</v>
      </c>
      <c r="N527">
        <v>3</v>
      </c>
      <c r="O527">
        <v>3</v>
      </c>
    </row>
    <row r="528" spans="1:15" x14ac:dyDescent="0.2">
      <c r="A528" t="s">
        <v>2083</v>
      </c>
      <c r="B528">
        <v>9009140100</v>
      </c>
      <c r="C528" t="s">
        <v>2084</v>
      </c>
      <c r="D528">
        <v>2426</v>
      </c>
      <c r="E528">
        <v>0.26767846000000001</v>
      </c>
      <c r="F528">
        <v>9063.1125019999999</v>
      </c>
      <c r="G528">
        <v>1</v>
      </c>
      <c r="H528">
        <v>1029</v>
      </c>
      <c r="I528">
        <v>29.241261720000001</v>
      </c>
      <c r="J528">
        <v>0.90200000000000002</v>
      </c>
      <c r="K528">
        <f t="shared" si="8"/>
        <v>5</v>
      </c>
      <c r="N528">
        <v>3.5</v>
      </c>
      <c r="O528">
        <v>4</v>
      </c>
    </row>
    <row r="529" spans="1:15" x14ac:dyDescent="0.2">
      <c r="A529" t="s">
        <v>2085</v>
      </c>
      <c r="B529">
        <v>9009140200</v>
      </c>
      <c r="C529" t="s">
        <v>2086</v>
      </c>
      <c r="D529">
        <v>1518</v>
      </c>
      <c r="E529">
        <v>0.77617734100000002</v>
      </c>
      <c r="F529">
        <v>1955.738617</v>
      </c>
      <c r="G529">
        <v>1</v>
      </c>
      <c r="H529">
        <v>65</v>
      </c>
      <c r="I529">
        <v>10.12461059</v>
      </c>
      <c r="J529">
        <v>0.43</v>
      </c>
      <c r="K529">
        <f t="shared" si="8"/>
        <v>3</v>
      </c>
      <c r="N529">
        <v>4</v>
      </c>
      <c r="O529">
        <v>4</v>
      </c>
    </row>
    <row r="530" spans="1:15" x14ac:dyDescent="0.2">
      <c r="A530" t="s">
        <v>2087</v>
      </c>
      <c r="B530">
        <v>9009140300</v>
      </c>
      <c r="C530" t="s">
        <v>2088</v>
      </c>
      <c r="D530">
        <v>2737</v>
      </c>
      <c r="E530">
        <v>0.27474799100000002</v>
      </c>
      <c r="F530">
        <v>9961.8562779999993</v>
      </c>
      <c r="G530">
        <v>1</v>
      </c>
      <c r="H530">
        <v>560</v>
      </c>
      <c r="I530">
        <v>22.055927530000002</v>
      </c>
      <c r="J530">
        <v>0.80700000000000005</v>
      </c>
      <c r="K530">
        <f t="shared" si="8"/>
        <v>5</v>
      </c>
      <c r="N530">
        <v>5</v>
      </c>
      <c r="O530">
        <v>5</v>
      </c>
    </row>
    <row r="531" spans="1:15" x14ac:dyDescent="0.2">
      <c r="A531" t="s">
        <v>2089</v>
      </c>
      <c r="B531">
        <v>9009140400</v>
      </c>
      <c r="C531" t="s">
        <v>2090</v>
      </c>
      <c r="D531">
        <v>3329</v>
      </c>
      <c r="E531">
        <v>0.34233440500000001</v>
      </c>
      <c r="F531">
        <v>9724.4096850000005</v>
      </c>
      <c r="G531">
        <v>1</v>
      </c>
      <c r="H531">
        <v>1008</v>
      </c>
      <c r="I531">
        <v>29.362073989999999</v>
      </c>
      <c r="J531">
        <v>0.91100000000000003</v>
      </c>
      <c r="K531">
        <f t="shared" si="8"/>
        <v>5</v>
      </c>
      <c r="N531">
        <v>5</v>
      </c>
      <c r="O531">
        <v>5</v>
      </c>
    </row>
    <row r="532" spans="1:15" x14ac:dyDescent="0.2">
      <c r="A532" t="s">
        <v>2091</v>
      </c>
      <c r="B532">
        <v>9009140500</v>
      </c>
      <c r="C532" t="s">
        <v>2092</v>
      </c>
      <c r="D532">
        <v>3687</v>
      </c>
      <c r="E532">
        <v>0.39240413499999999</v>
      </c>
      <c r="F532">
        <v>9395.9254610000007</v>
      </c>
      <c r="G532">
        <v>1</v>
      </c>
      <c r="H532">
        <v>1307</v>
      </c>
      <c r="I532">
        <v>36.498184860000002</v>
      </c>
      <c r="J532">
        <v>0.96899999999999997</v>
      </c>
      <c r="K532">
        <f t="shared" si="8"/>
        <v>5</v>
      </c>
      <c r="N532">
        <v>5</v>
      </c>
      <c r="O532">
        <v>5</v>
      </c>
    </row>
    <row r="533" spans="1:15" x14ac:dyDescent="0.2">
      <c r="A533" t="s">
        <v>2093</v>
      </c>
      <c r="B533">
        <v>9009140600</v>
      </c>
      <c r="C533" t="s">
        <v>2094</v>
      </c>
      <c r="D533">
        <v>4745</v>
      </c>
      <c r="E533">
        <v>0.28313374400000002</v>
      </c>
      <c r="F533">
        <v>16758.864310000001</v>
      </c>
      <c r="G533">
        <v>1</v>
      </c>
      <c r="H533">
        <v>1282</v>
      </c>
      <c r="I533">
        <v>25.295974739999998</v>
      </c>
      <c r="J533">
        <v>0.85299999999999998</v>
      </c>
      <c r="K533">
        <f t="shared" si="8"/>
        <v>5</v>
      </c>
      <c r="N533">
        <v>5</v>
      </c>
      <c r="O533">
        <v>5</v>
      </c>
    </row>
    <row r="534" spans="1:15" x14ac:dyDescent="0.2">
      <c r="A534" t="s">
        <v>2095</v>
      </c>
      <c r="B534">
        <v>9009140700</v>
      </c>
      <c r="C534" t="s">
        <v>2096</v>
      </c>
      <c r="D534">
        <v>3979</v>
      </c>
      <c r="E534">
        <v>0.212585155</v>
      </c>
      <c r="F534">
        <v>18717.20536</v>
      </c>
      <c r="G534">
        <v>1</v>
      </c>
      <c r="H534">
        <v>1197</v>
      </c>
      <c r="I534">
        <v>30.898296330000001</v>
      </c>
      <c r="J534">
        <v>0.93400000000000005</v>
      </c>
      <c r="K534">
        <f t="shared" si="8"/>
        <v>5</v>
      </c>
      <c r="N534">
        <v>5</v>
      </c>
      <c r="O534">
        <v>5</v>
      </c>
    </row>
    <row r="535" spans="1:15" x14ac:dyDescent="0.2">
      <c r="A535" t="s">
        <v>2097</v>
      </c>
      <c r="B535">
        <v>9009140800</v>
      </c>
      <c r="C535" t="s">
        <v>2098</v>
      </c>
      <c r="D535">
        <v>3964</v>
      </c>
      <c r="E535">
        <v>0.63564271299999997</v>
      </c>
      <c r="F535">
        <v>6236.2077259999996</v>
      </c>
      <c r="G535">
        <v>1</v>
      </c>
      <c r="H535">
        <v>778</v>
      </c>
      <c r="I535">
        <v>20.48446551</v>
      </c>
      <c r="J535">
        <v>0.79</v>
      </c>
      <c r="K535">
        <f t="shared" si="8"/>
        <v>4</v>
      </c>
      <c r="N535">
        <v>4.5</v>
      </c>
      <c r="O535">
        <v>5</v>
      </c>
    </row>
    <row r="536" spans="1:15" x14ac:dyDescent="0.2">
      <c r="A536" t="s">
        <v>2099</v>
      </c>
      <c r="B536">
        <v>9009140900</v>
      </c>
      <c r="C536" t="s">
        <v>2100</v>
      </c>
      <c r="D536">
        <v>4476</v>
      </c>
      <c r="E536">
        <v>0.37876198700000002</v>
      </c>
      <c r="F536">
        <v>11817.44779</v>
      </c>
      <c r="G536">
        <v>1</v>
      </c>
      <c r="H536">
        <v>562</v>
      </c>
      <c r="I536">
        <v>11.874075639999999</v>
      </c>
      <c r="J536">
        <v>0.53400000000000003</v>
      </c>
      <c r="K536">
        <f t="shared" si="8"/>
        <v>3</v>
      </c>
      <c r="N536">
        <v>4</v>
      </c>
      <c r="O536">
        <v>4</v>
      </c>
    </row>
    <row r="537" spans="1:15" x14ac:dyDescent="0.2">
      <c r="A537" t="s">
        <v>2101</v>
      </c>
      <c r="B537">
        <v>9009141000</v>
      </c>
      <c r="C537" t="s">
        <v>2102</v>
      </c>
      <c r="D537">
        <v>3729</v>
      </c>
      <c r="E537">
        <v>0.73237405</v>
      </c>
      <c r="F537">
        <v>5091.6604729999999</v>
      </c>
      <c r="G537">
        <v>1</v>
      </c>
      <c r="H537">
        <v>655</v>
      </c>
      <c r="I537">
        <v>16.515380740000001</v>
      </c>
      <c r="J537">
        <v>0.66700000000000004</v>
      </c>
      <c r="K537">
        <f t="shared" si="8"/>
        <v>4</v>
      </c>
      <c r="N537">
        <v>3</v>
      </c>
      <c r="O537">
        <v>3</v>
      </c>
    </row>
    <row r="538" spans="1:15" x14ac:dyDescent="0.2">
      <c r="A538" t="s">
        <v>2103</v>
      </c>
      <c r="B538">
        <v>9009141100</v>
      </c>
      <c r="C538" t="s">
        <v>2104</v>
      </c>
      <c r="D538">
        <v>2777</v>
      </c>
      <c r="E538">
        <v>1.4939914780000001</v>
      </c>
      <c r="F538">
        <v>1858.77901</v>
      </c>
      <c r="G538">
        <v>1</v>
      </c>
      <c r="H538">
        <v>433</v>
      </c>
      <c r="I538">
        <v>16.162747289999999</v>
      </c>
      <c r="J538">
        <v>0.65600000000000003</v>
      </c>
      <c r="K538">
        <f t="shared" si="8"/>
        <v>4</v>
      </c>
      <c r="N538">
        <v>3</v>
      </c>
      <c r="O538">
        <v>3</v>
      </c>
    </row>
    <row r="539" spans="1:15" x14ac:dyDescent="0.2">
      <c r="A539" t="s">
        <v>2105</v>
      </c>
      <c r="B539">
        <v>9009141200</v>
      </c>
      <c r="C539" t="s">
        <v>2106</v>
      </c>
      <c r="D539">
        <v>4426</v>
      </c>
      <c r="E539">
        <v>0.73638179000000004</v>
      </c>
      <c r="F539">
        <v>6010.4691059999996</v>
      </c>
      <c r="G539">
        <v>1</v>
      </c>
      <c r="H539">
        <v>1090</v>
      </c>
      <c r="I539">
        <v>23.044397459999999</v>
      </c>
      <c r="J539">
        <v>0.82499999999999996</v>
      </c>
      <c r="K539">
        <f t="shared" si="8"/>
        <v>5</v>
      </c>
      <c r="N539">
        <v>5</v>
      </c>
      <c r="O539">
        <v>5</v>
      </c>
    </row>
    <row r="540" spans="1:15" x14ac:dyDescent="0.2">
      <c r="A540" t="s">
        <v>2107</v>
      </c>
      <c r="B540">
        <v>9009141300</v>
      </c>
      <c r="C540" t="s">
        <v>2108</v>
      </c>
      <c r="D540">
        <v>5913</v>
      </c>
      <c r="E540">
        <v>1.409121973</v>
      </c>
      <c r="F540">
        <v>4196.2300740000001</v>
      </c>
      <c r="G540">
        <v>1</v>
      </c>
      <c r="H540">
        <v>726</v>
      </c>
      <c r="I540">
        <v>10.860134629999999</v>
      </c>
      <c r="J540">
        <v>0.46800000000000003</v>
      </c>
      <c r="K540">
        <f t="shared" si="8"/>
        <v>3</v>
      </c>
      <c r="N540">
        <v>4</v>
      </c>
      <c r="O540">
        <v>4</v>
      </c>
    </row>
    <row r="541" spans="1:15" x14ac:dyDescent="0.2">
      <c r="A541" t="s">
        <v>2109</v>
      </c>
      <c r="B541">
        <v>9009141400</v>
      </c>
      <c r="C541" t="s">
        <v>2110</v>
      </c>
      <c r="D541">
        <v>5023</v>
      </c>
      <c r="E541">
        <v>0.592104674</v>
      </c>
      <c r="F541">
        <v>8483.2973320000001</v>
      </c>
      <c r="G541">
        <v>1</v>
      </c>
      <c r="H541">
        <v>1323</v>
      </c>
      <c r="I541">
        <v>26.765122399999999</v>
      </c>
      <c r="J541">
        <v>0.88</v>
      </c>
      <c r="K541">
        <f t="shared" si="8"/>
        <v>5</v>
      </c>
      <c r="N541">
        <v>4.5</v>
      </c>
      <c r="O541">
        <v>5</v>
      </c>
    </row>
    <row r="542" spans="1:15" x14ac:dyDescent="0.2">
      <c r="A542" t="s">
        <v>2111</v>
      </c>
      <c r="B542">
        <v>9009141500</v>
      </c>
      <c r="C542" t="s">
        <v>2112</v>
      </c>
      <c r="D542">
        <v>6873</v>
      </c>
      <c r="E542">
        <v>0.61839012400000004</v>
      </c>
      <c r="F542">
        <v>11114.34309</v>
      </c>
      <c r="G542">
        <v>1</v>
      </c>
      <c r="H542">
        <v>913</v>
      </c>
      <c r="I542">
        <v>12.5</v>
      </c>
      <c r="J542">
        <v>0.56299999999999994</v>
      </c>
      <c r="K542">
        <f t="shared" si="8"/>
        <v>3</v>
      </c>
      <c r="N542">
        <v>4</v>
      </c>
      <c r="O542">
        <v>4</v>
      </c>
    </row>
    <row r="543" spans="1:15" x14ac:dyDescent="0.2">
      <c r="A543" t="s">
        <v>2113</v>
      </c>
      <c r="B543">
        <v>9009141600</v>
      </c>
      <c r="C543" t="s">
        <v>2114</v>
      </c>
      <c r="D543">
        <v>5169</v>
      </c>
      <c r="E543">
        <v>0.41283704799999998</v>
      </c>
      <c r="F543">
        <v>12520.678620000001</v>
      </c>
      <c r="G543">
        <v>1</v>
      </c>
      <c r="H543">
        <v>1054</v>
      </c>
      <c r="I543">
        <v>20.46999417</v>
      </c>
      <c r="J543">
        <v>0.79100000000000004</v>
      </c>
      <c r="K543">
        <f t="shared" si="8"/>
        <v>4</v>
      </c>
      <c r="N543">
        <v>4.5</v>
      </c>
      <c r="O543">
        <v>5</v>
      </c>
    </row>
    <row r="544" spans="1:15" x14ac:dyDescent="0.2">
      <c r="A544" t="s">
        <v>2115</v>
      </c>
      <c r="B544">
        <v>9009141800</v>
      </c>
      <c r="C544" t="s">
        <v>2116</v>
      </c>
      <c r="D544">
        <v>3892</v>
      </c>
      <c r="E544">
        <v>0.56799568199999995</v>
      </c>
      <c r="F544">
        <v>6852.164769</v>
      </c>
      <c r="G544">
        <v>1</v>
      </c>
      <c r="H544">
        <v>1483</v>
      </c>
      <c r="I544">
        <v>34.178382120000002</v>
      </c>
      <c r="J544">
        <v>0.95299999999999996</v>
      </c>
      <c r="K544">
        <f t="shared" si="8"/>
        <v>5</v>
      </c>
      <c r="N544">
        <v>4.5</v>
      </c>
      <c r="O544">
        <v>5</v>
      </c>
    </row>
    <row r="545" spans="1:15" x14ac:dyDescent="0.2">
      <c r="A545" t="s">
        <v>2117</v>
      </c>
      <c r="B545">
        <v>9009141900</v>
      </c>
      <c r="C545" t="s">
        <v>2118</v>
      </c>
      <c r="D545">
        <v>5063</v>
      </c>
      <c r="E545">
        <v>0.50239962500000002</v>
      </c>
      <c r="F545">
        <v>10077.634910000001</v>
      </c>
      <c r="G545">
        <v>1</v>
      </c>
      <c r="H545">
        <v>1171</v>
      </c>
      <c r="I545">
        <v>21.482296829999999</v>
      </c>
      <c r="J545">
        <v>0.80700000000000005</v>
      </c>
      <c r="K545">
        <f t="shared" si="8"/>
        <v>5</v>
      </c>
      <c r="N545">
        <v>4</v>
      </c>
      <c r="O545">
        <v>4</v>
      </c>
    </row>
    <row r="546" spans="1:15" x14ac:dyDescent="0.2">
      <c r="A546" t="s">
        <v>2119</v>
      </c>
      <c r="B546">
        <v>9009142000</v>
      </c>
      <c r="C546" t="s">
        <v>2120</v>
      </c>
      <c r="D546">
        <v>3396</v>
      </c>
      <c r="E546">
        <v>0.257172234</v>
      </c>
      <c r="F546">
        <v>13205.158069999999</v>
      </c>
      <c r="G546">
        <v>1</v>
      </c>
      <c r="H546">
        <v>783</v>
      </c>
      <c r="I546">
        <v>25.816023739999999</v>
      </c>
      <c r="J546">
        <v>0.875</v>
      </c>
      <c r="K546">
        <f t="shared" si="8"/>
        <v>5</v>
      </c>
      <c r="N546">
        <v>4.5</v>
      </c>
      <c r="O546">
        <v>5</v>
      </c>
    </row>
    <row r="547" spans="1:15" x14ac:dyDescent="0.2">
      <c r="A547" t="s">
        <v>2121</v>
      </c>
      <c r="B547">
        <v>9009142100</v>
      </c>
      <c r="C547" t="s">
        <v>2122</v>
      </c>
      <c r="D547">
        <v>1744</v>
      </c>
      <c r="E547">
        <v>0.23397560100000001</v>
      </c>
      <c r="F547">
        <v>7453.7686379999996</v>
      </c>
      <c r="G547">
        <v>1</v>
      </c>
      <c r="H547">
        <v>376</v>
      </c>
      <c r="I547">
        <v>25.0166334</v>
      </c>
      <c r="J547">
        <v>0.85599999999999998</v>
      </c>
      <c r="K547">
        <f t="shared" si="8"/>
        <v>5</v>
      </c>
      <c r="N547">
        <v>5</v>
      </c>
      <c r="O547">
        <v>5</v>
      </c>
    </row>
    <row r="548" spans="1:15" x14ac:dyDescent="0.2">
      <c r="A548" t="s">
        <v>2123</v>
      </c>
      <c r="B548">
        <v>9009142200</v>
      </c>
      <c r="C548" t="s">
        <v>2124</v>
      </c>
      <c r="D548">
        <v>1581</v>
      </c>
      <c r="E548">
        <v>0.34710624099999998</v>
      </c>
      <c r="F548">
        <v>4554.8014160000002</v>
      </c>
      <c r="G548">
        <v>1</v>
      </c>
      <c r="H548">
        <v>303</v>
      </c>
      <c r="I548">
        <v>20.106171199999999</v>
      </c>
      <c r="J548">
        <v>0.78700000000000003</v>
      </c>
      <c r="K548">
        <f t="shared" si="8"/>
        <v>4</v>
      </c>
      <c r="N548">
        <v>3.5</v>
      </c>
      <c r="O548">
        <v>4</v>
      </c>
    </row>
    <row r="549" spans="1:15" x14ac:dyDescent="0.2">
      <c r="A549" t="s">
        <v>2125</v>
      </c>
      <c r="B549">
        <v>9009142300</v>
      </c>
      <c r="C549" t="s">
        <v>2126</v>
      </c>
      <c r="D549">
        <v>5448</v>
      </c>
      <c r="E549">
        <v>0.39080335500000002</v>
      </c>
      <c r="F549">
        <v>13940.51491</v>
      </c>
      <c r="G549">
        <v>1</v>
      </c>
      <c r="H549">
        <v>1968</v>
      </c>
      <c r="I549">
        <v>36.043956039999998</v>
      </c>
      <c r="J549">
        <v>0.96699999999999997</v>
      </c>
      <c r="K549">
        <f t="shared" si="8"/>
        <v>5</v>
      </c>
      <c r="N549">
        <v>5</v>
      </c>
      <c r="O549">
        <v>5</v>
      </c>
    </row>
    <row r="550" spans="1:15" x14ac:dyDescent="0.2">
      <c r="A550" t="s">
        <v>2127</v>
      </c>
      <c r="B550">
        <v>9009142400</v>
      </c>
      <c r="C550" t="s">
        <v>2128</v>
      </c>
      <c r="D550">
        <v>5360</v>
      </c>
      <c r="E550">
        <v>0.460519122</v>
      </c>
      <c r="F550">
        <v>11639.03895</v>
      </c>
      <c r="G550">
        <v>1</v>
      </c>
      <c r="H550">
        <v>2195</v>
      </c>
      <c r="I550">
        <v>36.565050810000002</v>
      </c>
      <c r="J550">
        <v>0.97099999999999997</v>
      </c>
      <c r="K550">
        <f t="shared" si="8"/>
        <v>5</v>
      </c>
      <c r="N550">
        <v>5</v>
      </c>
      <c r="O550">
        <v>5</v>
      </c>
    </row>
    <row r="551" spans="1:15" x14ac:dyDescent="0.2">
      <c r="A551" t="s">
        <v>2129</v>
      </c>
      <c r="B551">
        <v>9009142500</v>
      </c>
      <c r="C551" t="s">
        <v>2130</v>
      </c>
      <c r="D551">
        <v>5929</v>
      </c>
      <c r="E551">
        <v>0.71219210300000002</v>
      </c>
      <c r="F551">
        <v>8325.0010450000009</v>
      </c>
      <c r="G551">
        <v>1</v>
      </c>
      <c r="H551">
        <v>1624</v>
      </c>
      <c r="I551">
        <v>27.567475810000001</v>
      </c>
      <c r="J551">
        <v>0.90500000000000003</v>
      </c>
      <c r="K551">
        <f t="shared" si="8"/>
        <v>5</v>
      </c>
      <c r="N551">
        <v>5</v>
      </c>
      <c r="O551">
        <v>5</v>
      </c>
    </row>
    <row r="552" spans="1:15" x14ac:dyDescent="0.2">
      <c r="A552" t="s">
        <v>2131</v>
      </c>
      <c r="B552">
        <v>9009142601</v>
      </c>
      <c r="C552" t="s">
        <v>2132</v>
      </c>
      <c r="D552">
        <v>5926</v>
      </c>
      <c r="E552">
        <v>1.473282116</v>
      </c>
      <c r="F552">
        <v>4022.3117739999998</v>
      </c>
      <c r="G552">
        <v>1</v>
      </c>
      <c r="H552">
        <v>2010</v>
      </c>
      <c r="I552">
        <v>34.300341299999999</v>
      </c>
      <c r="J552">
        <v>0.96699999999999997</v>
      </c>
      <c r="K552">
        <f t="shared" si="8"/>
        <v>5</v>
      </c>
      <c r="N552">
        <v>4.5</v>
      </c>
      <c r="O552">
        <v>5</v>
      </c>
    </row>
    <row r="553" spans="1:15" x14ac:dyDescent="0.2">
      <c r="A553" t="s">
        <v>2133</v>
      </c>
      <c r="B553">
        <v>9009142603</v>
      </c>
      <c r="C553" t="s">
        <v>2134</v>
      </c>
      <c r="D553">
        <v>3960</v>
      </c>
      <c r="E553">
        <v>0.36950132600000002</v>
      </c>
      <c r="F553">
        <v>10717.146930000001</v>
      </c>
      <c r="G553">
        <v>1</v>
      </c>
      <c r="H553">
        <v>902</v>
      </c>
      <c r="I553">
        <v>21.978557500000001</v>
      </c>
      <c r="J553">
        <v>0.83799999999999997</v>
      </c>
      <c r="K553">
        <f t="shared" si="8"/>
        <v>5</v>
      </c>
      <c r="N553">
        <v>5</v>
      </c>
      <c r="O553">
        <v>5</v>
      </c>
    </row>
    <row r="554" spans="1:15" x14ac:dyDescent="0.2">
      <c r="A554" t="s">
        <v>2135</v>
      </c>
      <c r="B554">
        <v>9009142604</v>
      </c>
      <c r="C554" t="s">
        <v>2136</v>
      </c>
      <c r="D554">
        <v>2914</v>
      </c>
      <c r="E554">
        <v>0.58107566499999996</v>
      </c>
      <c r="F554">
        <v>5014.8374379999996</v>
      </c>
      <c r="G554">
        <v>1</v>
      </c>
      <c r="H554">
        <v>478</v>
      </c>
      <c r="I554">
        <v>18.24427481</v>
      </c>
      <c r="J554">
        <v>0.753</v>
      </c>
      <c r="K554">
        <f t="shared" si="8"/>
        <v>4</v>
      </c>
      <c r="N554">
        <v>4</v>
      </c>
      <c r="O554">
        <v>4</v>
      </c>
    </row>
    <row r="555" spans="1:15" x14ac:dyDescent="0.2">
      <c r="A555" t="s">
        <v>2137</v>
      </c>
      <c r="B555">
        <v>9009142700</v>
      </c>
      <c r="C555" t="s">
        <v>2138</v>
      </c>
      <c r="D555">
        <v>6654</v>
      </c>
      <c r="E555">
        <v>1.2282381229999999</v>
      </c>
      <c r="F555">
        <v>5417.5162579999997</v>
      </c>
      <c r="G555">
        <v>1</v>
      </c>
      <c r="H555">
        <v>3104</v>
      </c>
      <c r="I555">
        <v>42.543859650000002</v>
      </c>
      <c r="J555">
        <v>0.99199999999999999</v>
      </c>
      <c r="K555">
        <f t="shared" si="8"/>
        <v>5</v>
      </c>
      <c r="N555">
        <v>4.5</v>
      </c>
      <c r="O555">
        <v>5</v>
      </c>
    </row>
    <row r="556" spans="1:15" x14ac:dyDescent="0.2">
      <c r="A556" t="s">
        <v>2139</v>
      </c>
      <c r="B556">
        <v>9009142800</v>
      </c>
      <c r="C556" t="s">
        <v>2140</v>
      </c>
      <c r="D556">
        <v>4841</v>
      </c>
      <c r="E556">
        <v>1.5338835550000001</v>
      </c>
      <c r="F556">
        <v>3156.0413990000002</v>
      </c>
      <c r="G556">
        <v>1</v>
      </c>
      <c r="H556">
        <v>511</v>
      </c>
      <c r="I556">
        <v>12.50917993</v>
      </c>
      <c r="J556">
        <v>0.59199999999999997</v>
      </c>
      <c r="K556">
        <f t="shared" si="8"/>
        <v>3</v>
      </c>
      <c r="N556">
        <v>3.5</v>
      </c>
      <c r="O556">
        <v>4</v>
      </c>
    </row>
    <row r="557" spans="1:15" x14ac:dyDescent="0.2">
      <c r="A557" t="s">
        <v>2141</v>
      </c>
      <c r="B557">
        <v>9009150100</v>
      </c>
      <c r="C557" t="s">
        <v>2142</v>
      </c>
      <c r="D557">
        <v>4123</v>
      </c>
      <c r="E557">
        <v>1.2127951939999999</v>
      </c>
      <c r="F557">
        <v>3399.584711</v>
      </c>
      <c r="G557">
        <v>1</v>
      </c>
      <c r="H557">
        <v>450</v>
      </c>
      <c r="I557">
        <v>9.3926111460000001</v>
      </c>
      <c r="J557">
        <v>0.43099999999999999</v>
      </c>
      <c r="K557">
        <f t="shared" si="8"/>
        <v>3</v>
      </c>
      <c r="N557">
        <v>2.5</v>
      </c>
      <c r="O557">
        <v>3</v>
      </c>
    </row>
    <row r="558" spans="1:15" x14ac:dyDescent="0.2">
      <c r="A558" t="s">
        <v>2143</v>
      </c>
      <c r="B558">
        <v>9009150200</v>
      </c>
      <c r="C558" t="s">
        <v>2144</v>
      </c>
      <c r="D558">
        <v>3622</v>
      </c>
      <c r="E558">
        <v>1.0286205960000001</v>
      </c>
      <c r="F558">
        <v>3521.2205690000001</v>
      </c>
      <c r="G558">
        <v>1</v>
      </c>
      <c r="H558">
        <v>633</v>
      </c>
      <c r="I558">
        <v>19.095022620000002</v>
      </c>
      <c r="J558">
        <v>0.78300000000000003</v>
      </c>
      <c r="K558">
        <f t="shared" si="8"/>
        <v>4</v>
      </c>
      <c r="N558">
        <v>3.5</v>
      </c>
      <c r="O558">
        <v>4</v>
      </c>
    </row>
    <row r="559" spans="1:15" x14ac:dyDescent="0.2">
      <c r="A559" t="s">
        <v>2145</v>
      </c>
      <c r="B559">
        <v>9009150300</v>
      </c>
      <c r="C559" t="s">
        <v>2146</v>
      </c>
      <c r="D559">
        <v>3953</v>
      </c>
      <c r="E559">
        <v>1.1303090979999999</v>
      </c>
      <c r="F559">
        <v>3497.273451</v>
      </c>
      <c r="G559">
        <v>1</v>
      </c>
      <c r="H559">
        <v>363</v>
      </c>
      <c r="I559">
        <v>9.22021844</v>
      </c>
      <c r="J559">
        <v>0.42299999999999999</v>
      </c>
      <c r="K559">
        <f t="shared" si="8"/>
        <v>3</v>
      </c>
      <c r="N559">
        <v>2.5</v>
      </c>
      <c r="O559">
        <v>3</v>
      </c>
    </row>
    <row r="560" spans="1:15" x14ac:dyDescent="0.2">
      <c r="A560" t="s">
        <v>2147</v>
      </c>
      <c r="B560">
        <v>9009150400</v>
      </c>
      <c r="C560" t="s">
        <v>2148</v>
      </c>
      <c r="D560">
        <v>4284</v>
      </c>
      <c r="E560">
        <v>0.63277165800000001</v>
      </c>
      <c r="F560">
        <v>6770.2147340000001</v>
      </c>
      <c r="G560">
        <v>1</v>
      </c>
      <c r="H560">
        <v>578</v>
      </c>
      <c r="I560">
        <v>14.15279138</v>
      </c>
      <c r="J560">
        <v>0.63500000000000001</v>
      </c>
      <c r="K560">
        <f t="shared" si="8"/>
        <v>4</v>
      </c>
      <c r="N560">
        <v>4</v>
      </c>
      <c r="O560">
        <v>4</v>
      </c>
    </row>
    <row r="561" spans="1:15" x14ac:dyDescent="0.2">
      <c r="A561" t="s">
        <v>2149</v>
      </c>
      <c r="B561">
        <v>9009150500</v>
      </c>
      <c r="C561" t="s">
        <v>2150</v>
      </c>
      <c r="D561">
        <v>4308</v>
      </c>
      <c r="E561">
        <v>1.6505145969999999</v>
      </c>
      <c r="F561">
        <v>2610.0950619999999</v>
      </c>
      <c r="G561">
        <v>1</v>
      </c>
      <c r="H561">
        <v>349</v>
      </c>
      <c r="I561">
        <v>7.7315019940000003</v>
      </c>
      <c r="J561">
        <v>0.32</v>
      </c>
      <c r="K561">
        <f t="shared" si="8"/>
        <v>2</v>
      </c>
      <c r="N561">
        <v>2.5</v>
      </c>
      <c r="O561">
        <v>3</v>
      </c>
    </row>
    <row r="562" spans="1:15" x14ac:dyDescent="0.2">
      <c r="A562" t="s">
        <v>2151</v>
      </c>
      <c r="B562">
        <v>9009150600</v>
      </c>
      <c r="C562" t="s">
        <v>2152</v>
      </c>
      <c r="D562">
        <v>6407</v>
      </c>
      <c r="E562">
        <v>3.9162826239999999</v>
      </c>
      <c r="F562">
        <v>1635.990202</v>
      </c>
      <c r="G562">
        <v>1</v>
      </c>
      <c r="H562">
        <v>880</v>
      </c>
      <c r="I562">
        <v>12.340485210000001</v>
      </c>
      <c r="J562">
        <v>0.57899999999999996</v>
      </c>
      <c r="K562">
        <f t="shared" si="8"/>
        <v>3</v>
      </c>
      <c r="N562">
        <v>2.5</v>
      </c>
      <c r="O562">
        <v>3</v>
      </c>
    </row>
    <row r="563" spans="1:15" x14ac:dyDescent="0.2">
      <c r="A563" t="s">
        <v>2153</v>
      </c>
      <c r="B563">
        <v>9009150700</v>
      </c>
      <c r="C563" t="s">
        <v>2154</v>
      </c>
      <c r="D563">
        <v>4361</v>
      </c>
      <c r="E563">
        <v>4.4284301700000004</v>
      </c>
      <c r="F563">
        <v>984.77334680000001</v>
      </c>
      <c r="G563">
        <v>1</v>
      </c>
      <c r="H563">
        <v>429</v>
      </c>
      <c r="I563">
        <v>9.4827586210000003</v>
      </c>
      <c r="J563">
        <v>0.437</v>
      </c>
      <c r="K563">
        <f t="shared" si="8"/>
        <v>3</v>
      </c>
      <c r="N563">
        <v>2</v>
      </c>
      <c r="O563">
        <v>2</v>
      </c>
    </row>
    <row r="564" spans="1:15" x14ac:dyDescent="0.2">
      <c r="A564" t="s">
        <v>2155</v>
      </c>
      <c r="B564">
        <v>9009150800</v>
      </c>
      <c r="C564" t="s">
        <v>2156</v>
      </c>
      <c r="D564">
        <v>3950</v>
      </c>
      <c r="E564">
        <v>2.1166766020000001</v>
      </c>
      <c r="F564">
        <v>1866.132973</v>
      </c>
      <c r="G564">
        <v>1</v>
      </c>
      <c r="H564">
        <v>692</v>
      </c>
      <c r="I564">
        <v>17.514553280000001</v>
      </c>
      <c r="J564">
        <v>0.73199999999999998</v>
      </c>
      <c r="K564">
        <f t="shared" si="8"/>
        <v>4</v>
      </c>
      <c r="N564">
        <v>3</v>
      </c>
      <c r="O564">
        <v>3</v>
      </c>
    </row>
    <row r="565" spans="1:15" x14ac:dyDescent="0.2">
      <c r="A565" t="s">
        <v>2157</v>
      </c>
      <c r="B565">
        <v>9009150900</v>
      </c>
      <c r="C565" t="s">
        <v>2158</v>
      </c>
      <c r="D565">
        <v>3958</v>
      </c>
      <c r="E565">
        <v>1.7314840840000001</v>
      </c>
      <c r="F565">
        <v>2285.9003069999999</v>
      </c>
      <c r="G565">
        <v>1</v>
      </c>
      <c r="H565">
        <v>131</v>
      </c>
      <c r="I565">
        <v>3.4592025350000002</v>
      </c>
      <c r="J565">
        <v>8.4000000000000005E-2</v>
      </c>
      <c r="K565">
        <f t="shared" si="8"/>
        <v>1</v>
      </c>
      <c r="N565">
        <v>1</v>
      </c>
      <c r="O565">
        <v>1</v>
      </c>
    </row>
    <row r="566" spans="1:15" x14ac:dyDescent="0.2">
      <c r="A566" t="s">
        <v>2159</v>
      </c>
      <c r="B566">
        <v>9009151000</v>
      </c>
      <c r="C566" t="s">
        <v>2160</v>
      </c>
      <c r="D566">
        <v>4126</v>
      </c>
      <c r="E566">
        <v>0.79923922400000003</v>
      </c>
      <c r="F566">
        <v>5162.4092950000004</v>
      </c>
      <c r="G566">
        <v>1</v>
      </c>
      <c r="H566">
        <v>434</v>
      </c>
      <c r="I566">
        <v>10.43771044</v>
      </c>
      <c r="J566">
        <v>0.48</v>
      </c>
      <c r="K566">
        <f t="shared" si="8"/>
        <v>3</v>
      </c>
      <c r="N566">
        <v>2.5</v>
      </c>
      <c r="O566">
        <v>3</v>
      </c>
    </row>
    <row r="567" spans="1:15" x14ac:dyDescent="0.2">
      <c r="A567" t="s">
        <v>2161</v>
      </c>
      <c r="B567">
        <v>9009151100</v>
      </c>
      <c r="C567" t="s">
        <v>2162</v>
      </c>
      <c r="D567">
        <v>6579</v>
      </c>
      <c r="E567">
        <v>2.2009453329999999</v>
      </c>
      <c r="F567">
        <v>2989.1701090000001</v>
      </c>
      <c r="G567">
        <v>1</v>
      </c>
      <c r="H567">
        <v>792</v>
      </c>
      <c r="I567">
        <v>11.53678077</v>
      </c>
      <c r="J567">
        <v>0.54</v>
      </c>
      <c r="K567">
        <f t="shared" si="8"/>
        <v>3</v>
      </c>
      <c r="N567">
        <v>2.5</v>
      </c>
      <c r="O567">
        <v>3</v>
      </c>
    </row>
    <row r="568" spans="1:15" x14ac:dyDescent="0.2">
      <c r="A568" t="s">
        <v>2163</v>
      </c>
      <c r="B568">
        <v>9009151200</v>
      </c>
      <c r="C568" t="s">
        <v>2164</v>
      </c>
      <c r="D568">
        <v>3088</v>
      </c>
      <c r="E568">
        <v>1.327340899</v>
      </c>
      <c r="F568">
        <v>2326.4558510000002</v>
      </c>
      <c r="G568">
        <v>1</v>
      </c>
      <c r="H568">
        <v>235</v>
      </c>
      <c r="I568">
        <v>7.1843472940000002</v>
      </c>
      <c r="J568">
        <v>0.29399999999999998</v>
      </c>
      <c r="K568">
        <f t="shared" si="8"/>
        <v>2</v>
      </c>
      <c r="N568">
        <v>2.5</v>
      </c>
      <c r="O568">
        <v>3</v>
      </c>
    </row>
    <row r="569" spans="1:15" x14ac:dyDescent="0.2">
      <c r="A569" t="s">
        <v>2165</v>
      </c>
      <c r="B569">
        <v>9009154100</v>
      </c>
      <c r="C569" t="s">
        <v>2166</v>
      </c>
      <c r="D569">
        <v>8070</v>
      </c>
      <c r="E569">
        <v>2.4697373119999999</v>
      </c>
      <c r="F569">
        <v>3267.5539869999998</v>
      </c>
      <c r="G569">
        <v>1</v>
      </c>
      <c r="H569">
        <v>1456</v>
      </c>
      <c r="I569">
        <v>17.999752749999999</v>
      </c>
      <c r="J569">
        <v>0.73899999999999999</v>
      </c>
      <c r="K569">
        <f t="shared" si="8"/>
        <v>4</v>
      </c>
      <c r="N569">
        <v>4</v>
      </c>
      <c r="O569">
        <v>4</v>
      </c>
    </row>
    <row r="570" spans="1:15" x14ac:dyDescent="0.2">
      <c r="A570" t="s">
        <v>2167</v>
      </c>
      <c r="B570">
        <v>9009154200</v>
      </c>
      <c r="C570" t="s">
        <v>2168</v>
      </c>
      <c r="D570">
        <v>7176</v>
      </c>
      <c r="E570">
        <v>1.184925953</v>
      </c>
      <c r="F570">
        <v>6056.0746259999996</v>
      </c>
      <c r="G570">
        <v>1</v>
      </c>
      <c r="H570">
        <v>1030</v>
      </c>
      <c r="I570">
        <v>16.061125839999999</v>
      </c>
      <c r="J570">
        <v>0.68300000000000005</v>
      </c>
      <c r="K570">
        <f t="shared" si="8"/>
        <v>4</v>
      </c>
      <c r="N570">
        <v>4</v>
      </c>
      <c r="O570">
        <v>4</v>
      </c>
    </row>
    <row r="571" spans="1:15" x14ac:dyDescent="0.2">
      <c r="A571" t="s">
        <v>2169</v>
      </c>
      <c r="B571">
        <v>9009154500</v>
      </c>
      <c r="C571" t="s">
        <v>2170</v>
      </c>
      <c r="D571">
        <v>4813</v>
      </c>
      <c r="E571">
        <v>0.52658429299999998</v>
      </c>
      <c r="F571">
        <v>9140.0371479999994</v>
      </c>
      <c r="G571">
        <v>1</v>
      </c>
      <c r="H571">
        <v>743</v>
      </c>
      <c r="I571">
        <v>17.299185099999999</v>
      </c>
      <c r="J571">
        <v>0.71699999999999997</v>
      </c>
      <c r="K571">
        <f t="shared" si="8"/>
        <v>4</v>
      </c>
      <c r="N571">
        <v>4.5</v>
      </c>
      <c r="O571">
        <v>5</v>
      </c>
    </row>
    <row r="572" spans="1:15" x14ac:dyDescent="0.2">
      <c r="A572" t="s">
        <v>2171</v>
      </c>
      <c r="B572">
        <v>9009154600</v>
      </c>
      <c r="C572" t="s">
        <v>2172</v>
      </c>
      <c r="D572">
        <v>4029</v>
      </c>
      <c r="E572">
        <v>0.86725034999999995</v>
      </c>
      <c r="F572">
        <v>4645.7173519999997</v>
      </c>
      <c r="G572">
        <v>1</v>
      </c>
      <c r="H572">
        <v>1190</v>
      </c>
      <c r="I572">
        <v>25.607919089999999</v>
      </c>
      <c r="J572">
        <v>0.874</v>
      </c>
      <c r="K572">
        <f t="shared" si="8"/>
        <v>5</v>
      </c>
      <c r="N572">
        <v>5</v>
      </c>
      <c r="O572">
        <v>5</v>
      </c>
    </row>
    <row r="573" spans="1:15" x14ac:dyDescent="0.2">
      <c r="A573" t="s">
        <v>2173</v>
      </c>
      <c r="B573">
        <v>9009154700</v>
      </c>
      <c r="C573" t="s">
        <v>2174</v>
      </c>
      <c r="D573">
        <v>6384</v>
      </c>
      <c r="E573">
        <v>1.962751565</v>
      </c>
      <c r="F573">
        <v>3252.5766960000001</v>
      </c>
      <c r="G573">
        <v>1</v>
      </c>
      <c r="H573">
        <v>754</v>
      </c>
      <c r="I573">
        <v>11.316223920000001</v>
      </c>
      <c r="J573">
        <v>0.53300000000000003</v>
      </c>
      <c r="K573">
        <f t="shared" si="8"/>
        <v>3</v>
      </c>
      <c r="N573">
        <v>3</v>
      </c>
      <c r="O573">
        <v>3</v>
      </c>
    </row>
    <row r="574" spans="1:15" x14ac:dyDescent="0.2">
      <c r="A574" t="s">
        <v>2175</v>
      </c>
      <c r="B574">
        <v>9009154800</v>
      </c>
      <c r="C574" t="s">
        <v>2176</v>
      </c>
      <c r="D574">
        <v>5135</v>
      </c>
      <c r="E574">
        <v>0.75609269199999996</v>
      </c>
      <c r="F574">
        <v>6791.4953450000003</v>
      </c>
      <c r="G574">
        <v>1</v>
      </c>
      <c r="H574">
        <v>278</v>
      </c>
      <c r="I574">
        <v>5.5500099819999997</v>
      </c>
      <c r="J574">
        <v>0.20599999999999999</v>
      </c>
      <c r="K574">
        <f t="shared" si="8"/>
        <v>2</v>
      </c>
      <c r="N574">
        <v>2.5</v>
      </c>
      <c r="O574">
        <v>3</v>
      </c>
    </row>
    <row r="575" spans="1:15" x14ac:dyDescent="0.2">
      <c r="A575" t="s">
        <v>2177</v>
      </c>
      <c r="B575">
        <v>9009154900</v>
      </c>
      <c r="C575" t="s">
        <v>2178</v>
      </c>
      <c r="D575">
        <v>3670</v>
      </c>
      <c r="E575">
        <v>0.71461566600000004</v>
      </c>
      <c r="F575">
        <v>5135.6276859999998</v>
      </c>
      <c r="G575">
        <v>1</v>
      </c>
      <c r="H575">
        <v>271</v>
      </c>
      <c r="I575">
        <v>7.0207253889999999</v>
      </c>
      <c r="J575">
        <v>0.28599999999999998</v>
      </c>
      <c r="K575">
        <f t="shared" si="8"/>
        <v>2</v>
      </c>
      <c r="N575">
        <v>3</v>
      </c>
      <c r="O575">
        <v>3</v>
      </c>
    </row>
    <row r="576" spans="1:15" x14ac:dyDescent="0.2">
      <c r="A576" t="s">
        <v>2179</v>
      </c>
      <c r="B576">
        <v>9009155000</v>
      </c>
      <c r="C576" t="s">
        <v>2180</v>
      </c>
      <c r="D576">
        <v>5290</v>
      </c>
      <c r="E576">
        <v>0.60375955400000003</v>
      </c>
      <c r="F576">
        <v>8761.7661110000008</v>
      </c>
      <c r="G576">
        <v>1</v>
      </c>
      <c r="H576">
        <v>1668</v>
      </c>
      <c r="I576">
        <v>32.419825070000002</v>
      </c>
      <c r="J576">
        <v>0.95199999999999996</v>
      </c>
      <c r="K576">
        <f t="shared" si="8"/>
        <v>5</v>
      </c>
      <c r="N576">
        <v>4.5</v>
      </c>
      <c r="O576">
        <v>5</v>
      </c>
    </row>
    <row r="577" spans="1:15" x14ac:dyDescent="0.2">
      <c r="A577" t="s">
        <v>2181</v>
      </c>
      <c r="B577">
        <v>9009155100</v>
      </c>
      <c r="C577" t="s">
        <v>2182</v>
      </c>
      <c r="D577">
        <v>3390</v>
      </c>
      <c r="E577">
        <v>0.48756519300000001</v>
      </c>
      <c r="F577">
        <v>6952.9163410000001</v>
      </c>
      <c r="G577">
        <v>1</v>
      </c>
      <c r="H577">
        <v>608</v>
      </c>
      <c r="I577">
        <v>20.20604852</v>
      </c>
      <c r="J577">
        <v>0.79900000000000004</v>
      </c>
      <c r="K577">
        <f t="shared" si="8"/>
        <v>4</v>
      </c>
      <c r="N577">
        <v>4.5</v>
      </c>
      <c r="O577">
        <v>5</v>
      </c>
    </row>
    <row r="578" spans="1:15" x14ac:dyDescent="0.2">
      <c r="A578" t="s">
        <v>2183</v>
      </c>
      <c r="B578">
        <v>9009157100</v>
      </c>
      <c r="C578" t="s">
        <v>2184</v>
      </c>
      <c r="D578">
        <v>2603</v>
      </c>
      <c r="E578">
        <v>3.606949916</v>
      </c>
      <c r="F578">
        <v>721.66236300000003</v>
      </c>
      <c r="G578">
        <v>1</v>
      </c>
      <c r="H578">
        <v>722</v>
      </c>
      <c r="I578">
        <v>29.112903230000001</v>
      </c>
      <c r="J578">
        <v>0.91900000000000004</v>
      </c>
      <c r="K578">
        <f t="shared" si="8"/>
        <v>5</v>
      </c>
      <c r="N578">
        <v>4</v>
      </c>
      <c r="O578">
        <v>4</v>
      </c>
    </row>
    <row r="579" spans="1:15" x14ac:dyDescent="0.2">
      <c r="A579" t="s">
        <v>2185</v>
      </c>
      <c r="B579">
        <v>9009157200</v>
      </c>
      <c r="C579" t="s">
        <v>2186</v>
      </c>
      <c r="D579">
        <v>3837</v>
      </c>
      <c r="E579">
        <v>3.5861281979999999</v>
      </c>
      <c r="F579">
        <v>1069.9561719999999</v>
      </c>
      <c r="G579">
        <v>1</v>
      </c>
      <c r="H579">
        <v>337</v>
      </c>
      <c r="I579">
        <v>8.5947462380000008</v>
      </c>
      <c r="J579">
        <v>0.39200000000000002</v>
      </c>
      <c r="K579">
        <f t="shared" ref="K579:K642" si="9">IF(J579&lt;0.2,1,IF(J579&lt;0.4,2,IF(J579&lt;0.6,3,IF(J579&lt;0.8,4,5))))</f>
        <v>2</v>
      </c>
      <c r="N579">
        <v>1.5</v>
      </c>
      <c r="O579">
        <v>2</v>
      </c>
    </row>
    <row r="580" spans="1:15" x14ac:dyDescent="0.2">
      <c r="A580" t="s">
        <v>2187</v>
      </c>
      <c r="B580">
        <v>9009157300</v>
      </c>
      <c r="C580" t="s">
        <v>2188</v>
      </c>
      <c r="D580">
        <v>3310</v>
      </c>
      <c r="E580">
        <v>4.4937787360000003</v>
      </c>
      <c r="F580">
        <v>736.57387129999995</v>
      </c>
      <c r="G580">
        <v>1</v>
      </c>
      <c r="H580">
        <v>353</v>
      </c>
      <c r="I580">
        <v>10.502826539999999</v>
      </c>
      <c r="J580">
        <v>0.495</v>
      </c>
      <c r="K580">
        <f t="shared" si="9"/>
        <v>3</v>
      </c>
      <c r="N580">
        <v>2</v>
      </c>
      <c r="O580">
        <v>2</v>
      </c>
    </row>
    <row r="581" spans="1:15" x14ac:dyDescent="0.2">
      <c r="A581" t="s">
        <v>2189</v>
      </c>
      <c r="B581">
        <v>9009157400</v>
      </c>
      <c r="C581" t="s">
        <v>2190</v>
      </c>
      <c r="D581">
        <v>4206</v>
      </c>
      <c r="E581">
        <v>5.4941992009999998</v>
      </c>
      <c r="F581">
        <v>765.53467509999996</v>
      </c>
      <c r="G581">
        <v>1</v>
      </c>
      <c r="H581">
        <v>376</v>
      </c>
      <c r="I581">
        <v>9.0124640459999998</v>
      </c>
      <c r="J581">
        <v>0.42</v>
      </c>
      <c r="K581">
        <f t="shared" si="9"/>
        <v>3</v>
      </c>
      <c r="N581">
        <v>2</v>
      </c>
      <c r="O581">
        <v>2</v>
      </c>
    </row>
    <row r="582" spans="1:15" x14ac:dyDescent="0.2">
      <c r="A582" t="s">
        <v>2191</v>
      </c>
      <c r="B582">
        <v>9009160100</v>
      </c>
      <c r="C582" t="s">
        <v>2192</v>
      </c>
      <c r="D582">
        <v>3443</v>
      </c>
      <c r="E582">
        <v>6.728513414</v>
      </c>
      <c r="F582">
        <v>511.7029258</v>
      </c>
      <c r="G582">
        <v>1</v>
      </c>
      <c r="H582">
        <v>791</v>
      </c>
      <c r="I582">
        <v>24.32349323</v>
      </c>
      <c r="J582">
        <v>0.85599999999999998</v>
      </c>
      <c r="K582">
        <f t="shared" si="9"/>
        <v>5</v>
      </c>
      <c r="N582">
        <v>3</v>
      </c>
      <c r="O582">
        <v>3</v>
      </c>
    </row>
    <row r="583" spans="1:15" x14ac:dyDescent="0.2">
      <c r="A583" t="s">
        <v>2193</v>
      </c>
      <c r="B583">
        <v>9009160200</v>
      </c>
      <c r="C583" t="s">
        <v>2194</v>
      </c>
      <c r="D583">
        <v>5547</v>
      </c>
      <c r="E583">
        <v>12.08328069</v>
      </c>
      <c r="F583">
        <v>459.06406879999997</v>
      </c>
      <c r="G583">
        <v>1</v>
      </c>
      <c r="H583">
        <v>970</v>
      </c>
      <c r="I583">
        <v>17.399103140000001</v>
      </c>
      <c r="J583">
        <v>0.73199999999999998</v>
      </c>
      <c r="K583">
        <f t="shared" si="9"/>
        <v>4</v>
      </c>
      <c r="N583">
        <v>2.5</v>
      </c>
      <c r="O583">
        <v>3</v>
      </c>
    </row>
    <row r="584" spans="1:15" x14ac:dyDescent="0.2">
      <c r="A584" t="s">
        <v>2195</v>
      </c>
      <c r="B584">
        <v>9009161100</v>
      </c>
      <c r="C584" t="s">
        <v>2196</v>
      </c>
      <c r="D584">
        <v>5563</v>
      </c>
      <c r="E584">
        <v>21.12921643</v>
      </c>
      <c r="F584">
        <v>263.28472799999997</v>
      </c>
      <c r="G584">
        <v>1</v>
      </c>
      <c r="H584">
        <v>868</v>
      </c>
      <c r="I584">
        <v>15.744603659999999</v>
      </c>
      <c r="J584">
        <v>0.68100000000000005</v>
      </c>
      <c r="K584">
        <f t="shared" si="9"/>
        <v>4</v>
      </c>
      <c r="N584">
        <v>2.5</v>
      </c>
      <c r="O584">
        <v>3</v>
      </c>
    </row>
    <row r="585" spans="1:15" x14ac:dyDescent="0.2">
      <c r="A585" t="s">
        <v>2197</v>
      </c>
      <c r="B585">
        <v>9009165100</v>
      </c>
      <c r="C585" t="s">
        <v>2198</v>
      </c>
      <c r="D585">
        <v>3928</v>
      </c>
      <c r="E585">
        <v>1.8282748799999999</v>
      </c>
      <c r="F585">
        <v>2148.4734290000001</v>
      </c>
      <c r="G585">
        <v>1</v>
      </c>
      <c r="H585">
        <v>1059</v>
      </c>
      <c r="I585">
        <v>25.226298239999998</v>
      </c>
      <c r="J585">
        <v>0.871</v>
      </c>
      <c r="K585">
        <f t="shared" si="9"/>
        <v>5</v>
      </c>
      <c r="N585">
        <v>4</v>
      </c>
      <c r="O585">
        <v>4</v>
      </c>
    </row>
    <row r="586" spans="1:15" x14ac:dyDescent="0.2">
      <c r="A586" t="s">
        <v>2199</v>
      </c>
      <c r="B586">
        <v>9009165200</v>
      </c>
      <c r="C586" t="s">
        <v>2200</v>
      </c>
      <c r="D586">
        <v>2485</v>
      </c>
      <c r="E586">
        <v>1.3692260350000001</v>
      </c>
      <c r="F586">
        <v>1814.893916</v>
      </c>
      <c r="G586">
        <v>1</v>
      </c>
      <c r="H586">
        <v>244</v>
      </c>
      <c r="I586">
        <v>10.0370218</v>
      </c>
      <c r="J586">
        <v>0.47899999999999998</v>
      </c>
      <c r="K586">
        <f t="shared" si="9"/>
        <v>3</v>
      </c>
      <c r="N586">
        <v>2.5</v>
      </c>
      <c r="O586">
        <v>3</v>
      </c>
    </row>
    <row r="587" spans="1:15" x14ac:dyDescent="0.2">
      <c r="A587" t="s">
        <v>2201</v>
      </c>
      <c r="B587">
        <v>9009165300</v>
      </c>
      <c r="C587" t="s">
        <v>2202</v>
      </c>
      <c r="D587">
        <v>2289</v>
      </c>
      <c r="E587">
        <v>0.61575227399999999</v>
      </c>
      <c r="F587">
        <v>3717.4040559999999</v>
      </c>
      <c r="G587">
        <v>1</v>
      </c>
      <c r="H587">
        <v>184</v>
      </c>
      <c r="I587">
        <v>8.3826879269999992</v>
      </c>
      <c r="J587">
        <v>0.38900000000000001</v>
      </c>
      <c r="K587">
        <f t="shared" si="9"/>
        <v>2</v>
      </c>
      <c r="N587">
        <v>2</v>
      </c>
      <c r="O587">
        <v>2</v>
      </c>
    </row>
    <row r="588" spans="1:15" x14ac:dyDescent="0.2">
      <c r="A588" t="s">
        <v>2203</v>
      </c>
      <c r="B588">
        <v>9009165400</v>
      </c>
      <c r="C588" t="s">
        <v>2204</v>
      </c>
      <c r="D588">
        <v>5112</v>
      </c>
      <c r="E588">
        <v>1.1067116910000001</v>
      </c>
      <c r="F588">
        <v>4619.0891810000003</v>
      </c>
      <c r="G588">
        <v>1</v>
      </c>
      <c r="H588">
        <v>555</v>
      </c>
      <c r="I588">
        <v>11.721224919999999</v>
      </c>
      <c r="J588">
        <v>0.55800000000000005</v>
      </c>
      <c r="K588">
        <f t="shared" si="9"/>
        <v>3</v>
      </c>
      <c r="N588">
        <v>3</v>
      </c>
      <c r="O588">
        <v>3</v>
      </c>
    </row>
    <row r="589" spans="1:15" x14ac:dyDescent="0.2">
      <c r="A589" t="s">
        <v>2205</v>
      </c>
      <c r="B589">
        <v>9009165500</v>
      </c>
      <c r="C589" t="s">
        <v>2206</v>
      </c>
      <c r="D589">
        <v>4959</v>
      </c>
      <c r="E589">
        <v>0.60177035599999995</v>
      </c>
      <c r="F589">
        <v>8240.6850940000004</v>
      </c>
      <c r="G589">
        <v>1</v>
      </c>
      <c r="H589">
        <v>777</v>
      </c>
      <c r="I589">
        <v>16.416649060000001</v>
      </c>
      <c r="J589">
        <v>0.7</v>
      </c>
      <c r="K589">
        <f t="shared" si="9"/>
        <v>4</v>
      </c>
      <c r="N589">
        <v>4.5</v>
      </c>
      <c r="O589">
        <v>5</v>
      </c>
    </row>
    <row r="590" spans="1:15" x14ac:dyDescent="0.2">
      <c r="A590" t="s">
        <v>2207</v>
      </c>
      <c r="B590">
        <v>9009165600</v>
      </c>
      <c r="C590" t="s">
        <v>2208</v>
      </c>
      <c r="D590">
        <v>5569</v>
      </c>
      <c r="E590">
        <v>0.90630767400000001</v>
      </c>
      <c r="F590">
        <v>6144.7123970000002</v>
      </c>
      <c r="G590">
        <v>1</v>
      </c>
      <c r="H590">
        <v>1177</v>
      </c>
      <c r="I590">
        <v>21.330192100000001</v>
      </c>
      <c r="J590">
        <v>0.81699999999999995</v>
      </c>
      <c r="K590">
        <f t="shared" si="9"/>
        <v>5</v>
      </c>
      <c r="N590">
        <v>4.5</v>
      </c>
      <c r="O590">
        <v>5</v>
      </c>
    </row>
    <row r="591" spans="1:15" x14ac:dyDescent="0.2">
      <c r="A591" t="s">
        <v>2209</v>
      </c>
      <c r="B591">
        <v>9009165700</v>
      </c>
      <c r="C591" t="s">
        <v>2210</v>
      </c>
      <c r="D591">
        <v>4588</v>
      </c>
      <c r="E591">
        <v>1.0416256749999999</v>
      </c>
      <c r="F591">
        <v>4404.6533300000001</v>
      </c>
      <c r="G591">
        <v>1</v>
      </c>
      <c r="H591">
        <v>948</v>
      </c>
      <c r="I591">
        <v>19.672131149999998</v>
      </c>
      <c r="J591">
        <v>0.79500000000000004</v>
      </c>
      <c r="K591">
        <f t="shared" si="9"/>
        <v>4</v>
      </c>
      <c r="N591">
        <v>3.5</v>
      </c>
      <c r="O591">
        <v>4</v>
      </c>
    </row>
    <row r="592" spans="1:15" x14ac:dyDescent="0.2">
      <c r="A592" t="s">
        <v>2211</v>
      </c>
      <c r="B592">
        <v>9009165801</v>
      </c>
      <c r="C592" t="s">
        <v>2212</v>
      </c>
      <c r="D592">
        <v>5434</v>
      </c>
      <c r="E592">
        <v>1.5055957790000001</v>
      </c>
      <c r="F592">
        <v>3609.202468</v>
      </c>
      <c r="G592">
        <v>1</v>
      </c>
      <c r="H592">
        <v>1140</v>
      </c>
      <c r="I592">
        <v>19.377868429999999</v>
      </c>
      <c r="J592">
        <v>0.79</v>
      </c>
      <c r="K592">
        <f t="shared" si="9"/>
        <v>4</v>
      </c>
      <c r="N592">
        <v>4</v>
      </c>
      <c r="O592">
        <v>4</v>
      </c>
    </row>
    <row r="593" spans="1:15" x14ac:dyDescent="0.2">
      <c r="A593" t="s">
        <v>2213</v>
      </c>
      <c r="B593">
        <v>9009165802</v>
      </c>
      <c r="C593" t="s">
        <v>2214</v>
      </c>
      <c r="D593">
        <v>4086</v>
      </c>
      <c r="E593">
        <v>4.9728620360000004</v>
      </c>
      <c r="F593">
        <v>821.65963380000005</v>
      </c>
      <c r="G593">
        <v>1</v>
      </c>
      <c r="H593">
        <v>489</v>
      </c>
      <c r="I593">
        <v>11.42523364</v>
      </c>
      <c r="J593">
        <v>0.55700000000000005</v>
      </c>
      <c r="K593">
        <f t="shared" si="9"/>
        <v>3</v>
      </c>
      <c r="N593">
        <v>2.5</v>
      </c>
      <c r="O593">
        <v>3</v>
      </c>
    </row>
    <row r="594" spans="1:15" x14ac:dyDescent="0.2">
      <c r="A594" t="s">
        <v>2215</v>
      </c>
      <c r="B594">
        <v>9009165900</v>
      </c>
      <c r="C594" t="s">
        <v>2216</v>
      </c>
      <c r="D594">
        <v>7897</v>
      </c>
      <c r="E594">
        <v>10.43590279</v>
      </c>
      <c r="F594">
        <v>756.7145994</v>
      </c>
      <c r="G594">
        <v>1</v>
      </c>
      <c r="H594">
        <v>675</v>
      </c>
      <c r="I594">
        <v>8.4788343170000005</v>
      </c>
      <c r="J594">
        <v>0.40500000000000003</v>
      </c>
      <c r="K594">
        <f t="shared" si="9"/>
        <v>3</v>
      </c>
      <c r="N594">
        <v>2.5</v>
      </c>
      <c r="O594">
        <v>3</v>
      </c>
    </row>
    <row r="595" spans="1:15" x14ac:dyDescent="0.2">
      <c r="A595" t="s">
        <v>2217</v>
      </c>
      <c r="B595">
        <v>9009166001</v>
      </c>
      <c r="C595" t="s">
        <v>2218</v>
      </c>
      <c r="D595">
        <v>6887</v>
      </c>
      <c r="E595">
        <v>1.5721235</v>
      </c>
      <c r="F595">
        <v>4380.6990990000004</v>
      </c>
      <c r="G595">
        <v>1</v>
      </c>
      <c r="H595">
        <v>1278</v>
      </c>
      <c r="I595">
        <v>18.624307779999999</v>
      </c>
      <c r="J595">
        <v>0.77400000000000002</v>
      </c>
      <c r="K595">
        <f t="shared" si="9"/>
        <v>4</v>
      </c>
      <c r="N595">
        <v>3.5</v>
      </c>
      <c r="O595">
        <v>4</v>
      </c>
    </row>
    <row r="596" spans="1:15" x14ac:dyDescent="0.2">
      <c r="A596" t="s">
        <v>2219</v>
      </c>
      <c r="B596">
        <v>9009166002</v>
      </c>
      <c r="C596" t="s">
        <v>2220</v>
      </c>
      <c r="D596">
        <v>7726</v>
      </c>
      <c r="E596">
        <v>6.6902086030000003</v>
      </c>
      <c r="F596">
        <v>1154.8219879999999</v>
      </c>
      <c r="G596">
        <v>1</v>
      </c>
      <c r="H596">
        <v>841</v>
      </c>
      <c r="I596">
        <v>11.415773039999999</v>
      </c>
      <c r="J596">
        <v>0.55600000000000005</v>
      </c>
      <c r="K596">
        <f t="shared" si="9"/>
        <v>3</v>
      </c>
      <c r="N596">
        <v>2.5</v>
      </c>
      <c r="O596">
        <v>3</v>
      </c>
    </row>
    <row r="597" spans="1:15" x14ac:dyDescent="0.2">
      <c r="A597" t="s">
        <v>2221</v>
      </c>
      <c r="B597">
        <v>9009167100</v>
      </c>
      <c r="C597" t="s">
        <v>2222</v>
      </c>
      <c r="D597">
        <v>7743</v>
      </c>
      <c r="E597">
        <v>6.359049154</v>
      </c>
      <c r="F597">
        <v>1217.6348720000001</v>
      </c>
      <c r="G597">
        <v>1</v>
      </c>
      <c r="H597">
        <v>859</v>
      </c>
      <c r="I597">
        <v>10.66285998</v>
      </c>
      <c r="J597">
        <v>0.51500000000000001</v>
      </c>
      <c r="K597">
        <f t="shared" si="9"/>
        <v>3</v>
      </c>
      <c r="N597">
        <v>2.5</v>
      </c>
      <c r="O597">
        <v>3</v>
      </c>
    </row>
    <row r="598" spans="1:15" x14ac:dyDescent="0.2">
      <c r="A598" t="s">
        <v>2223</v>
      </c>
      <c r="B598">
        <v>9009167201</v>
      </c>
      <c r="C598" t="s">
        <v>2224</v>
      </c>
      <c r="D598">
        <v>4176</v>
      </c>
      <c r="E598">
        <v>3.648926559</v>
      </c>
      <c r="F598">
        <v>1144.4461630000001</v>
      </c>
      <c r="G598">
        <v>1</v>
      </c>
      <c r="H598">
        <v>358</v>
      </c>
      <c r="I598">
        <v>8.2185491279999994</v>
      </c>
      <c r="J598">
        <v>0.39</v>
      </c>
      <c r="K598">
        <f t="shared" si="9"/>
        <v>2</v>
      </c>
      <c r="N598">
        <v>2.5</v>
      </c>
      <c r="O598">
        <v>3</v>
      </c>
    </row>
    <row r="599" spans="1:15" x14ac:dyDescent="0.2">
      <c r="A599" t="s">
        <v>2225</v>
      </c>
      <c r="B599">
        <v>9009167202</v>
      </c>
      <c r="C599" t="s">
        <v>2226</v>
      </c>
      <c r="D599">
        <v>4485</v>
      </c>
      <c r="E599">
        <v>3.8170165269999998</v>
      </c>
      <c r="F599">
        <v>1175.0014619999999</v>
      </c>
      <c r="G599">
        <v>1</v>
      </c>
      <c r="H599">
        <v>620</v>
      </c>
      <c r="I599">
        <v>13.623379480000001</v>
      </c>
      <c r="J599">
        <v>0.63800000000000001</v>
      </c>
      <c r="K599">
        <f t="shared" si="9"/>
        <v>4</v>
      </c>
      <c r="N599">
        <v>3.5</v>
      </c>
      <c r="O599">
        <v>4</v>
      </c>
    </row>
    <row r="600" spans="1:15" x14ac:dyDescent="0.2">
      <c r="A600" t="s">
        <v>2227</v>
      </c>
      <c r="B600">
        <v>9009167300</v>
      </c>
      <c r="C600" t="s">
        <v>2228</v>
      </c>
      <c r="D600">
        <v>7689</v>
      </c>
      <c r="E600">
        <v>7.0147649330000004</v>
      </c>
      <c r="F600">
        <v>1096.1165590000001</v>
      </c>
      <c r="G600">
        <v>1</v>
      </c>
      <c r="H600">
        <v>509</v>
      </c>
      <c r="I600">
        <v>7.5306998079999996</v>
      </c>
      <c r="J600">
        <v>0.34</v>
      </c>
      <c r="K600">
        <f t="shared" si="9"/>
        <v>2</v>
      </c>
      <c r="N600">
        <v>2</v>
      </c>
      <c r="O600">
        <v>2</v>
      </c>
    </row>
    <row r="601" spans="1:15" x14ac:dyDescent="0.2">
      <c r="A601" t="s">
        <v>2229</v>
      </c>
      <c r="B601">
        <v>9009170100</v>
      </c>
      <c r="C601" t="s">
        <v>2230</v>
      </c>
      <c r="D601">
        <v>2022</v>
      </c>
      <c r="E601">
        <v>0.18744179499999999</v>
      </c>
      <c r="F601">
        <v>10787.348679999999</v>
      </c>
      <c r="G601">
        <v>1</v>
      </c>
      <c r="H601">
        <v>364</v>
      </c>
      <c r="I601">
        <v>24.202127659999999</v>
      </c>
      <c r="J601">
        <v>0.84799999999999998</v>
      </c>
      <c r="K601">
        <f t="shared" si="9"/>
        <v>5</v>
      </c>
      <c r="N601">
        <v>5</v>
      </c>
      <c r="O601">
        <v>5</v>
      </c>
    </row>
    <row r="602" spans="1:15" x14ac:dyDescent="0.2">
      <c r="A602" t="s">
        <v>2231</v>
      </c>
      <c r="B602">
        <v>9009170200</v>
      </c>
      <c r="C602" t="s">
        <v>2232</v>
      </c>
      <c r="D602">
        <v>2505</v>
      </c>
      <c r="E602">
        <v>0.24175633199999999</v>
      </c>
      <c r="F602">
        <v>10361.67274</v>
      </c>
      <c r="G602">
        <v>1</v>
      </c>
      <c r="H602">
        <v>368</v>
      </c>
      <c r="I602">
        <v>33.607305940000003</v>
      </c>
      <c r="J602">
        <v>0.95499999999999996</v>
      </c>
      <c r="K602">
        <f t="shared" si="9"/>
        <v>5</v>
      </c>
      <c r="N602">
        <v>5</v>
      </c>
      <c r="O602">
        <v>5</v>
      </c>
    </row>
    <row r="603" spans="1:15" x14ac:dyDescent="0.2">
      <c r="A603" t="s">
        <v>2233</v>
      </c>
      <c r="B603">
        <v>9009170300</v>
      </c>
      <c r="C603" t="s">
        <v>2234</v>
      </c>
      <c r="D603">
        <v>2147</v>
      </c>
      <c r="E603">
        <v>0.347598136</v>
      </c>
      <c r="F603">
        <v>6176.6729459999997</v>
      </c>
      <c r="G603">
        <v>1</v>
      </c>
      <c r="H603">
        <v>333</v>
      </c>
      <c r="I603">
        <v>16.460701929999999</v>
      </c>
      <c r="J603">
        <v>0.71299999999999997</v>
      </c>
      <c r="K603">
        <f t="shared" si="9"/>
        <v>4</v>
      </c>
      <c r="N603">
        <v>4.5</v>
      </c>
      <c r="O603">
        <v>5</v>
      </c>
    </row>
    <row r="604" spans="1:15" x14ac:dyDescent="0.2">
      <c r="A604" t="s">
        <v>2235</v>
      </c>
      <c r="B604">
        <v>9009170400</v>
      </c>
      <c r="C604" t="s">
        <v>2236</v>
      </c>
      <c r="D604">
        <v>1747</v>
      </c>
      <c r="E604">
        <v>2.0933019769999999</v>
      </c>
      <c r="F604">
        <v>834.56664130000001</v>
      </c>
      <c r="G604">
        <v>1</v>
      </c>
      <c r="H604">
        <v>547</v>
      </c>
      <c r="I604">
        <v>31.93228255</v>
      </c>
      <c r="J604">
        <v>0.95</v>
      </c>
      <c r="K604">
        <f t="shared" si="9"/>
        <v>5</v>
      </c>
      <c r="N604">
        <v>5</v>
      </c>
      <c r="O604">
        <v>5</v>
      </c>
    </row>
    <row r="605" spans="1:15" x14ac:dyDescent="0.2">
      <c r="A605" t="s">
        <v>2237</v>
      </c>
      <c r="B605">
        <v>9009170500</v>
      </c>
      <c r="C605" t="s">
        <v>2238</v>
      </c>
      <c r="D605">
        <v>5781</v>
      </c>
      <c r="E605">
        <v>2.8865388570000001</v>
      </c>
      <c r="F605">
        <v>2002.744563</v>
      </c>
      <c r="G605">
        <v>1</v>
      </c>
      <c r="H605">
        <v>803</v>
      </c>
      <c r="I605">
        <v>12.49222153</v>
      </c>
      <c r="J605">
        <v>0.61</v>
      </c>
      <c r="K605">
        <f t="shared" si="9"/>
        <v>4</v>
      </c>
      <c r="N605">
        <v>3.5</v>
      </c>
      <c r="O605">
        <v>4</v>
      </c>
    </row>
    <row r="606" spans="1:15" x14ac:dyDescent="0.2">
      <c r="A606" t="s">
        <v>2239</v>
      </c>
      <c r="B606">
        <v>9009170600</v>
      </c>
      <c r="C606" t="s">
        <v>2240</v>
      </c>
      <c r="D606">
        <v>2518</v>
      </c>
      <c r="E606">
        <v>0.80742574899999997</v>
      </c>
      <c r="F606">
        <v>3118.553011</v>
      </c>
      <c r="G606">
        <v>1</v>
      </c>
      <c r="H606">
        <v>279</v>
      </c>
      <c r="I606">
        <v>10.45335332</v>
      </c>
      <c r="J606">
        <v>0.52200000000000002</v>
      </c>
      <c r="K606">
        <f t="shared" si="9"/>
        <v>3</v>
      </c>
      <c r="N606">
        <v>4</v>
      </c>
      <c r="O606">
        <v>4</v>
      </c>
    </row>
    <row r="607" spans="1:15" x14ac:dyDescent="0.2">
      <c r="A607" t="s">
        <v>2241</v>
      </c>
      <c r="B607">
        <v>9009170700</v>
      </c>
      <c r="C607" t="s">
        <v>2242</v>
      </c>
      <c r="D607">
        <v>2598</v>
      </c>
      <c r="E607">
        <v>0.35529855700000001</v>
      </c>
      <c r="F607">
        <v>7312.1602839999996</v>
      </c>
      <c r="G607">
        <v>1</v>
      </c>
      <c r="H607">
        <v>315</v>
      </c>
      <c r="I607">
        <v>13.25199832</v>
      </c>
      <c r="J607">
        <v>0.63900000000000001</v>
      </c>
      <c r="K607">
        <f t="shared" si="9"/>
        <v>4</v>
      </c>
      <c r="N607">
        <v>4</v>
      </c>
      <c r="O607">
        <v>4</v>
      </c>
    </row>
    <row r="608" spans="1:15" x14ac:dyDescent="0.2">
      <c r="A608" t="s">
        <v>2243</v>
      </c>
      <c r="B608">
        <v>9009170800</v>
      </c>
      <c r="C608" t="s">
        <v>2244</v>
      </c>
      <c r="D608">
        <v>5741</v>
      </c>
      <c r="E608">
        <v>1.31295396</v>
      </c>
      <c r="F608">
        <v>4372.5828750000001</v>
      </c>
      <c r="G608">
        <v>1</v>
      </c>
      <c r="H608">
        <v>794</v>
      </c>
      <c r="I608">
        <v>11.98852484</v>
      </c>
      <c r="J608">
        <v>0.59599999999999997</v>
      </c>
      <c r="K608">
        <f t="shared" si="9"/>
        <v>3</v>
      </c>
      <c r="N608">
        <v>4</v>
      </c>
      <c r="O608">
        <v>4</v>
      </c>
    </row>
    <row r="609" spans="1:15" x14ac:dyDescent="0.2">
      <c r="A609" t="s">
        <v>2245</v>
      </c>
      <c r="B609">
        <v>9009170900</v>
      </c>
      <c r="C609" t="s">
        <v>2246</v>
      </c>
      <c r="D609">
        <v>2006</v>
      </c>
      <c r="E609">
        <v>0.26708115999999998</v>
      </c>
      <c r="F609">
        <v>7510.8255419999996</v>
      </c>
      <c r="G609">
        <v>1</v>
      </c>
      <c r="H609">
        <v>329</v>
      </c>
      <c r="I609">
        <v>13.67983368</v>
      </c>
      <c r="J609">
        <v>0.64500000000000002</v>
      </c>
      <c r="K609">
        <f t="shared" si="9"/>
        <v>4</v>
      </c>
      <c r="N609">
        <v>4.5</v>
      </c>
      <c r="O609">
        <v>5</v>
      </c>
    </row>
    <row r="610" spans="1:15" x14ac:dyDescent="0.2">
      <c r="A610" t="s">
        <v>2247</v>
      </c>
      <c r="B610">
        <v>9009171000</v>
      </c>
      <c r="C610" t="s">
        <v>2248</v>
      </c>
      <c r="D610">
        <v>1869</v>
      </c>
      <c r="E610">
        <v>0.196575428</v>
      </c>
      <c r="F610">
        <v>9507.8007340000004</v>
      </c>
      <c r="G610">
        <v>1</v>
      </c>
      <c r="H610">
        <v>318</v>
      </c>
      <c r="I610">
        <v>20.28061224</v>
      </c>
      <c r="J610">
        <v>0.81</v>
      </c>
      <c r="K610">
        <f t="shared" si="9"/>
        <v>5</v>
      </c>
      <c r="N610">
        <v>5</v>
      </c>
      <c r="O610">
        <v>5</v>
      </c>
    </row>
    <row r="611" spans="1:15" x14ac:dyDescent="0.2">
      <c r="A611" t="s">
        <v>2249</v>
      </c>
      <c r="B611">
        <v>9009171100</v>
      </c>
      <c r="C611" t="s">
        <v>2250</v>
      </c>
      <c r="D611">
        <v>5784</v>
      </c>
      <c r="E611">
        <v>1.649971737</v>
      </c>
      <c r="F611">
        <v>3505.5145910000001</v>
      </c>
      <c r="G611">
        <v>1</v>
      </c>
      <c r="H611">
        <v>466</v>
      </c>
      <c r="I611">
        <v>8.1682734440000004</v>
      </c>
      <c r="J611">
        <v>0.40400000000000003</v>
      </c>
      <c r="K611">
        <f t="shared" si="9"/>
        <v>3</v>
      </c>
      <c r="N611">
        <v>4</v>
      </c>
      <c r="O611">
        <v>4</v>
      </c>
    </row>
    <row r="612" spans="1:15" x14ac:dyDescent="0.2">
      <c r="A612" t="s">
        <v>2251</v>
      </c>
      <c r="B612">
        <v>9009171200</v>
      </c>
      <c r="C612" t="s">
        <v>2252</v>
      </c>
      <c r="D612">
        <v>8018</v>
      </c>
      <c r="E612">
        <v>5.2007692700000003</v>
      </c>
      <c r="F612">
        <v>1541.6950039999999</v>
      </c>
      <c r="G612">
        <v>1</v>
      </c>
      <c r="H612">
        <v>918</v>
      </c>
      <c r="I612">
        <v>11.08294096</v>
      </c>
      <c r="J612">
        <v>0.55600000000000005</v>
      </c>
      <c r="K612">
        <f t="shared" si="9"/>
        <v>3</v>
      </c>
      <c r="N612">
        <v>3</v>
      </c>
      <c r="O612">
        <v>3</v>
      </c>
    </row>
    <row r="613" spans="1:15" x14ac:dyDescent="0.2">
      <c r="A613" t="s">
        <v>2253</v>
      </c>
      <c r="B613">
        <v>9009171300</v>
      </c>
      <c r="C613" t="s">
        <v>2254</v>
      </c>
      <c r="D613">
        <v>3694</v>
      </c>
      <c r="E613">
        <v>0.74775134099999996</v>
      </c>
      <c r="F613">
        <v>4940.1449359999997</v>
      </c>
      <c r="G613">
        <v>1</v>
      </c>
      <c r="H613">
        <v>259</v>
      </c>
      <c r="I613">
        <v>7.196443457</v>
      </c>
      <c r="J613">
        <v>0.34699999999999998</v>
      </c>
      <c r="K613">
        <f t="shared" si="9"/>
        <v>2</v>
      </c>
      <c r="N613">
        <v>3</v>
      </c>
      <c r="O613">
        <v>3</v>
      </c>
    </row>
    <row r="614" spans="1:15" x14ac:dyDescent="0.2">
      <c r="A614" t="s">
        <v>2255</v>
      </c>
      <c r="B614">
        <v>9009171400</v>
      </c>
      <c r="C614" t="s">
        <v>2256</v>
      </c>
      <c r="D614">
        <v>2128</v>
      </c>
      <c r="E614">
        <v>0.26229735399999998</v>
      </c>
      <c r="F614">
        <v>8112.9297159999996</v>
      </c>
      <c r="G614">
        <v>1</v>
      </c>
      <c r="H614">
        <v>366</v>
      </c>
      <c r="I614">
        <v>22.23572296</v>
      </c>
      <c r="J614">
        <v>0.83899999999999997</v>
      </c>
      <c r="K614">
        <f t="shared" si="9"/>
        <v>5</v>
      </c>
      <c r="N614">
        <v>5</v>
      </c>
      <c r="O614">
        <v>5</v>
      </c>
    </row>
    <row r="615" spans="1:15" x14ac:dyDescent="0.2">
      <c r="A615" t="s">
        <v>2257</v>
      </c>
      <c r="B615">
        <v>9009171500</v>
      </c>
      <c r="C615" t="s">
        <v>2258</v>
      </c>
      <c r="D615">
        <v>3656</v>
      </c>
      <c r="E615">
        <v>0.38281605899999999</v>
      </c>
      <c r="F615">
        <v>9550.2785490000006</v>
      </c>
      <c r="G615">
        <v>1</v>
      </c>
      <c r="H615">
        <v>1450</v>
      </c>
      <c r="I615">
        <v>48.060987740000002</v>
      </c>
      <c r="J615">
        <v>0.995</v>
      </c>
      <c r="K615">
        <f t="shared" si="9"/>
        <v>5</v>
      </c>
      <c r="N615">
        <v>5</v>
      </c>
      <c r="O615">
        <v>5</v>
      </c>
    </row>
    <row r="616" spans="1:15" x14ac:dyDescent="0.2">
      <c r="A616" t="s">
        <v>2259</v>
      </c>
      <c r="B616">
        <v>9009171600</v>
      </c>
      <c r="C616" t="s">
        <v>2260</v>
      </c>
      <c r="D616">
        <v>4808</v>
      </c>
      <c r="E616">
        <v>2.9818369809999998</v>
      </c>
      <c r="F616">
        <v>1612.428858</v>
      </c>
      <c r="G616">
        <v>1</v>
      </c>
      <c r="H616">
        <v>476</v>
      </c>
      <c r="I616">
        <v>9.4877416780000008</v>
      </c>
      <c r="J616">
        <v>0.495</v>
      </c>
      <c r="K616">
        <f t="shared" si="9"/>
        <v>3</v>
      </c>
      <c r="N616">
        <v>3.5</v>
      </c>
      <c r="O616">
        <v>4</v>
      </c>
    </row>
    <row r="617" spans="1:15" x14ac:dyDescent="0.2">
      <c r="A617" t="s">
        <v>2261</v>
      </c>
      <c r="B617">
        <v>9009171700</v>
      </c>
      <c r="C617" t="s">
        <v>2262</v>
      </c>
      <c r="D617">
        <v>3846</v>
      </c>
      <c r="E617">
        <v>3.8716573200000002</v>
      </c>
      <c r="F617">
        <v>993.37303940000004</v>
      </c>
      <c r="G617">
        <v>1</v>
      </c>
      <c r="H617">
        <v>218</v>
      </c>
      <c r="I617">
        <v>5.4445554449999998</v>
      </c>
      <c r="J617">
        <v>0.24399999999999999</v>
      </c>
      <c r="K617">
        <f t="shared" si="9"/>
        <v>2</v>
      </c>
      <c r="N617">
        <v>3</v>
      </c>
      <c r="O617">
        <v>3</v>
      </c>
    </row>
    <row r="618" spans="1:15" x14ac:dyDescent="0.2">
      <c r="A618" t="s">
        <v>2263</v>
      </c>
      <c r="B618">
        <v>9009175100</v>
      </c>
      <c r="C618" t="s">
        <v>2264</v>
      </c>
      <c r="D618">
        <v>3244</v>
      </c>
      <c r="E618">
        <v>0.53204146100000005</v>
      </c>
      <c r="F618">
        <v>6097.2691729999997</v>
      </c>
      <c r="G618">
        <v>1</v>
      </c>
      <c r="H618">
        <v>265</v>
      </c>
      <c r="I618">
        <v>8.1613797350000006</v>
      </c>
      <c r="J618">
        <v>0.39900000000000002</v>
      </c>
      <c r="K618">
        <f t="shared" si="9"/>
        <v>2</v>
      </c>
      <c r="N618">
        <v>3</v>
      </c>
      <c r="O618">
        <v>3</v>
      </c>
    </row>
    <row r="619" spans="1:15" x14ac:dyDescent="0.2">
      <c r="A619" t="s">
        <v>2265</v>
      </c>
      <c r="B619">
        <v>9009175200</v>
      </c>
      <c r="C619" t="s">
        <v>2266</v>
      </c>
      <c r="D619">
        <v>2315</v>
      </c>
      <c r="E619">
        <v>0.309302205</v>
      </c>
      <c r="F619">
        <v>7484.5893779999997</v>
      </c>
      <c r="G619">
        <v>1</v>
      </c>
      <c r="H619">
        <v>321</v>
      </c>
      <c r="I619">
        <v>13.02231237</v>
      </c>
      <c r="J619">
        <v>0.63200000000000001</v>
      </c>
      <c r="K619">
        <f t="shared" si="9"/>
        <v>4</v>
      </c>
      <c r="N619">
        <v>4.5</v>
      </c>
      <c r="O619">
        <v>5</v>
      </c>
    </row>
    <row r="620" spans="1:15" x14ac:dyDescent="0.2">
      <c r="A620" t="s">
        <v>2267</v>
      </c>
      <c r="B620">
        <v>9009175300</v>
      </c>
      <c r="C620" t="s">
        <v>2268</v>
      </c>
      <c r="D620">
        <v>4327</v>
      </c>
      <c r="E620">
        <v>1.6766846019999999</v>
      </c>
      <c r="F620">
        <v>2580.6880999999998</v>
      </c>
      <c r="G620">
        <v>1</v>
      </c>
      <c r="H620">
        <v>491</v>
      </c>
      <c r="I620">
        <v>11.591123700000001</v>
      </c>
      <c r="J620">
        <v>0.57199999999999995</v>
      </c>
      <c r="K620">
        <f t="shared" si="9"/>
        <v>3</v>
      </c>
      <c r="N620">
        <v>3.5</v>
      </c>
      <c r="O620">
        <v>4</v>
      </c>
    </row>
    <row r="621" spans="1:15" x14ac:dyDescent="0.2">
      <c r="A621" t="s">
        <v>2269</v>
      </c>
      <c r="B621">
        <v>9009175400</v>
      </c>
      <c r="C621" t="s">
        <v>2270</v>
      </c>
      <c r="D621">
        <v>4431</v>
      </c>
      <c r="E621">
        <v>4.0144332719999998</v>
      </c>
      <c r="F621">
        <v>1103.767257</v>
      </c>
      <c r="G621">
        <v>1</v>
      </c>
      <c r="H621">
        <v>804</v>
      </c>
      <c r="I621">
        <v>17.38754325</v>
      </c>
      <c r="J621">
        <v>0.73599999999999999</v>
      </c>
      <c r="K621">
        <f t="shared" si="9"/>
        <v>4</v>
      </c>
      <c r="N621">
        <v>4.5</v>
      </c>
      <c r="O621">
        <v>5</v>
      </c>
    </row>
    <row r="622" spans="1:15" x14ac:dyDescent="0.2">
      <c r="A622" t="s">
        <v>2271</v>
      </c>
      <c r="B622">
        <v>9009175500</v>
      </c>
      <c r="C622" t="s">
        <v>2272</v>
      </c>
      <c r="D622">
        <v>7905</v>
      </c>
      <c r="E622">
        <v>5.3117651510000004</v>
      </c>
      <c r="F622">
        <v>1488.2058549999999</v>
      </c>
      <c r="G622">
        <v>1</v>
      </c>
      <c r="H622">
        <v>415</v>
      </c>
      <c r="I622">
        <v>5.5884729330000003</v>
      </c>
      <c r="J622">
        <v>0.25</v>
      </c>
      <c r="K622">
        <f t="shared" si="9"/>
        <v>2</v>
      </c>
      <c r="N622">
        <v>3</v>
      </c>
      <c r="O622">
        <v>3</v>
      </c>
    </row>
    <row r="623" spans="1:15" x14ac:dyDescent="0.2">
      <c r="A623" t="s">
        <v>2273</v>
      </c>
      <c r="B623">
        <v>9009175600</v>
      </c>
      <c r="C623" t="s">
        <v>2274</v>
      </c>
      <c r="D623">
        <v>5009</v>
      </c>
      <c r="E623">
        <v>2.464363541</v>
      </c>
      <c r="F623">
        <v>2032.573488</v>
      </c>
      <c r="G623">
        <v>1</v>
      </c>
      <c r="H623">
        <v>201</v>
      </c>
      <c r="I623">
        <v>4.1927409259999999</v>
      </c>
      <c r="J623">
        <v>0.157</v>
      </c>
      <c r="K623">
        <f t="shared" si="9"/>
        <v>1</v>
      </c>
      <c r="N623">
        <v>2.5</v>
      </c>
      <c r="O623">
        <v>3</v>
      </c>
    </row>
    <row r="624" spans="1:15" x14ac:dyDescent="0.2">
      <c r="A624" t="s">
        <v>2275</v>
      </c>
      <c r="B624">
        <v>9009175700</v>
      </c>
      <c r="C624" t="s">
        <v>2276</v>
      </c>
      <c r="D624">
        <v>2496</v>
      </c>
      <c r="E624">
        <v>2.1329832419999999</v>
      </c>
      <c r="F624">
        <v>1170.192035</v>
      </c>
      <c r="G624">
        <v>1</v>
      </c>
      <c r="H624">
        <v>134</v>
      </c>
      <c r="I624">
        <v>4.9740163329999998</v>
      </c>
      <c r="J624">
        <v>0.222</v>
      </c>
      <c r="K624">
        <f t="shared" si="9"/>
        <v>2</v>
      </c>
      <c r="N624">
        <v>2.5</v>
      </c>
      <c r="O624">
        <v>3</v>
      </c>
    </row>
    <row r="625" spans="1:15" x14ac:dyDescent="0.2">
      <c r="A625" t="s">
        <v>2277</v>
      </c>
      <c r="B625">
        <v>9009175800</v>
      </c>
      <c r="C625" t="s">
        <v>2278</v>
      </c>
      <c r="D625">
        <v>4014</v>
      </c>
      <c r="E625">
        <v>5.5840722039999999</v>
      </c>
      <c r="F625">
        <v>718.83024669999998</v>
      </c>
      <c r="G625">
        <v>1</v>
      </c>
      <c r="H625">
        <v>400</v>
      </c>
      <c r="I625">
        <v>9.2893636789999992</v>
      </c>
      <c r="J625">
        <v>0.47199999999999998</v>
      </c>
      <c r="K625">
        <f t="shared" si="9"/>
        <v>3</v>
      </c>
      <c r="N625">
        <v>2.5</v>
      </c>
      <c r="O625">
        <v>3</v>
      </c>
    </row>
    <row r="626" spans="1:15" x14ac:dyDescent="0.2">
      <c r="A626" t="s">
        <v>2279</v>
      </c>
      <c r="B626">
        <v>9009175900</v>
      </c>
      <c r="C626" t="s">
        <v>2280</v>
      </c>
      <c r="D626">
        <v>5043</v>
      </c>
      <c r="E626">
        <v>2.0182730580000001</v>
      </c>
      <c r="F626">
        <v>2498.670822</v>
      </c>
      <c r="G626">
        <v>1</v>
      </c>
      <c r="H626">
        <v>323</v>
      </c>
      <c r="I626">
        <v>6.3073618429999998</v>
      </c>
      <c r="J626">
        <v>0.30499999999999999</v>
      </c>
      <c r="K626">
        <f t="shared" si="9"/>
        <v>2</v>
      </c>
      <c r="N626">
        <v>3</v>
      </c>
      <c r="O626">
        <v>3</v>
      </c>
    </row>
    <row r="627" spans="1:15" x14ac:dyDescent="0.2">
      <c r="A627" t="s">
        <v>2281</v>
      </c>
      <c r="B627">
        <v>9009176000</v>
      </c>
      <c r="C627" t="s">
        <v>2282</v>
      </c>
      <c r="D627">
        <v>6351</v>
      </c>
      <c r="E627">
        <v>14.99619689</v>
      </c>
      <c r="F627">
        <v>423.50737620000001</v>
      </c>
      <c r="G627">
        <v>1</v>
      </c>
      <c r="H627">
        <v>295</v>
      </c>
      <c r="I627">
        <v>5.1909202890000001</v>
      </c>
      <c r="J627">
        <v>0.23100000000000001</v>
      </c>
      <c r="K627">
        <f t="shared" si="9"/>
        <v>2</v>
      </c>
      <c r="N627">
        <v>2.5</v>
      </c>
      <c r="O627">
        <v>3</v>
      </c>
    </row>
    <row r="628" spans="1:15" x14ac:dyDescent="0.2">
      <c r="A628" t="s">
        <v>2283</v>
      </c>
      <c r="B628">
        <v>9009180100</v>
      </c>
      <c r="C628" t="s">
        <v>2284</v>
      </c>
      <c r="D628">
        <v>6811</v>
      </c>
      <c r="E628">
        <v>2.297936902</v>
      </c>
      <c r="F628">
        <v>2963.963021</v>
      </c>
      <c r="G628">
        <v>1</v>
      </c>
      <c r="H628">
        <v>1455</v>
      </c>
      <c r="I628">
        <v>20.43252352</v>
      </c>
      <c r="J628">
        <v>0.80800000000000005</v>
      </c>
      <c r="K628">
        <f t="shared" si="9"/>
        <v>5</v>
      </c>
      <c r="N628">
        <v>4.5</v>
      </c>
      <c r="O628">
        <v>5</v>
      </c>
    </row>
    <row r="629" spans="1:15" x14ac:dyDescent="0.2">
      <c r="A629" t="s">
        <v>2285</v>
      </c>
      <c r="B629">
        <v>9009180200</v>
      </c>
      <c r="C629" t="s">
        <v>2286</v>
      </c>
      <c r="D629">
        <v>5545</v>
      </c>
      <c r="E629">
        <v>1.3991852469999999</v>
      </c>
      <c r="F629">
        <v>3963.02063</v>
      </c>
      <c r="G629">
        <v>1</v>
      </c>
      <c r="H629">
        <v>1640</v>
      </c>
      <c r="I629">
        <v>28.526700300000002</v>
      </c>
      <c r="J629">
        <v>0.90800000000000003</v>
      </c>
      <c r="K629">
        <f t="shared" si="9"/>
        <v>5</v>
      </c>
      <c r="N629">
        <v>4.5</v>
      </c>
      <c r="O629">
        <v>5</v>
      </c>
    </row>
    <row r="630" spans="1:15" x14ac:dyDescent="0.2">
      <c r="A630" t="s">
        <v>2287</v>
      </c>
      <c r="B630">
        <v>9009180300</v>
      </c>
      <c r="C630" t="s">
        <v>2288</v>
      </c>
      <c r="D630">
        <v>2546</v>
      </c>
      <c r="E630">
        <v>0.68661978400000001</v>
      </c>
      <c r="F630">
        <v>3708.02016</v>
      </c>
      <c r="G630">
        <v>1</v>
      </c>
      <c r="H630">
        <v>193</v>
      </c>
      <c r="I630">
        <v>8.744902583</v>
      </c>
      <c r="J630">
        <v>0.438</v>
      </c>
      <c r="K630">
        <f t="shared" si="9"/>
        <v>3</v>
      </c>
      <c r="N630">
        <v>3.5</v>
      </c>
      <c r="O630">
        <v>4</v>
      </c>
    </row>
    <row r="631" spans="1:15" x14ac:dyDescent="0.2">
      <c r="A631" t="s">
        <v>2289</v>
      </c>
      <c r="B631">
        <v>9009180400</v>
      </c>
      <c r="C631" t="s">
        <v>2290</v>
      </c>
      <c r="D631">
        <v>2690</v>
      </c>
      <c r="E631">
        <v>1.908305753</v>
      </c>
      <c r="F631">
        <v>1409.62736</v>
      </c>
      <c r="G631">
        <v>1</v>
      </c>
      <c r="H631">
        <v>485</v>
      </c>
      <c r="I631">
        <v>18.192048010000001</v>
      </c>
      <c r="J631">
        <v>0.75800000000000001</v>
      </c>
      <c r="K631">
        <f t="shared" si="9"/>
        <v>4</v>
      </c>
      <c r="N631">
        <v>3.5</v>
      </c>
      <c r="O631">
        <v>4</v>
      </c>
    </row>
    <row r="632" spans="1:15" x14ac:dyDescent="0.2">
      <c r="A632" t="s">
        <v>2291</v>
      </c>
      <c r="B632">
        <v>9009180500</v>
      </c>
      <c r="C632" t="s">
        <v>2292</v>
      </c>
      <c r="D632">
        <v>4692</v>
      </c>
      <c r="E632">
        <v>1.5928425150000001</v>
      </c>
      <c r="F632">
        <v>2945.677275</v>
      </c>
      <c r="G632">
        <v>1</v>
      </c>
      <c r="H632">
        <v>914</v>
      </c>
      <c r="I632">
        <v>19.856615250000001</v>
      </c>
      <c r="J632">
        <v>0.80400000000000005</v>
      </c>
      <c r="K632">
        <f t="shared" si="9"/>
        <v>5</v>
      </c>
      <c r="N632">
        <v>4</v>
      </c>
      <c r="O632">
        <v>4</v>
      </c>
    </row>
    <row r="633" spans="1:15" x14ac:dyDescent="0.2">
      <c r="A633" t="s">
        <v>2293</v>
      </c>
      <c r="B633">
        <v>9009180601</v>
      </c>
      <c r="C633" t="s">
        <v>2294</v>
      </c>
      <c r="D633">
        <v>3151</v>
      </c>
      <c r="E633">
        <v>1.519238699</v>
      </c>
      <c r="F633">
        <v>2074.0651229999999</v>
      </c>
      <c r="G633">
        <v>1</v>
      </c>
      <c r="H633">
        <v>38</v>
      </c>
      <c r="I633">
        <v>1.3384994720000001</v>
      </c>
      <c r="J633">
        <v>0.01</v>
      </c>
      <c r="K633">
        <f t="shared" si="9"/>
        <v>1</v>
      </c>
      <c r="N633">
        <v>2.5</v>
      </c>
      <c r="O633">
        <v>3</v>
      </c>
    </row>
    <row r="634" spans="1:15" x14ac:dyDescent="0.2">
      <c r="A634" t="s">
        <v>2295</v>
      </c>
      <c r="B634">
        <v>9009180602</v>
      </c>
      <c r="C634" t="s">
        <v>2296</v>
      </c>
      <c r="D634">
        <v>3822</v>
      </c>
      <c r="E634">
        <v>2.900677918</v>
      </c>
      <c r="F634">
        <v>1317.6230210000001</v>
      </c>
      <c r="G634">
        <v>1</v>
      </c>
      <c r="H634">
        <v>61</v>
      </c>
      <c r="I634">
        <v>1.7149283099999999</v>
      </c>
      <c r="J634">
        <v>1.4999999999999999E-2</v>
      </c>
      <c r="K634">
        <f t="shared" si="9"/>
        <v>1</v>
      </c>
      <c r="N634">
        <v>2</v>
      </c>
      <c r="O634">
        <v>2</v>
      </c>
    </row>
    <row r="635" spans="1:15" x14ac:dyDescent="0.2">
      <c r="A635" t="s">
        <v>2297</v>
      </c>
      <c r="B635">
        <v>9009184100</v>
      </c>
      <c r="C635" t="s">
        <v>2298</v>
      </c>
      <c r="D635">
        <v>5083</v>
      </c>
      <c r="E635">
        <v>1.5498689569999999</v>
      </c>
      <c r="F635">
        <v>3279.6321119999998</v>
      </c>
      <c r="G635">
        <v>1</v>
      </c>
      <c r="H635">
        <v>439</v>
      </c>
      <c r="I635">
        <v>8.7975951899999991</v>
      </c>
      <c r="J635">
        <v>0.439</v>
      </c>
      <c r="K635">
        <f t="shared" si="9"/>
        <v>3</v>
      </c>
      <c r="N635">
        <v>3.5</v>
      </c>
      <c r="O635">
        <v>4</v>
      </c>
    </row>
    <row r="636" spans="1:15" x14ac:dyDescent="0.2">
      <c r="A636" t="s">
        <v>2299</v>
      </c>
      <c r="B636">
        <v>9009184200</v>
      </c>
      <c r="C636" t="s">
        <v>2300</v>
      </c>
      <c r="D636">
        <v>4065</v>
      </c>
      <c r="E636">
        <v>2.0576550930000002</v>
      </c>
      <c r="F636">
        <v>1975.549747</v>
      </c>
      <c r="G636">
        <v>1</v>
      </c>
      <c r="H636">
        <v>885</v>
      </c>
      <c r="I636">
        <v>21.532846719999998</v>
      </c>
      <c r="J636">
        <v>0.82099999999999995</v>
      </c>
      <c r="K636">
        <f t="shared" si="9"/>
        <v>5</v>
      </c>
      <c r="N636">
        <v>4</v>
      </c>
      <c r="O636">
        <v>4</v>
      </c>
    </row>
    <row r="637" spans="1:15" x14ac:dyDescent="0.2">
      <c r="A637" t="s">
        <v>2301</v>
      </c>
      <c r="B637">
        <v>9009184300</v>
      </c>
      <c r="C637" t="s">
        <v>2302</v>
      </c>
      <c r="D637">
        <v>4279</v>
      </c>
      <c r="E637">
        <v>1.5662790719999999</v>
      </c>
      <c r="F637">
        <v>2731.9524839999999</v>
      </c>
      <c r="G637">
        <v>1</v>
      </c>
      <c r="H637">
        <v>220</v>
      </c>
      <c r="I637">
        <v>4.9382716049999997</v>
      </c>
      <c r="J637">
        <v>0.216</v>
      </c>
      <c r="K637">
        <f t="shared" si="9"/>
        <v>2</v>
      </c>
      <c r="N637">
        <v>2.5</v>
      </c>
      <c r="O637">
        <v>3</v>
      </c>
    </row>
    <row r="638" spans="1:15" x14ac:dyDescent="0.2">
      <c r="A638" t="s">
        <v>2303</v>
      </c>
      <c r="B638">
        <v>9009184400</v>
      </c>
      <c r="C638" t="s">
        <v>2304</v>
      </c>
      <c r="D638">
        <v>3327</v>
      </c>
      <c r="E638">
        <v>1.8377691330000001</v>
      </c>
      <c r="F638">
        <v>1810.3470890000001</v>
      </c>
      <c r="G638">
        <v>1</v>
      </c>
      <c r="H638">
        <v>138</v>
      </c>
      <c r="I638">
        <v>4.1095890410000004</v>
      </c>
      <c r="J638">
        <v>0.14299999999999999</v>
      </c>
      <c r="K638">
        <f t="shared" si="9"/>
        <v>1</v>
      </c>
      <c r="N638">
        <v>2</v>
      </c>
      <c r="O638">
        <v>2</v>
      </c>
    </row>
    <row r="639" spans="1:15" x14ac:dyDescent="0.2">
      <c r="A639" t="s">
        <v>2305</v>
      </c>
      <c r="B639">
        <v>9009184500</v>
      </c>
      <c r="C639" t="s">
        <v>2306</v>
      </c>
      <c r="D639">
        <v>2512</v>
      </c>
      <c r="E639">
        <v>2.011765692</v>
      </c>
      <c r="F639">
        <v>1248.6543590000001</v>
      </c>
      <c r="G639">
        <v>1</v>
      </c>
      <c r="H639">
        <v>107</v>
      </c>
      <c r="I639">
        <v>4.1650447640000001</v>
      </c>
      <c r="J639">
        <v>0.14399999999999999</v>
      </c>
      <c r="K639">
        <f t="shared" si="9"/>
        <v>1</v>
      </c>
      <c r="N639">
        <v>2</v>
      </c>
      <c r="O639">
        <v>2</v>
      </c>
    </row>
    <row r="640" spans="1:15" x14ac:dyDescent="0.2">
      <c r="A640" t="s">
        <v>2307</v>
      </c>
      <c r="B640">
        <v>9009184600</v>
      </c>
      <c r="C640" t="s">
        <v>2308</v>
      </c>
      <c r="D640">
        <v>2852</v>
      </c>
      <c r="E640">
        <v>4.8442274640000003</v>
      </c>
      <c r="F640">
        <v>588.74196589999997</v>
      </c>
      <c r="G640">
        <v>1</v>
      </c>
      <c r="H640">
        <v>75</v>
      </c>
      <c r="I640">
        <v>2.7472527470000001</v>
      </c>
      <c r="J640">
        <v>3.6999999999999998E-2</v>
      </c>
      <c r="K640">
        <f t="shared" si="9"/>
        <v>1</v>
      </c>
      <c r="N640">
        <v>1</v>
      </c>
      <c r="O640">
        <v>1</v>
      </c>
    </row>
    <row r="641" spans="1:15" x14ac:dyDescent="0.2">
      <c r="A641" t="s">
        <v>2309</v>
      </c>
      <c r="B641">
        <v>9009184700</v>
      </c>
      <c r="C641" t="s">
        <v>2310</v>
      </c>
      <c r="D641">
        <v>5908</v>
      </c>
      <c r="E641">
        <v>7.9670013920000002</v>
      </c>
      <c r="F641">
        <v>741.55880109999998</v>
      </c>
      <c r="G641">
        <v>1</v>
      </c>
      <c r="H641">
        <v>1027</v>
      </c>
      <c r="I641">
        <v>17.682506889999999</v>
      </c>
      <c r="J641">
        <v>0.745</v>
      </c>
      <c r="K641">
        <f t="shared" si="9"/>
        <v>4</v>
      </c>
      <c r="N641">
        <v>3.5</v>
      </c>
      <c r="O641">
        <v>4</v>
      </c>
    </row>
    <row r="642" spans="1:15" x14ac:dyDescent="0.2">
      <c r="A642" t="s">
        <v>2311</v>
      </c>
      <c r="B642">
        <v>9009186100</v>
      </c>
      <c r="C642" t="s">
        <v>2312</v>
      </c>
      <c r="D642">
        <v>7309</v>
      </c>
      <c r="E642">
        <v>7.6249839770000003</v>
      </c>
      <c r="F642">
        <v>958.55939139999998</v>
      </c>
      <c r="G642">
        <v>1</v>
      </c>
      <c r="H642">
        <v>524</v>
      </c>
      <c r="I642">
        <v>7.3194580250000003</v>
      </c>
      <c r="J642">
        <v>0.33600000000000002</v>
      </c>
      <c r="K642">
        <f t="shared" si="9"/>
        <v>2</v>
      </c>
      <c r="N642">
        <v>2.5</v>
      </c>
      <c r="O642">
        <v>3</v>
      </c>
    </row>
    <row r="643" spans="1:15" x14ac:dyDescent="0.2">
      <c r="A643" t="s">
        <v>2313</v>
      </c>
      <c r="B643">
        <v>9009186200</v>
      </c>
      <c r="C643" t="s">
        <v>2314</v>
      </c>
      <c r="D643">
        <v>7098</v>
      </c>
      <c r="E643">
        <v>17.132348100000002</v>
      </c>
      <c r="F643">
        <v>414.30397970000001</v>
      </c>
      <c r="G643">
        <v>1</v>
      </c>
      <c r="H643">
        <v>137</v>
      </c>
      <c r="I643">
        <v>1.9482366330000001</v>
      </c>
      <c r="J643">
        <v>2.1000000000000001E-2</v>
      </c>
      <c r="K643">
        <f t="shared" ref="K643:K706" si="10">IF(J643&lt;0.2,1,IF(J643&lt;0.4,2,IF(J643&lt;0.6,3,IF(J643&lt;0.8,4,5))))</f>
        <v>1</v>
      </c>
      <c r="N643">
        <v>1.5</v>
      </c>
      <c r="O643">
        <v>2</v>
      </c>
    </row>
    <row r="644" spans="1:15" x14ac:dyDescent="0.2">
      <c r="A644" t="s">
        <v>2315</v>
      </c>
      <c r="B644">
        <v>9009190100</v>
      </c>
      <c r="C644" t="s">
        <v>2316</v>
      </c>
      <c r="D644">
        <v>3340</v>
      </c>
      <c r="E644">
        <v>3.2021144499999998</v>
      </c>
      <c r="F644">
        <v>1043.0607809999999</v>
      </c>
      <c r="G644">
        <v>1</v>
      </c>
      <c r="H644">
        <v>202</v>
      </c>
      <c r="I644">
        <v>6.0569715139999998</v>
      </c>
      <c r="J644">
        <v>0.25800000000000001</v>
      </c>
      <c r="K644">
        <f t="shared" si="10"/>
        <v>2</v>
      </c>
      <c r="N644">
        <v>2.5</v>
      </c>
      <c r="O644">
        <v>3</v>
      </c>
    </row>
    <row r="645" spans="1:15" x14ac:dyDescent="0.2">
      <c r="A645" t="s">
        <v>2317</v>
      </c>
      <c r="B645">
        <v>9009190200</v>
      </c>
      <c r="C645" t="s">
        <v>2318</v>
      </c>
      <c r="D645">
        <v>3362</v>
      </c>
      <c r="E645">
        <v>7.8568696070000001</v>
      </c>
      <c r="F645">
        <v>427.90579050000002</v>
      </c>
      <c r="G645">
        <v>1</v>
      </c>
      <c r="H645">
        <v>418</v>
      </c>
      <c r="I645">
        <v>11.59500693</v>
      </c>
      <c r="J645">
        <v>0.55800000000000005</v>
      </c>
      <c r="K645">
        <f t="shared" si="10"/>
        <v>3</v>
      </c>
      <c r="N645">
        <v>2</v>
      </c>
      <c r="O645">
        <v>2</v>
      </c>
    </row>
    <row r="646" spans="1:15" x14ac:dyDescent="0.2">
      <c r="A646" t="s">
        <v>2319</v>
      </c>
      <c r="B646">
        <v>9009190301</v>
      </c>
      <c r="C646" t="s">
        <v>2320</v>
      </c>
      <c r="D646">
        <v>6791</v>
      </c>
      <c r="E646">
        <v>11.31647946</v>
      </c>
      <c r="F646">
        <v>600.09829249999996</v>
      </c>
      <c r="G646">
        <v>1</v>
      </c>
      <c r="H646">
        <v>581</v>
      </c>
      <c r="I646">
        <v>8.6496948039999992</v>
      </c>
      <c r="J646">
        <v>0.41599999999999998</v>
      </c>
      <c r="K646">
        <f t="shared" si="10"/>
        <v>3</v>
      </c>
      <c r="N646">
        <v>2</v>
      </c>
      <c r="O646">
        <v>2</v>
      </c>
    </row>
    <row r="647" spans="1:15" x14ac:dyDescent="0.2">
      <c r="A647" t="s">
        <v>2321</v>
      </c>
      <c r="B647">
        <v>9009190302</v>
      </c>
      <c r="C647" t="s">
        <v>2322</v>
      </c>
      <c r="D647">
        <v>5448</v>
      </c>
      <c r="E647">
        <v>7.7422057549999996</v>
      </c>
      <c r="F647">
        <v>703.67543460000002</v>
      </c>
      <c r="G647">
        <v>1</v>
      </c>
      <c r="H647">
        <v>329</v>
      </c>
      <c r="I647">
        <v>6.2846227319999999</v>
      </c>
      <c r="J647">
        <v>0.28399999999999997</v>
      </c>
      <c r="K647">
        <f t="shared" si="10"/>
        <v>2</v>
      </c>
      <c r="N647">
        <v>2</v>
      </c>
      <c r="O647">
        <v>2</v>
      </c>
    </row>
    <row r="648" spans="1:15" x14ac:dyDescent="0.2">
      <c r="A648" t="s">
        <v>2323</v>
      </c>
      <c r="B648">
        <v>9009190303</v>
      </c>
      <c r="C648" t="s">
        <v>2324</v>
      </c>
      <c r="D648">
        <v>3434</v>
      </c>
      <c r="E648">
        <v>17.000172589999998</v>
      </c>
      <c r="F648">
        <v>201.99794929999999</v>
      </c>
      <c r="G648">
        <v>1</v>
      </c>
      <c r="H648">
        <v>277</v>
      </c>
      <c r="I648">
        <v>8.3333333330000006</v>
      </c>
      <c r="J648">
        <v>0.39800000000000002</v>
      </c>
      <c r="K648">
        <f t="shared" si="10"/>
        <v>2</v>
      </c>
      <c r="N648">
        <v>2</v>
      </c>
      <c r="O648">
        <v>2</v>
      </c>
    </row>
    <row r="649" spans="1:15" x14ac:dyDescent="0.2">
      <c r="A649" t="s">
        <v>2325</v>
      </c>
      <c r="B649">
        <v>9009194100</v>
      </c>
      <c r="C649" t="s">
        <v>2326</v>
      </c>
      <c r="D649">
        <v>5154</v>
      </c>
      <c r="E649">
        <v>6.5418747110000002</v>
      </c>
      <c r="F649">
        <v>787.8475555</v>
      </c>
      <c r="G649">
        <v>1</v>
      </c>
      <c r="H649">
        <v>70</v>
      </c>
      <c r="I649">
        <v>1.419878296</v>
      </c>
      <c r="J649">
        <v>1.0999999999999999E-2</v>
      </c>
      <c r="K649">
        <f t="shared" si="10"/>
        <v>1</v>
      </c>
      <c r="N649">
        <v>2</v>
      </c>
      <c r="O649">
        <v>2</v>
      </c>
    </row>
    <row r="650" spans="1:15" x14ac:dyDescent="0.2">
      <c r="A650" t="s">
        <v>2327</v>
      </c>
      <c r="B650">
        <v>9009194201</v>
      </c>
      <c r="C650" t="s">
        <v>2328</v>
      </c>
      <c r="D650">
        <v>7837</v>
      </c>
      <c r="E650">
        <v>18.24780269</v>
      </c>
      <c r="F650">
        <v>429.47636670000003</v>
      </c>
      <c r="G650">
        <v>1</v>
      </c>
      <c r="H650">
        <v>718</v>
      </c>
      <c r="I650">
        <v>9.3404449070000002</v>
      </c>
      <c r="J650">
        <v>0.443</v>
      </c>
      <c r="K650">
        <f t="shared" si="10"/>
        <v>3</v>
      </c>
      <c r="N650">
        <v>2</v>
      </c>
      <c r="O650">
        <v>2</v>
      </c>
    </row>
    <row r="651" spans="1:15" x14ac:dyDescent="0.2">
      <c r="A651" t="s">
        <v>2329</v>
      </c>
      <c r="B651">
        <v>9009194202</v>
      </c>
      <c r="C651" t="s">
        <v>2330</v>
      </c>
      <c r="D651">
        <v>5278</v>
      </c>
      <c r="E651">
        <v>11.357661889999999</v>
      </c>
      <c r="F651">
        <v>464.7083222</v>
      </c>
      <c r="G651">
        <v>1</v>
      </c>
      <c r="H651">
        <v>545</v>
      </c>
      <c r="I651">
        <v>9.9163027659999994</v>
      </c>
      <c r="J651">
        <v>0.46200000000000002</v>
      </c>
      <c r="K651">
        <f t="shared" si="10"/>
        <v>3</v>
      </c>
      <c r="N651">
        <v>2</v>
      </c>
      <c r="O651">
        <v>2</v>
      </c>
    </row>
    <row r="652" spans="1:15" x14ac:dyDescent="0.2">
      <c r="A652" t="s">
        <v>2331</v>
      </c>
      <c r="B652">
        <v>9009341100</v>
      </c>
      <c r="C652" t="s">
        <v>2332</v>
      </c>
      <c r="D652">
        <v>6049</v>
      </c>
      <c r="E652">
        <v>9.6682957599999995</v>
      </c>
      <c r="F652">
        <v>625.65318130000003</v>
      </c>
      <c r="G652">
        <v>1</v>
      </c>
      <c r="H652">
        <v>261</v>
      </c>
      <c r="I652">
        <v>4.2315175099999998</v>
      </c>
      <c r="J652">
        <v>0.14299999999999999</v>
      </c>
      <c r="K652">
        <f t="shared" si="10"/>
        <v>1</v>
      </c>
      <c r="N652">
        <v>2</v>
      </c>
      <c r="O652">
        <v>2</v>
      </c>
    </row>
    <row r="653" spans="1:15" x14ac:dyDescent="0.2">
      <c r="A653" t="s">
        <v>2333</v>
      </c>
      <c r="B653">
        <v>9009343101</v>
      </c>
      <c r="C653" t="s">
        <v>2334</v>
      </c>
      <c r="D653">
        <v>5810</v>
      </c>
      <c r="E653">
        <v>6.5372051920000001</v>
      </c>
      <c r="F653">
        <v>888.75900779999995</v>
      </c>
      <c r="G653">
        <v>1</v>
      </c>
      <c r="H653">
        <v>1044</v>
      </c>
      <c r="I653">
        <v>17.493297590000001</v>
      </c>
      <c r="J653">
        <v>0.72799999999999998</v>
      </c>
      <c r="K653">
        <f t="shared" si="10"/>
        <v>4</v>
      </c>
      <c r="N653">
        <v>2.5</v>
      </c>
      <c r="O653">
        <v>3</v>
      </c>
    </row>
    <row r="654" spans="1:15" x14ac:dyDescent="0.2">
      <c r="A654" t="s">
        <v>2335</v>
      </c>
      <c r="B654">
        <v>9009343102</v>
      </c>
      <c r="C654" t="s">
        <v>2336</v>
      </c>
      <c r="D654">
        <v>3653</v>
      </c>
      <c r="E654">
        <v>4.5246479910000001</v>
      </c>
      <c r="F654">
        <v>807.35562359999994</v>
      </c>
      <c r="G654">
        <v>1</v>
      </c>
      <c r="H654">
        <v>354</v>
      </c>
      <c r="I654">
        <v>8.9893346879999996</v>
      </c>
      <c r="J654">
        <v>0.42399999999999999</v>
      </c>
      <c r="K654">
        <f t="shared" si="10"/>
        <v>3</v>
      </c>
      <c r="N654">
        <v>3</v>
      </c>
      <c r="O654">
        <v>3</v>
      </c>
    </row>
    <row r="655" spans="1:15" x14ac:dyDescent="0.2">
      <c r="A655" t="s">
        <v>2337</v>
      </c>
      <c r="B655">
        <v>9009343200</v>
      </c>
      <c r="C655" t="s">
        <v>2338</v>
      </c>
      <c r="D655">
        <v>6249</v>
      </c>
      <c r="E655">
        <v>8.6393099119999999</v>
      </c>
      <c r="F655">
        <v>723.3216615</v>
      </c>
      <c r="G655">
        <v>1</v>
      </c>
      <c r="H655">
        <v>646</v>
      </c>
      <c r="I655">
        <v>11.264167390000001</v>
      </c>
      <c r="J655">
        <v>0.53200000000000003</v>
      </c>
      <c r="K655">
        <f t="shared" si="10"/>
        <v>3</v>
      </c>
      <c r="N655">
        <v>2.5</v>
      </c>
      <c r="O655">
        <v>3</v>
      </c>
    </row>
    <row r="656" spans="1:15" x14ac:dyDescent="0.2">
      <c r="A656" t="s">
        <v>2339</v>
      </c>
      <c r="B656">
        <v>9009343300</v>
      </c>
      <c r="C656" t="s">
        <v>2340</v>
      </c>
      <c r="D656">
        <v>6809</v>
      </c>
      <c r="E656">
        <v>7.5639273229999997</v>
      </c>
      <c r="F656">
        <v>900.1937365</v>
      </c>
      <c r="G656">
        <v>1</v>
      </c>
      <c r="H656">
        <v>635</v>
      </c>
      <c r="I656">
        <v>9.0857061100000003</v>
      </c>
      <c r="J656">
        <v>0.435</v>
      </c>
      <c r="K656">
        <f t="shared" si="10"/>
        <v>3</v>
      </c>
      <c r="N656">
        <v>2.5</v>
      </c>
      <c r="O656">
        <v>3</v>
      </c>
    </row>
    <row r="657" spans="1:15" x14ac:dyDescent="0.2">
      <c r="A657" t="s">
        <v>2341</v>
      </c>
      <c r="B657">
        <v>9009343400</v>
      </c>
      <c r="C657" t="s">
        <v>2342</v>
      </c>
      <c r="D657">
        <v>6740</v>
      </c>
      <c r="E657">
        <v>5.804433457</v>
      </c>
      <c r="F657">
        <v>1161.1813709999999</v>
      </c>
      <c r="G657">
        <v>1</v>
      </c>
      <c r="H657">
        <v>1027</v>
      </c>
      <c r="I657">
        <v>15.75878472</v>
      </c>
      <c r="J657">
        <v>0.68</v>
      </c>
      <c r="K657">
        <f t="shared" si="10"/>
        <v>4</v>
      </c>
      <c r="N657">
        <v>3</v>
      </c>
      <c r="O657">
        <v>3</v>
      </c>
    </row>
    <row r="658" spans="1:15" x14ac:dyDescent="0.2">
      <c r="A658" t="s">
        <v>2343</v>
      </c>
      <c r="B658">
        <v>9009344100</v>
      </c>
      <c r="C658" t="s">
        <v>2344</v>
      </c>
      <c r="D658">
        <v>4856</v>
      </c>
      <c r="E658">
        <v>8.2378698279999991</v>
      </c>
      <c r="F658">
        <v>589.47277650000001</v>
      </c>
      <c r="G658">
        <v>1</v>
      </c>
      <c r="H658">
        <v>381</v>
      </c>
      <c r="I658">
        <v>7.7172371890000004</v>
      </c>
      <c r="J658">
        <v>0.35699999999999998</v>
      </c>
      <c r="K658">
        <f t="shared" si="10"/>
        <v>2</v>
      </c>
      <c r="N658">
        <v>2</v>
      </c>
      <c r="O658">
        <v>2</v>
      </c>
    </row>
    <row r="659" spans="1:15" x14ac:dyDescent="0.2">
      <c r="A659" t="s">
        <v>2345</v>
      </c>
      <c r="B659">
        <v>9009344200</v>
      </c>
      <c r="C659" t="s">
        <v>2346</v>
      </c>
      <c r="D659">
        <v>2719</v>
      </c>
      <c r="E659">
        <v>9.5131359680000003</v>
      </c>
      <c r="F659">
        <v>285.81531990000002</v>
      </c>
      <c r="G659">
        <v>1</v>
      </c>
      <c r="H659">
        <v>305</v>
      </c>
      <c r="I659">
        <v>10.88508208</v>
      </c>
      <c r="J659">
        <v>0.497</v>
      </c>
      <c r="K659">
        <f t="shared" si="10"/>
        <v>3</v>
      </c>
      <c r="N659">
        <v>2</v>
      </c>
      <c r="O659">
        <v>2</v>
      </c>
    </row>
    <row r="660" spans="1:15" x14ac:dyDescent="0.2">
      <c r="A660" t="s">
        <v>2347</v>
      </c>
      <c r="B660">
        <v>9009345100</v>
      </c>
      <c r="C660" t="s">
        <v>2348</v>
      </c>
      <c r="D660">
        <v>6979</v>
      </c>
      <c r="E660">
        <v>3.3230574810000002</v>
      </c>
      <c r="F660">
        <v>2100.1743240000001</v>
      </c>
      <c r="G660">
        <v>1</v>
      </c>
      <c r="H660">
        <v>557</v>
      </c>
      <c r="I660">
        <v>7.573079538</v>
      </c>
      <c r="J660">
        <v>0.34899999999999998</v>
      </c>
      <c r="K660">
        <f t="shared" si="10"/>
        <v>2</v>
      </c>
      <c r="N660">
        <v>3</v>
      </c>
      <c r="O660">
        <v>3</v>
      </c>
    </row>
    <row r="661" spans="1:15" x14ac:dyDescent="0.2">
      <c r="A661" t="s">
        <v>2349</v>
      </c>
      <c r="B661">
        <v>9009345201</v>
      </c>
      <c r="C661" t="s">
        <v>2350</v>
      </c>
      <c r="D661">
        <v>7065</v>
      </c>
      <c r="E661">
        <v>3.3367405560000001</v>
      </c>
      <c r="F661">
        <v>2117.3357299999998</v>
      </c>
      <c r="G661">
        <v>1</v>
      </c>
      <c r="H661">
        <v>1247</v>
      </c>
      <c r="I661">
        <v>16.644420719999999</v>
      </c>
      <c r="J661">
        <v>0.69599999999999995</v>
      </c>
      <c r="K661">
        <f t="shared" si="10"/>
        <v>4</v>
      </c>
      <c r="N661">
        <v>4</v>
      </c>
      <c r="O661">
        <v>4</v>
      </c>
    </row>
    <row r="662" spans="1:15" x14ac:dyDescent="0.2">
      <c r="A662" t="s">
        <v>2351</v>
      </c>
      <c r="B662">
        <v>9009345202</v>
      </c>
      <c r="C662" t="s">
        <v>2352</v>
      </c>
      <c r="D662">
        <v>4229</v>
      </c>
      <c r="E662">
        <v>1.803079783</v>
      </c>
      <c r="F662">
        <v>2345.4314340000001</v>
      </c>
      <c r="G662">
        <v>1</v>
      </c>
      <c r="H662">
        <v>379</v>
      </c>
      <c r="I662">
        <v>9.0930902109999998</v>
      </c>
      <c r="J662">
        <v>0.439</v>
      </c>
      <c r="K662">
        <f t="shared" si="10"/>
        <v>3</v>
      </c>
      <c r="N662">
        <v>3</v>
      </c>
      <c r="O662">
        <v>3</v>
      </c>
    </row>
    <row r="663" spans="1:15" x14ac:dyDescent="0.2">
      <c r="A663" t="s">
        <v>2353</v>
      </c>
      <c r="B663">
        <v>9009345300</v>
      </c>
      <c r="C663" t="s">
        <v>2354</v>
      </c>
      <c r="D663">
        <v>6455</v>
      </c>
      <c r="E663">
        <v>5.1045275109999997</v>
      </c>
      <c r="F663">
        <v>1264.563662</v>
      </c>
      <c r="G663">
        <v>1</v>
      </c>
      <c r="H663">
        <v>999</v>
      </c>
      <c r="I663">
        <v>16.633366630000001</v>
      </c>
      <c r="J663">
        <v>0.69299999999999995</v>
      </c>
      <c r="K663">
        <f t="shared" si="10"/>
        <v>4</v>
      </c>
      <c r="N663">
        <v>4.5</v>
      </c>
      <c r="O663">
        <v>5</v>
      </c>
    </row>
    <row r="664" spans="1:15" x14ac:dyDescent="0.2">
      <c r="A664" t="s">
        <v>2355</v>
      </c>
      <c r="B664">
        <v>9009345400</v>
      </c>
      <c r="C664" t="s">
        <v>2356</v>
      </c>
      <c r="D664">
        <v>7134</v>
      </c>
      <c r="E664">
        <v>2.7402798779999999</v>
      </c>
      <c r="F664">
        <v>2603.3837119999998</v>
      </c>
      <c r="G664">
        <v>1</v>
      </c>
      <c r="H664">
        <v>929</v>
      </c>
      <c r="I664">
        <v>14.68542523</v>
      </c>
      <c r="J664">
        <v>0.629</v>
      </c>
      <c r="K664">
        <f t="shared" si="10"/>
        <v>4</v>
      </c>
      <c r="N664">
        <v>4</v>
      </c>
      <c r="O664">
        <v>4</v>
      </c>
    </row>
    <row r="665" spans="1:15" x14ac:dyDescent="0.2">
      <c r="A665" t="s">
        <v>2357</v>
      </c>
      <c r="B665">
        <v>9009346101</v>
      </c>
      <c r="C665" t="s">
        <v>2358</v>
      </c>
      <c r="D665">
        <v>6674</v>
      </c>
      <c r="E665">
        <v>13.983450120000001</v>
      </c>
      <c r="F665">
        <v>477.27849309999999</v>
      </c>
      <c r="G665">
        <v>1</v>
      </c>
      <c r="H665">
        <v>204</v>
      </c>
      <c r="I665">
        <v>2.9445727480000001</v>
      </c>
      <c r="J665">
        <v>3.6999999999999998E-2</v>
      </c>
      <c r="K665">
        <f t="shared" si="10"/>
        <v>1</v>
      </c>
      <c r="N665">
        <v>1.5</v>
      </c>
      <c r="O665">
        <v>2</v>
      </c>
    </row>
    <row r="666" spans="1:15" x14ac:dyDescent="0.2">
      <c r="A666" t="s">
        <v>2359</v>
      </c>
      <c r="B666">
        <v>9009346102</v>
      </c>
      <c r="C666" t="s">
        <v>2360</v>
      </c>
      <c r="D666">
        <v>6009</v>
      </c>
      <c r="E666">
        <v>18.758535559999999</v>
      </c>
      <c r="F666">
        <v>320.33417429999997</v>
      </c>
      <c r="G666">
        <v>1</v>
      </c>
      <c r="H666">
        <v>420</v>
      </c>
      <c r="I666">
        <v>6.8203962330000003</v>
      </c>
      <c r="J666">
        <v>0.318</v>
      </c>
      <c r="K666">
        <f t="shared" si="10"/>
        <v>2</v>
      </c>
      <c r="N666">
        <v>2</v>
      </c>
      <c r="O666">
        <v>2</v>
      </c>
    </row>
    <row r="667" spans="1:15" x14ac:dyDescent="0.2">
      <c r="A667" t="s">
        <v>2361</v>
      </c>
      <c r="B667">
        <v>9009347100</v>
      </c>
      <c r="C667" t="s">
        <v>2362</v>
      </c>
      <c r="D667">
        <v>5527</v>
      </c>
      <c r="E667">
        <v>7.9956486279999996</v>
      </c>
      <c r="F667">
        <v>691.25098620000006</v>
      </c>
      <c r="G667">
        <v>1</v>
      </c>
      <c r="H667">
        <v>214</v>
      </c>
      <c r="I667">
        <v>3.672558778</v>
      </c>
      <c r="J667">
        <v>0.106</v>
      </c>
      <c r="K667">
        <f t="shared" si="10"/>
        <v>1</v>
      </c>
      <c r="N667">
        <v>2</v>
      </c>
      <c r="O667">
        <v>2</v>
      </c>
    </row>
    <row r="668" spans="1:15" x14ac:dyDescent="0.2">
      <c r="A668" t="s">
        <v>2363</v>
      </c>
      <c r="B668">
        <v>9009347200</v>
      </c>
      <c r="C668" t="s">
        <v>2364</v>
      </c>
      <c r="D668">
        <v>3878</v>
      </c>
      <c r="E668">
        <v>6.2296381299999997</v>
      </c>
      <c r="F668">
        <v>622.5080686</v>
      </c>
      <c r="G668">
        <v>1</v>
      </c>
      <c r="H668">
        <v>272</v>
      </c>
      <c r="I668">
        <v>7.0139247029999998</v>
      </c>
      <c r="J668">
        <v>0.32200000000000001</v>
      </c>
      <c r="K668">
        <f t="shared" si="10"/>
        <v>2</v>
      </c>
      <c r="N668">
        <v>2</v>
      </c>
      <c r="O668">
        <v>2</v>
      </c>
    </row>
    <row r="669" spans="1:15" x14ac:dyDescent="0.2">
      <c r="A669" t="s">
        <v>2365</v>
      </c>
      <c r="B669">
        <v>9009348111</v>
      </c>
      <c r="C669" t="s">
        <v>2366</v>
      </c>
      <c r="D669">
        <v>2902</v>
      </c>
      <c r="E669">
        <v>13.426967619999999</v>
      </c>
      <c r="F669">
        <v>216.1321963</v>
      </c>
      <c r="G669">
        <v>1</v>
      </c>
      <c r="H669">
        <v>169</v>
      </c>
      <c r="I669">
        <v>6.3845863239999998</v>
      </c>
      <c r="J669">
        <v>0.30499999999999999</v>
      </c>
      <c r="K669">
        <f t="shared" si="10"/>
        <v>2</v>
      </c>
      <c r="N669">
        <v>2</v>
      </c>
      <c r="O669">
        <v>2</v>
      </c>
    </row>
    <row r="670" spans="1:15" x14ac:dyDescent="0.2">
      <c r="A670" t="s">
        <v>2367</v>
      </c>
      <c r="B670">
        <v>9009348122</v>
      </c>
      <c r="C670" t="s">
        <v>2368</v>
      </c>
      <c r="D670">
        <v>4349</v>
      </c>
      <c r="E670">
        <v>7.7475146600000002</v>
      </c>
      <c r="F670">
        <v>561.34130630000004</v>
      </c>
      <c r="G670">
        <v>1</v>
      </c>
      <c r="H670">
        <v>201</v>
      </c>
      <c r="I670">
        <v>4.8166786479999999</v>
      </c>
      <c r="J670">
        <v>0.19800000000000001</v>
      </c>
      <c r="K670">
        <f t="shared" si="10"/>
        <v>1</v>
      </c>
      <c r="N670">
        <v>1</v>
      </c>
      <c r="O670">
        <v>1</v>
      </c>
    </row>
    <row r="671" spans="1:15" x14ac:dyDescent="0.2">
      <c r="A671" t="s">
        <v>2369</v>
      </c>
      <c r="B671">
        <v>9009348123</v>
      </c>
      <c r="C671" t="s">
        <v>2370</v>
      </c>
      <c r="D671">
        <v>5739</v>
      </c>
      <c r="E671">
        <v>10.82340497</v>
      </c>
      <c r="F671">
        <v>530.23979180000003</v>
      </c>
      <c r="G671">
        <v>1</v>
      </c>
      <c r="H671">
        <v>600</v>
      </c>
      <c r="I671">
        <v>10.05025126</v>
      </c>
      <c r="J671">
        <v>0.45800000000000002</v>
      </c>
      <c r="K671">
        <f t="shared" si="10"/>
        <v>3</v>
      </c>
      <c r="N671">
        <v>2</v>
      </c>
      <c r="O671">
        <v>2</v>
      </c>
    </row>
    <row r="672" spans="1:15" x14ac:dyDescent="0.2">
      <c r="A672" t="s">
        <v>2371</v>
      </c>
      <c r="B672">
        <v>9009348124</v>
      </c>
      <c r="C672" t="s">
        <v>2372</v>
      </c>
      <c r="D672">
        <v>2330</v>
      </c>
      <c r="E672">
        <v>3.094906231</v>
      </c>
      <c r="F672">
        <v>752.84994949999998</v>
      </c>
      <c r="G672">
        <v>1</v>
      </c>
      <c r="H672">
        <v>156</v>
      </c>
      <c r="I672">
        <v>6.2675773399999999</v>
      </c>
      <c r="J672">
        <v>0.29199999999999998</v>
      </c>
      <c r="K672">
        <f t="shared" si="10"/>
        <v>2</v>
      </c>
      <c r="N672">
        <v>3</v>
      </c>
      <c r="O672">
        <v>3</v>
      </c>
    </row>
    <row r="673" spans="1:15" x14ac:dyDescent="0.2">
      <c r="A673" t="s">
        <v>2373</v>
      </c>
      <c r="B673">
        <v>9009348125</v>
      </c>
      <c r="C673" t="s">
        <v>2374</v>
      </c>
      <c r="D673">
        <v>4584</v>
      </c>
      <c r="E673">
        <v>3.8996369870000001</v>
      </c>
      <c r="F673">
        <v>1175.4940309999999</v>
      </c>
      <c r="G673">
        <v>1</v>
      </c>
      <c r="H673">
        <v>113</v>
      </c>
      <c r="I673">
        <v>2.5670149929999999</v>
      </c>
      <c r="J673">
        <v>1.9E-2</v>
      </c>
      <c r="K673">
        <f t="shared" si="10"/>
        <v>1</v>
      </c>
      <c r="N673">
        <v>2</v>
      </c>
      <c r="O673">
        <v>2</v>
      </c>
    </row>
    <row r="674" spans="1:15" x14ac:dyDescent="0.2">
      <c r="A674" t="s">
        <v>2375</v>
      </c>
      <c r="B674">
        <v>9009350100</v>
      </c>
      <c r="C674" t="s">
        <v>2376</v>
      </c>
      <c r="D674">
        <v>4852</v>
      </c>
      <c r="E674">
        <v>0.44202598599999998</v>
      </c>
      <c r="F674">
        <v>10976.730219999999</v>
      </c>
      <c r="G674">
        <v>1</v>
      </c>
      <c r="H674">
        <v>889</v>
      </c>
      <c r="I674">
        <v>23.339459179999999</v>
      </c>
      <c r="J674">
        <v>0.80200000000000005</v>
      </c>
      <c r="K674">
        <f t="shared" si="10"/>
        <v>5</v>
      </c>
      <c r="N674">
        <v>5</v>
      </c>
      <c r="O674">
        <v>5</v>
      </c>
    </row>
    <row r="675" spans="1:15" x14ac:dyDescent="0.2">
      <c r="A675" t="s">
        <v>2377</v>
      </c>
      <c r="B675">
        <v>9009350200</v>
      </c>
      <c r="C675" t="s">
        <v>2378</v>
      </c>
      <c r="D675">
        <v>3355</v>
      </c>
      <c r="E675">
        <v>0.26204523000000002</v>
      </c>
      <c r="F675">
        <v>12803.13328</v>
      </c>
      <c r="G675">
        <v>1</v>
      </c>
      <c r="H675">
        <v>617</v>
      </c>
      <c r="I675">
        <v>21.39389736</v>
      </c>
      <c r="J675">
        <v>0.78100000000000003</v>
      </c>
      <c r="K675">
        <f t="shared" si="10"/>
        <v>4</v>
      </c>
      <c r="N675">
        <v>4.5</v>
      </c>
      <c r="O675">
        <v>5</v>
      </c>
    </row>
    <row r="676" spans="1:15" x14ac:dyDescent="0.2">
      <c r="A676" t="s">
        <v>2379</v>
      </c>
      <c r="B676">
        <v>9009350300</v>
      </c>
      <c r="C676" t="s">
        <v>2380</v>
      </c>
      <c r="D676">
        <v>1969</v>
      </c>
      <c r="E676">
        <v>0.187970369</v>
      </c>
      <c r="F676">
        <v>10475.055249999999</v>
      </c>
      <c r="G676">
        <v>1</v>
      </c>
      <c r="H676">
        <v>491</v>
      </c>
      <c r="I676">
        <v>26.214628940000001</v>
      </c>
      <c r="J676">
        <v>0.84599999999999997</v>
      </c>
      <c r="K676">
        <f t="shared" si="10"/>
        <v>5</v>
      </c>
      <c r="N676">
        <v>5</v>
      </c>
      <c r="O676">
        <v>5</v>
      </c>
    </row>
    <row r="677" spans="1:15" x14ac:dyDescent="0.2">
      <c r="A677" t="s">
        <v>2381</v>
      </c>
      <c r="B677">
        <v>9009350400</v>
      </c>
      <c r="C677" t="s">
        <v>2382</v>
      </c>
      <c r="D677">
        <v>2487</v>
      </c>
      <c r="E677">
        <v>0.200322164</v>
      </c>
      <c r="F677">
        <v>12415.001689999999</v>
      </c>
      <c r="G677">
        <v>1</v>
      </c>
      <c r="H677">
        <v>601</v>
      </c>
      <c r="I677">
        <v>25.618073320000001</v>
      </c>
      <c r="J677">
        <v>0.84499999999999997</v>
      </c>
      <c r="K677">
        <f t="shared" si="10"/>
        <v>5</v>
      </c>
      <c r="N677">
        <v>5</v>
      </c>
      <c r="O677">
        <v>5</v>
      </c>
    </row>
    <row r="678" spans="1:15" x14ac:dyDescent="0.2">
      <c r="A678" t="s">
        <v>2383</v>
      </c>
      <c r="B678">
        <v>9009350500</v>
      </c>
      <c r="C678" t="s">
        <v>2384</v>
      </c>
      <c r="D678">
        <v>2498</v>
      </c>
      <c r="E678">
        <v>0.31251843600000001</v>
      </c>
      <c r="F678">
        <v>7993.1284340000002</v>
      </c>
      <c r="G678">
        <v>1</v>
      </c>
      <c r="H678">
        <v>1205</v>
      </c>
      <c r="I678">
        <v>52.874067570000001</v>
      </c>
      <c r="J678">
        <v>1</v>
      </c>
      <c r="K678">
        <f t="shared" si="10"/>
        <v>5</v>
      </c>
      <c r="N678">
        <v>5</v>
      </c>
      <c r="O678">
        <v>5</v>
      </c>
    </row>
    <row r="679" spans="1:15" x14ac:dyDescent="0.2">
      <c r="A679" t="s">
        <v>2385</v>
      </c>
      <c r="B679">
        <v>9009350800</v>
      </c>
      <c r="C679" t="s">
        <v>2386</v>
      </c>
      <c r="D679">
        <v>5998</v>
      </c>
      <c r="E679">
        <v>0.42387841199999998</v>
      </c>
      <c r="F679">
        <v>14150.28422</v>
      </c>
      <c r="G679">
        <v>1</v>
      </c>
      <c r="H679">
        <v>758</v>
      </c>
      <c r="I679">
        <v>12.65653698</v>
      </c>
      <c r="J679">
        <v>0.59099999999999997</v>
      </c>
      <c r="K679">
        <f t="shared" si="10"/>
        <v>3</v>
      </c>
      <c r="N679">
        <v>4</v>
      </c>
      <c r="O679">
        <v>4</v>
      </c>
    </row>
    <row r="680" spans="1:15" x14ac:dyDescent="0.2">
      <c r="A680" t="s">
        <v>2387</v>
      </c>
      <c r="B680">
        <v>9009350900</v>
      </c>
      <c r="C680" t="s">
        <v>2388</v>
      </c>
      <c r="D680">
        <v>1987</v>
      </c>
      <c r="E680">
        <v>0.294017578</v>
      </c>
      <c r="F680">
        <v>6758.09933</v>
      </c>
      <c r="G680">
        <v>1</v>
      </c>
      <c r="H680">
        <v>262</v>
      </c>
      <c r="I680">
        <v>11.807120319999999</v>
      </c>
      <c r="J680">
        <v>0.54100000000000004</v>
      </c>
      <c r="K680">
        <f t="shared" si="10"/>
        <v>3</v>
      </c>
      <c r="N680">
        <v>3.5</v>
      </c>
      <c r="O680">
        <v>4</v>
      </c>
    </row>
    <row r="681" spans="1:15" x14ac:dyDescent="0.2">
      <c r="A681" t="s">
        <v>2389</v>
      </c>
      <c r="B681">
        <v>9009351000</v>
      </c>
      <c r="C681" t="s">
        <v>2390</v>
      </c>
      <c r="D681">
        <v>3678</v>
      </c>
      <c r="E681">
        <v>0.67972091000000001</v>
      </c>
      <c r="F681">
        <v>5411.0443660000001</v>
      </c>
      <c r="G681">
        <v>1</v>
      </c>
      <c r="H681">
        <v>689</v>
      </c>
      <c r="I681">
        <v>17.744012359999999</v>
      </c>
      <c r="J681">
        <v>0.71699999999999997</v>
      </c>
      <c r="K681">
        <f t="shared" si="10"/>
        <v>4</v>
      </c>
      <c r="N681">
        <v>4.5</v>
      </c>
      <c r="O681">
        <v>5</v>
      </c>
    </row>
    <row r="682" spans="1:15" x14ac:dyDescent="0.2">
      <c r="A682" t="s">
        <v>2391</v>
      </c>
      <c r="B682">
        <v>9009351100</v>
      </c>
      <c r="C682" t="s">
        <v>2392</v>
      </c>
      <c r="D682">
        <v>3928</v>
      </c>
      <c r="E682">
        <v>1.5363225620000001</v>
      </c>
      <c r="F682">
        <v>2556.7547450000002</v>
      </c>
      <c r="G682">
        <v>1</v>
      </c>
      <c r="H682">
        <v>1310</v>
      </c>
      <c r="I682">
        <v>34.582893349999999</v>
      </c>
      <c r="J682">
        <v>0.96499999999999997</v>
      </c>
      <c r="K682">
        <f t="shared" si="10"/>
        <v>5</v>
      </c>
      <c r="N682">
        <v>5</v>
      </c>
      <c r="O682">
        <v>5</v>
      </c>
    </row>
    <row r="683" spans="1:15" x14ac:dyDescent="0.2">
      <c r="A683" t="s">
        <v>2393</v>
      </c>
      <c r="B683">
        <v>9009351200</v>
      </c>
      <c r="C683" t="s">
        <v>2394</v>
      </c>
      <c r="D683">
        <v>3862</v>
      </c>
      <c r="E683">
        <v>0.69791095599999997</v>
      </c>
      <c r="F683">
        <v>5533.6572230000002</v>
      </c>
      <c r="G683">
        <v>1</v>
      </c>
      <c r="H683">
        <v>986</v>
      </c>
      <c r="I683">
        <v>24.64383904</v>
      </c>
      <c r="J683">
        <v>0.83199999999999996</v>
      </c>
      <c r="K683">
        <f t="shared" si="10"/>
        <v>5</v>
      </c>
      <c r="N683">
        <v>5</v>
      </c>
      <c r="O683">
        <v>5</v>
      </c>
    </row>
    <row r="684" spans="1:15" x14ac:dyDescent="0.2">
      <c r="A684" t="s">
        <v>2395</v>
      </c>
      <c r="B684">
        <v>9009351300</v>
      </c>
      <c r="C684" t="s">
        <v>2396</v>
      </c>
      <c r="D684">
        <v>5535</v>
      </c>
      <c r="E684">
        <v>0.87473146599999996</v>
      </c>
      <c r="F684">
        <v>6327.6562190000004</v>
      </c>
      <c r="G684">
        <v>1</v>
      </c>
      <c r="H684">
        <v>1642</v>
      </c>
      <c r="I684">
        <v>30.29520295</v>
      </c>
      <c r="J684">
        <v>0.92200000000000004</v>
      </c>
      <c r="K684">
        <f t="shared" si="10"/>
        <v>5</v>
      </c>
      <c r="N684">
        <v>5</v>
      </c>
      <c r="O684">
        <v>5</v>
      </c>
    </row>
    <row r="685" spans="1:15" x14ac:dyDescent="0.2">
      <c r="A685" t="s">
        <v>2397</v>
      </c>
      <c r="B685">
        <v>9009351400</v>
      </c>
      <c r="C685" t="s">
        <v>2398</v>
      </c>
      <c r="D685">
        <v>4352</v>
      </c>
      <c r="E685">
        <v>0.43980280999999999</v>
      </c>
      <c r="F685">
        <v>9895.3437819999999</v>
      </c>
      <c r="G685">
        <v>1</v>
      </c>
      <c r="H685">
        <v>1552</v>
      </c>
      <c r="I685">
        <v>36.698983210000002</v>
      </c>
      <c r="J685">
        <v>0.97099999999999997</v>
      </c>
      <c r="K685">
        <f t="shared" si="10"/>
        <v>5</v>
      </c>
      <c r="N685">
        <v>5</v>
      </c>
      <c r="O685">
        <v>5</v>
      </c>
    </row>
    <row r="686" spans="1:15" x14ac:dyDescent="0.2">
      <c r="A686" t="s">
        <v>2399</v>
      </c>
      <c r="B686">
        <v>9009351500</v>
      </c>
      <c r="C686" t="s">
        <v>2400</v>
      </c>
      <c r="D686">
        <v>4915</v>
      </c>
      <c r="E686">
        <v>1.0825876409999999</v>
      </c>
      <c r="F686">
        <v>4540.0481330000002</v>
      </c>
      <c r="G686">
        <v>1</v>
      </c>
      <c r="H686">
        <v>1268</v>
      </c>
      <c r="I686">
        <v>25.610987680000001</v>
      </c>
      <c r="J686">
        <v>0.86399999999999999</v>
      </c>
      <c r="K686">
        <f t="shared" si="10"/>
        <v>5</v>
      </c>
      <c r="N686">
        <v>4.5</v>
      </c>
      <c r="O686">
        <v>5</v>
      </c>
    </row>
    <row r="687" spans="1:15" x14ac:dyDescent="0.2">
      <c r="A687" t="s">
        <v>2401</v>
      </c>
      <c r="B687">
        <v>9009351601</v>
      </c>
      <c r="C687" t="s">
        <v>2402</v>
      </c>
      <c r="D687">
        <v>3281</v>
      </c>
      <c r="E687">
        <v>0.44680014000000001</v>
      </c>
      <c r="F687">
        <v>7343.3280549999999</v>
      </c>
      <c r="G687">
        <v>1</v>
      </c>
      <c r="H687">
        <v>306</v>
      </c>
      <c r="I687">
        <v>9.9804305279999994</v>
      </c>
      <c r="J687">
        <v>0.48899999999999999</v>
      </c>
      <c r="K687">
        <f t="shared" si="10"/>
        <v>3</v>
      </c>
      <c r="N687">
        <v>4</v>
      </c>
      <c r="O687">
        <v>4</v>
      </c>
    </row>
    <row r="688" spans="1:15" x14ac:dyDescent="0.2">
      <c r="A688" t="s">
        <v>2403</v>
      </c>
      <c r="B688">
        <v>9009351602</v>
      </c>
      <c r="C688" t="s">
        <v>2404</v>
      </c>
      <c r="D688">
        <v>6221</v>
      </c>
      <c r="E688">
        <v>1.612925234</v>
      </c>
      <c r="F688">
        <v>3856.9673720000001</v>
      </c>
      <c r="G688">
        <v>1</v>
      </c>
      <c r="H688">
        <v>303</v>
      </c>
      <c r="I688">
        <v>3.9894667539999999</v>
      </c>
      <c r="J688">
        <v>0.13700000000000001</v>
      </c>
      <c r="K688">
        <f t="shared" si="10"/>
        <v>1</v>
      </c>
      <c r="N688">
        <v>2.5</v>
      </c>
      <c r="O688">
        <v>3</v>
      </c>
    </row>
    <row r="689" spans="1:15" x14ac:dyDescent="0.2">
      <c r="A689" t="s">
        <v>2405</v>
      </c>
      <c r="B689">
        <v>9009351700</v>
      </c>
      <c r="C689" t="s">
        <v>2406</v>
      </c>
      <c r="D689">
        <v>2717</v>
      </c>
      <c r="E689">
        <v>0.252554838</v>
      </c>
      <c r="F689">
        <v>10758.059600000001</v>
      </c>
      <c r="G689">
        <v>1</v>
      </c>
      <c r="H689">
        <v>281</v>
      </c>
      <c r="I689">
        <v>9.0645161289999994</v>
      </c>
      <c r="J689">
        <v>0.45200000000000001</v>
      </c>
      <c r="K689">
        <f t="shared" si="10"/>
        <v>3</v>
      </c>
      <c r="N689">
        <v>4</v>
      </c>
      <c r="O689">
        <v>4</v>
      </c>
    </row>
    <row r="690" spans="1:15" x14ac:dyDescent="0.2">
      <c r="A690" t="s">
        <v>2407</v>
      </c>
      <c r="B690">
        <v>9009351800</v>
      </c>
      <c r="C690" t="s">
        <v>2408</v>
      </c>
      <c r="D690">
        <v>4252</v>
      </c>
      <c r="E690">
        <v>1.7574718490000001</v>
      </c>
      <c r="F690">
        <v>2419.3844140000001</v>
      </c>
      <c r="G690">
        <v>1</v>
      </c>
      <c r="H690">
        <v>383</v>
      </c>
      <c r="I690">
        <v>10.05513258</v>
      </c>
      <c r="J690">
        <v>0.48499999999999999</v>
      </c>
      <c r="K690">
        <f t="shared" si="10"/>
        <v>3</v>
      </c>
      <c r="N690">
        <v>4</v>
      </c>
      <c r="O690">
        <v>4</v>
      </c>
    </row>
    <row r="691" spans="1:15" x14ac:dyDescent="0.2">
      <c r="A691" t="s">
        <v>2409</v>
      </c>
      <c r="B691">
        <v>9009351900</v>
      </c>
      <c r="C691" t="s">
        <v>2410</v>
      </c>
      <c r="D691">
        <v>2456</v>
      </c>
      <c r="E691">
        <v>2.5294885539999998</v>
      </c>
      <c r="F691">
        <v>970.94726779999996</v>
      </c>
      <c r="G691">
        <v>1</v>
      </c>
      <c r="H691">
        <v>366</v>
      </c>
      <c r="I691">
        <v>16.37583893</v>
      </c>
      <c r="J691">
        <v>0.71099999999999997</v>
      </c>
      <c r="K691">
        <f t="shared" si="10"/>
        <v>4</v>
      </c>
      <c r="N691">
        <v>3.5</v>
      </c>
      <c r="O691">
        <v>4</v>
      </c>
    </row>
    <row r="692" spans="1:15" x14ac:dyDescent="0.2">
      <c r="A692" t="s">
        <v>2411</v>
      </c>
      <c r="B692">
        <v>9009352000</v>
      </c>
      <c r="C692" t="s">
        <v>2412</v>
      </c>
      <c r="D692">
        <v>4920</v>
      </c>
      <c r="E692">
        <v>1.7420107739999999</v>
      </c>
      <c r="F692">
        <v>2824.3223720000001</v>
      </c>
      <c r="G692">
        <v>1</v>
      </c>
      <c r="H692">
        <v>579</v>
      </c>
      <c r="I692">
        <v>12.644682250000001</v>
      </c>
      <c r="J692">
        <v>0.60399999999999998</v>
      </c>
      <c r="K692">
        <f t="shared" si="10"/>
        <v>4</v>
      </c>
      <c r="N692">
        <v>3.5</v>
      </c>
      <c r="O692">
        <v>4</v>
      </c>
    </row>
    <row r="693" spans="1:15" x14ac:dyDescent="0.2">
      <c r="A693" t="s">
        <v>2413</v>
      </c>
      <c r="B693">
        <v>9009352100</v>
      </c>
      <c r="C693" t="s">
        <v>2414</v>
      </c>
      <c r="D693">
        <v>4253</v>
      </c>
      <c r="E693">
        <v>0.75577454399999999</v>
      </c>
      <c r="F693">
        <v>5627.3395719999999</v>
      </c>
      <c r="G693">
        <v>1</v>
      </c>
      <c r="H693">
        <v>302</v>
      </c>
      <c r="I693">
        <v>7.0908664010000004</v>
      </c>
      <c r="J693">
        <v>0.35299999999999998</v>
      </c>
      <c r="K693">
        <f t="shared" si="10"/>
        <v>2</v>
      </c>
      <c r="N693">
        <v>3</v>
      </c>
      <c r="O693">
        <v>3</v>
      </c>
    </row>
    <row r="694" spans="1:15" x14ac:dyDescent="0.2">
      <c r="A694" t="s">
        <v>2415</v>
      </c>
      <c r="B694">
        <v>9009352200</v>
      </c>
      <c r="C694" t="s">
        <v>2416</v>
      </c>
      <c r="D694">
        <v>2689</v>
      </c>
      <c r="E694">
        <v>0.73173234799999998</v>
      </c>
      <c r="F694">
        <v>3674.8409550000001</v>
      </c>
      <c r="G694">
        <v>1</v>
      </c>
      <c r="H694">
        <v>411</v>
      </c>
      <c r="I694">
        <v>15.1604574</v>
      </c>
      <c r="J694">
        <v>0.65900000000000003</v>
      </c>
      <c r="K694">
        <f t="shared" si="10"/>
        <v>4</v>
      </c>
      <c r="N694">
        <v>4.5</v>
      </c>
      <c r="O694">
        <v>5</v>
      </c>
    </row>
    <row r="695" spans="1:15" x14ac:dyDescent="0.2">
      <c r="A695" t="s">
        <v>2417</v>
      </c>
      <c r="B695">
        <v>9009352300</v>
      </c>
      <c r="C695" t="s">
        <v>2418</v>
      </c>
      <c r="D695">
        <v>2815</v>
      </c>
      <c r="E695">
        <v>2.540453855</v>
      </c>
      <c r="F695">
        <v>1108.0697230000001</v>
      </c>
      <c r="G695">
        <v>1</v>
      </c>
      <c r="H695">
        <v>130</v>
      </c>
      <c r="I695">
        <v>4.9599389550000001</v>
      </c>
      <c r="J695">
        <v>0.22900000000000001</v>
      </c>
      <c r="K695">
        <f t="shared" si="10"/>
        <v>2</v>
      </c>
      <c r="N695">
        <v>3.5</v>
      </c>
      <c r="O695">
        <v>4</v>
      </c>
    </row>
    <row r="696" spans="1:15" x14ac:dyDescent="0.2">
      <c r="A696" t="s">
        <v>2419</v>
      </c>
      <c r="B696">
        <v>9009352400</v>
      </c>
      <c r="C696" t="s">
        <v>2420</v>
      </c>
      <c r="D696">
        <v>3437</v>
      </c>
      <c r="E696">
        <v>1.67018187</v>
      </c>
      <c r="F696">
        <v>2057.859723</v>
      </c>
      <c r="G696">
        <v>1</v>
      </c>
      <c r="H696">
        <v>587</v>
      </c>
      <c r="I696">
        <v>15.541435</v>
      </c>
      <c r="J696">
        <v>0.67600000000000005</v>
      </c>
      <c r="K696">
        <f t="shared" si="10"/>
        <v>4</v>
      </c>
      <c r="N696">
        <v>4.5</v>
      </c>
      <c r="O696">
        <v>5</v>
      </c>
    </row>
    <row r="697" spans="1:15" x14ac:dyDescent="0.2">
      <c r="A697" t="s">
        <v>2421</v>
      </c>
      <c r="B697">
        <v>9009352500</v>
      </c>
      <c r="C697" t="s">
        <v>2422</v>
      </c>
      <c r="D697">
        <v>2731</v>
      </c>
      <c r="E697">
        <v>1.27931558</v>
      </c>
      <c r="F697">
        <v>2134.7352000000001</v>
      </c>
      <c r="G697">
        <v>1</v>
      </c>
      <c r="H697">
        <v>284</v>
      </c>
      <c r="I697">
        <v>8.5234093640000008</v>
      </c>
      <c r="J697">
        <v>0.441</v>
      </c>
      <c r="K697">
        <f t="shared" si="10"/>
        <v>3</v>
      </c>
      <c r="N697">
        <v>4</v>
      </c>
      <c r="O697">
        <v>4</v>
      </c>
    </row>
    <row r="698" spans="1:15" x14ac:dyDescent="0.2">
      <c r="A698" t="s">
        <v>2423</v>
      </c>
      <c r="B698">
        <v>9009352600</v>
      </c>
      <c r="C698" t="s">
        <v>2424</v>
      </c>
      <c r="D698">
        <v>5395</v>
      </c>
      <c r="E698">
        <v>0.87557394099999997</v>
      </c>
      <c r="F698">
        <v>6161.6726449999996</v>
      </c>
      <c r="G698">
        <v>1</v>
      </c>
      <c r="H698">
        <v>574</v>
      </c>
      <c r="I698">
        <v>11.32820209</v>
      </c>
      <c r="J698">
        <v>0.54600000000000004</v>
      </c>
      <c r="K698">
        <f t="shared" si="10"/>
        <v>3</v>
      </c>
      <c r="N698">
        <v>4</v>
      </c>
      <c r="O698">
        <v>4</v>
      </c>
    </row>
    <row r="699" spans="1:15" x14ac:dyDescent="0.2">
      <c r="A699" t="s">
        <v>2425</v>
      </c>
      <c r="B699">
        <v>9009352701</v>
      </c>
      <c r="C699" t="s">
        <v>2426</v>
      </c>
      <c r="D699">
        <v>3386</v>
      </c>
      <c r="E699">
        <v>1.1184044099999999</v>
      </c>
      <c r="F699">
        <v>3027.5274049999998</v>
      </c>
      <c r="G699">
        <v>1</v>
      </c>
      <c r="H699">
        <v>570</v>
      </c>
      <c r="I699">
        <v>18.955769870000001</v>
      </c>
      <c r="J699">
        <v>0.77100000000000002</v>
      </c>
      <c r="K699">
        <f t="shared" si="10"/>
        <v>4</v>
      </c>
      <c r="N699">
        <v>4.5</v>
      </c>
      <c r="O699">
        <v>5</v>
      </c>
    </row>
    <row r="700" spans="1:15" x14ac:dyDescent="0.2">
      <c r="A700" t="s">
        <v>2427</v>
      </c>
      <c r="B700">
        <v>9009352702</v>
      </c>
      <c r="C700" t="s">
        <v>2428</v>
      </c>
      <c r="D700">
        <v>5852</v>
      </c>
      <c r="E700">
        <v>1.1099846790000001</v>
      </c>
      <c r="F700">
        <v>5272.1448399999999</v>
      </c>
      <c r="G700">
        <v>1</v>
      </c>
      <c r="H700">
        <v>963</v>
      </c>
      <c r="I700">
        <v>18.497887049999999</v>
      </c>
      <c r="J700">
        <v>0.753</v>
      </c>
      <c r="K700">
        <f t="shared" si="10"/>
        <v>4</v>
      </c>
      <c r="N700">
        <v>4</v>
      </c>
      <c r="O700">
        <v>4</v>
      </c>
    </row>
    <row r="701" spans="1:15" x14ac:dyDescent="0.2">
      <c r="A701" t="s">
        <v>2429</v>
      </c>
      <c r="B701">
        <v>9009352800</v>
      </c>
      <c r="C701" t="s">
        <v>2430</v>
      </c>
      <c r="D701">
        <v>6545</v>
      </c>
      <c r="E701">
        <v>2.6626455409999998</v>
      </c>
      <c r="F701">
        <v>2458.0815950000001</v>
      </c>
      <c r="G701">
        <v>1</v>
      </c>
      <c r="H701">
        <v>2118</v>
      </c>
      <c r="I701">
        <v>33.936869090000002</v>
      </c>
      <c r="J701">
        <v>0.96</v>
      </c>
      <c r="K701">
        <f t="shared" si="10"/>
        <v>5</v>
      </c>
      <c r="N701">
        <v>5</v>
      </c>
      <c r="O701">
        <v>5</v>
      </c>
    </row>
    <row r="702" spans="1:15" x14ac:dyDescent="0.2">
      <c r="A702" t="s">
        <v>2431</v>
      </c>
      <c r="B702">
        <v>9009361100</v>
      </c>
      <c r="C702" t="s">
        <v>2432</v>
      </c>
      <c r="D702">
        <v>6503</v>
      </c>
      <c r="E702">
        <v>9.3128593649999996</v>
      </c>
      <c r="F702">
        <v>698.28177849999997</v>
      </c>
      <c r="G702">
        <v>1</v>
      </c>
      <c r="H702">
        <v>423</v>
      </c>
      <c r="I702">
        <v>6.3637731310000003</v>
      </c>
      <c r="J702">
        <v>0.33800000000000002</v>
      </c>
      <c r="K702">
        <f t="shared" si="10"/>
        <v>2</v>
      </c>
      <c r="N702">
        <v>2.5</v>
      </c>
      <c r="O702">
        <v>3</v>
      </c>
    </row>
    <row r="703" spans="1:15" x14ac:dyDescent="0.2">
      <c r="A703" t="s">
        <v>2433</v>
      </c>
      <c r="B703">
        <v>9009361200</v>
      </c>
      <c r="C703" t="s">
        <v>2434</v>
      </c>
      <c r="D703">
        <v>5524</v>
      </c>
      <c r="E703">
        <v>3.7408709999999998</v>
      </c>
      <c r="F703">
        <v>1476.6614509999999</v>
      </c>
      <c r="G703">
        <v>1</v>
      </c>
      <c r="H703">
        <v>339</v>
      </c>
      <c r="I703">
        <v>6.0074428500000003</v>
      </c>
      <c r="J703">
        <v>0.29199999999999998</v>
      </c>
      <c r="K703">
        <f t="shared" si="10"/>
        <v>2</v>
      </c>
      <c r="N703">
        <v>2.5</v>
      </c>
      <c r="O703">
        <v>3</v>
      </c>
    </row>
    <row r="704" spans="1:15" x14ac:dyDescent="0.2">
      <c r="A704" t="s">
        <v>2435</v>
      </c>
      <c r="B704">
        <v>9009361300</v>
      </c>
      <c r="C704" t="s">
        <v>2436</v>
      </c>
      <c r="D704">
        <v>4653</v>
      </c>
      <c r="E704">
        <v>7.380804081</v>
      </c>
      <c r="F704">
        <v>630.41911819999996</v>
      </c>
      <c r="G704">
        <v>1</v>
      </c>
      <c r="H704">
        <v>147</v>
      </c>
      <c r="I704">
        <v>3.398843931</v>
      </c>
      <c r="J704">
        <v>9.8000000000000004E-2</v>
      </c>
      <c r="K704">
        <f t="shared" si="10"/>
        <v>1</v>
      </c>
      <c r="N704">
        <v>1.5</v>
      </c>
      <c r="O704">
        <v>2</v>
      </c>
    </row>
    <row r="705" spans="1:15" x14ac:dyDescent="0.2">
      <c r="A705" t="s">
        <v>2437</v>
      </c>
      <c r="B705">
        <v>9009361401</v>
      </c>
      <c r="C705" t="s">
        <v>2438</v>
      </c>
      <c r="D705">
        <v>4933</v>
      </c>
      <c r="E705">
        <v>0.163999215</v>
      </c>
      <c r="F705">
        <v>30079.412189999999</v>
      </c>
      <c r="G705">
        <v>1</v>
      </c>
      <c r="H705">
        <v>1163</v>
      </c>
      <c r="I705">
        <v>30.710324799999999</v>
      </c>
      <c r="J705">
        <v>0.95</v>
      </c>
      <c r="K705">
        <f t="shared" si="10"/>
        <v>5</v>
      </c>
      <c r="N705">
        <v>5</v>
      </c>
      <c r="O705">
        <v>5</v>
      </c>
    </row>
    <row r="706" spans="1:15" x14ac:dyDescent="0.2">
      <c r="A706" t="s">
        <v>2439</v>
      </c>
      <c r="B706">
        <v>9009361402</v>
      </c>
      <c r="C706" t="s">
        <v>2440</v>
      </c>
      <c r="D706">
        <v>3367</v>
      </c>
      <c r="E706">
        <v>0.29782454600000002</v>
      </c>
      <c r="F706">
        <v>11305.313969999999</v>
      </c>
      <c r="G706">
        <v>1</v>
      </c>
      <c r="H706">
        <v>806</v>
      </c>
      <c r="I706">
        <v>29.319752640000001</v>
      </c>
      <c r="J706">
        <v>0.92500000000000004</v>
      </c>
      <c r="K706">
        <f t="shared" si="10"/>
        <v>5</v>
      </c>
      <c r="N706">
        <v>4.5</v>
      </c>
      <c r="O706">
        <v>5</v>
      </c>
    </row>
    <row r="707" spans="1:15" x14ac:dyDescent="0.2">
      <c r="A707" t="s">
        <v>2441</v>
      </c>
      <c r="B707">
        <v>9009361500</v>
      </c>
      <c r="C707" t="s">
        <v>2442</v>
      </c>
      <c r="D707">
        <v>7607</v>
      </c>
      <c r="E707">
        <v>1.173429375</v>
      </c>
      <c r="F707">
        <v>6482.7080029999997</v>
      </c>
      <c r="G707">
        <v>1</v>
      </c>
      <c r="H707">
        <v>1699</v>
      </c>
      <c r="I707">
        <v>22.258613910000001</v>
      </c>
      <c r="J707">
        <v>0.84</v>
      </c>
      <c r="K707">
        <f t="shared" ref="K707:K770" si="11">IF(J707&lt;0.2,1,IF(J707&lt;0.4,2,IF(J707&lt;0.6,3,IF(J707&lt;0.8,4,5))))</f>
        <v>5</v>
      </c>
      <c r="N707">
        <v>4.5</v>
      </c>
      <c r="O707">
        <v>5</v>
      </c>
    </row>
    <row r="708" spans="1:15" x14ac:dyDescent="0.2">
      <c r="A708" t="s">
        <v>2443</v>
      </c>
      <c r="B708">
        <v>9011650100</v>
      </c>
      <c r="C708" t="s">
        <v>2444</v>
      </c>
      <c r="D708">
        <v>2406</v>
      </c>
      <c r="E708">
        <v>31.840444430000002</v>
      </c>
      <c r="F708">
        <v>75.564271880000007</v>
      </c>
      <c r="G708">
        <v>2</v>
      </c>
      <c r="H708">
        <v>67</v>
      </c>
      <c r="I708">
        <v>2.6810724289999999</v>
      </c>
      <c r="J708">
        <v>2.5000000000000001E-2</v>
      </c>
      <c r="K708">
        <f t="shared" si="11"/>
        <v>1</v>
      </c>
      <c r="N708">
        <v>1.5</v>
      </c>
      <c r="O708">
        <v>2</v>
      </c>
    </row>
    <row r="709" spans="1:15" x14ac:dyDescent="0.2">
      <c r="A709" t="s">
        <v>2445</v>
      </c>
      <c r="B709">
        <v>9011660101</v>
      </c>
      <c r="C709" t="s">
        <v>2446</v>
      </c>
      <c r="D709">
        <v>3356</v>
      </c>
      <c r="E709">
        <v>11.33900736</v>
      </c>
      <c r="F709">
        <v>295.96947010000002</v>
      </c>
      <c r="G709">
        <v>1</v>
      </c>
      <c r="H709">
        <v>155</v>
      </c>
      <c r="I709">
        <v>4.7957920789999999</v>
      </c>
      <c r="J709">
        <v>0.20499999999999999</v>
      </c>
      <c r="K709">
        <f t="shared" si="11"/>
        <v>2</v>
      </c>
      <c r="N709">
        <v>2</v>
      </c>
      <c r="O709">
        <v>2</v>
      </c>
    </row>
    <row r="710" spans="1:15" x14ac:dyDescent="0.2">
      <c r="A710" t="s">
        <v>2447</v>
      </c>
      <c r="B710">
        <v>9011660102</v>
      </c>
      <c r="C710" t="s">
        <v>2448</v>
      </c>
      <c r="D710">
        <v>4247</v>
      </c>
      <c r="E710">
        <v>11.67637727</v>
      </c>
      <c r="F710">
        <v>363.72582899999998</v>
      </c>
      <c r="G710">
        <v>1</v>
      </c>
      <c r="H710">
        <v>138</v>
      </c>
      <c r="I710">
        <v>3.314121037</v>
      </c>
      <c r="J710">
        <v>7.6999999999999999E-2</v>
      </c>
      <c r="K710">
        <f t="shared" si="11"/>
        <v>1</v>
      </c>
      <c r="N710">
        <v>2</v>
      </c>
      <c r="O710">
        <v>2</v>
      </c>
    </row>
    <row r="711" spans="1:15" x14ac:dyDescent="0.2">
      <c r="A711" t="s">
        <v>2449</v>
      </c>
      <c r="B711">
        <v>9011690300</v>
      </c>
      <c r="C711" t="s">
        <v>2450</v>
      </c>
      <c r="D711">
        <v>6280</v>
      </c>
      <c r="E711">
        <v>1.423164509</v>
      </c>
      <c r="F711">
        <v>4412.7013850000003</v>
      </c>
      <c r="G711">
        <v>1</v>
      </c>
      <c r="H711">
        <v>2160</v>
      </c>
      <c r="I711">
        <v>34.263959389999997</v>
      </c>
      <c r="J711">
        <v>0.96499999999999997</v>
      </c>
      <c r="K711">
        <f t="shared" si="11"/>
        <v>5</v>
      </c>
      <c r="N711">
        <v>5</v>
      </c>
      <c r="O711">
        <v>5</v>
      </c>
    </row>
    <row r="712" spans="1:15" x14ac:dyDescent="0.2">
      <c r="A712" t="s">
        <v>2451</v>
      </c>
      <c r="B712">
        <v>9011690400</v>
      </c>
      <c r="C712" t="s">
        <v>2452</v>
      </c>
      <c r="D712">
        <v>2055</v>
      </c>
      <c r="E712">
        <v>0.18917616600000001</v>
      </c>
      <c r="F712">
        <v>10862.89062</v>
      </c>
      <c r="G712">
        <v>1</v>
      </c>
      <c r="H712">
        <v>849</v>
      </c>
      <c r="I712">
        <v>41.843272550000002</v>
      </c>
      <c r="J712">
        <v>1</v>
      </c>
      <c r="K712">
        <f t="shared" si="11"/>
        <v>5</v>
      </c>
      <c r="N712">
        <v>5</v>
      </c>
      <c r="O712">
        <v>5</v>
      </c>
    </row>
    <row r="713" spans="1:15" x14ac:dyDescent="0.2">
      <c r="A713" t="s">
        <v>2453</v>
      </c>
      <c r="B713">
        <v>9011690500</v>
      </c>
      <c r="C713" t="s">
        <v>2454</v>
      </c>
      <c r="D713">
        <v>2827</v>
      </c>
      <c r="E713">
        <v>0.37402142399999999</v>
      </c>
      <c r="F713">
        <v>7558.3905580000001</v>
      </c>
      <c r="G713">
        <v>1</v>
      </c>
      <c r="H713">
        <v>776</v>
      </c>
      <c r="I713">
        <v>30.124223600000001</v>
      </c>
      <c r="J713">
        <v>0.94599999999999995</v>
      </c>
      <c r="K713">
        <f t="shared" si="11"/>
        <v>5</v>
      </c>
      <c r="N713">
        <v>5</v>
      </c>
      <c r="O713">
        <v>5</v>
      </c>
    </row>
    <row r="714" spans="1:15" x14ac:dyDescent="0.2">
      <c r="A714" t="s">
        <v>2455</v>
      </c>
      <c r="B714">
        <v>9011690700</v>
      </c>
      <c r="C714" t="s">
        <v>2456</v>
      </c>
      <c r="D714">
        <v>1295</v>
      </c>
      <c r="E714">
        <v>0.389669759</v>
      </c>
      <c r="F714">
        <v>3323.3269190000001</v>
      </c>
      <c r="G714">
        <v>1</v>
      </c>
      <c r="H714">
        <v>268</v>
      </c>
      <c r="I714">
        <v>21.788617890000001</v>
      </c>
      <c r="J714">
        <v>0.85699999999999998</v>
      </c>
      <c r="K714">
        <f t="shared" si="11"/>
        <v>5</v>
      </c>
      <c r="N714">
        <v>5</v>
      </c>
      <c r="O714">
        <v>5</v>
      </c>
    </row>
    <row r="715" spans="1:15" x14ac:dyDescent="0.2">
      <c r="A715" t="s">
        <v>2457</v>
      </c>
      <c r="B715">
        <v>9011690800</v>
      </c>
      <c r="C715" t="s">
        <v>2458</v>
      </c>
      <c r="D715">
        <v>3345</v>
      </c>
      <c r="E715">
        <v>0.47782653800000002</v>
      </c>
      <c r="F715">
        <v>7000.4483479999999</v>
      </c>
      <c r="G715">
        <v>1</v>
      </c>
      <c r="H715">
        <v>968</v>
      </c>
      <c r="I715">
        <v>28.912783749999999</v>
      </c>
      <c r="J715">
        <v>0.93600000000000005</v>
      </c>
      <c r="K715">
        <f t="shared" si="11"/>
        <v>5</v>
      </c>
      <c r="N715">
        <v>4.5</v>
      </c>
      <c r="O715">
        <v>5</v>
      </c>
    </row>
    <row r="716" spans="1:15" x14ac:dyDescent="0.2">
      <c r="A716" t="s">
        <v>2459</v>
      </c>
      <c r="B716">
        <v>9011690900</v>
      </c>
      <c r="C716" t="s">
        <v>2460</v>
      </c>
      <c r="D716">
        <v>5156</v>
      </c>
      <c r="E716">
        <v>1.2470845420000001</v>
      </c>
      <c r="F716">
        <v>4134.4430339999999</v>
      </c>
      <c r="G716">
        <v>1</v>
      </c>
      <c r="H716">
        <v>1089</v>
      </c>
      <c r="I716">
        <v>21.650099399999998</v>
      </c>
      <c r="J716">
        <v>0.86299999999999999</v>
      </c>
      <c r="K716">
        <f t="shared" si="11"/>
        <v>5</v>
      </c>
      <c r="N716">
        <v>4.5</v>
      </c>
      <c r="O716">
        <v>5</v>
      </c>
    </row>
    <row r="717" spans="1:15" x14ac:dyDescent="0.2">
      <c r="A717" t="s">
        <v>2461</v>
      </c>
      <c r="B717">
        <v>9011693300</v>
      </c>
      <c r="C717" t="s">
        <v>2462</v>
      </c>
      <c r="D717">
        <v>5752</v>
      </c>
      <c r="E717">
        <v>6.888018014</v>
      </c>
      <c r="F717">
        <v>835.07330969999998</v>
      </c>
      <c r="G717">
        <v>1</v>
      </c>
      <c r="H717">
        <v>675</v>
      </c>
      <c r="I717">
        <v>12.43093923</v>
      </c>
      <c r="J717">
        <v>0.623</v>
      </c>
      <c r="K717">
        <f t="shared" si="11"/>
        <v>4</v>
      </c>
      <c r="N717">
        <v>3.5</v>
      </c>
      <c r="O717">
        <v>4</v>
      </c>
    </row>
    <row r="718" spans="1:15" x14ac:dyDescent="0.2">
      <c r="A718" t="s">
        <v>2463</v>
      </c>
      <c r="B718">
        <v>9011693400</v>
      </c>
      <c r="C718" t="s">
        <v>2464</v>
      </c>
      <c r="D718">
        <v>4099</v>
      </c>
      <c r="E718">
        <v>3.1059356259999999</v>
      </c>
      <c r="F718">
        <v>1319.7311520000001</v>
      </c>
      <c r="G718">
        <v>1</v>
      </c>
      <c r="H718">
        <v>443</v>
      </c>
      <c r="I718">
        <v>10.976214069999999</v>
      </c>
      <c r="J718">
        <v>0.57399999999999995</v>
      </c>
      <c r="K718">
        <f t="shared" si="11"/>
        <v>3</v>
      </c>
      <c r="N718">
        <v>3.5</v>
      </c>
      <c r="O718">
        <v>4</v>
      </c>
    </row>
    <row r="719" spans="1:15" x14ac:dyDescent="0.2">
      <c r="A719" t="s">
        <v>2465</v>
      </c>
      <c r="B719">
        <v>9011693500</v>
      </c>
      <c r="C719" t="s">
        <v>2466</v>
      </c>
      <c r="D719">
        <v>3528</v>
      </c>
      <c r="E719">
        <v>5.0497550569999996</v>
      </c>
      <c r="F719">
        <v>698.64774829999999</v>
      </c>
      <c r="G719">
        <v>1</v>
      </c>
      <c r="H719">
        <v>115</v>
      </c>
      <c r="I719">
        <v>3.3372025540000001</v>
      </c>
      <c r="J719">
        <v>8.4000000000000005E-2</v>
      </c>
      <c r="K719">
        <f t="shared" si="11"/>
        <v>1</v>
      </c>
      <c r="N719">
        <v>1.5</v>
      </c>
      <c r="O719">
        <v>2</v>
      </c>
    </row>
    <row r="720" spans="1:15" x14ac:dyDescent="0.2">
      <c r="A720" t="s">
        <v>2467</v>
      </c>
      <c r="B720">
        <v>9011693600</v>
      </c>
      <c r="C720" t="s">
        <v>2468</v>
      </c>
      <c r="D720">
        <v>2805</v>
      </c>
      <c r="E720">
        <v>4.3256296939999999</v>
      </c>
      <c r="F720">
        <v>648.46050130000003</v>
      </c>
      <c r="G720">
        <v>1</v>
      </c>
      <c r="H720">
        <v>203</v>
      </c>
      <c r="I720">
        <v>6.9783430729999996</v>
      </c>
      <c r="J720">
        <v>0.34899999999999998</v>
      </c>
      <c r="K720">
        <f t="shared" si="11"/>
        <v>2</v>
      </c>
      <c r="N720">
        <v>2.5</v>
      </c>
      <c r="O720">
        <v>3</v>
      </c>
    </row>
    <row r="721" spans="1:15" x14ac:dyDescent="0.2">
      <c r="A721" t="s">
        <v>2469</v>
      </c>
      <c r="B721">
        <v>9011693700</v>
      </c>
      <c r="C721" t="s">
        <v>2470</v>
      </c>
      <c r="D721">
        <v>3333</v>
      </c>
      <c r="E721">
        <v>13.39833466</v>
      </c>
      <c r="F721">
        <v>248.76225919999999</v>
      </c>
      <c r="G721">
        <v>1</v>
      </c>
      <c r="H721">
        <v>393</v>
      </c>
      <c r="I721">
        <v>12.62042389</v>
      </c>
      <c r="J721">
        <v>0.628</v>
      </c>
      <c r="K721">
        <f t="shared" si="11"/>
        <v>4</v>
      </c>
      <c r="N721">
        <v>3.5</v>
      </c>
      <c r="O721">
        <v>4</v>
      </c>
    </row>
    <row r="722" spans="1:15" x14ac:dyDescent="0.2">
      <c r="A722" t="s">
        <v>2471</v>
      </c>
      <c r="B722">
        <v>9011695201</v>
      </c>
      <c r="C722" t="s">
        <v>2472</v>
      </c>
      <c r="D722">
        <v>5266</v>
      </c>
      <c r="E722">
        <v>16.098248720000001</v>
      </c>
      <c r="F722">
        <v>327.11632750000001</v>
      </c>
      <c r="G722">
        <v>1</v>
      </c>
      <c r="H722">
        <v>438</v>
      </c>
      <c r="I722">
        <v>8.1549059770000003</v>
      </c>
      <c r="J722">
        <v>0.42299999999999999</v>
      </c>
      <c r="K722">
        <f t="shared" si="11"/>
        <v>3</v>
      </c>
      <c r="N722">
        <v>3.5</v>
      </c>
      <c r="O722">
        <v>4</v>
      </c>
    </row>
    <row r="723" spans="1:15" x14ac:dyDescent="0.2">
      <c r="A723" t="s">
        <v>2473</v>
      </c>
      <c r="B723">
        <v>9011695202</v>
      </c>
      <c r="C723" t="s">
        <v>2474</v>
      </c>
      <c r="D723">
        <v>6203</v>
      </c>
      <c r="E723">
        <v>17.439198560000001</v>
      </c>
      <c r="F723">
        <v>355.69295110000002</v>
      </c>
      <c r="G723">
        <v>1</v>
      </c>
      <c r="H723">
        <v>592</v>
      </c>
      <c r="I723">
        <v>10.89236431</v>
      </c>
      <c r="J723">
        <v>0.54300000000000004</v>
      </c>
      <c r="K723">
        <f t="shared" si="11"/>
        <v>3</v>
      </c>
      <c r="N723">
        <v>3.5</v>
      </c>
      <c r="O723">
        <v>4</v>
      </c>
    </row>
    <row r="724" spans="1:15" x14ac:dyDescent="0.2">
      <c r="A724" t="s">
        <v>2475</v>
      </c>
      <c r="B724">
        <v>9011696100</v>
      </c>
      <c r="C724" t="s">
        <v>2476</v>
      </c>
      <c r="D724">
        <v>4917</v>
      </c>
      <c r="E724">
        <v>3.2012935969999998</v>
      </c>
      <c r="F724">
        <v>1535.941597</v>
      </c>
      <c r="G724">
        <v>1</v>
      </c>
      <c r="H724">
        <v>741</v>
      </c>
      <c r="I724">
        <v>15.74920298</v>
      </c>
      <c r="J724">
        <v>0.72499999999999998</v>
      </c>
      <c r="K724">
        <f t="shared" si="11"/>
        <v>4</v>
      </c>
      <c r="N724">
        <v>4.5</v>
      </c>
      <c r="O724">
        <v>5</v>
      </c>
    </row>
    <row r="725" spans="1:15" x14ac:dyDescent="0.2">
      <c r="A725" t="s">
        <v>2477</v>
      </c>
      <c r="B725">
        <v>9011696200</v>
      </c>
      <c r="C725" t="s">
        <v>2478</v>
      </c>
      <c r="D725">
        <v>4813</v>
      </c>
      <c r="E725">
        <v>10.524493939999999</v>
      </c>
      <c r="F725">
        <v>457.31415019999997</v>
      </c>
      <c r="G725">
        <v>1</v>
      </c>
      <c r="H725">
        <v>926</v>
      </c>
      <c r="I725">
        <v>19.811724430000002</v>
      </c>
      <c r="J725">
        <v>0.83099999999999996</v>
      </c>
      <c r="K725">
        <f t="shared" si="11"/>
        <v>5</v>
      </c>
      <c r="N725">
        <v>4.5</v>
      </c>
      <c r="O725">
        <v>5</v>
      </c>
    </row>
    <row r="726" spans="1:15" x14ac:dyDescent="0.2">
      <c r="A726" t="s">
        <v>2479</v>
      </c>
      <c r="B726">
        <v>9011696300</v>
      </c>
      <c r="C726" t="s">
        <v>2480</v>
      </c>
      <c r="D726">
        <v>2847</v>
      </c>
      <c r="E726">
        <v>3.5181298139999999</v>
      </c>
      <c r="F726">
        <v>809.23676799999998</v>
      </c>
      <c r="G726">
        <v>1</v>
      </c>
      <c r="H726">
        <v>298</v>
      </c>
      <c r="I726">
        <v>9.4483195940000009</v>
      </c>
      <c r="J726">
        <v>0.5</v>
      </c>
      <c r="K726">
        <f t="shared" si="11"/>
        <v>3</v>
      </c>
      <c r="N726">
        <v>3</v>
      </c>
      <c r="O726">
        <v>3</v>
      </c>
    </row>
    <row r="727" spans="1:15" x14ac:dyDescent="0.2">
      <c r="A727" t="s">
        <v>2481</v>
      </c>
      <c r="B727">
        <v>9011696400</v>
      </c>
      <c r="C727" t="s">
        <v>2482</v>
      </c>
      <c r="D727">
        <v>6052</v>
      </c>
      <c r="E727">
        <v>2.0512006230000002</v>
      </c>
      <c r="F727">
        <v>2950.467122</v>
      </c>
      <c r="G727">
        <v>1</v>
      </c>
      <c r="H727">
        <v>1422</v>
      </c>
      <c r="I727">
        <v>27.204897649999999</v>
      </c>
      <c r="J727">
        <v>0.92900000000000005</v>
      </c>
      <c r="K727">
        <f t="shared" si="11"/>
        <v>5</v>
      </c>
      <c r="N727">
        <v>5</v>
      </c>
      <c r="O727">
        <v>5</v>
      </c>
    </row>
    <row r="728" spans="1:15" x14ac:dyDescent="0.2">
      <c r="A728" t="s">
        <v>2483</v>
      </c>
      <c r="B728">
        <v>9011696500</v>
      </c>
      <c r="C728" t="s">
        <v>2484</v>
      </c>
      <c r="D728">
        <v>3134</v>
      </c>
      <c r="E728">
        <v>1.0894108389999999</v>
      </c>
      <c r="F728">
        <v>2876.784302</v>
      </c>
      <c r="G728">
        <v>1</v>
      </c>
      <c r="H728">
        <v>540</v>
      </c>
      <c r="I728">
        <v>18.486819579999999</v>
      </c>
      <c r="J728">
        <v>0.80600000000000005</v>
      </c>
      <c r="K728">
        <f t="shared" si="11"/>
        <v>5</v>
      </c>
      <c r="N728">
        <v>4.5</v>
      </c>
      <c r="O728">
        <v>5</v>
      </c>
    </row>
    <row r="729" spans="1:15" x14ac:dyDescent="0.2">
      <c r="A729" t="s">
        <v>2485</v>
      </c>
      <c r="B729">
        <v>9011696600</v>
      </c>
      <c r="C729" t="s">
        <v>2486</v>
      </c>
      <c r="D729">
        <v>4073</v>
      </c>
      <c r="E729">
        <v>3.0400194900000002</v>
      </c>
      <c r="F729">
        <v>1339.794042</v>
      </c>
      <c r="G729">
        <v>1</v>
      </c>
      <c r="H729">
        <v>1090</v>
      </c>
      <c r="I729">
        <v>26.768172889999999</v>
      </c>
      <c r="J729">
        <v>0.90700000000000003</v>
      </c>
      <c r="K729">
        <f t="shared" si="11"/>
        <v>5</v>
      </c>
      <c r="N729">
        <v>4.5</v>
      </c>
      <c r="O729">
        <v>5</v>
      </c>
    </row>
    <row r="730" spans="1:15" x14ac:dyDescent="0.2">
      <c r="A730" t="s">
        <v>2487</v>
      </c>
      <c r="B730">
        <v>9011696700</v>
      </c>
      <c r="C730" t="s">
        <v>2488</v>
      </c>
      <c r="D730">
        <v>5915</v>
      </c>
      <c r="E730">
        <v>2.003218162</v>
      </c>
      <c r="F730">
        <v>2952.7487890000002</v>
      </c>
      <c r="G730">
        <v>1</v>
      </c>
      <c r="H730">
        <v>1809</v>
      </c>
      <c r="I730">
        <v>30.377833750000001</v>
      </c>
      <c r="J730">
        <v>0.95799999999999996</v>
      </c>
      <c r="K730">
        <f t="shared" si="11"/>
        <v>5</v>
      </c>
      <c r="N730">
        <v>5</v>
      </c>
      <c r="O730">
        <v>5</v>
      </c>
    </row>
    <row r="731" spans="1:15" x14ac:dyDescent="0.2">
      <c r="A731" t="s">
        <v>2489</v>
      </c>
      <c r="B731">
        <v>9011696800</v>
      </c>
      <c r="C731" t="s">
        <v>2490</v>
      </c>
      <c r="D731">
        <v>3974</v>
      </c>
      <c r="E731">
        <v>0.43052709099999997</v>
      </c>
      <c r="F731">
        <v>9230.5457210000004</v>
      </c>
      <c r="G731">
        <v>1</v>
      </c>
      <c r="H731">
        <v>687</v>
      </c>
      <c r="I731">
        <v>21.348663770000002</v>
      </c>
      <c r="J731">
        <v>0.873</v>
      </c>
      <c r="K731">
        <f t="shared" si="11"/>
        <v>5</v>
      </c>
      <c r="N731">
        <v>5</v>
      </c>
      <c r="O731">
        <v>5</v>
      </c>
    </row>
    <row r="732" spans="1:15" x14ac:dyDescent="0.2">
      <c r="A732" t="s">
        <v>2491</v>
      </c>
      <c r="B732">
        <v>9011697000</v>
      </c>
      <c r="C732" t="s">
        <v>2492</v>
      </c>
      <c r="D732">
        <v>4768</v>
      </c>
      <c r="E732">
        <v>2.2036731440000001</v>
      </c>
      <c r="F732">
        <v>2163.6602560000001</v>
      </c>
      <c r="G732">
        <v>1</v>
      </c>
      <c r="H732">
        <v>1620</v>
      </c>
      <c r="I732">
        <v>30.371203600000001</v>
      </c>
      <c r="J732">
        <v>0.95699999999999996</v>
      </c>
      <c r="K732">
        <f t="shared" si="11"/>
        <v>5</v>
      </c>
      <c r="N732">
        <v>5</v>
      </c>
      <c r="O732">
        <v>5</v>
      </c>
    </row>
    <row r="733" spans="1:15" x14ac:dyDescent="0.2">
      <c r="A733" t="s">
        <v>2493</v>
      </c>
      <c r="B733">
        <v>9011700100</v>
      </c>
      <c r="C733" t="s">
        <v>2494</v>
      </c>
      <c r="D733">
        <v>4726</v>
      </c>
      <c r="E733">
        <v>30.815190650000002</v>
      </c>
      <c r="F733">
        <v>153.3659179</v>
      </c>
      <c r="G733">
        <v>2</v>
      </c>
      <c r="H733">
        <v>656</v>
      </c>
      <c r="I733">
        <v>14.08632167</v>
      </c>
      <c r="J733">
        <v>0.70899999999999996</v>
      </c>
      <c r="K733">
        <f t="shared" si="11"/>
        <v>4</v>
      </c>
      <c r="N733">
        <v>3.5</v>
      </c>
      <c r="O733">
        <v>4</v>
      </c>
    </row>
    <row r="734" spans="1:15" x14ac:dyDescent="0.2">
      <c r="A734" t="s">
        <v>2495</v>
      </c>
      <c r="B734">
        <v>9011701100</v>
      </c>
      <c r="C734" t="s">
        <v>2496</v>
      </c>
      <c r="D734">
        <v>7691</v>
      </c>
      <c r="E734">
        <v>26.848667249999998</v>
      </c>
      <c r="F734">
        <v>286.45742180000002</v>
      </c>
      <c r="G734">
        <v>1</v>
      </c>
      <c r="H734">
        <v>1216</v>
      </c>
      <c r="I734">
        <v>15.4158215</v>
      </c>
      <c r="J734">
        <v>0.76</v>
      </c>
      <c r="K734">
        <f t="shared" si="11"/>
        <v>4</v>
      </c>
      <c r="N734">
        <v>3.5</v>
      </c>
      <c r="O734">
        <v>4</v>
      </c>
    </row>
    <row r="735" spans="1:15" x14ac:dyDescent="0.2">
      <c r="A735" t="s">
        <v>2497</v>
      </c>
      <c r="B735">
        <v>9011701200</v>
      </c>
      <c r="C735" t="s">
        <v>2498</v>
      </c>
      <c r="D735">
        <v>7356</v>
      </c>
      <c r="E735">
        <v>10.918714680000001</v>
      </c>
      <c r="F735">
        <v>673.70567089999997</v>
      </c>
      <c r="G735">
        <v>1</v>
      </c>
      <c r="H735">
        <v>565</v>
      </c>
      <c r="I735">
        <v>8.2205732579999999</v>
      </c>
      <c r="J735">
        <v>0.49399999999999999</v>
      </c>
      <c r="K735">
        <f t="shared" si="11"/>
        <v>3</v>
      </c>
      <c r="N735">
        <v>3</v>
      </c>
      <c r="O735">
        <v>3</v>
      </c>
    </row>
    <row r="736" spans="1:15" x14ac:dyDescent="0.2">
      <c r="A736" t="s">
        <v>2499</v>
      </c>
      <c r="B736">
        <v>9011702100</v>
      </c>
      <c r="C736" t="s">
        <v>2500</v>
      </c>
      <c r="D736">
        <v>4496</v>
      </c>
      <c r="E736">
        <v>8.5523041030000009</v>
      </c>
      <c r="F736">
        <v>525.70628290000002</v>
      </c>
      <c r="G736">
        <v>1</v>
      </c>
      <c r="H736">
        <v>537</v>
      </c>
      <c r="I736">
        <v>13.0879844</v>
      </c>
      <c r="J736">
        <v>0.7</v>
      </c>
      <c r="K736">
        <f t="shared" si="11"/>
        <v>4</v>
      </c>
      <c r="N736">
        <v>3.5</v>
      </c>
      <c r="O736">
        <v>4</v>
      </c>
    </row>
    <row r="737" spans="1:15" x14ac:dyDescent="0.2">
      <c r="A737" t="s">
        <v>2501</v>
      </c>
      <c r="B737">
        <v>9011702300</v>
      </c>
      <c r="C737" t="s">
        <v>2502</v>
      </c>
      <c r="D737">
        <v>2163</v>
      </c>
      <c r="E737">
        <v>0.944344144</v>
      </c>
      <c r="F737">
        <v>2290.4785449999999</v>
      </c>
      <c r="G737">
        <v>1</v>
      </c>
      <c r="H737">
        <v>432</v>
      </c>
      <c r="I737">
        <v>18.453652290000001</v>
      </c>
      <c r="J737">
        <v>0.83099999999999996</v>
      </c>
      <c r="K737">
        <f t="shared" si="11"/>
        <v>5</v>
      </c>
      <c r="N737">
        <v>4</v>
      </c>
      <c r="O737">
        <v>4</v>
      </c>
    </row>
    <row r="738" spans="1:15" x14ac:dyDescent="0.2">
      <c r="A738" t="s">
        <v>2503</v>
      </c>
      <c r="B738">
        <v>9011702400</v>
      </c>
      <c r="C738" t="s">
        <v>2504</v>
      </c>
      <c r="D738">
        <v>3527</v>
      </c>
      <c r="E738">
        <v>1.1054074380000001</v>
      </c>
      <c r="F738">
        <v>3190.6787290000002</v>
      </c>
      <c r="G738">
        <v>1</v>
      </c>
      <c r="H738">
        <v>1326</v>
      </c>
      <c r="I738">
        <v>37.132455890000003</v>
      </c>
      <c r="J738">
        <v>0.97699999999999998</v>
      </c>
      <c r="K738">
        <f t="shared" si="11"/>
        <v>5</v>
      </c>
      <c r="N738">
        <v>4.5</v>
      </c>
      <c r="O738">
        <v>5</v>
      </c>
    </row>
    <row r="739" spans="1:15" x14ac:dyDescent="0.2">
      <c r="A739" t="s">
        <v>2505</v>
      </c>
      <c r="B739">
        <v>9011702500</v>
      </c>
      <c r="C739" t="s">
        <v>2506</v>
      </c>
      <c r="D739">
        <v>4748</v>
      </c>
      <c r="E739">
        <v>1.034820625</v>
      </c>
      <c r="F739">
        <v>4588.2347980000004</v>
      </c>
      <c r="G739">
        <v>1</v>
      </c>
      <c r="H739">
        <v>1151</v>
      </c>
      <c r="I739">
        <v>26.236608159999999</v>
      </c>
      <c r="J739">
        <v>0.93100000000000005</v>
      </c>
      <c r="K739">
        <f t="shared" si="11"/>
        <v>5</v>
      </c>
      <c r="N739">
        <v>5</v>
      </c>
      <c r="O739">
        <v>5</v>
      </c>
    </row>
    <row r="740" spans="1:15" x14ac:dyDescent="0.2">
      <c r="A740" t="s">
        <v>2507</v>
      </c>
      <c r="B740">
        <v>9011702600</v>
      </c>
      <c r="C740" t="s">
        <v>2508</v>
      </c>
      <c r="D740">
        <v>2114</v>
      </c>
      <c r="E740">
        <v>0.94352329000000001</v>
      </c>
      <c r="F740">
        <v>2240.538227</v>
      </c>
      <c r="G740">
        <v>1</v>
      </c>
      <c r="H740">
        <v>87</v>
      </c>
      <c r="I740">
        <v>8.1156716420000006</v>
      </c>
      <c r="J740">
        <v>0.5</v>
      </c>
      <c r="K740">
        <f t="shared" si="11"/>
        <v>3</v>
      </c>
      <c r="N740">
        <v>3</v>
      </c>
      <c r="O740">
        <v>3</v>
      </c>
    </row>
    <row r="741" spans="1:15" x14ac:dyDescent="0.2">
      <c r="A741" t="s">
        <v>2509</v>
      </c>
      <c r="B741">
        <v>9011702700</v>
      </c>
      <c r="C741" t="s">
        <v>2510</v>
      </c>
      <c r="D741">
        <v>4946</v>
      </c>
      <c r="E741">
        <v>3.1611497810000002</v>
      </c>
      <c r="F741">
        <v>1564.6205789999999</v>
      </c>
      <c r="G741">
        <v>1</v>
      </c>
      <c r="H741">
        <v>1349</v>
      </c>
      <c r="I741">
        <v>27.197580649999999</v>
      </c>
      <c r="J741">
        <v>0.94099999999999995</v>
      </c>
      <c r="K741">
        <f t="shared" si="11"/>
        <v>5</v>
      </c>
      <c r="N741">
        <v>4.5</v>
      </c>
      <c r="O741">
        <v>5</v>
      </c>
    </row>
    <row r="742" spans="1:15" x14ac:dyDescent="0.2">
      <c r="A742" t="s">
        <v>2511</v>
      </c>
      <c r="B742">
        <v>9011702800</v>
      </c>
      <c r="C742" t="s">
        <v>2512</v>
      </c>
      <c r="D742">
        <v>4079</v>
      </c>
      <c r="E742">
        <v>4.7347018600000004</v>
      </c>
      <c r="F742">
        <v>861.51147860000003</v>
      </c>
      <c r="G742">
        <v>1</v>
      </c>
      <c r="H742">
        <v>1256</v>
      </c>
      <c r="I742">
        <v>29.31155193</v>
      </c>
      <c r="J742">
        <v>0.96399999999999997</v>
      </c>
      <c r="K742">
        <f t="shared" si="11"/>
        <v>5</v>
      </c>
      <c r="N742">
        <v>4.5</v>
      </c>
      <c r="O742">
        <v>5</v>
      </c>
    </row>
    <row r="743" spans="1:15" x14ac:dyDescent="0.2">
      <c r="A743" t="s">
        <v>2513</v>
      </c>
      <c r="B743">
        <v>9011702900</v>
      </c>
      <c r="C743" t="s">
        <v>2514</v>
      </c>
      <c r="D743">
        <v>2473</v>
      </c>
      <c r="E743">
        <v>2.9708743819999999</v>
      </c>
      <c r="F743">
        <v>832.41486569999995</v>
      </c>
      <c r="G743">
        <v>1</v>
      </c>
      <c r="H743">
        <v>118</v>
      </c>
      <c r="I743">
        <v>5.3611994550000004</v>
      </c>
      <c r="J743">
        <v>0.32500000000000001</v>
      </c>
      <c r="K743">
        <f t="shared" si="11"/>
        <v>2</v>
      </c>
      <c r="N743">
        <v>2</v>
      </c>
      <c r="O743">
        <v>2</v>
      </c>
    </row>
    <row r="744" spans="1:15" x14ac:dyDescent="0.2">
      <c r="A744" t="s">
        <v>2515</v>
      </c>
      <c r="B744">
        <v>9011703000</v>
      </c>
      <c r="C744" t="s">
        <v>2516</v>
      </c>
      <c r="D744">
        <v>3919</v>
      </c>
      <c r="E744">
        <v>2.4008161430000001</v>
      </c>
      <c r="F744">
        <v>1632.3615669999999</v>
      </c>
      <c r="G744">
        <v>1</v>
      </c>
      <c r="H744">
        <v>155</v>
      </c>
      <c r="I744">
        <v>4.3187517409999998</v>
      </c>
      <c r="J744">
        <v>0.20699999999999999</v>
      </c>
      <c r="K744">
        <f t="shared" si="11"/>
        <v>2</v>
      </c>
      <c r="N744">
        <v>2</v>
      </c>
      <c r="O744">
        <v>2</v>
      </c>
    </row>
    <row r="745" spans="1:15" x14ac:dyDescent="0.2">
      <c r="A745" t="s">
        <v>2517</v>
      </c>
      <c r="B745">
        <v>9011705101</v>
      </c>
      <c r="C745" t="s">
        <v>2518</v>
      </c>
      <c r="D745">
        <v>4294</v>
      </c>
      <c r="E745">
        <v>6.0028459590000001</v>
      </c>
      <c r="F745">
        <v>715.32736790000001</v>
      </c>
      <c r="G745">
        <v>1</v>
      </c>
      <c r="H745">
        <v>140</v>
      </c>
      <c r="I745">
        <v>3.4313725490000002</v>
      </c>
      <c r="J745">
        <v>0.123</v>
      </c>
      <c r="K745">
        <f t="shared" si="11"/>
        <v>1</v>
      </c>
      <c r="N745">
        <v>2.5</v>
      </c>
      <c r="O745">
        <v>3</v>
      </c>
    </row>
    <row r="746" spans="1:15" x14ac:dyDescent="0.2">
      <c r="A746" t="s">
        <v>2519</v>
      </c>
      <c r="B746">
        <v>9011705102</v>
      </c>
      <c r="C746" t="s">
        <v>2520</v>
      </c>
      <c r="D746">
        <v>4343</v>
      </c>
      <c r="E746">
        <v>4.3007044820000004</v>
      </c>
      <c r="F746">
        <v>1009.834556</v>
      </c>
      <c r="G746">
        <v>1</v>
      </c>
      <c r="H746">
        <v>495</v>
      </c>
      <c r="I746">
        <v>11.84777405</v>
      </c>
      <c r="J746">
        <v>0.68700000000000006</v>
      </c>
      <c r="K746">
        <f t="shared" si="11"/>
        <v>4</v>
      </c>
      <c r="N746">
        <v>4.5</v>
      </c>
      <c r="O746">
        <v>5</v>
      </c>
    </row>
    <row r="747" spans="1:15" x14ac:dyDescent="0.2">
      <c r="A747" t="s">
        <v>2521</v>
      </c>
      <c r="B747">
        <v>9011705200</v>
      </c>
      <c r="C747" t="s">
        <v>2522</v>
      </c>
      <c r="D747">
        <v>3484</v>
      </c>
      <c r="E747">
        <v>8.8865712890000008</v>
      </c>
      <c r="F747">
        <v>392.05221979999999</v>
      </c>
      <c r="G747">
        <v>1</v>
      </c>
      <c r="H747">
        <v>163</v>
      </c>
      <c r="I747">
        <v>4.459644323</v>
      </c>
      <c r="J747">
        <v>0.215</v>
      </c>
      <c r="K747">
        <f t="shared" si="11"/>
        <v>2</v>
      </c>
      <c r="N747">
        <v>2</v>
      </c>
      <c r="O747">
        <v>2</v>
      </c>
    </row>
    <row r="748" spans="1:15" x14ac:dyDescent="0.2">
      <c r="A748" t="s">
        <v>2523</v>
      </c>
      <c r="B748">
        <v>9011705300</v>
      </c>
      <c r="C748" t="s">
        <v>2524</v>
      </c>
      <c r="D748">
        <v>3540</v>
      </c>
      <c r="E748">
        <v>4.4080347089999998</v>
      </c>
      <c r="F748">
        <v>803.07897590000005</v>
      </c>
      <c r="G748">
        <v>1</v>
      </c>
      <c r="H748">
        <v>292</v>
      </c>
      <c r="I748">
        <v>7.7721586370000004</v>
      </c>
      <c r="J748">
        <v>0.46100000000000002</v>
      </c>
      <c r="K748">
        <f t="shared" si="11"/>
        <v>3</v>
      </c>
      <c r="N748">
        <v>3</v>
      </c>
      <c r="O748">
        <v>3</v>
      </c>
    </row>
    <row r="749" spans="1:15" x14ac:dyDescent="0.2">
      <c r="A749" t="s">
        <v>2525</v>
      </c>
      <c r="B749">
        <v>9011705400</v>
      </c>
      <c r="C749" t="s">
        <v>2526</v>
      </c>
      <c r="D749">
        <v>2884</v>
      </c>
      <c r="E749">
        <v>15.058312239999999</v>
      </c>
      <c r="F749">
        <v>191.5221277</v>
      </c>
      <c r="G749">
        <v>1</v>
      </c>
      <c r="H749">
        <v>95</v>
      </c>
      <c r="I749">
        <v>3.423423423</v>
      </c>
      <c r="J749">
        <v>0.11600000000000001</v>
      </c>
      <c r="K749">
        <f t="shared" si="11"/>
        <v>1</v>
      </c>
      <c r="N749">
        <v>1.5</v>
      </c>
      <c r="O749">
        <v>2</v>
      </c>
    </row>
    <row r="750" spans="1:15" x14ac:dyDescent="0.2">
      <c r="A750" t="s">
        <v>2527</v>
      </c>
      <c r="B750">
        <v>9011707100</v>
      </c>
      <c r="C750" t="s">
        <v>2528</v>
      </c>
      <c r="D750">
        <v>5297</v>
      </c>
      <c r="E750">
        <v>54.248074510000002</v>
      </c>
      <c r="F750">
        <v>97.644018669999994</v>
      </c>
      <c r="G750">
        <v>2</v>
      </c>
      <c r="H750">
        <v>496</v>
      </c>
      <c r="I750">
        <v>9.4964579740000001</v>
      </c>
      <c r="J750">
        <v>0.56499999999999995</v>
      </c>
      <c r="K750">
        <f t="shared" si="11"/>
        <v>3</v>
      </c>
      <c r="N750">
        <v>3.5</v>
      </c>
      <c r="O750">
        <v>4</v>
      </c>
    </row>
    <row r="751" spans="1:15" x14ac:dyDescent="0.2">
      <c r="A751" t="s">
        <v>2529</v>
      </c>
      <c r="B751">
        <v>9011708100</v>
      </c>
      <c r="C751" t="s">
        <v>2530</v>
      </c>
      <c r="D751">
        <v>2603</v>
      </c>
      <c r="E751">
        <v>38.960857730000001</v>
      </c>
      <c r="F751">
        <v>66.810644100000005</v>
      </c>
      <c r="G751">
        <v>2</v>
      </c>
      <c r="H751">
        <v>114</v>
      </c>
      <c r="I751">
        <v>4.4970414200000004</v>
      </c>
      <c r="J751">
        <v>0.21299999999999999</v>
      </c>
      <c r="K751">
        <f t="shared" si="11"/>
        <v>2</v>
      </c>
      <c r="N751">
        <v>2.5</v>
      </c>
      <c r="O751">
        <v>3</v>
      </c>
    </row>
    <row r="752" spans="1:15" x14ac:dyDescent="0.2">
      <c r="A752" t="s">
        <v>2531</v>
      </c>
      <c r="B752">
        <v>9011709100</v>
      </c>
      <c r="C752" t="s">
        <v>2532</v>
      </c>
      <c r="D752">
        <v>6322</v>
      </c>
      <c r="E752">
        <v>29.76382516</v>
      </c>
      <c r="F752">
        <v>212.4054945</v>
      </c>
      <c r="G752">
        <v>2</v>
      </c>
      <c r="H752">
        <v>489</v>
      </c>
      <c r="I752">
        <v>8.4514344969999993</v>
      </c>
      <c r="J752">
        <v>0.51300000000000001</v>
      </c>
      <c r="K752">
        <f t="shared" si="11"/>
        <v>3</v>
      </c>
      <c r="N752">
        <v>3.5</v>
      </c>
      <c r="O752">
        <v>4</v>
      </c>
    </row>
    <row r="753" spans="1:15" x14ac:dyDescent="0.2">
      <c r="A753" t="s">
        <v>2533</v>
      </c>
      <c r="B753">
        <v>9011709200</v>
      </c>
      <c r="C753" t="s">
        <v>2534</v>
      </c>
      <c r="D753">
        <v>5629</v>
      </c>
      <c r="E753">
        <v>4.9427275340000003</v>
      </c>
      <c r="F753">
        <v>1138.844891</v>
      </c>
      <c r="G753">
        <v>2</v>
      </c>
      <c r="H753">
        <v>988</v>
      </c>
      <c r="I753">
        <v>16.929403700000002</v>
      </c>
      <c r="J753">
        <v>0.80800000000000005</v>
      </c>
      <c r="K753">
        <f t="shared" si="11"/>
        <v>5</v>
      </c>
      <c r="N753">
        <v>5</v>
      </c>
      <c r="O753">
        <v>5</v>
      </c>
    </row>
    <row r="754" spans="1:15" x14ac:dyDescent="0.2">
      <c r="A754" t="s">
        <v>2535</v>
      </c>
      <c r="B754">
        <v>9011710100</v>
      </c>
      <c r="C754" t="s">
        <v>2536</v>
      </c>
      <c r="D754">
        <v>4338</v>
      </c>
      <c r="E754">
        <v>16.28693569</v>
      </c>
      <c r="F754">
        <v>266.34844529999998</v>
      </c>
      <c r="G754">
        <v>2</v>
      </c>
      <c r="H754">
        <v>277</v>
      </c>
      <c r="I754">
        <v>6.5222510009999999</v>
      </c>
      <c r="J754">
        <v>0.41599999999999998</v>
      </c>
      <c r="K754">
        <f t="shared" si="11"/>
        <v>3</v>
      </c>
      <c r="N754">
        <v>3</v>
      </c>
      <c r="O754">
        <v>3</v>
      </c>
    </row>
    <row r="755" spans="1:15" x14ac:dyDescent="0.2">
      <c r="A755" t="s">
        <v>2537</v>
      </c>
      <c r="B755">
        <v>9011711100</v>
      </c>
      <c r="C755" t="s">
        <v>2538</v>
      </c>
      <c r="D755">
        <v>2984</v>
      </c>
      <c r="E755">
        <v>13.249206559999999</v>
      </c>
      <c r="F755">
        <v>225.22103390000001</v>
      </c>
      <c r="G755">
        <v>1</v>
      </c>
      <c r="H755">
        <v>372</v>
      </c>
      <c r="I755">
        <v>12.801101170000001</v>
      </c>
      <c r="J755">
        <v>0.70399999999999996</v>
      </c>
      <c r="K755">
        <f t="shared" si="11"/>
        <v>4</v>
      </c>
      <c r="N755">
        <v>4</v>
      </c>
      <c r="O755">
        <v>4</v>
      </c>
    </row>
    <row r="756" spans="1:15" x14ac:dyDescent="0.2">
      <c r="A756" t="s">
        <v>2539</v>
      </c>
      <c r="B756">
        <v>9011712100</v>
      </c>
      <c r="C756" t="s">
        <v>2540</v>
      </c>
      <c r="D756">
        <v>1922</v>
      </c>
      <c r="E756">
        <v>19.4889957</v>
      </c>
      <c r="F756">
        <v>98.619755960000006</v>
      </c>
      <c r="G756">
        <v>2</v>
      </c>
      <c r="H756">
        <v>71</v>
      </c>
      <c r="I756">
        <v>3.9932508439999999</v>
      </c>
      <c r="J756">
        <v>0.185</v>
      </c>
      <c r="K756">
        <f t="shared" si="11"/>
        <v>1</v>
      </c>
      <c r="N756">
        <v>2</v>
      </c>
      <c r="O756">
        <v>2</v>
      </c>
    </row>
    <row r="757" spans="1:15" x14ac:dyDescent="0.2">
      <c r="A757" t="s">
        <v>2541</v>
      </c>
      <c r="B757">
        <v>9011713100</v>
      </c>
      <c r="C757" t="s">
        <v>2542</v>
      </c>
      <c r="D757">
        <v>2627</v>
      </c>
      <c r="E757">
        <v>19.96461296</v>
      </c>
      <c r="F757">
        <v>131.58281629999999</v>
      </c>
      <c r="G757">
        <v>2</v>
      </c>
      <c r="H757">
        <v>214</v>
      </c>
      <c r="I757">
        <v>8.2657396680000002</v>
      </c>
      <c r="J757">
        <v>0.50700000000000001</v>
      </c>
      <c r="K757">
        <f t="shared" si="11"/>
        <v>3</v>
      </c>
      <c r="N757">
        <v>3.5</v>
      </c>
      <c r="O757">
        <v>4</v>
      </c>
    </row>
    <row r="758" spans="1:15" x14ac:dyDescent="0.2">
      <c r="A758" t="s">
        <v>2543</v>
      </c>
      <c r="B758">
        <v>9011714101</v>
      </c>
      <c r="C758" t="s">
        <v>2544</v>
      </c>
      <c r="D758">
        <v>3429</v>
      </c>
      <c r="E758">
        <v>3.0413808869999999</v>
      </c>
      <c r="F758">
        <v>1127.4483949999999</v>
      </c>
      <c r="G758">
        <v>2</v>
      </c>
      <c r="H758">
        <v>36</v>
      </c>
      <c r="I758">
        <v>1.1385199239999999</v>
      </c>
      <c r="J758">
        <v>0</v>
      </c>
      <c r="K758">
        <f t="shared" si="11"/>
        <v>1</v>
      </c>
      <c r="N758">
        <v>2</v>
      </c>
      <c r="O758">
        <v>2</v>
      </c>
    </row>
    <row r="759" spans="1:15" x14ac:dyDescent="0.2">
      <c r="A759" t="s">
        <v>2545</v>
      </c>
      <c r="B759">
        <v>9011714103</v>
      </c>
      <c r="C759" t="s">
        <v>2546</v>
      </c>
      <c r="D759">
        <v>7534</v>
      </c>
      <c r="E759">
        <v>25.82912662</v>
      </c>
      <c r="F759">
        <v>291.68620800000002</v>
      </c>
      <c r="G759">
        <v>2</v>
      </c>
      <c r="H759">
        <v>762</v>
      </c>
      <c r="I759">
        <v>10.350448249999999</v>
      </c>
      <c r="J759">
        <v>0.58199999999999996</v>
      </c>
      <c r="K759">
        <f t="shared" si="11"/>
        <v>3</v>
      </c>
      <c r="N759">
        <v>2.5</v>
      </c>
      <c r="O759">
        <v>3</v>
      </c>
    </row>
    <row r="760" spans="1:15" x14ac:dyDescent="0.2">
      <c r="A760" t="s">
        <v>2547</v>
      </c>
      <c r="B760">
        <v>9011714104</v>
      </c>
      <c r="C760" t="s">
        <v>2548</v>
      </c>
      <c r="D760">
        <v>5105</v>
      </c>
      <c r="E760">
        <v>20.112577739999999</v>
      </c>
      <c r="F760">
        <v>253.82126869999999</v>
      </c>
      <c r="G760">
        <v>2</v>
      </c>
      <c r="H760">
        <v>206</v>
      </c>
      <c r="I760">
        <v>3.860569715</v>
      </c>
      <c r="J760">
        <v>0.16600000000000001</v>
      </c>
      <c r="K760">
        <f t="shared" si="11"/>
        <v>1</v>
      </c>
      <c r="N760">
        <v>1.5</v>
      </c>
      <c r="O760">
        <v>2</v>
      </c>
    </row>
    <row r="761" spans="1:15" x14ac:dyDescent="0.2">
      <c r="A761" t="s">
        <v>2549</v>
      </c>
      <c r="B761">
        <v>9011715100</v>
      </c>
      <c r="C761" t="s">
        <v>2550</v>
      </c>
      <c r="D761">
        <v>4151</v>
      </c>
      <c r="E761">
        <v>28.918937459999999</v>
      </c>
      <c r="F761">
        <v>143.53916029999999</v>
      </c>
      <c r="G761">
        <v>2</v>
      </c>
      <c r="H761">
        <v>367</v>
      </c>
      <c r="I761">
        <v>8.9250972760000007</v>
      </c>
      <c r="J761">
        <v>0.52300000000000002</v>
      </c>
      <c r="K761">
        <f t="shared" si="11"/>
        <v>3</v>
      </c>
      <c r="N761">
        <v>2.5</v>
      </c>
      <c r="O761">
        <v>3</v>
      </c>
    </row>
    <row r="762" spans="1:15" x14ac:dyDescent="0.2">
      <c r="A762" t="s">
        <v>2551</v>
      </c>
      <c r="B762">
        <v>9011716101</v>
      </c>
      <c r="C762" t="s">
        <v>2552</v>
      </c>
      <c r="D762">
        <v>6109</v>
      </c>
      <c r="E762">
        <v>11.06302925</v>
      </c>
      <c r="F762">
        <v>552.19957050000005</v>
      </c>
      <c r="G762">
        <v>1</v>
      </c>
      <c r="H762">
        <v>1057</v>
      </c>
      <c r="I762">
        <v>18.807829179999999</v>
      </c>
      <c r="J762">
        <v>0.85899999999999999</v>
      </c>
      <c r="K762">
        <f t="shared" si="11"/>
        <v>5</v>
      </c>
      <c r="N762">
        <v>4</v>
      </c>
      <c r="O762">
        <v>4</v>
      </c>
    </row>
    <row r="763" spans="1:15" x14ac:dyDescent="0.2">
      <c r="A763" t="s">
        <v>2553</v>
      </c>
      <c r="B763">
        <v>9011716102</v>
      </c>
      <c r="C763" t="s">
        <v>2554</v>
      </c>
      <c r="D763">
        <v>5073</v>
      </c>
      <c r="E763">
        <v>15.65047328</v>
      </c>
      <c r="F763">
        <v>324.143552</v>
      </c>
      <c r="G763">
        <v>1</v>
      </c>
      <c r="H763">
        <v>838</v>
      </c>
      <c r="I763">
        <v>14.98837417</v>
      </c>
      <c r="J763">
        <v>0.73</v>
      </c>
      <c r="K763">
        <f t="shared" si="11"/>
        <v>4</v>
      </c>
      <c r="N763">
        <v>3</v>
      </c>
      <c r="O763">
        <v>3</v>
      </c>
    </row>
    <row r="764" spans="1:15" x14ac:dyDescent="0.2">
      <c r="A764" t="s">
        <v>2555</v>
      </c>
      <c r="B764">
        <v>9011870100</v>
      </c>
      <c r="C764" t="s">
        <v>2556</v>
      </c>
      <c r="D764">
        <v>7308</v>
      </c>
      <c r="E764">
        <v>54.098032889999999</v>
      </c>
      <c r="F764">
        <v>135.08809120000001</v>
      </c>
      <c r="G764">
        <v>2</v>
      </c>
      <c r="H764">
        <v>265</v>
      </c>
      <c r="I764">
        <v>3.672903673</v>
      </c>
      <c r="J764">
        <v>0.14499999999999999</v>
      </c>
      <c r="K764">
        <f t="shared" si="11"/>
        <v>1</v>
      </c>
      <c r="N764">
        <v>2</v>
      </c>
      <c r="O764">
        <v>2</v>
      </c>
    </row>
    <row r="765" spans="1:15" x14ac:dyDescent="0.2">
      <c r="A765" t="s">
        <v>2557</v>
      </c>
      <c r="B765">
        <v>9011870200</v>
      </c>
      <c r="C765" t="s">
        <v>2558</v>
      </c>
      <c r="D765">
        <v>5557</v>
      </c>
      <c r="E765">
        <v>4.6974418409999998</v>
      </c>
      <c r="F765">
        <v>1182.9843109999999</v>
      </c>
      <c r="G765">
        <v>1</v>
      </c>
      <c r="H765">
        <v>911</v>
      </c>
      <c r="I765">
        <v>16.041556610000001</v>
      </c>
      <c r="J765">
        <v>0.78600000000000003</v>
      </c>
      <c r="K765">
        <f t="shared" si="11"/>
        <v>4</v>
      </c>
      <c r="N765">
        <v>3.5</v>
      </c>
      <c r="O765">
        <v>4</v>
      </c>
    </row>
    <row r="766" spans="1:15" x14ac:dyDescent="0.2">
      <c r="A766" t="s">
        <v>2559</v>
      </c>
      <c r="B766">
        <v>9011870300</v>
      </c>
      <c r="C766" t="s">
        <v>2560</v>
      </c>
      <c r="D766">
        <v>6662</v>
      </c>
      <c r="E766">
        <v>1.514325549</v>
      </c>
      <c r="F766">
        <v>4399.3182340000003</v>
      </c>
      <c r="G766">
        <v>1</v>
      </c>
      <c r="H766">
        <v>1633</v>
      </c>
      <c r="I766">
        <v>25.32175531</v>
      </c>
      <c r="J766">
        <v>0.93300000000000005</v>
      </c>
      <c r="K766">
        <f t="shared" si="11"/>
        <v>5</v>
      </c>
      <c r="N766">
        <v>5</v>
      </c>
      <c r="O766">
        <v>5</v>
      </c>
    </row>
    <row r="767" spans="1:15" x14ac:dyDescent="0.2">
      <c r="A767" t="s">
        <v>2561</v>
      </c>
      <c r="B767">
        <v>9011870501</v>
      </c>
      <c r="C767" t="s">
        <v>2562</v>
      </c>
      <c r="D767">
        <v>4470</v>
      </c>
      <c r="E767">
        <v>5.2157430849999997</v>
      </c>
      <c r="F767">
        <v>857.02074040000002</v>
      </c>
      <c r="G767">
        <v>1</v>
      </c>
      <c r="H767">
        <v>1804</v>
      </c>
      <c r="I767">
        <v>41.04664391</v>
      </c>
      <c r="J767">
        <v>1</v>
      </c>
      <c r="K767">
        <f t="shared" si="11"/>
        <v>5</v>
      </c>
      <c r="N767">
        <v>4.5</v>
      </c>
      <c r="O767">
        <v>5</v>
      </c>
    </row>
    <row r="768" spans="1:15" x14ac:dyDescent="0.2">
      <c r="A768" t="s">
        <v>2563</v>
      </c>
      <c r="B768">
        <v>9011870502</v>
      </c>
      <c r="C768" t="s">
        <v>2564</v>
      </c>
      <c r="D768">
        <v>3632</v>
      </c>
      <c r="E768">
        <v>3.2010379969999998</v>
      </c>
      <c r="F768">
        <v>1134.6319550000001</v>
      </c>
      <c r="G768">
        <v>1</v>
      </c>
      <c r="H768">
        <v>707</v>
      </c>
      <c r="I768">
        <v>19.45514584</v>
      </c>
      <c r="J768">
        <v>0.89600000000000002</v>
      </c>
      <c r="K768">
        <f t="shared" si="11"/>
        <v>5</v>
      </c>
      <c r="N768">
        <v>4.5</v>
      </c>
      <c r="O768">
        <v>5</v>
      </c>
    </row>
    <row r="769" spans="1:15" x14ac:dyDescent="0.2">
      <c r="A769" t="s">
        <v>2565</v>
      </c>
      <c r="B769">
        <v>9011870701</v>
      </c>
      <c r="C769" t="s">
        <v>2566</v>
      </c>
      <c r="D769">
        <v>2156</v>
      </c>
      <c r="E769">
        <v>2.4951246880000002</v>
      </c>
      <c r="F769">
        <v>864.08507380000003</v>
      </c>
      <c r="G769">
        <v>1</v>
      </c>
      <c r="H769">
        <v>163</v>
      </c>
      <c r="I769">
        <v>7.8403078400000004</v>
      </c>
      <c r="J769">
        <v>0.50800000000000001</v>
      </c>
      <c r="K769">
        <f t="shared" si="11"/>
        <v>3</v>
      </c>
      <c r="N769">
        <v>3</v>
      </c>
      <c r="O769">
        <v>3</v>
      </c>
    </row>
    <row r="770" spans="1:15" x14ac:dyDescent="0.2">
      <c r="A770" t="s">
        <v>2567</v>
      </c>
      <c r="B770">
        <v>9011870703</v>
      </c>
      <c r="C770" t="s">
        <v>2568</v>
      </c>
      <c r="D770">
        <v>1749</v>
      </c>
      <c r="E770">
        <v>2.1851946799999999</v>
      </c>
      <c r="F770">
        <v>800.38635260000001</v>
      </c>
      <c r="G770">
        <v>1</v>
      </c>
      <c r="H770">
        <v>196</v>
      </c>
      <c r="I770">
        <v>11.757648469999999</v>
      </c>
      <c r="J770">
        <v>0.67800000000000005</v>
      </c>
      <c r="K770">
        <f t="shared" si="11"/>
        <v>4</v>
      </c>
      <c r="N770">
        <v>3.5</v>
      </c>
      <c r="O770">
        <v>4</v>
      </c>
    </row>
    <row r="771" spans="1:15" x14ac:dyDescent="0.2">
      <c r="A771" t="s">
        <v>2569</v>
      </c>
      <c r="B771">
        <v>9011870704</v>
      </c>
      <c r="C771" t="s">
        <v>2570</v>
      </c>
      <c r="D771">
        <v>4072</v>
      </c>
      <c r="E771">
        <v>2.602448737</v>
      </c>
      <c r="F771">
        <v>1564.680196</v>
      </c>
      <c r="G771">
        <v>1</v>
      </c>
      <c r="H771">
        <v>383</v>
      </c>
      <c r="I771">
        <v>10.167241840000001</v>
      </c>
      <c r="J771">
        <v>0.61799999999999999</v>
      </c>
      <c r="K771">
        <f t="shared" ref="K771:K823" si="12">IF(J771&lt;0.2,1,IF(J771&lt;0.4,2,IF(J771&lt;0.6,3,IF(J771&lt;0.8,4,5))))</f>
        <v>4</v>
      </c>
      <c r="N771">
        <v>3.5</v>
      </c>
      <c r="O771">
        <v>4</v>
      </c>
    </row>
    <row r="772" spans="1:15" x14ac:dyDescent="0.2">
      <c r="A772" t="s">
        <v>2571</v>
      </c>
      <c r="B772">
        <v>9013526101</v>
      </c>
      <c r="C772" t="s">
        <v>2572</v>
      </c>
      <c r="D772">
        <v>4630</v>
      </c>
      <c r="E772">
        <v>16.711880520000001</v>
      </c>
      <c r="F772">
        <v>277.04841440000001</v>
      </c>
      <c r="G772">
        <v>2</v>
      </c>
      <c r="H772">
        <v>210</v>
      </c>
      <c r="I772">
        <v>4.6728971960000001</v>
      </c>
      <c r="J772">
        <v>0.22600000000000001</v>
      </c>
      <c r="K772">
        <f t="shared" si="12"/>
        <v>2</v>
      </c>
      <c r="N772">
        <v>2</v>
      </c>
      <c r="O772">
        <v>2</v>
      </c>
    </row>
    <row r="773" spans="1:15" x14ac:dyDescent="0.2">
      <c r="A773" t="s">
        <v>2573</v>
      </c>
      <c r="B773">
        <v>9013526102</v>
      </c>
      <c r="C773" t="s">
        <v>2574</v>
      </c>
      <c r="D773">
        <v>5056</v>
      </c>
      <c r="E773">
        <v>20.225102969999998</v>
      </c>
      <c r="F773">
        <v>249.98636629999999</v>
      </c>
      <c r="G773">
        <v>2</v>
      </c>
      <c r="H773">
        <v>162</v>
      </c>
      <c r="I773">
        <v>3.2283778399999998</v>
      </c>
      <c r="J773">
        <v>0.115</v>
      </c>
      <c r="K773">
        <f t="shared" si="12"/>
        <v>1</v>
      </c>
      <c r="N773">
        <v>1.5</v>
      </c>
      <c r="O773">
        <v>2</v>
      </c>
    </row>
    <row r="774" spans="1:15" x14ac:dyDescent="0.2">
      <c r="A774" t="s">
        <v>2575</v>
      </c>
      <c r="B774">
        <v>9013528100</v>
      </c>
      <c r="C774" t="s">
        <v>2576</v>
      </c>
      <c r="D774">
        <v>3303</v>
      </c>
      <c r="E774">
        <v>15.447457289999999</v>
      </c>
      <c r="F774">
        <v>213.8215979</v>
      </c>
      <c r="G774">
        <v>2</v>
      </c>
      <c r="H774">
        <v>57</v>
      </c>
      <c r="I774">
        <v>1.7795816419999999</v>
      </c>
      <c r="J774">
        <v>1.9E-2</v>
      </c>
      <c r="K774">
        <f t="shared" si="12"/>
        <v>1</v>
      </c>
      <c r="N774">
        <v>2</v>
      </c>
      <c r="O774">
        <v>2</v>
      </c>
    </row>
    <row r="775" spans="1:15" x14ac:dyDescent="0.2">
      <c r="A775" t="s">
        <v>2577</v>
      </c>
      <c r="B775">
        <v>9013529100</v>
      </c>
      <c r="C775" t="s">
        <v>2578</v>
      </c>
      <c r="D775">
        <v>4980</v>
      </c>
      <c r="E775">
        <v>14.407233550000001</v>
      </c>
      <c r="F775">
        <v>345.65969819999998</v>
      </c>
      <c r="G775">
        <v>1</v>
      </c>
      <c r="H775">
        <v>255</v>
      </c>
      <c r="I775">
        <v>5.1924251679999998</v>
      </c>
      <c r="J775">
        <v>0.28000000000000003</v>
      </c>
      <c r="K775">
        <f t="shared" si="12"/>
        <v>2</v>
      </c>
      <c r="N775">
        <v>2</v>
      </c>
      <c r="O775">
        <v>2</v>
      </c>
    </row>
    <row r="776" spans="1:15" x14ac:dyDescent="0.2">
      <c r="A776" t="s">
        <v>2579</v>
      </c>
      <c r="B776">
        <v>9013530100</v>
      </c>
      <c r="C776" t="s">
        <v>2580</v>
      </c>
      <c r="D776">
        <v>2271</v>
      </c>
      <c r="E776">
        <v>0.95036347700000001</v>
      </c>
      <c r="F776">
        <v>2389.6120340000002</v>
      </c>
      <c r="G776">
        <v>1</v>
      </c>
      <c r="H776">
        <v>404</v>
      </c>
      <c r="I776">
        <v>18.165467629999998</v>
      </c>
      <c r="J776">
        <v>0.85699999999999998</v>
      </c>
      <c r="K776">
        <f t="shared" si="12"/>
        <v>5</v>
      </c>
      <c r="N776">
        <v>5</v>
      </c>
      <c r="O776">
        <v>5</v>
      </c>
    </row>
    <row r="777" spans="1:15" x14ac:dyDescent="0.2">
      <c r="A777" t="s">
        <v>2581</v>
      </c>
      <c r="B777">
        <v>9013530200</v>
      </c>
      <c r="C777" t="s">
        <v>2582</v>
      </c>
      <c r="D777">
        <v>6177</v>
      </c>
      <c r="E777">
        <v>1.234672902</v>
      </c>
      <c r="F777">
        <v>5002.9444970000004</v>
      </c>
      <c r="G777">
        <v>1</v>
      </c>
      <c r="H777">
        <v>810</v>
      </c>
      <c r="I777">
        <v>11.81446908</v>
      </c>
      <c r="J777">
        <v>0.68700000000000006</v>
      </c>
      <c r="K777">
        <f t="shared" si="12"/>
        <v>4</v>
      </c>
      <c r="N777">
        <v>4.5</v>
      </c>
      <c r="O777">
        <v>5</v>
      </c>
    </row>
    <row r="778" spans="1:15" x14ac:dyDescent="0.2">
      <c r="A778" t="s">
        <v>2583</v>
      </c>
      <c r="B778">
        <v>9013530301</v>
      </c>
      <c r="C778" t="s">
        <v>2584</v>
      </c>
      <c r="D778">
        <v>5533</v>
      </c>
      <c r="E778">
        <v>1.7299207560000001</v>
      </c>
      <c r="F778">
        <v>3198.412401</v>
      </c>
      <c r="G778">
        <v>1</v>
      </c>
      <c r="H778">
        <v>304</v>
      </c>
      <c r="I778">
        <v>6.026962728</v>
      </c>
      <c r="J778">
        <v>0.38200000000000001</v>
      </c>
      <c r="K778">
        <f t="shared" si="12"/>
        <v>2</v>
      </c>
      <c r="N778">
        <v>3.5</v>
      </c>
      <c r="O778">
        <v>4</v>
      </c>
    </row>
    <row r="779" spans="1:15" x14ac:dyDescent="0.2">
      <c r="A779" t="s">
        <v>2585</v>
      </c>
      <c r="B779">
        <v>9013530302</v>
      </c>
      <c r="C779" t="s">
        <v>2586</v>
      </c>
      <c r="D779">
        <v>5984</v>
      </c>
      <c r="E779">
        <v>3.1479296429999999</v>
      </c>
      <c r="F779">
        <v>1900.9319390000001</v>
      </c>
      <c r="G779">
        <v>1</v>
      </c>
      <c r="H779">
        <v>1491</v>
      </c>
      <c r="I779">
        <v>24.632413679999999</v>
      </c>
      <c r="J779">
        <v>0.91300000000000003</v>
      </c>
      <c r="K779">
        <f t="shared" si="12"/>
        <v>5</v>
      </c>
      <c r="N779">
        <v>4</v>
      </c>
      <c r="O779">
        <v>4</v>
      </c>
    </row>
    <row r="780" spans="1:15" x14ac:dyDescent="0.2">
      <c r="A780" t="s">
        <v>2587</v>
      </c>
      <c r="B780">
        <v>9013530400</v>
      </c>
      <c r="C780" t="s">
        <v>2588</v>
      </c>
      <c r="D780">
        <v>3273</v>
      </c>
      <c r="E780">
        <v>1.7177137499999999</v>
      </c>
      <c r="F780">
        <v>1905.4397160000001</v>
      </c>
      <c r="G780">
        <v>1</v>
      </c>
      <c r="H780">
        <v>671</v>
      </c>
      <c r="I780">
        <v>18.73778274</v>
      </c>
      <c r="J780">
        <v>0.88800000000000001</v>
      </c>
      <c r="K780">
        <f t="shared" si="12"/>
        <v>5</v>
      </c>
      <c r="N780">
        <v>4.5</v>
      </c>
      <c r="O780">
        <v>5</v>
      </c>
    </row>
    <row r="781" spans="1:15" x14ac:dyDescent="0.2">
      <c r="A781" t="s">
        <v>2589</v>
      </c>
      <c r="B781">
        <v>9013530500</v>
      </c>
      <c r="C781" t="s">
        <v>2590</v>
      </c>
      <c r="D781">
        <v>3243</v>
      </c>
      <c r="E781">
        <v>2.4744280669999998</v>
      </c>
      <c r="F781">
        <v>1310.6058909999999</v>
      </c>
      <c r="G781">
        <v>1</v>
      </c>
      <c r="H781">
        <v>289</v>
      </c>
      <c r="I781">
        <v>9.9210435980000007</v>
      </c>
      <c r="J781">
        <v>0.63600000000000001</v>
      </c>
      <c r="K781">
        <f t="shared" si="12"/>
        <v>4</v>
      </c>
      <c r="N781">
        <v>4</v>
      </c>
      <c r="O781">
        <v>4</v>
      </c>
    </row>
    <row r="782" spans="1:15" x14ac:dyDescent="0.2">
      <c r="A782" t="s">
        <v>2591</v>
      </c>
      <c r="B782">
        <v>9013530600</v>
      </c>
      <c r="C782" t="s">
        <v>2592</v>
      </c>
      <c r="D782">
        <v>2698</v>
      </c>
      <c r="E782">
        <v>6.4440912470000002</v>
      </c>
      <c r="F782">
        <v>418.67811870000003</v>
      </c>
      <c r="G782">
        <v>1</v>
      </c>
      <c r="H782">
        <v>223</v>
      </c>
      <c r="I782">
        <v>8.7075361190000002</v>
      </c>
      <c r="J782">
        <v>0.60399999999999998</v>
      </c>
      <c r="K782">
        <f t="shared" si="12"/>
        <v>4</v>
      </c>
      <c r="N782">
        <v>3</v>
      </c>
      <c r="O782">
        <v>3</v>
      </c>
    </row>
    <row r="783" spans="1:15" x14ac:dyDescent="0.2">
      <c r="A783" t="s">
        <v>2593</v>
      </c>
      <c r="B783">
        <v>9013533101</v>
      </c>
      <c r="C783" t="s">
        <v>2594</v>
      </c>
      <c r="D783">
        <v>9318</v>
      </c>
      <c r="E783">
        <v>25.62911836</v>
      </c>
      <c r="F783">
        <v>363.57083649999998</v>
      </c>
      <c r="G783">
        <v>1</v>
      </c>
      <c r="H783">
        <v>524</v>
      </c>
      <c r="I783">
        <v>5.7012294639999999</v>
      </c>
      <c r="J783">
        <v>0.35699999999999998</v>
      </c>
      <c r="K783">
        <f t="shared" si="12"/>
        <v>2</v>
      </c>
      <c r="N783">
        <v>2</v>
      </c>
      <c r="O783">
        <v>2</v>
      </c>
    </row>
    <row r="784" spans="1:15" x14ac:dyDescent="0.2">
      <c r="A784" t="s">
        <v>2595</v>
      </c>
      <c r="B784">
        <v>9013533102</v>
      </c>
      <c r="C784" t="s">
        <v>2596</v>
      </c>
      <c r="D784">
        <v>5734</v>
      </c>
      <c r="E784">
        <v>13.997890719999999</v>
      </c>
      <c r="F784">
        <v>409.63314500000001</v>
      </c>
      <c r="G784">
        <v>1</v>
      </c>
      <c r="H784">
        <v>602</v>
      </c>
      <c r="I784">
        <v>10.901847160000001</v>
      </c>
      <c r="J784">
        <v>0.63400000000000001</v>
      </c>
      <c r="K784">
        <f t="shared" si="12"/>
        <v>4</v>
      </c>
      <c r="N784">
        <v>3</v>
      </c>
      <c r="O784">
        <v>3</v>
      </c>
    </row>
    <row r="785" spans="1:15" x14ac:dyDescent="0.2">
      <c r="A785" t="s">
        <v>2597</v>
      </c>
      <c r="B785">
        <v>9013535100</v>
      </c>
      <c r="C785" t="s">
        <v>2598</v>
      </c>
      <c r="D785">
        <v>9161</v>
      </c>
      <c r="E785">
        <v>17.376222590000001</v>
      </c>
      <c r="F785">
        <v>527.21470109999996</v>
      </c>
      <c r="G785">
        <v>1</v>
      </c>
      <c r="H785">
        <v>915</v>
      </c>
      <c r="I785">
        <v>9.4857972220000004</v>
      </c>
      <c r="J785">
        <v>0.625</v>
      </c>
      <c r="K785">
        <f t="shared" si="12"/>
        <v>4</v>
      </c>
      <c r="N785">
        <v>3.5</v>
      </c>
      <c r="O785">
        <v>4</v>
      </c>
    </row>
    <row r="786" spans="1:15" x14ac:dyDescent="0.2">
      <c r="A786" t="s">
        <v>2599</v>
      </c>
      <c r="B786">
        <v>9013535200</v>
      </c>
      <c r="C786" t="s">
        <v>2600</v>
      </c>
      <c r="D786">
        <v>6441</v>
      </c>
      <c r="E786">
        <v>16.683871889999999</v>
      </c>
      <c r="F786">
        <v>386.0614635</v>
      </c>
      <c r="G786">
        <v>1</v>
      </c>
      <c r="H786">
        <v>1107</v>
      </c>
      <c r="I786">
        <v>16.968117719999999</v>
      </c>
      <c r="J786">
        <v>0.84599999999999997</v>
      </c>
      <c r="K786">
        <f t="shared" si="12"/>
        <v>5</v>
      </c>
      <c r="N786">
        <v>3.5</v>
      </c>
      <c r="O786">
        <v>4</v>
      </c>
    </row>
    <row r="787" spans="1:15" x14ac:dyDescent="0.2">
      <c r="A787" t="s">
        <v>2601</v>
      </c>
      <c r="B787">
        <v>9013538201</v>
      </c>
      <c r="C787" t="s">
        <v>2602</v>
      </c>
      <c r="D787">
        <v>5166</v>
      </c>
      <c r="E787">
        <v>14.88098053</v>
      </c>
      <c r="F787">
        <v>347.1545433</v>
      </c>
      <c r="G787">
        <v>1</v>
      </c>
      <c r="H787">
        <v>359</v>
      </c>
      <c r="I787">
        <v>7.035077405</v>
      </c>
      <c r="J787">
        <v>0.54</v>
      </c>
      <c r="K787">
        <f t="shared" si="12"/>
        <v>3</v>
      </c>
      <c r="N787">
        <v>2.5</v>
      </c>
      <c r="O787">
        <v>3</v>
      </c>
    </row>
    <row r="788" spans="1:15" x14ac:dyDescent="0.2">
      <c r="A788" t="s">
        <v>2603</v>
      </c>
      <c r="B788">
        <v>9013538202</v>
      </c>
      <c r="C788" t="s">
        <v>2604</v>
      </c>
      <c r="D788">
        <v>3939</v>
      </c>
      <c r="E788">
        <v>12.86606617</v>
      </c>
      <c r="F788">
        <v>306.15418469999997</v>
      </c>
      <c r="G788">
        <v>1</v>
      </c>
      <c r="H788">
        <v>52</v>
      </c>
      <c r="I788">
        <v>1.2392755</v>
      </c>
      <c r="J788">
        <v>0</v>
      </c>
      <c r="K788">
        <f t="shared" si="12"/>
        <v>1</v>
      </c>
      <c r="N788">
        <v>1</v>
      </c>
      <c r="O788">
        <v>1</v>
      </c>
    </row>
    <row r="789" spans="1:15" x14ac:dyDescent="0.2">
      <c r="A789" t="s">
        <v>2605</v>
      </c>
      <c r="B789">
        <v>9013840100</v>
      </c>
      <c r="C789" t="s">
        <v>2606</v>
      </c>
      <c r="D789">
        <v>6041</v>
      </c>
      <c r="E789">
        <v>33.293711790000003</v>
      </c>
      <c r="F789">
        <v>181.44567480000001</v>
      </c>
      <c r="G789">
        <v>2</v>
      </c>
      <c r="H789">
        <v>733</v>
      </c>
      <c r="I789">
        <v>12.438486340000001</v>
      </c>
      <c r="J789">
        <v>0.74199999999999999</v>
      </c>
      <c r="K789">
        <f t="shared" si="12"/>
        <v>4</v>
      </c>
      <c r="N789">
        <v>3.5</v>
      </c>
      <c r="O789">
        <v>4</v>
      </c>
    </row>
    <row r="790" spans="1:15" x14ac:dyDescent="0.2">
      <c r="A790" t="s">
        <v>2607</v>
      </c>
      <c r="B790">
        <v>9013850100</v>
      </c>
      <c r="C790" t="s">
        <v>2608</v>
      </c>
      <c r="D790">
        <v>5504</v>
      </c>
      <c r="E790">
        <v>19.212928399999999</v>
      </c>
      <c r="F790">
        <v>286.47376839999998</v>
      </c>
      <c r="G790">
        <v>2</v>
      </c>
      <c r="H790">
        <v>353</v>
      </c>
      <c r="I790">
        <v>6.0611263739999997</v>
      </c>
      <c r="J790">
        <v>0.47</v>
      </c>
      <c r="K790">
        <f t="shared" si="12"/>
        <v>3</v>
      </c>
      <c r="N790">
        <v>2.5</v>
      </c>
      <c r="O790">
        <v>3</v>
      </c>
    </row>
    <row r="791" spans="1:15" x14ac:dyDescent="0.2">
      <c r="A791" t="s">
        <v>2609</v>
      </c>
      <c r="B791">
        <v>9013850200</v>
      </c>
      <c r="C791" t="s">
        <v>2610</v>
      </c>
      <c r="D791">
        <v>6931</v>
      </c>
      <c r="E791">
        <v>18.35628543</v>
      </c>
      <c r="F791">
        <v>377.58183839999998</v>
      </c>
      <c r="G791">
        <v>2</v>
      </c>
      <c r="H791">
        <v>218</v>
      </c>
      <c r="I791">
        <v>3.2985323040000001</v>
      </c>
      <c r="J791">
        <v>0.121</v>
      </c>
      <c r="K791">
        <f t="shared" si="12"/>
        <v>1</v>
      </c>
      <c r="N791">
        <v>2</v>
      </c>
      <c r="O791">
        <v>2</v>
      </c>
    </row>
    <row r="792" spans="1:15" x14ac:dyDescent="0.2">
      <c r="A792" t="s">
        <v>2611</v>
      </c>
      <c r="B792">
        <v>9013860100</v>
      </c>
      <c r="C792" t="s">
        <v>2612</v>
      </c>
      <c r="D792">
        <v>5485</v>
      </c>
      <c r="E792">
        <v>21.372704039999999</v>
      </c>
      <c r="F792">
        <v>256.63575320000001</v>
      </c>
      <c r="G792">
        <v>2</v>
      </c>
      <c r="H792">
        <v>208</v>
      </c>
      <c r="I792">
        <v>3.8397637069999999</v>
      </c>
      <c r="J792">
        <v>0.156</v>
      </c>
      <c r="K792">
        <f t="shared" si="12"/>
        <v>1</v>
      </c>
      <c r="N792">
        <v>2</v>
      </c>
      <c r="O792">
        <v>2</v>
      </c>
    </row>
    <row r="793" spans="1:15" x14ac:dyDescent="0.2">
      <c r="A793" t="s">
        <v>2613</v>
      </c>
      <c r="B793">
        <v>9013881100</v>
      </c>
      <c r="C793" t="s">
        <v>2614</v>
      </c>
      <c r="D793">
        <v>4119</v>
      </c>
      <c r="E793">
        <v>22.311847</v>
      </c>
      <c r="F793">
        <v>184.61044480000001</v>
      </c>
      <c r="G793">
        <v>2</v>
      </c>
      <c r="H793">
        <v>652</v>
      </c>
      <c r="I793">
        <v>14.68468468</v>
      </c>
      <c r="J793">
        <v>0.77400000000000002</v>
      </c>
      <c r="K793">
        <f t="shared" si="12"/>
        <v>4</v>
      </c>
      <c r="N793">
        <v>3.5</v>
      </c>
      <c r="O793">
        <v>4</v>
      </c>
    </row>
    <row r="794" spans="1:15" x14ac:dyDescent="0.2">
      <c r="A794" t="s">
        <v>2615</v>
      </c>
      <c r="B794">
        <v>9013881200</v>
      </c>
      <c r="C794" t="s">
        <v>2616</v>
      </c>
      <c r="D794">
        <v>10289</v>
      </c>
      <c r="E794">
        <v>0.87737510799999996</v>
      </c>
      <c r="F794">
        <v>11727.02521</v>
      </c>
      <c r="G794">
        <v>1</v>
      </c>
      <c r="H794">
        <v>1715</v>
      </c>
      <c r="I794">
        <v>15.66067026</v>
      </c>
      <c r="J794">
        <v>0.83299999999999996</v>
      </c>
      <c r="K794">
        <f t="shared" si="12"/>
        <v>5</v>
      </c>
      <c r="N794">
        <v>4</v>
      </c>
      <c r="O794">
        <v>4</v>
      </c>
    </row>
    <row r="795" spans="1:15" x14ac:dyDescent="0.2">
      <c r="A795" t="s">
        <v>2617</v>
      </c>
      <c r="B795">
        <v>9013881300</v>
      </c>
      <c r="C795" t="s">
        <v>2618</v>
      </c>
      <c r="D795">
        <v>6189</v>
      </c>
      <c r="E795">
        <v>9.1518300470000007</v>
      </c>
      <c r="F795">
        <v>676.25818749999996</v>
      </c>
      <c r="G795">
        <v>1</v>
      </c>
      <c r="H795">
        <v>535</v>
      </c>
      <c r="I795">
        <v>12.09859792</v>
      </c>
      <c r="J795">
        <v>0.75800000000000001</v>
      </c>
      <c r="K795">
        <f t="shared" si="12"/>
        <v>4</v>
      </c>
      <c r="N795">
        <v>4.5</v>
      </c>
      <c r="O795">
        <v>5</v>
      </c>
    </row>
    <row r="796" spans="1:15" x14ac:dyDescent="0.2">
      <c r="A796" t="s">
        <v>2619</v>
      </c>
      <c r="B796">
        <v>9013881500</v>
      </c>
      <c r="C796" t="s">
        <v>2620</v>
      </c>
      <c r="D796">
        <v>5946</v>
      </c>
      <c r="E796">
        <v>12.258355249999999</v>
      </c>
      <c r="F796">
        <v>485.05691660000002</v>
      </c>
      <c r="G796">
        <v>2</v>
      </c>
      <c r="H796">
        <v>808</v>
      </c>
      <c r="I796">
        <v>13.49816238</v>
      </c>
      <c r="J796">
        <v>0.78500000000000003</v>
      </c>
      <c r="K796">
        <f t="shared" si="12"/>
        <v>4</v>
      </c>
      <c r="N796">
        <v>4</v>
      </c>
      <c r="O796">
        <v>4</v>
      </c>
    </row>
    <row r="797" spans="1:15" x14ac:dyDescent="0.2">
      <c r="A797" t="s">
        <v>2621</v>
      </c>
      <c r="B797">
        <v>9013890100</v>
      </c>
      <c r="C797" t="s">
        <v>2622</v>
      </c>
      <c r="D797">
        <v>3858</v>
      </c>
      <c r="E797">
        <v>3.4172285740000001</v>
      </c>
      <c r="F797">
        <v>1128.985058</v>
      </c>
      <c r="G797">
        <v>2</v>
      </c>
      <c r="H797">
        <v>170</v>
      </c>
      <c r="I797">
        <v>4.3545081970000004</v>
      </c>
      <c r="J797">
        <v>0.222</v>
      </c>
      <c r="K797">
        <f t="shared" si="12"/>
        <v>2</v>
      </c>
      <c r="N797">
        <v>3.5</v>
      </c>
      <c r="O797">
        <v>4</v>
      </c>
    </row>
    <row r="798" spans="1:15" x14ac:dyDescent="0.2">
      <c r="A798" t="s">
        <v>2623</v>
      </c>
      <c r="B798">
        <v>9013890201</v>
      </c>
      <c r="C798" t="s">
        <v>2624</v>
      </c>
      <c r="D798">
        <v>3878</v>
      </c>
      <c r="E798">
        <v>47.407410380000002</v>
      </c>
      <c r="F798">
        <v>81.801557369999998</v>
      </c>
      <c r="G798">
        <v>2</v>
      </c>
      <c r="H798">
        <v>282</v>
      </c>
      <c r="I798">
        <v>7.7133479210000004</v>
      </c>
      <c r="J798">
        <v>0.61499999999999999</v>
      </c>
      <c r="K798">
        <f t="shared" si="12"/>
        <v>4</v>
      </c>
      <c r="N798">
        <v>4</v>
      </c>
      <c r="O798">
        <v>4</v>
      </c>
    </row>
    <row r="799" spans="1:15" x14ac:dyDescent="0.2">
      <c r="A799" t="s">
        <v>2625</v>
      </c>
      <c r="B799">
        <v>9013890202</v>
      </c>
      <c r="C799" t="s">
        <v>2626</v>
      </c>
      <c r="D799">
        <v>5205</v>
      </c>
      <c r="E799">
        <v>36.007573010000002</v>
      </c>
      <c r="F799">
        <v>144.55292499999999</v>
      </c>
      <c r="G799">
        <v>2</v>
      </c>
      <c r="H799">
        <v>385</v>
      </c>
      <c r="I799">
        <v>7.3825503360000004</v>
      </c>
      <c r="J799">
        <v>0.6</v>
      </c>
      <c r="K799">
        <f t="shared" si="12"/>
        <v>4</v>
      </c>
      <c r="N799">
        <v>3</v>
      </c>
      <c r="O799">
        <v>3</v>
      </c>
    </row>
    <row r="800" spans="1:15" x14ac:dyDescent="0.2">
      <c r="A800" t="s">
        <v>2627</v>
      </c>
      <c r="B800">
        <v>9015800300</v>
      </c>
      <c r="C800" t="s">
        <v>2628</v>
      </c>
      <c r="D800">
        <v>6430</v>
      </c>
      <c r="E800">
        <v>1.6730324620000001</v>
      </c>
      <c r="F800">
        <v>3843.3205250000001</v>
      </c>
      <c r="G800">
        <v>2</v>
      </c>
      <c r="H800">
        <v>1209</v>
      </c>
      <c r="I800">
        <v>17.131925750000001</v>
      </c>
      <c r="J800">
        <v>0.83299999999999996</v>
      </c>
      <c r="K800">
        <f t="shared" si="12"/>
        <v>5</v>
      </c>
      <c r="N800">
        <v>5</v>
      </c>
      <c r="O800">
        <v>5</v>
      </c>
    </row>
    <row r="801" spans="1:15" x14ac:dyDescent="0.2">
      <c r="A801" t="s">
        <v>2629</v>
      </c>
      <c r="B801">
        <v>9015800400</v>
      </c>
      <c r="C801" t="s">
        <v>2630</v>
      </c>
      <c r="D801">
        <v>4040</v>
      </c>
      <c r="E801">
        <v>2.251941322</v>
      </c>
      <c r="F801">
        <v>1794.007668</v>
      </c>
      <c r="G801">
        <v>2</v>
      </c>
      <c r="H801">
        <v>1131</v>
      </c>
      <c r="I801">
        <v>32.868352219999998</v>
      </c>
      <c r="J801">
        <v>0.95599999999999996</v>
      </c>
      <c r="K801">
        <f t="shared" si="12"/>
        <v>5</v>
      </c>
      <c r="N801">
        <v>5</v>
      </c>
      <c r="O801">
        <v>5</v>
      </c>
    </row>
    <row r="802" spans="1:15" x14ac:dyDescent="0.2">
      <c r="A802" t="s">
        <v>2631</v>
      </c>
      <c r="B802">
        <v>9015800500</v>
      </c>
      <c r="C802" t="s">
        <v>2632</v>
      </c>
      <c r="D802">
        <v>7007</v>
      </c>
      <c r="E802">
        <v>21.79043532</v>
      </c>
      <c r="F802">
        <v>321.56310309999998</v>
      </c>
      <c r="G802">
        <v>2</v>
      </c>
      <c r="H802">
        <v>1355</v>
      </c>
      <c r="I802">
        <v>20.232940119999999</v>
      </c>
      <c r="J802">
        <v>0.90900000000000003</v>
      </c>
      <c r="K802">
        <f t="shared" si="12"/>
        <v>5</v>
      </c>
      <c r="N802">
        <v>4.5</v>
      </c>
      <c r="O802">
        <v>5</v>
      </c>
    </row>
    <row r="803" spans="1:15" x14ac:dyDescent="0.2">
      <c r="A803" t="s">
        <v>2633</v>
      </c>
      <c r="B803">
        <v>9015800600</v>
      </c>
      <c r="C803" t="s">
        <v>2634</v>
      </c>
      <c r="D803">
        <v>4394</v>
      </c>
      <c r="E803">
        <v>0.56322423099999996</v>
      </c>
      <c r="F803">
        <v>7801.5109380000004</v>
      </c>
      <c r="G803">
        <v>2</v>
      </c>
      <c r="H803">
        <v>1430</v>
      </c>
      <c r="I803">
        <v>37.395397490000001</v>
      </c>
      <c r="J803">
        <v>1</v>
      </c>
      <c r="K803">
        <f t="shared" si="12"/>
        <v>5</v>
      </c>
      <c r="N803">
        <v>5</v>
      </c>
      <c r="O803">
        <v>5</v>
      </c>
    </row>
    <row r="804" spans="1:15" x14ac:dyDescent="0.2">
      <c r="A804" t="s">
        <v>2635</v>
      </c>
      <c r="B804">
        <v>9015800700</v>
      </c>
      <c r="C804" t="s">
        <v>2636</v>
      </c>
      <c r="D804">
        <v>3397</v>
      </c>
      <c r="E804">
        <v>0.69366112899999999</v>
      </c>
      <c r="F804">
        <v>4897.2039199999999</v>
      </c>
      <c r="G804">
        <v>2</v>
      </c>
      <c r="H804">
        <v>989</v>
      </c>
      <c r="I804">
        <v>27.20022002</v>
      </c>
      <c r="J804">
        <v>1</v>
      </c>
      <c r="K804">
        <f t="shared" si="12"/>
        <v>5</v>
      </c>
      <c r="N804">
        <v>5</v>
      </c>
      <c r="O804">
        <v>5</v>
      </c>
    </row>
    <row r="805" spans="1:15" x14ac:dyDescent="0.2">
      <c r="A805" t="s">
        <v>2637</v>
      </c>
      <c r="B805">
        <v>9015815000</v>
      </c>
      <c r="C805" t="s">
        <v>2638</v>
      </c>
      <c r="D805">
        <v>2305</v>
      </c>
      <c r="E805">
        <v>19.427314339999999</v>
      </c>
      <c r="F805">
        <v>118.6473828</v>
      </c>
      <c r="G805">
        <v>2</v>
      </c>
      <c r="H805">
        <v>276</v>
      </c>
      <c r="I805">
        <v>11.088790680000001</v>
      </c>
      <c r="J805">
        <v>0.94699999999999995</v>
      </c>
      <c r="K805">
        <f t="shared" si="12"/>
        <v>5</v>
      </c>
      <c r="N805">
        <v>4.5</v>
      </c>
      <c r="O805">
        <v>5</v>
      </c>
    </row>
    <row r="806" spans="1:15" x14ac:dyDescent="0.2">
      <c r="A806" t="s">
        <v>2639</v>
      </c>
      <c r="B806">
        <v>9015820000</v>
      </c>
      <c r="C806" t="s">
        <v>2640</v>
      </c>
      <c r="D806">
        <v>1863</v>
      </c>
      <c r="E806">
        <v>25.092195019999998</v>
      </c>
      <c r="F806">
        <v>74.246194819999999</v>
      </c>
      <c r="G806">
        <v>2</v>
      </c>
      <c r="H806">
        <v>113</v>
      </c>
      <c r="I806">
        <v>6.1748633880000003</v>
      </c>
      <c r="J806">
        <v>0.77700000000000002</v>
      </c>
      <c r="K806">
        <f t="shared" si="12"/>
        <v>4</v>
      </c>
      <c r="N806">
        <v>3.5</v>
      </c>
      <c r="O806">
        <v>4</v>
      </c>
    </row>
    <row r="807" spans="1:15" x14ac:dyDescent="0.2">
      <c r="A807" t="s">
        <v>2641</v>
      </c>
      <c r="B807">
        <v>9015825000</v>
      </c>
      <c r="C807" t="s">
        <v>2642</v>
      </c>
      <c r="D807">
        <v>1726</v>
      </c>
      <c r="E807">
        <v>18.63232339</v>
      </c>
      <c r="F807">
        <v>92.634716760000003</v>
      </c>
      <c r="G807">
        <v>2</v>
      </c>
      <c r="H807">
        <v>56</v>
      </c>
      <c r="I807">
        <v>3.5691523260000002</v>
      </c>
      <c r="J807">
        <v>0.23499999999999999</v>
      </c>
      <c r="K807">
        <f t="shared" si="12"/>
        <v>2</v>
      </c>
      <c r="N807">
        <v>2.5</v>
      </c>
      <c r="O807">
        <v>3</v>
      </c>
    </row>
    <row r="808" spans="1:15" x14ac:dyDescent="0.2">
      <c r="A808" t="s">
        <v>2643</v>
      </c>
      <c r="B808">
        <v>9015830100</v>
      </c>
      <c r="C808" t="s">
        <v>2644</v>
      </c>
      <c r="D808">
        <v>4317</v>
      </c>
      <c r="E808">
        <v>38.76182206</v>
      </c>
      <c r="F808">
        <v>111.3724735</v>
      </c>
      <c r="G808">
        <v>2</v>
      </c>
      <c r="H808">
        <v>261</v>
      </c>
      <c r="I808">
        <v>6.1614730880000002</v>
      </c>
      <c r="J808">
        <v>0.75</v>
      </c>
      <c r="K808">
        <f t="shared" si="12"/>
        <v>4</v>
      </c>
      <c r="N808">
        <v>4</v>
      </c>
      <c r="O808">
        <v>4</v>
      </c>
    </row>
    <row r="809" spans="1:15" x14ac:dyDescent="0.2">
      <c r="A809" t="s">
        <v>2645</v>
      </c>
      <c r="B809">
        <v>9015900100</v>
      </c>
      <c r="C809" t="s">
        <v>2646</v>
      </c>
      <c r="D809">
        <v>4570</v>
      </c>
      <c r="E809">
        <v>26.86631869</v>
      </c>
      <c r="F809">
        <v>170.10145879999999</v>
      </c>
      <c r="G809">
        <v>2</v>
      </c>
      <c r="H809">
        <v>219</v>
      </c>
      <c r="I809">
        <v>4.8015786010000001</v>
      </c>
      <c r="J809">
        <v>0.33300000000000002</v>
      </c>
      <c r="K809">
        <f t="shared" si="12"/>
        <v>2</v>
      </c>
      <c r="N809">
        <v>3</v>
      </c>
      <c r="O809">
        <v>3</v>
      </c>
    </row>
    <row r="810" spans="1:15" x14ac:dyDescent="0.2">
      <c r="A810" t="s">
        <v>2647</v>
      </c>
      <c r="B810">
        <v>9015900200</v>
      </c>
      <c r="C810" t="s">
        <v>2648</v>
      </c>
      <c r="D810">
        <v>4888</v>
      </c>
      <c r="E810">
        <v>20.036518699999998</v>
      </c>
      <c r="F810">
        <v>243.95455480000001</v>
      </c>
      <c r="G810">
        <v>1</v>
      </c>
      <c r="H810">
        <v>230</v>
      </c>
      <c r="I810">
        <v>4.8016701460000002</v>
      </c>
      <c r="J810">
        <v>0.35699999999999998</v>
      </c>
      <c r="K810">
        <f t="shared" si="12"/>
        <v>2</v>
      </c>
      <c r="N810">
        <v>3</v>
      </c>
      <c r="O810">
        <v>3</v>
      </c>
    </row>
    <row r="811" spans="1:15" x14ac:dyDescent="0.2">
      <c r="A811" t="s">
        <v>2649</v>
      </c>
      <c r="B811">
        <v>9015901100</v>
      </c>
      <c r="C811" t="s">
        <v>2650</v>
      </c>
      <c r="D811">
        <v>7964</v>
      </c>
      <c r="E811">
        <v>60.645263610000001</v>
      </c>
      <c r="F811">
        <v>131.321055</v>
      </c>
      <c r="G811">
        <v>2</v>
      </c>
      <c r="H811">
        <v>219</v>
      </c>
      <c r="I811">
        <v>2.7947932619999998</v>
      </c>
      <c r="J811">
        <v>0</v>
      </c>
      <c r="K811">
        <f t="shared" si="12"/>
        <v>1</v>
      </c>
      <c r="N811">
        <v>2</v>
      </c>
      <c r="O811">
        <v>2</v>
      </c>
    </row>
    <row r="812" spans="1:15" x14ac:dyDescent="0.2">
      <c r="A812" t="s">
        <v>2651</v>
      </c>
      <c r="B812">
        <v>9015902200</v>
      </c>
      <c r="C812" t="s">
        <v>2652</v>
      </c>
      <c r="D812">
        <v>1749</v>
      </c>
      <c r="E812">
        <v>28.920844030000001</v>
      </c>
      <c r="F812">
        <v>60.475413439999997</v>
      </c>
      <c r="G812">
        <v>2</v>
      </c>
      <c r="H812">
        <v>69</v>
      </c>
      <c r="I812">
        <v>4.1742286750000002</v>
      </c>
      <c r="J812">
        <v>0.25</v>
      </c>
      <c r="K812">
        <f t="shared" si="12"/>
        <v>2</v>
      </c>
      <c r="N812">
        <v>2.5</v>
      </c>
      <c r="O812">
        <v>3</v>
      </c>
    </row>
    <row r="813" spans="1:15" x14ac:dyDescent="0.2">
      <c r="A813" t="s">
        <v>2653</v>
      </c>
      <c r="B813">
        <v>9015902500</v>
      </c>
      <c r="C813" t="s">
        <v>2654</v>
      </c>
      <c r="D813">
        <v>4247</v>
      </c>
      <c r="E813">
        <v>40.328865999999998</v>
      </c>
      <c r="F813">
        <v>105.3091847</v>
      </c>
      <c r="G813">
        <v>2</v>
      </c>
      <c r="H813">
        <v>204</v>
      </c>
      <c r="I813">
        <v>4.873387482</v>
      </c>
      <c r="J813">
        <v>0.27200000000000002</v>
      </c>
      <c r="K813">
        <f t="shared" si="12"/>
        <v>2</v>
      </c>
      <c r="N813">
        <v>2.5</v>
      </c>
      <c r="O813">
        <v>3</v>
      </c>
    </row>
    <row r="814" spans="1:15" x14ac:dyDescent="0.2">
      <c r="A814" t="s">
        <v>2655</v>
      </c>
      <c r="B814">
        <v>9015903100</v>
      </c>
      <c r="C814" t="s">
        <v>2656</v>
      </c>
      <c r="D814">
        <v>7240</v>
      </c>
      <c r="E814">
        <v>3.3297810650000002</v>
      </c>
      <c r="F814">
        <v>2174.3171280000001</v>
      </c>
      <c r="G814">
        <v>1</v>
      </c>
      <c r="H814">
        <v>221</v>
      </c>
      <c r="I814">
        <v>3.2192279680000002</v>
      </c>
      <c r="J814">
        <v>0.2</v>
      </c>
      <c r="K814">
        <f t="shared" si="12"/>
        <v>2</v>
      </c>
      <c r="N814">
        <v>3</v>
      </c>
      <c r="O814">
        <v>3</v>
      </c>
    </row>
    <row r="815" spans="1:15" x14ac:dyDescent="0.2">
      <c r="A815" t="s">
        <v>2657</v>
      </c>
      <c r="B815">
        <v>9015903200</v>
      </c>
      <c r="C815" t="s">
        <v>2658</v>
      </c>
      <c r="D815">
        <v>2344</v>
      </c>
      <c r="E815">
        <v>16.974579810000002</v>
      </c>
      <c r="F815">
        <v>138.08883800000001</v>
      </c>
      <c r="G815">
        <v>2</v>
      </c>
      <c r="H815">
        <v>144</v>
      </c>
      <c r="I815">
        <v>5.769230769</v>
      </c>
      <c r="J815">
        <v>0.44400000000000001</v>
      </c>
      <c r="K815">
        <f t="shared" si="12"/>
        <v>3</v>
      </c>
      <c r="N815">
        <v>3.5</v>
      </c>
      <c r="O815">
        <v>4</v>
      </c>
    </row>
    <row r="816" spans="1:15" x14ac:dyDescent="0.2">
      <c r="A816" t="s">
        <v>2659</v>
      </c>
      <c r="B816">
        <v>9015904100</v>
      </c>
      <c r="C816" t="s">
        <v>2660</v>
      </c>
      <c r="D816">
        <v>7466</v>
      </c>
      <c r="E816">
        <v>36.704049210000001</v>
      </c>
      <c r="F816">
        <v>203.41079970000001</v>
      </c>
      <c r="G816">
        <v>2</v>
      </c>
      <c r="H816">
        <v>402</v>
      </c>
      <c r="I816">
        <v>5.6318296439999997</v>
      </c>
      <c r="J816">
        <v>0.375</v>
      </c>
      <c r="K816">
        <f t="shared" si="12"/>
        <v>2</v>
      </c>
      <c r="N816">
        <v>3</v>
      </c>
      <c r="O816">
        <v>3</v>
      </c>
    </row>
    <row r="817" spans="1:15" x14ac:dyDescent="0.2">
      <c r="A817" t="s">
        <v>2661</v>
      </c>
      <c r="B817">
        <v>9015904400</v>
      </c>
      <c r="C817" t="s">
        <v>2662</v>
      </c>
      <c r="D817">
        <v>4085</v>
      </c>
      <c r="E817">
        <v>7.2519969199999998</v>
      </c>
      <c r="F817">
        <v>563.29312389999996</v>
      </c>
      <c r="G817">
        <v>1</v>
      </c>
      <c r="H817">
        <v>342</v>
      </c>
      <c r="I817">
        <v>7.9906542060000003</v>
      </c>
      <c r="J817">
        <v>0.57099999999999995</v>
      </c>
      <c r="K817">
        <f t="shared" si="12"/>
        <v>3</v>
      </c>
      <c r="N817">
        <v>4</v>
      </c>
      <c r="O817">
        <v>4</v>
      </c>
    </row>
    <row r="818" spans="1:15" x14ac:dyDescent="0.2">
      <c r="A818" t="s">
        <v>2663</v>
      </c>
      <c r="B818">
        <v>9015904500</v>
      </c>
      <c r="C818" t="s">
        <v>2664</v>
      </c>
      <c r="D818">
        <v>5819</v>
      </c>
      <c r="E818">
        <v>4.35022865</v>
      </c>
      <c r="F818">
        <v>1337.6308389999999</v>
      </c>
      <c r="G818">
        <v>1</v>
      </c>
      <c r="H818">
        <v>886</v>
      </c>
      <c r="I818">
        <v>15.24169964</v>
      </c>
      <c r="J818">
        <v>1</v>
      </c>
      <c r="K818">
        <f t="shared" si="12"/>
        <v>5</v>
      </c>
      <c r="N818">
        <v>5</v>
      </c>
      <c r="O818">
        <v>5</v>
      </c>
    </row>
    <row r="819" spans="1:15" x14ac:dyDescent="0.2">
      <c r="A819" t="s">
        <v>2665</v>
      </c>
      <c r="B819">
        <v>9015905100</v>
      </c>
      <c r="C819" t="s">
        <v>2666</v>
      </c>
      <c r="D819">
        <v>8210</v>
      </c>
      <c r="E819">
        <v>29.09115255</v>
      </c>
      <c r="F819">
        <v>282.21638819999998</v>
      </c>
      <c r="G819">
        <v>1</v>
      </c>
      <c r="H819">
        <v>495</v>
      </c>
      <c r="I819">
        <v>6.0087399850000001</v>
      </c>
      <c r="J819">
        <v>0.6</v>
      </c>
      <c r="K819">
        <f t="shared" si="12"/>
        <v>4</v>
      </c>
      <c r="N819">
        <v>3.5</v>
      </c>
      <c r="O819">
        <v>4</v>
      </c>
    </row>
    <row r="820" spans="1:15" x14ac:dyDescent="0.2">
      <c r="A820" t="s">
        <v>2667</v>
      </c>
      <c r="B820">
        <v>9015906100</v>
      </c>
      <c r="C820" t="s">
        <v>2668</v>
      </c>
      <c r="D820">
        <v>5132</v>
      </c>
      <c r="E820">
        <v>39.944780440000002</v>
      </c>
      <c r="F820">
        <v>128.47736159999999</v>
      </c>
      <c r="G820">
        <v>2</v>
      </c>
      <c r="H820">
        <v>160</v>
      </c>
      <c r="I820">
        <v>3.1564411130000001</v>
      </c>
      <c r="J820">
        <v>0</v>
      </c>
      <c r="K820">
        <f t="shared" si="12"/>
        <v>1</v>
      </c>
      <c r="N820">
        <v>1.5</v>
      </c>
      <c r="O820">
        <v>2</v>
      </c>
    </row>
    <row r="821" spans="1:15" x14ac:dyDescent="0.2">
      <c r="A821" t="s">
        <v>2669</v>
      </c>
      <c r="B821">
        <v>9015907100</v>
      </c>
      <c r="C821" t="s">
        <v>2670</v>
      </c>
      <c r="D821">
        <v>4413</v>
      </c>
      <c r="E821">
        <v>13.24820076</v>
      </c>
      <c r="F821">
        <v>333.10183610000001</v>
      </c>
      <c r="G821">
        <v>1</v>
      </c>
      <c r="H821">
        <v>377</v>
      </c>
      <c r="I821">
        <v>8.1637072330000002</v>
      </c>
      <c r="J821">
        <v>0.66600000000000004</v>
      </c>
      <c r="K821">
        <f t="shared" si="12"/>
        <v>4</v>
      </c>
      <c r="N821">
        <v>4</v>
      </c>
      <c r="O821">
        <v>4</v>
      </c>
    </row>
    <row r="822" spans="1:15" x14ac:dyDescent="0.2">
      <c r="A822" t="s">
        <v>2671</v>
      </c>
      <c r="B822">
        <v>9015907200</v>
      </c>
      <c r="C822" t="s">
        <v>2672</v>
      </c>
      <c r="D822">
        <v>5506</v>
      </c>
      <c r="E822">
        <v>13.477922680000001</v>
      </c>
      <c r="F822">
        <v>408.51992790000003</v>
      </c>
      <c r="G822">
        <v>1</v>
      </c>
      <c r="H822">
        <v>282</v>
      </c>
      <c r="I822">
        <v>5.0783360350000004</v>
      </c>
      <c r="J822">
        <v>0.5</v>
      </c>
      <c r="K822">
        <f t="shared" si="12"/>
        <v>3</v>
      </c>
      <c r="N822">
        <v>4</v>
      </c>
      <c r="O822">
        <v>4</v>
      </c>
    </row>
    <row r="823" spans="1:15" x14ac:dyDescent="0.2">
      <c r="A823" t="s">
        <v>2673</v>
      </c>
      <c r="B823">
        <v>9015907300</v>
      </c>
      <c r="C823" t="s">
        <v>2674</v>
      </c>
      <c r="D823">
        <v>5486</v>
      </c>
      <c r="E823">
        <v>15.63334772</v>
      </c>
      <c r="F823">
        <v>350.91652140000002</v>
      </c>
      <c r="G823">
        <v>2</v>
      </c>
      <c r="H823">
        <v>541</v>
      </c>
      <c r="I823">
        <v>10.9647345</v>
      </c>
      <c r="J823">
        <v>1</v>
      </c>
      <c r="K823">
        <f t="shared" si="12"/>
        <v>5</v>
      </c>
      <c r="N823">
        <v>5</v>
      </c>
      <c r="O823">
        <v>5</v>
      </c>
    </row>
  </sheetData>
  <sortState xmlns:xlrd2="http://schemas.microsoft.com/office/spreadsheetml/2017/richdata2" ref="O2:P823">
    <sortCondition ref="P2:P823"/>
  </sortState>
  <hyperlinks>
    <hyperlink ref="V2" r:id="rId1" display="https://www.ers.usda.gov/data-products/rural-urban-commuting-area-codes/" xr:uid="{96F92A2B-06FD-4596-AE83-83D4990E4213}"/>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F03B-0915-4479-9EEF-CFDECA6662F9}">
  <sheetPr>
    <tabColor theme="6" tint="0.59999389629810485"/>
  </sheetPr>
  <dimension ref="A1"/>
  <sheetViews>
    <sheetView workbookViewId="0">
      <selection activeCell="F27" sqref="F27"/>
    </sheetView>
  </sheetViews>
  <sheetFormatPr baseColWidth="10" defaultColWidth="8.83203125" defaultRowHeight="15" x14ac:dyDescent="0.2"/>
  <sheetData>
    <row r="1" spans="1:1" x14ac:dyDescent="0.2">
      <c r="A1" t="s">
        <v>2689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8C32-3EAD-4C71-B2C7-292595D99F18}">
  <sheetPr>
    <tabColor theme="6" tint="0.59999389629810485"/>
  </sheetPr>
  <dimension ref="A1:M914"/>
  <sheetViews>
    <sheetView topLeftCell="A741" workbookViewId="0">
      <selection activeCell="H906" sqref="H906"/>
    </sheetView>
  </sheetViews>
  <sheetFormatPr baseColWidth="10" defaultColWidth="8.83203125" defaultRowHeight="15" x14ac:dyDescent="0.2"/>
  <cols>
    <col min="1" max="1" width="21.6640625" bestFit="1" customWidth="1"/>
    <col min="2" max="2" width="11" bestFit="1" customWidth="1"/>
    <col min="3" max="3" width="50.83203125" bestFit="1" customWidth="1"/>
    <col min="4" max="4" width="27.5" customWidth="1"/>
    <col min="5" max="5" width="25.6640625" bestFit="1" customWidth="1"/>
  </cols>
  <sheetData>
    <row r="1" spans="1:13" x14ac:dyDescent="0.2">
      <c r="A1" t="s">
        <v>1011</v>
      </c>
      <c r="B1" t="s">
        <v>1012</v>
      </c>
      <c r="C1" t="s">
        <v>1013</v>
      </c>
      <c r="D1" t="s">
        <v>2690</v>
      </c>
      <c r="E1" t="s">
        <v>2691</v>
      </c>
      <c r="M1" t="s">
        <v>2692</v>
      </c>
    </row>
    <row r="2" spans="1:13" x14ac:dyDescent="0.2">
      <c r="A2" t="s">
        <v>1030</v>
      </c>
      <c r="B2">
        <v>9001010101</v>
      </c>
      <c r="C2" t="s">
        <v>1031</v>
      </c>
      <c r="D2">
        <v>2</v>
      </c>
      <c r="E2" t="s">
        <v>944</v>
      </c>
      <c r="M2" t="s">
        <v>2693</v>
      </c>
    </row>
    <row r="3" spans="1:13" x14ac:dyDescent="0.2">
      <c r="A3" t="s">
        <v>1343</v>
      </c>
      <c r="B3">
        <v>9001100100</v>
      </c>
      <c r="C3" t="s">
        <v>1344</v>
      </c>
      <c r="D3">
        <v>3</v>
      </c>
      <c r="E3" t="s">
        <v>944</v>
      </c>
    </row>
    <row r="4" spans="1:13" x14ac:dyDescent="0.2">
      <c r="A4" t="s">
        <v>1343</v>
      </c>
      <c r="B4">
        <v>9001100100</v>
      </c>
      <c r="C4" t="s">
        <v>1344</v>
      </c>
      <c r="D4">
        <v>3</v>
      </c>
      <c r="E4" t="s">
        <v>944</v>
      </c>
      <c r="M4" s="12" t="s">
        <v>2694</v>
      </c>
    </row>
    <row r="5" spans="1:13" x14ac:dyDescent="0.2">
      <c r="A5" t="s">
        <v>2575</v>
      </c>
      <c r="B5">
        <v>9013528100</v>
      </c>
      <c r="C5" t="s">
        <v>2576</v>
      </c>
      <c r="D5">
        <v>3</v>
      </c>
      <c r="E5" t="s">
        <v>944</v>
      </c>
    </row>
    <row r="6" spans="1:13" x14ac:dyDescent="0.2">
      <c r="A6" t="s">
        <v>2575</v>
      </c>
      <c r="B6">
        <v>9013528100</v>
      </c>
      <c r="C6" t="s">
        <v>2576</v>
      </c>
      <c r="D6">
        <v>3</v>
      </c>
      <c r="E6" t="s">
        <v>944</v>
      </c>
    </row>
    <row r="7" spans="1:13" x14ac:dyDescent="0.2">
      <c r="A7" t="s">
        <v>1345</v>
      </c>
      <c r="B7">
        <v>9001100200</v>
      </c>
      <c r="C7" t="s">
        <v>1346</v>
      </c>
      <c r="D7">
        <v>3</v>
      </c>
      <c r="E7" t="s">
        <v>944</v>
      </c>
    </row>
    <row r="8" spans="1:13" x14ac:dyDescent="0.2">
      <c r="A8" t="s">
        <v>1033</v>
      </c>
      <c r="B8">
        <v>9001010102</v>
      </c>
      <c r="C8" t="s">
        <v>1034</v>
      </c>
      <c r="D8">
        <v>2</v>
      </c>
      <c r="E8" t="s">
        <v>944</v>
      </c>
    </row>
    <row r="9" spans="1:13" x14ac:dyDescent="0.2">
      <c r="A9" t="s">
        <v>2577</v>
      </c>
      <c r="B9">
        <v>9013529100</v>
      </c>
      <c r="C9" t="s">
        <v>2578</v>
      </c>
      <c r="D9">
        <v>3</v>
      </c>
      <c r="E9" t="s">
        <v>944</v>
      </c>
    </row>
    <row r="10" spans="1:13" x14ac:dyDescent="0.2">
      <c r="A10" t="s">
        <v>2577</v>
      </c>
      <c r="B10">
        <v>9013529100</v>
      </c>
      <c r="C10" t="s">
        <v>2578</v>
      </c>
      <c r="D10">
        <v>3</v>
      </c>
      <c r="E10" t="s">
        <v>944</v>
      </c>
    </row>
    <row r="11" spans="1:13" x14ac:dyDescent="0.2">
      <c r="A11" t="s">
        <v>1035</v>
      </c>
      <c r="B11">
        <v>9001010201</v>
      </c>
      <c r="C11" t="s">
        <v>1036</v>
      </c>
      <c r="D11">
        <v>2</v>
      </c>
      <c r="E11" t="s">
        <v>944</v>
      </c>
    </row>
    <row r="12" spans="1:13" x14ac:dyDescent="0.2">
      <c r="A12" t="s">
        <v>1037</v>
      </c>
      <c r="B12">
        <v>9001010202</v>
      </c>
      <c r="C12" t="s">
        <v>1038</v>
      </c>
      <c r="D12">
        <v>2</v>
      </c>
      <c r="E12" t="s">
        <v>944</v>
      </c>
    </row>
    <row r="13" spans="1:13" x14ac:dyDescent="0.2">
      <c r="A13" t="s">
        <v>1037</v>
      </c>
      <c r="B13">
        <v>9001010202</v>
      </c>
      <c r="C13" t="s">
        <v>1038</v>
      </c>
      <c r="D13">
        <v>2</v>
      </c>
      <c r="E13" t="s">
        <v>944</v>
      </c>
    </row>
    <row r="14" spans="1:13" x14ac:dyDescent="0.2">
      <c r="A14" t="s">
        <v>1039</v>
      </c>
      <c r="B14">
        <v>9001010300</v>
      </c>
      <c r="C14" t="s">
        <v>1040</v>
      </c>
      <c r="D14">
        <v>2</v>
      </c>
      <c r="E14" t="s">
        <v>944</v>
      </c>
    </row>
    <row r="15" spans="1:13" x14ac:dyDescent="0.2">
      <c r="A15" t="s">
        <v>2607</v>
      </c>
      <c r="B15">
        <v>9013850100</v>
      </c>
      <c r="C15" t="s">
        <v>2608</v>
      </c>
      <c r="D15">
        <v>3</v>
      </c>
      <c r="E15" t="s">
        <v>944</v>
      </c>
    </row>
    <row r="16" spans="1:13" x14ac:dyDescent="0.2">
      <c r="A16" t="s">
        <v>2607</v>
      </c>
      <c r="B16">
        <v>9013850100</v>
      </c>
      <c r="C16" t="s">
        <v>2608</v>
      </c>
      <c r="D16">
        <v>3</v>
      </c>
      <c r="E16" t="s">
        <v>944</v>
      </c>
    </row>
    <row r="17" spans="1:5" x14ac:dyDescent="0.2">
      <c r="A17" t="s">
        <v>1351</v>
      </c>
      <c r="B17">
        <v>9001105200</v>
      </c>
      <c r="C17" t="s">
        <v>1352</v>
      </c>
      <c r="D17">
        <v>2</v>
      </c>
      <c r="E17" t="s">
        <v>944</v>
      </c>
    </row>
    <row r="18" spans="1:5" x14ac:dyDescent="0.2">
      <c r="A18" t="s">
        <v>1043</v>
      </c>
      <c r="B18">
        <v>9001010500</v>
      </c>
      <c r="C18" t="s">
        <v>1044</v>
      </c>
      <c r="D18">
        <v>3</v>
      </c>
      <c r="E18" t="s">
        <v>944</v>
      </c>
    </row>
    <row r="19" spans="1:5" x14ac:dyDescent="0.2">
      <c r="A19" t="s">
        <v>1045</v>
      </c>
      <c r="B19">
        <v>9001010600</v>
      </c>
      <c r="C19" t="s">
        <v>1046</v>
      </c>
      <c r="D19">
        <v>1</v>
      </c>
      <c r="E19" t="s">
        <v>944</v>
      </c>
    </row>
    <row r="20" spans="1:5" x14ac:dyDescent="0.2">
      <c r="A20" t="s">
        <v>2643</v>
      </c>
      <c r="B20">
        <v>9015830100</v>
      </c>
      <c r="C20" t="s">
        <v>2644</v>
      </c>
      <c r="D20">
        <v>4</v>
      </c>
      <c r="E20" t="s">
        <v>944</v>
      </c>
    </row>
    <row r="21" spans="1:5" x14ac:dyDescent="0.2">
      <c r="A21" t="s">
        <v>1047</v>
      </c>
      <c r="B21">
        <v>9001010700</v>
      </c>
      <c r="C21" t="s">
        <v>1048</v>
      </c>
      <c r="D21">
        <v>2</v>
      </c>
      <c r="E21" t="s">
        <v>944</v>
      </c>
    </row>
    <row r="22" spans="1:5" x14ac:dyDescent="0.2">
      <c r="A22" t="s">
        <v>1049</v>
      </c>
      <c r="B22">
        <v>9001010800</v>
      </c>
      <c r="C22" t="s">
        <v>1050</v>
      </c>
      <c r="D22">
        <v>2</v>
      </c>
      <c r="E22" t="s">
        <v>944</v>
      </c>
    </row>
    <row r="23" spans="1:5" x14ac:dyDescent="0.2">
      <c r="A23" t="s">
        <v>2651</v>
      </c>
      <c r="B23">
        <v>9015902200</v>
      </c>
      <c r="C23" t="s">
        <v>2652</v>
      </c>
      <c r="D23">
        <v>4</v>
      </c>
      <c r="E23" t="s">
        <v>944</v>
      </c>
    </row>
    <row r="24" spans="1:5" x14ac:dyDescent="0.2">
      <c r="A24" t="s">
        <v>2651</v>
      </c>
      <c r="B24">
        <v>9015902200</v>
      </c>
      <c r="C24" t="s">
        <v>2652</v>
      </c>
      <c r="D24">
        <v>4</v>
      </c>
      <c r="E24" t="s">
        <v>944</v>
      </c>
    </row>
    <row r="25" spans="1:5" x14ac:dyDescent="0.2">
      <c r="A25" t="s">
        <v>2651</v>
      </c>
      <c r="B25">
        <v>9015902200</v>
      </c>
      <c r="C25" t="s">
        <v>2652</v>
      </c>
      <c r="D25">
        <v>4</v>
      </c>
      <c r="E25" t="s">
        <v>944</v>
      </c>
    </row>
    <row r="26" spans="1:5" x14ac:dyDescent="0.2">
      <c r="A26" t="s">
        <v>1051</v>
      </c>
      <c r="B26">
        <v>9001010900</v>
      </c>
      <c r="C26" t="s">
        <v>1052</v>
      </c>
      <c r="D26">
        <v>2</v>
      </c>
      <c r="E26" t="s">
        <v>944</v>
      </c>
    </row>
    <row r="27" spans="1:5" x14ac:dyDescent="0.2">
      <c r="A27" t="s">
        <v>1041</v>
      </c>
      <c r="B27">
        <v>9001010400</v>
      </c>
      <c r="C27" t="s">
        <v>1042</v>
      </c>
      <c r="D27">
        <v>2</v>
      </c>
      <c r="E27" t="s">
        <v>944</v>
      </c>
    </row>
    <row r="28" spans="1:5" x14ac:dyDescent="0.2">
      <c r="A28" t="s">
        <v>1563</v>
      </c>
      <c r="B28">
        <v>9003460301</v>
      </c>
      <c r="C28" t="s">
        <v>1564</v>
      </c>
      <c r="D28">
        <v>3</v>
      </c>
      <c r="E28" t="s">
        <v>944</v>
      </c>
    </row>
    <row r="29" spans="1:5" x14ac:dyDescent="0.2">
      <c r="A29" t="s">
        <v>1563</v>
      </c>
      <c r="B29">
        <v>9003460301</v>
      </c>
      <c r="C29" t="s">
        <v>1564</v>
      </c>
      <c r="D29">
        <v>3</v>
      </c>
      <c r="E29" t="s">
        <v>944</v>
      </c>
    </row>
    <row r="30" spans="1:5" x14ac:dyDescent="0.2">
      <c r="A30" t="s">
        <v>1365</v>
      </c>
      <c r="B30">
        <v>9001110500</v>
      </c>
      <c r="C30" t="s">
        <v>1366</v>
      </c>
      <c r="D30">
        <v>3</v>
      </c>
      <c r="E30" t="s">
        <v>944</v>
      </c>
    </row>
    <row r="31" spans="1:5" x14ac:dyDescent="0.2">
      <c r="A31" t="s">
        <v>1565</v>
      </c>
      <c r="B31">
        <v>9003460302</v>
      </c>
      <c r="C31" t="s">
        <v>1566</v>
      </c>
      <c r="D31">
        <v>3</v>
      </c>
      <c r="E31" t="s">
        <v>944</v>
      </c>
    </row>
    <row r="32" spans="1:5" x14ac:dyDescent="0.2">
      <c r="A32" t="s">
        <v>1565</v>
      </c>
      <c r="B32">
        <v>9003460302</v>
      </c>
      <c r="C32" t="s">
        <v>1566</v>
      </c>
      <c r="D32">
        <v>3</v>
      </c>
      <c r="E32" t="s">
        <v>944</v>
      </c>
    </row>
    <row r="33" spans="1:5" x14ac:dyDescent="0.2">
      <c r="A33" t="s">
        <v>1565</v>
      </c>
      <c r="B33">
        <v>9003460302</v>
      </c>
      <c r="C33" t="s">
        <v>1566</v>
      </c>
      <c r="D33">
        <v>3</v>
      </c>
      <c r="E33" t="s">
        <v>944</v>
      </c>
    </row>
    <row r="34" spans="1:5" x14ac:dyDescent="0.2">
      <c r="A34" t="s">
        <v>1053</v>
      </c>
      <c r="B34">
        <v>9001011000</v>
      </c>
      <c r="C34" t="s">
        <v>1054</v>
      </c>
      <c r="D34">
        <v>2</v>
      </c>
      <c r="E34" t="s">
        <v>944</v>
      </c>
    </row>
    <row r="35" spans="1:5" x14ac:dyDescent="0.2">
      <c r="A35" t="s">
        <v>1055</v>
      </c>
      <c r="B35">
        <v>9001011100</v>
      </c>
      <c r="C35" t="s">
        <v>1056</v>
      </c>
      <c r="D35">
        <v>2</v>
      </c>
      <c r="E35" t="s">
        <v>944</v>
      </c>
    </row>
    <row r="36" spans="1:5" x14ac:dyDescent="0.2">
      <c r="A36" t="s">
        <v>1057</v>
      </c>
      <c r="B36">
        <v>9001011200</v>
      </c>
      <c r="C36" t="s">
        <v>1058</v>
      </c>
      <c r="D36">
        <v>2</v>
      </c>
      <c r="E36" t="s">
        <v>944</v>
      </c>
    </row>
    <row r="37" spans="1:5" x14ac:dyDescent="0.2">
      <c r="A37" t="s">
        <v>1059</v>
      </c>
      <c r="B37">
        <v>9001011300</v>
      </c>
      <c r="C37" t="s">
        <v>1060</v>
      </c>
      <c r="D37">
        <v>2</v>
      </c>
      <c r="E37" t="s">
        <v>944</v>
      </c>
    </row>
    <row r="38" spans="1:5" x14ac:dyDescent="0.2">
      <c r="A38" t="s">
        <v>1567</v>
      </c>
      <c r="B38">
        <v>9003462101</v>
      </c>
      <c r="C38" t="s">
        <v>1568</v>
      </c>
      <c r="D38">
        <v>2</v>
      </c>
      <c r="E38" t="s">
        <v>944</v>
      </c>
    </row>
    <row r="39" spans="1:5" x14ac:dyDescent="0.2">
      <c r="A39" t="s">
        <v>1567</v>
      </c>
      <c r="B39">
        <v>9003462101</v>
      </c>
      <c r="C39" t="s">
        <v>1568</v>
      </c>
      <c r="D39">
        <v>2</v>
      </c>
      <c r="E39" t="s">
        <v>944</v>
      </c>
    </row>
    <row r="40" spans="1:5" x14ac:dyDescent="0.2">
      <c r="A40" t="s">
        <v>2067</v>
      </c>
      <c r="B40">
        <v>9009120200</v>
      </c>
      <c r="C40" t="s">
        <v>2068</v>
      </c>
      <c r="D40">
        <v>6</v>
      </c>
      <c r="E40" t="s">
        <v>936</v>
      </c>
    </row>
    <row r="41" spans="1:5" x14ac:dyDescent="0.2">
      <c r="A41" t="s">
        <v>2077</v>
      </c>
      <c r="B41">
        <v>9009130101</v>
      </c>
      <c r="C41" t="s">
        <v>2078</v>
      </c>
      <c r="D41">
        <v>4</v>
      </c>
      <c r="E41" t="s">
        <v>944</v>
      </c>
    </row>
    <row r="42" spans="1:5" x14ac:dyDescent="0.2">
      <c r="A42" t="s">
        <v>2077</v>
      </c>
      <c r="B42">
        <v>9009130101</v>
      </c>
      <c r="C42" t="s">
        <v>2078</v>
      </c>
      <c r="D42">
        <v>4</v>
      </c>
      <c r="E42" t="s">
        <v>944</v>
      </c>
    </row>
    <row r="43" spans="1:5" x14ac:dyDescent="0.2">
      <c r="A43" t="s">
        <v>1569</v>
      </c>
      <c r="B43">
        <v>9003462102</v>
      </c>
      <c r="C43" t="s">
        <v>1570</v>
      </c>
      <c r="D43">
        <v>2</v>
      </c>
      <c r="E43" t="s">
        <v>944</v>
      </c>
    </row>
    <row r="44" spans="1:5" x14ac:dyDescent="0.2">
      <c r="A44" t="s">
        <v>2079</v>
      </c>
      <c r="B44">
        <v>9009130102</v>
      </c>
      <c r="C44" t="s">
        <v>2080</v>
      </c>
      <c r="D44">
        <v>4</v>
      </c>
      <c r="E44" t="s">
        <v>944</v>
      </c>
    </row>
    <row r="45" spans="1:5" x14ac:dyDescent="0.2">
      <c r="A45" t="s">
        <v>1571</v>
      </c>
      <c r="B45">
        <v>9003462201</v>
      </c>
      <c r="C45" t="s">
        <v>1572</v>
      </c>
      <c r="D45">
        <v>3</v>
      </c>
      <c r="E45" t="s">
        <v>944</v>
      </c>
    </row>
    <row r="46" spans="1:5" x14ac:dyDescent="0.2">
      <c r="A46" t="s">
        <v>1573</v>
      </c>
      <c r="B46">
        <v>9003462202</v>
      </c>
      <c r="C46" t="s">
        <v>1574</v>
      </c>
      <c r="D46">
        <v>2</v>
      </c>
      <c r="E46" t="s">
        <v>944</v>
      </c>
    </row>
    <row r="47" spans="1:5" x14ac:dyDescent="0.2">
      <c r="A47" t="s">
        <v>2219</v>
      </c>
      <c r="B47">
        <v>9009166002</v>
      </c>
      <c r="C47" t="s">
        <v>2220</v>
      </c>
      <c r="D47">
        <v>3</v>
      </c>
      <c r="E47" t="s">
        <v>944</v>
      </c>
    </row>
    <row r="48" spans="1:5" x14ac:dyDescent="0.2">
      <c r="A48" t="s">
        <v>1449</v>
      </c>
      <c r="B48">
        <v>9003330100</v>
      </c>
      <c r="C48" t="s">
        <v>1450</v>
      </c>
      <c r="D48">
        <v>3</v>
      </c>
      <c r="E48" t="s">
        <v>944</v>
      </c>
    </row>
    <row r="49" spans="1:5" x14ac:dyDescent="0.2">
      <c r="A49" t="s">
        <v>1449</v>
      </c>
      <c r="B49">
        <v>9003330100</v>
      </c>
      <c r="C49" t="s">
        <v>1450</v>
      </c>
      <c r="D49">
        <v>3</v>
      </c>
      <c r="E49" t="s">
        <v>944</v>
      </c>
    </row>
    <row r="50" spans="1:5" x14ac:dyDescent="0.2">
      <c r="A50" t="s">
        <v>1449</v>
      </c>
      <c r="B50">
        <v>9003330100</v>
      </c>
      <c r="C50" t="s">
        <v>1450</v>
      </c>
      <c r="D50">
        <v>3</v>
      </c>
      <c r="E50" t="s">
        <v>944</v>
      </c>
    </row>
    <row r="51" spans="1:5" x14ac:dyDescent="0.2">
      <c r="A51" t="s">
        <v>2231</v>
      </c>
      <c r="B51">
        <v>9009170200</v>
      </c>
      <c r="C51" t="s">
        <v>2232</v>
      </c>
      <c r="D51">
        <v>5</v>
      </c>
      <c r="E51" t="s">
        <v>944</v>
      </c>
    </row>
    <row r="52" spans="1:5" x14ac:dyDescent="0.2">
      <c r="A52" t="s">
        <v>2233</v>
      </c>
      <c r="B52">
        <v>9009170300</v>
      </c>
      <c r="C52" t="s">
        <v>2234</v>
      </c>
      <c r="D52">
        <v>5</v>
      </c>
      <c r="E52" t="s">
        <v>944</v>
      </c>
    </row>
    <row r="53" spans="1:5" x14ac:dyDescent="0.2">
      <c r="A53" t="s">
        <v>2235</v>
      </c>
      <c r="B53">
        <v>9009170400</v>
      </c>
      <c r="C53" t="s">
        <v>2236</v>
      </c>
      <c r="D53">
        <v>4</v>
      </c>
      <c r="E53" t="s">
        <v>944</v>
      </c>
    </row>
    <row r="54" spans="1:5" x14ac:dyDescent="0.2">
      <c r="A54" t="s">
        <v>1921</v>
      </c>
      <c r="B54">
        <v>9005290100</v>
      </c>
      <c r="C54" t="s">
        <v>1922</v>
      </c>
      <c r="D54">
        <v>3</v>
      </c>
      <c r="E54" t="s">
        <v>944</v>
      </c>
    </row>
    <row r="55" spans="1:5" x14ac:dyDescent="0.2">
      <c r="A55" t="s">
        <v>1921</v>
      </c>
      <c r="B55">
        <v>9005290100</v>
      </c>
      <c r="C55" t="s">
        <v>1922</v>
      </c>
      <c r="D55">
        <v>3</v>
      </c>
      <c r="E55" t="s">
        <v>944</v>
      </c>
    </row>
    <row r="56" spans="1:5" x14ac:dyDescent="0.2">
      <c r="A56" t="s">
        <v>2275</v>
      </c>
      <c r="B56">
        <v>9009175700</v>
      </c>
      <c r="C56" t="s">
        <v>2276</v>
      </c>
      <c r="D56">
        <v>3</v>
      </c>
      <c r="E56" t="s">
        <v>944</v>
      </c>
    </row>
    <row r="57" spans="1:5" x14ac:dyDescent="0.2">
      <c r="A57" t="s">
        <v>1963</v>
      </c>
      <c r="B57">
        <v>9005320100</v>
      </c>
      <c r="C57" t="s">
        <v>1964</v>
      </c>
      <c r="D57">
        <v>4</v>
      </c>
      <c r="E57" t="s">
        <v>944</v>
      </c>
    </row>
    <row r="58" spans="1:5" x14ac:dyDescent="0.2">
      <c r="A58" t="s">
        <v>1963</v>
      </c>
      <c r="B58">
        <v>9005320100</v>
      </c>
      <c r="C58" t="s">
        <v>1964</v>
      </c>
      <c r="D58">
        <v>4</v>
      </c>
      <c r="E58" t="s">
        <v>944</v>
      </c>
    </row>
    <row r="59" spans="1:5" x14ac:dyDescent="0.2">
      <c r="A59" t="s">
        <v>1061</v>
      </c>
      <c r="B59">
        <v>9001020100</v>
      </c>
      <c r="C59" t="s">
        <v>1062</v>
      </c>
      <c r="D59">
        <v>2</v>
      </c>
      <c r="E59" t="s">
        <v>944</v>
      </c>
    </row>
    <row r="60" spans="1:5" x14ac:dyDescent="0.2">
      <c r="A60" t="s">
        <v>2331</v>
      </c>
      <c r="B60">
        <v>9009341100</v>
      </c>
      <c r="C60" t="s">
        <v>2332</v>
      </c>
      <c r="D60">
        <v>3</v>
      </c>
      <c r="E60" t="s">
        <v>944</v>
      </c>
    </row>
    <row r="61" spans="1:5" x14ac:dyDescent="0.2">
      <c r="A61" t="s">
        <v>2297</v>
      </c>
      <c r="B61">
        <v>9009184100</v>
      </c>
      <c r="C61" t="s">
        <v>2298</v>
      </c>
      <c r="D61">
        <v>4</v>
      </c>
      <c r="E61" t="s">
        <v>944</v>
      </c>
    </row>
    <row r="62" spans="1:5" x14ac:dyDescent="0.2">
      <c r="A62" t="s">
        <v>1063</v>
      </c>
      <c r="B62">
        <v>9001020200</v>
      </c>
      <c r="C62" t="s">
        <v>1064</v>
      </c>
      <c r="D62">
        <v>2</v>
      </c>
      <c r="E62" t="s">
        <v>944</v>
      </c>
    </row>
    <row r="63" spans="1:5" x14ac:dyDescent="0.2">
      <c r="A63" t="s">
        <v>1063</v>
      </c>
      <c r="B63">
        <v>9001020200</v>
      </c>
      <c r="C63" t="s">
        <v>1064</v>
      </c>
      <c r="D63">
        <v>2</v>
      </c>
      <c r="E63" t="s">
        <v>944</v>
      </c>
    </row>
    <row r="64" spans="1:5" x14ac:dyDescent="0.2">
      <c r="A64" t="s">
        <v>2303</v>
      </c>
      <c r="B64">
        <v>9009184400</v>
      </c>
      <c r="C64" t="s">
        <v>2304</v>
      </c>
      <c r="D64">
        <v>3</v>
      </c>
      <c r="E64" t="s">
        <v>944</v>
      </c>
    </row>
    <row r="65" spans="1:5" x14ac:dyDescent="0.2">
      <c r="A65" t="s">
        <v>2305</v>
      </c>
      <c r="B65">
        <v>9009184500</v>
      </c>
      <c r="C65" t="s">
        <v>2306</v>
      </c>
      <c r="D65">
        <v>3</v>
      </c>
      <c r="E65" t="s">
        <v>944</v>
      </c>
    </row>
    <row r="66" spans="1:5" x14ac:dyDescent="0.2">
      <c r="A66" t="s">
        <v>1451</v>
      </c>
      <c r="B66">
        <v>9003400100</v>
      </c>
      <c r="C66" t="s">
        <v>1452</v>
      </c>
      <c r="D66">
        <v>3</v>
      </c>
      <c r="E66" t="s">
        <v>944</v>
      </c>
    </row>
    <row r="67" spans="1:5" x14ac:dyDescent="0.2">
      <c r="A67" t="s">
        <v>1451</v>
      </c>
      <c r="B67">
        <v>9003400100</v>
      </c>
      <c r="C67" t="s">
        <v>1452</v>
      </c>
      <c r="D67">
        <v>3</v>
      </c>
      <c r="E67" t="s">
        <v>944</v>
      </c>
    </row>
    <row r="68" spans="1:5" x14ac:dyDescent="0.2">
      <c r="A68" t="s">
        <v>2307</v>
      </c>
      <c r="B68">
        <v>9009184600</v>
      </c>
      <c r="C68" t="s">
        <v>2308</v>
      </c>
      <c r="D68">
        <v>3</v>
      </c>
      <c r="E68" t="s">
        <v>944</v>
      </c>
    </row>
    <row r="69" spans="1:5" x14ac:dyDescent="0.2">
      <c r="A69" t="s">
        <v>2309</v>
      </c>
      <c r="B69">
        <v>9009184700</v>
      </c>
      <c r="C69" t="s">
        <v>2310</v>
      </c>
      <c r="D69">
        <v>3</v>
      </c>
      <c r="E69" t="s">
        <v>944</v>
      </c>
    </row>
    <row r="70" spans="1:5" x14ac:dyDescent="0.2">
      <c r="A70" t="s">
        <v>1065</v>
      </c>
      <c r="B70">
        <v>9001020300</v>
      </c>
      <c r="C70" t="s">
        <v>1066</v>
      </c>
      <c r="D70">
        <v>2</v>
      </c>
      <c r="E70" t="s">
        <v>944</v>
      </c>
    </row>
    <row r="71" spans="1:5" x14ac:dyDescent="0.2">
      <c r="A71" t="s">
        <v>2323</v>
      </c>
      <c r="B71">
        <v>9009190303</v>
      </c>
      <c r="C71" t="s">
        <v>2324</v>
      </c>
      <c r="D71">
        <v>3</v>
      </c>
      <c r="E71" t="s">
        <v>944</v>
      </c>
    </row>
    <row r="72" spans="1:5" x14ac:dyDescent="0.2">
      <c r="A72" t="s">
        <v>2323</v>
      </c>
      <c r="B72">
        <v>9009190303</v>
      </c>
      <c r="C72" t="s">
        <v>2324</v>
      </c>
      <c r="D72">
        <v>3</v>
      </c>
      <c r="E72" t="s">
        <v>944</v>
      </c>
    </row>
    <row r="73" spans="1:5" x14ac:dyDescent="0.2">
      <c r="A73" t="s">
        <v>1453</v>
      </c>
      <c r="B73">
        <v>9003400200</v>
      </c>
      <c r="C73" t="s">
        <v>1454</v>
      </c>
      <c r="D73">
        <v>3</v>
      </c>
      <c r="E73" t="s">
        <v>944</v>
      </c>
    </row>
    <row r="74" spans="1:5" x14ac:dyDescent="0.2">
      <c r="A74" t="s">
        <v>2329</v>
      </c>
      <c r="B74">
        <v>9009194202</v>
      </c>
      <c r="C74" t="s">
        <v>2330</v>
      </c>
      <c r="D74">
        <v>3</v>
      </c>
      <c r="E74" t="s">
        <v>944</v>
      </c>
    </row>
    <row r="75" spans="1:5" x14ac:dyDescent="0.2">
      <c r="A75" t="s">
        <v>1067</v>
      </c>
      <c r="B75">
        <v>9001020400</v>
      </c>
      <c r="C75" t="s">
        <v>1068</v>
      </c>
      <c r="D75">
        <v>2</v>
      </c>
      <c r="E75" t="s">
        <v>944</v>
      </c>
    </row>
    <row r="76" spans="1:5" x14ac:dyDescent="0.2">
      <c r="A76" t="s">
        <v>1369</v>
      </c>
      <c r="B76">
        <v>9001200100</v>
      </c>
      <c r="C76" t="s">
        <v>1370</v>
      </c>
      <c r="D76">
        <v>3</v>
      </c>
      <c r="E76" t="s">
        <v>944</v>
      </c>
    </row>
    <row r="77" spans="1:5" x14ac:dyDescent="0.2">
      <c r="A77" t="s">
        <v>1369</v>
      </c>
      <c r="B77">
        <v>9001200100</v>
      </c>
      <c r="C77" t="s">
        <v>1370</v>
      </c>
      <c r="D77">
        <v>3</v>
      </c>
      <c r="E77" t="s">
        <v>944</v>
      </c>
    </row>
    <row r="78" spans="1:5" x14ac:dyDescent="0.2">
      <c r="A78" t="s">
        <v>1455</v>
      </c>
      <c r="B78">
        <v>9003400300</v>
      </c>
      <c r="C78" t="s">
        <v>1456</v>
      </c>
      <c r="D78">
        <v>3</v>
      </c>
      <c r="E78" t="s">
        <v>944</v>
      </c>
    </row>
    <row r="79" spans="1:5" x14ac:dyDescent="0.2">
      <c r="A79" t="s">
        <v>1455</v>
      </c>
      <c r="B79">
        <v>9003400300</v>
      </c>
      <c r="C79" t="s">
        <v>1456</v>
      </c>
      <c r="D79">
        <v>3</v>
      </c>
      <c r="E79" t="s">
        <v>944</v>
      </c>
    </row>
    <row r="80" spans="1:5" x14ac:dyDescent="0.2">
      <c r="A80" t="s">
        <v>1371</v>
      </c>
      <c r="B80">
        <v>9001200200</v>
      </c>
      <c r="C80" t="s">
        <v>1372</v>
      </c>
      <c r="D80">
        <v>4</v>
      </c>
      <c r="E80" t="s">
        <v>944</v>
      </c>
    </row>
    <row r="81" spans="1:5" x14ac:dyDescent="0.2">
      <c r="A81" t="s">
        <v>1373</v>
      </c>
      <c r="B81">
        <v>9001200301</v>
      </c>
      <c r="C81" t="s">
        <v>1374</v>
      </c>
      <c r="D81">
        <v>3</v>
      </c>
      <c r="E81" t="s">
        <v>944</v>
      </c>
    </row>
    <row r="82" spans="1:5" x14ac:dyDescent="0.2">
      <c r="A82" t="s">
        <v>1373</v>
      </c>
      <c r="B82">
        <v>9001200301</v>
      </c>
      <c r="C82" t="s">
        <v>1374</v>
      </c>
      <c r="D82">
        <v>3</v>
      </c>
      <c r="E82" t="s">
        <v>944</v>
      </c>
    </row>
    <row r="83" spans="1:5" x14ac:dyDescent="0.2">
      <c r="A83" t="s">
        <v>1069</v>
      </c>
      <c r="B83">
        <v>9001020500</v>
      </c>
      <c r="C83" t="s">
        <v>1070</v>
      </c>
      <c r="D83">
        <v>2</v>
      </c>
      <c r="E83" t="s">
        <v>944</v>
      </c>
    </row>
    <row r="84" spans="1:5" x14ac:dyDescent="0.2">
      <c r="A84" t="s">
        <v>1675</v>
      </c>
      <c r="B84">
        <v>9003490302</v>
      </c>
      <c r="C84" t="s">
        <v>1676</v>
      </c>
      <c r="D84">
        <v>3</v>
      </c>
      <c r="E84" t="s">
        <v>944</v>
      </c>
    </row>
    <row r="85" spans="1:5" x14ac:dyDescent="0.2">
      <c r="A85" t="s">
        <v>1675</v>
      </c>
      <c r="B85">
        <v>9003490302</v>
      </c>
      <c r="C85" t="s">
        <v>1676</v>
      </c>
      <c r="D85">
        <v>3</v>
      </c>
      <c r="E85" t="s">
        <v>944</v>
      </c>
    </row>
    <row r="86" spans="1:5" x14ac:dyDescent="0.2">
      <c r="A86" t="s">
        <v>1071</v>
      </c>
      <c r="B86">
        <v>9001020600</v>
      </c>
      <c r="C86" t="s">
        <v>1072</v>
      </c>
      <c r="D86">
        <v>2</v>
      </c>
      <c r="E86" t="s">
        <v>944</v>
      </c>
    </row>
    <row r="87" spans="1:5" x14ac:dyDescent="0.2">
      <c r="A87" t="s">
        <v>1377</v>
      </c>
      <c r="B87">
        <v>9001205100</v>
      </c>
      <c r="C87" t="s">
        <v>1378</v>
      </c>
      <c r="D87">
        <v>3</v>
      </c>
      <c r="E87" t="s">
        <v>944</v>
      </c>
    </row>
    <row r="88" spans="1:5" x14ac:dyDescent="0.2">
      <c r="A88" t="s">
        <v>2259</v>
      </c>
      <c r="B88">
        <v>9009171600</v>
      </c>
      <c r="C88" t="s">
        <v>2260</v>
      </c>
      <c r="D88">
        <v>4</v>
      </c>
      <c r="E88" t="s">
        <v>944</v>
      </c>
    </row>
    <row r="89" spans="1:5" x14ac:dyDescent="0.2">
      <c r="A89" t="s">
        <v>2259</v>
      </c>
      <c r="B89">
        <v>9009171600</v>
      </c>
      <c r="C89" t="s">
        <v>2260</v>
      </c>
      <c r="D89">
        <v>4</v>
      </c>
      <c r="E89" t="s">
        <v>944</v>
      </c>
    </row>
    <row r="90" spans="1:5" x14ac:dyDescent="0.2">
      <c r="A90" t="s">
        <v>1379</v>
      </c>
      <c r="B90">
        <v>9001205200</v>
      </c>
      <c r="C90" t="s">
        <v>1380</v>
      </c>
      <c r="D90">
        <v>3</v>
      </c>
      <c r="E90" t="s">
        <v>944</v>
      </c>
    </row>
    <row r="91" spans="1:5" x14ac:dyDescent="0.2">
      <c r="A91" t="s">
        <v>1379</v>
      </c>
      <c r="B91">
        <v>9001205200</v>
      </c>
      <c r="C91" t="s">
        <v>1380</v>
      </c>
      <c r="D91">
        <v>3</v>
      </c>
      <c r="E91" t="s">
        <v>944</v>
      </c>
    </row>
    <row r="92" spans="1:5" x14ac:dyDescent="0.2">
      <c r="A92" t="s">
        <v>1381</v>
      </c>
      <c r="B92">
        <v>9001205300</v>
      </c>
      <c r="C92" t="s">
        <v>1382</v>
      </c>
      <c r="D92">
        <v>3</v>
      </c>
      <c r="E92" t="s">
        <v>944</v>
      </c>
    </row>
    <row r="93" spans="1:5" x14ac:dyDescent="0.2">
      <c r="A93" t="s">
        <v>1381</v>
      </c>
      <c r="B93">
        <v>9001205300</v>
      </c>
      <c r="C93" t="s">
        <v>1382</v>
      </c>
      <c r="D93">
        <v>3</v>
      </c>
      <c r="E93" t="s">
        <v>944</v>
      </c>
    </row>
    <row r="94" spans="1:5" x14ac:dyDescent="0.2">
      <c r="A94" t="s">
        <v>1381</v>
      </c>
      <c r="B94">
        <v>9001205300</v>
      </c>
      <c r="C94" t="s">
        <v>1382</v>
      </c>
      <c r="D94">
        <v>3</v>
      </c>
      <c r="E94" t="s">
        <v>944</v>
      </c>
    </row>
    <row r="95" spans="1:5" x14ac:dyDescent="0.2">
      <c r="A95" t="s">
        <v>1073</v>
      </c>
      <c r="B95">
        <v>9001020700</v>
      </c>
      <c r="C95" t="s">
        <v>1074</v>
      </c>
      <c r="D95">
        <v>2</v>
      </c>
      <c r="E95" t="s">
        <v>944</v>
      </c>
    </row>
    <row r="96" spans="1:5" x14ac:dyDescent="0.2">
      <c r="A96" t="s">
        <v>2195</v>
      </c>
      <c r="B96">
        <v>9009161100</v>
      </c>
      <c r="C96" t="s">
        <v>2196</v>
      </c>
      <c r="D96">
        <v>3</v>
      </c>
      <c r="E96" t="s">
        <v>944</v>
      </c>
    </row>
    <row r="97" spans="1:5" x14ac:dyDescent="0.2">
      <c r="A97" t="s">
        <v>1075</v>
      </c>
      <c r="B97">
        <v>9001020800</v>
      </c>
      <c r="C97" t="s">
        <v>1076</v>
      </c>
      <c r="D97">
        <v>2</v>
      </c>
      <c r="E97" t="s">
        <v>944</v>
      </c>
    </row>
    <row r="98" spans="1:5" x14ac:dyDescent="0.2">
      <c r="A98" t="s">
        <v>1077</v>
      </c>
      <c r="B98">
        <v>9001020900</v>
      </c>
      <c r="C98" t="s">
        <v>1078</v>
      </c>
      <c r="D98">
        <v>3</v>
      </c>
      <c r="E98" t="s">
        <v>944</v>
      </c>
    </row>
    <row r="99" spans="1:5" x14ac:dyDescent="0.2">
      <c r="A99" t="s">
        <v>1383</v>
      </c>
      <c r="B99">
        <v>9001210100</v>
      </c>
      <c r="C99" t="s">
        <v>1384</v>
      </c>
      <c r="D99">
        <v>5</v>
      </c>
      <c r="E99" t="s">
        <v>944</v>
      </c>
    </row>
    <row r="100" spans="1:5" x14ac:dyDescent="0.2">
      <c r="A100" t="s">
        <v>1385</v>
      </c>
      <c r="B100">
        <v>9001210200</v>
      </c>
      <c r="C100" t="s">
        <v>1386</v>
      </c>
      <c r="D100">
        <v>6</v>
      </c>
      <c r="E100" t="s">
        <v>936</v>
      </c>
    </row>
    <row r="101" spans="1:5" x14ac:dyDescent="0.2">
      <c r="A101" t="s">
        <v>1391</v>
      </c>
      <c r="B101">
        <v>9001210500</v>
      </c>
      <c r="C101" t="s">
        <v>1392</v>
      </c>
      <c r="D101">
        <v>3</v>
      </c>
      <c r="E101" t="s">
        <v>944</v>
      </c>
    </row>
    <row r="102" spans="1:5" x14ac:dyDescent="0.2">
      <c r="A102" t="s">
        <v>1391</v>
      </c>
      <c r="B102">
        <v>9001210500</v>
      </c>
      <c r="C102" t="s">
        <v>1392</v>
      </c>
      <c r="D102">
        <v>3</v>
      </c>
      <c r="E102" t="s">
        <v>944</v>
      </c>
    </row>
    <row r="103" spans="1:5" x14ac:dyDescent="0.2">
      <c r="A103" t="s">
        <v>1391</v>
      </c>
      <c r="B103">
        <v>9001210500</v>
      </c>
      <c r="C103" t="s">
        <v>1392</v>
      </c>
      <c r="D103">
        <v>3</v>
      </c>
      <c r="E103" t="s">
        <v>944</v>
      </c>
    </row>
    <row r="104" spans="1:5" x14ac:dyDescent="0.2">
      <c r="A104" t="s">
        <v>1079</v>
      </c>
      <c r="B104">
        <v>9001021000</v>
      </c>
      <c r="C104" t="s">
        <v>1080</v>
      </c>
      <c r="D104">
        <v>2</v>
      </c>
      <c r="E104" t="s">
        <v>944</v>
      </c>
    </row>
    <row r="105" spans="1:5" x14ac:dyDescent="0.2">
      <c r="A105" t="s">
        <v>1393</v>
      </c>
      <c r="B105">
        <v>9001210600</v>
      </c>
      <c r="C105" t="s">
        <v>1394</v>
      </c>
      <c r="D105">
        <v>5</v>
      </c>
      <c r="E105" t="s">
        <v>944</v>
      </c>
    </row>
    <row r="106" spans="1:5" x14ac:dyDescent="0.2">
      <c r="A106" t="s">
        <v>1399</v>
      </c>
      <c r="B106">
        <v>9001210800</v>
      </c>
      <c r="C106" t="s">
        <v>1400</v>
      </c>
      <c r="D106">
        <v>3</v>
      </c>
      <c r="E106" t="s">
        <v>944</v>
      </c>
    </row>
    <row r="107" spans="1:5" x14ac:dyDescent="0.2">
      <c r="A107" t="s">
        <v>1401</v>
      </c>
      <c r="B107">
        <v>9001210900</v>
      </c>
      <c r="C107" t="s">
        <v>1402</v>
      </c>
      <c r="D107">
        <v>3</v>
      </c>
      <c r="E107" t="s">
        <v>944</v>
      </c>
    </row>
    <row r="108" spans="1:5" x14ac:dyDescent="0.2">
      <c r="A108" t="s">
        <v>1401</v>
      </c>
      <c r="B108">
        <v>9001210900</v>
      </c>
      <c r="C108" t="s">
        <v>1402</v>
      </c>
      <c r="D108">
        <v>3</v>
      </c>
      <c r="E108" t="s">
        <v>944</v>
      </c>
    </row>
    <row r="109" spans="1:5" x14ac:dyDescent="0.2">
      <c r="A109" t="s">
        <v>1081</v>
      </c>
      <c r="B109">
        <v>9001021100</v>
      </c>
      <c r="C109" t="s">
        <v>1082</v>
      </c>
      <c r="D109">
        <v>2</v>
      </c>
      <c r="E109" t="s">
        <v>944</v>
      </c>
    </row>
    <row r="110" spans="1:5" x14ac:dyDescent="0.2">
      <c r="A110" t="s">
        <v>1375</v>
      </c>
      <c r="B110">
        <v>9001200302</v>
      </c>
      <c r="C110" t="s">
        <v>1376</v>
      </c>
      <c r="D110">
        <v>3</v>
      </c>
      <c r="E110" t="s">
        <v>944</v>
      </c>
    </row>
    <row r="111" spans="1:5" x14ac:dyDescent="0.2">
      <c r="A111" t="s">
        <v>1375</v>
      </c>
      <c r="B111">
        <v>9001200302</v>
      </c>
      <c r="C111" t="s">
        <v>1376</v>
      </c>
      <c r="D111">
        <v>3</v>
      </c>
      <c r="E111" t="s">
        <v>944</v>
      </c>
    </row>
    <row r="112" spans="1:5" x14ac:dyDescent="0.2">
      <c r="A112" t="s">
        <v>1403</v>
      </c>
      <c r="B112">
        <v>9001211000</v>
      </c>
      <c r="C112" t="s">
        <v>1404</v>
      </c>
      <c r="D112">
        <v>4</v>
      </c>
      <c r="E112" t="s">
        <v>944</v>
      </c>
    </row>
    <row r="113" spans="1:5" x14ac:dyDescent="0.2">
      <c r="A113" t="s">
        <v>1403</v>
      </c>
      <c r="B113">
        <v>9001211000</v>
      </c>
      <c r="C113" t="s">
        <v>1404</v>
      </c>
      <c r="D113">
        <v>4</v>
      </c>
      <c r="E113" t="s">
        <v>944</v>
      </c>
    </row>
    <row r="114" spans="1:5" x14ac:dyDescent="0.2">
      <c r="A114" t="s">
        <v>1405</v>
      </c>
      <c r="B114">
        <v>9001211200</v>
      </c>
      <c r="C114" t="s">
        <v>1406</v>
      </c>
      <c r="D114">
        <v>4</v>
      </c>
      <c r="E114" t="s">
        <v>944</v>
      </c>
    </row>
    <row r="115" spans="1:5" x14ac:dyDescent="0.2">
      <c r="A115" t="s">
        <v>1083</v>
      </c>
      <c r="B115">
        <v>9001021200</v>
      </c>
      <c r="C115" t="s">
        <v>1084</v>
      </c>
      <c r="D115">
        <v>2</v>
      </c>
      <c r="E115" t="s">
        <v>944</v>
      </c>
    </row>
    <row r="116" spans="1:5" x14ac:dyDescent="0.2">
      <c r="A116" t="s">
        <v>1087</v>
      </c>
      <c r="B116">
        <v>9001021400</v>
      </c>
      <c r="C116" t="s">
        <v>1088</v>
      </c>
      <c r="D116">
        <v>4</v>
      </c>
      <c r="E116" t="s">
        <v>944</v>
      </c>
    </row>
    <row r="117" spans="1:5" x14ac:dyDescent="0.2">
      <c r="A117" t="s">
        <v>1087</v>
      </c>
      <c r="B117">
        <v>9001021400</v>
      </c>
      <c r="C117" t="s">
        <v>1088</v>
      </c>
      <c r="D117">
        <v>4</v>
      </c>
      <c r="E117" t="s">
        <v>944</v>
      </c>
    </row>
    <row r="118" spans="1:5" x14ac:dyDescent="0.2">
      <c r="A118" t="s">
        <v>1413</v>
      </c>
      <c r="B118">
        <v>9001220200</v>
      </c>
      <c r="C118" t="s">
        <v>1414</v>
      </c>
      <c r="D118">
        <v>3</v>
      </c>
      <c r="E118" t="s">
        <v>944</v>
      </c>
    </row>
    <row r="119" spans="1:5" x14ac:dyDescent="0.2">
      <c r="A119" t="s">
        <v>1413</v>
      </c>
      <c r="B119">
        <v>9001220200</v>
      </c>
      <c r="C119" t="s">
        <v>1414</v>
      </c>
      <c r="D119">
        <v>3</v>
      </c>
      <c r="E119" t="s">
        <v>944</v>
      </c>
    </row>
    <row r="120" spans="1:5" x14ac:dyDescent="0.2">
      <c r="A120" t="s">
        <v>1413</v>
      </c>
      <c r="B120">
        <v>9001220200</v>
      </c>
      <c r="C120" t="s">
        <v>1414</v>
      </c>
      <c r="D120">
        <v>3</v>
      </c>
      <c r="E120" t="s">
        <v>944</v>
      </c>
    </row>
    <row r="121" spans="1:5" x14ac:dyDescent="0.2">
      <c r="A121" t="s">
        <v>1417</v>
      </c>
      <c r="B121">
        <v>9001230100</v>
      </c>
      <c r="C121" t="s">
        <v>1418</v>
      </c>
      <c r="D121">
        <v>3</v>
      </c>
      <c r="E121" t="s">
        <v>944</v>
      </c>
    </row>
    <row r="122" spans="1:5" x14ac:dyDescent="0.2">
      <c r="A122" t="s">
        <v>1085</v>
      </c>
      <c r="B122">
        <v>9001021300</v>
      </c>
      <c r="C122" t="s">
        <v>1086</v>
      </c>
      <c r="D122">
        <v>2</v>
      </c>
      <c r="E122" t="s">
        <v>944</v>
      </c>
    </row>
    <row r="123" spans="1:5" x14ac:dyDescent="0.2">
      <c r="A123" t="s">
        <v>1419</v>
      </c>
      <c r="B123">
        <v>9001230200</v>
      </c>
      <c r="C123" t="s">
        <v>1420</v>
      </c>
      <c r="D123">
        <v>3</v>
      </c>
      <c r="E123" t="s">
        <v>944</v>
      </c>
    </row>
    <row r="124" spans="1:5" x14ac:dyDescent="0.2">
      <c r="A124" t="s">
        <v>1389</v>
      </c>
      <c r="B124">
        <v>9001210400</v>
      </c>
      <c r="C124" t="s">
        <v>1390</v>
      </c>
      <c r="D124">
        <v>3</v>
      </c>
      <c r="E124" t="s">
        <v>944</v>
      </c>
    </row>
    <row r="125" spans="1:5" x14ac:dyDescent="0.2">
      <c r="A125" t="s">
        <v>1389</v>
      </c>
      <c r="B125">
        <v>9001210400</v>
      </c>
      <c r="C125" t="s">
        <v>1390</v>
      </c>
      <c r="D125">
        <v>3</v>
      </c>
      <c r="E125" t="s">
        <v>944</v>
      </c>
    </row>
    <row r="126" spans="1:5" x14ac:dyDescent="0.2">
      <c r="A126" t="s">
        <v>1421</v>
      </c>
      <c r="B126">
        <v>9001230300</v>
      </c>
      <c r="C126" t="s">
        <v>1422</v>
      </c>
      <c r="D126">
        <v>3</v>
      </c>
      <c r="E126" t="s">
        <v>944</v>
      </c>
    </row>
    <row r="127" spans="1:5" x14ac:dyDescent="0.2">
      <c r="A127" t="s">
        <v>1423</v>
      </c>
      <c r="B127">
        <v>9001230400</v>
      </c>
      <c r="C127" t="s">
        <v>1424</v>
      </c>
      <c r="D127">
        <v>3</v>
      </c>
      <c r="E127" t="s">
        <v>944</v>
      </c>
    </row>
    <row r="128" spans="1:5" x14ac:dyDescent="0.2">
      <c r="A128" t="s">
        <v>1423</v>
      </c>
      <c r="B128">
        <v>9001230400</v>
      </c>
      <c r="C128" t="s">
        <v>1424</v>
      </c>
      <c r="D128">
        <v>3</v>
      </c>
      <c r="E128" t="s">
        <v>944</v>
      </c>
    </row>
    <row r="129" spans="1:5" x14ac:dyDescent="0.2">
      <c r="A129" t="s">
        <v>1423</v>
      </c>
      <c r="B129">
        <v>9001230400</v>
      </c>
      <c r="C129" t="s">
        <v>1424</v>
      </c>
      <c r="D129">
        <v>3</v>
      </c>
      <c r="E129" t="s">
        <v>944</v>
      </c>
    </row>
    <row r="130" spans="1:5" x14ac:dyDescent="0.2">
      <c r="A130" t="s">
        <v>1425</v>
      </c>
      <c r="B130">
        <v>9001230501</v>
      </c>
      <c r="C130" t="s">
        <v>1426</v>
      </c>
      <c r="D130">
        <v>3</v>
      </c>
      <c r="E130" t="s">
        <v>944</v>
      </c>
    </row>
    <row r="131" spans="1:5" x14ac:dyDescent="0.2">
      <c r="A131" t="s">
        <v>1427</v>
      </c>
      <c r="B131">
        <v>9001230502</v>
      </c>
      <c r="C131" t="s">
        <v>1428</v>
      </c>
      <c r="D131">
        <v>3</v>
      </c>
      <c r="E131" t="s">
        <v>944</v>
      </c>
    </row>
    <row r="132" spans="1:5" x14ac:dyDescent="0.2">
      <c r="A132" t="s">
        <v>1429</v>
      </c>
      <c r="B132">
        <v>9001240100</v>
      </c>
      <c r="C132" t="s">
        <v>1430</v>
      </c>
      <c r="D132">
        <v>3</v>
      </c>
      <c r="E132" t="s">
        <v>944</v>
      </c>
    </row>
    <row r="133" spans="1:5" x14ac:dyDescent="0.2">
      <c r="A133" t="s">
        <v>1429</v>
      </c>
      <c r="B133">
        <v>9001240100</v>
      </c>
      <c r="C133" t="s">
        <v>1430</v>
      </c>
      <c r="D133">
        <v>3</v>
      </c>
      <c r="E133" t="s">
        <v>944</v>
      </c>
    </row>
    <row r="134" spans="1:5" x14ac:dyDescent="0.2">
      <c r="A134" t="s">
        <v>1429</v>
      </c>
      <c r="B134">
        <v>9001240100</v>
      </c>
      <c r="C134" t="s">
        <v>1430</v>
      </c>
      <c r="D134">
        <v>3</v>
      </c>
      <c r="E134" t="s">
        <v>944</v>
      </c>
    </row>
    <row r="135" spans="1:5" x14ac:dyDescent="0.2">
      <c r="A135" t="s">
        <v>1431</v>
      </c>
      <c r="B135">
        <v>9001240200</v>
      </c>
      <c r="C135" t="s">
        <v>1432</v>
      </c>
      <c r="D135">
        <v>3</v>
      </c>
      <c r="E135" t="s">
        <v>944</v>
      </c>
    </row>
    <row r="136" spans="1:5" x14ac:dyDescent="0.2">
      <c r="A136" t="s">
        <v>1433</v>
      </c>
      <c r="B136">
        <v>9001245100</v>
      </c>
      <c r="C136" t="s">
        <v>1434</v>
      </c>
      <c r="D136">
        <v>2</v>
      </c>
      <c r="E136" t="s">
        <v>944</v>
      </c>
    </row>
    <row r="137" spans="1:5" x14ac:dyDescent="0.2">
      <c r="A137" t="s">
        <v>1089</v>
      </c>
      <c r="B137">
        <v>9001021500</v>
      </c>
      <c r="C137" t="s">
        <v>1090</v>
      </c>
      <c r="D137">
        <v>4</v>
      </c>
      <c r="E137" t="s">
        <v>944</v>
      </c>
    </row>
    <row r="138" spans="1:5" x14ac:dyDescent="0.2">
      <c r="A138" t="s">
        <v>1435</v>
      </c>
      <c r="B138">
        <v>9001245200</v>
      </c>
      <c r="C138" t="s">
        <v>1436</v>
      </c>
      <c r="D138">
        <v>2</v>
      </c>
      <c r="E138" t="s">
        <v>944</v>
      </c>
    </row>
    <row r="139" spans="1:5" x14ac:dyDescent="0.2">
      <c r="A139" t="s">
        <v>1435</v>
      </c>
      <c r="B139">
        <v>9001245200</v>
      </c>
      <c r="C139" t="s">
        <v>1436</v>
      </c>
      <c r="D139">
        <v>2</v>
      </c>
      <c r="E139" t="s">
        <v>944</v>
      </c>
    </row>
    <row r="140" spans="1:5" x14ac:dyDescent="0.2">
      <c r="A140" t="s">
        <v>1435</v>
      </c>
      <c r="B140">
        <v>9001245200</v>
      </c>
      <c r="C140" t="s">
        <v>1436</v>
      </c>
      <c r="D140">
        <v>2</v>
      </c>
      <c r="E140" t="s">
        <v>944</v>
      </c>
    </row>
    <row r="141" spans="1:5" x14ac:dyDescent="0.2">
      <c r="A141" t="s">
        <v>1439</v>
      </c>
      <c r="B141">
        <v>9001245400</v>
      </c>
      <c r="C141" t="s">
        <v>1440</v>
      </c>
      <c r="D141">
        <v>2</v>
      </c>
      <c r="E141" t="s">
        <v>944</v>
      </c>
    </row>
    <row r="142" spans="1:5" x14ac:dyDescent="0.2">
      <c r="A142" t="s">
        <v>1441</v>
      </c>
      <c r="B142">
        <v>9001245500</v>
      </c>
      <c r="C142" t="s">
        <v>1442</v>
      </c>
      <c r="D142">
        <v>2</v>
      </c>
      <c r="E142" t="s">
        <v>944</v>
      </c>
    </row>
    <row r="143" spans="1:5" x14ac:dyDescent="0.2">
      <c r="A143" t="s">
        <v>1443</v>
      </c>
      <c r="B143">
        <v>9001245600</v>
      </c>
      <c r="C143" t="s">
        <v>1444</v>
      </c>
      <c r="D143">
        <v>2</v>
      </c>
      <c r="E143" t="s">
        <v>944</v>
      </c>
    </row>
    <row r="144" spans="1:5" x14ac:dyDescent="0.2">
      <c r="A144" t="s">
        <v>1443</v>
      </c>
      <c r="B144">
        <v>9001245600</v>
      </c>
      <c r="C144" t="s">
        <v>1444</v>
      </c>
      <c r="D144">
        <v>2</v>
      </c>
      <c r="E144" t="s">
        <v>944</v>
      </c>
    </row>
    <row r="145" spans="1:5" x14ac:dyDescent="0.2">
      <c r="A145" t="s">
        <v>1091</v>
      </c>
      <c r="B145">
        <v>9001021600</v>
      </c>
      <c r="C145" t="s">
        <v>1092</v>
      </c>
      <c r="D145">
        <v>2</v>
      </c>
      <c r="E145" t="s">
        <v>944</v>
      </c>
    </row>
    <row r="146" spans="1:5" x14ac:dyDescent="0.2">
      <c r="A146" t="s">
        <v>1895</v>
      </c>
      <c r="B146">
        <v>9005253200</v>
      </c>
      <c r="C146" t="s">
        <v>1896</v>
      </c>
      <c r="D146">
        <v>3</v>
      </c>
      <c r="E146" t="s">
        <v>944</v>
      </c>
    </row>
    <row r="147" spans="1:5" x14ac:dyDescent="0.2">
      <c r="A147" t="s">
        <v>1937</v>
      </c>
      <c r="B147">
        <v>9005303100</v>
      </c>
      <c r="C147" t="s">
        <v>1938</v>
      </c>
      <c r="D147">
        <v>4</v>
      </c>
      <c r="E147" t="s">
        <v>944</v>
      </c>
    </row>
    <row r="148" spans="1:5" x14ac:dyDescent="0.2">
      <c r="A148" t="s">
        <v>1937</v>
      </c>
      <c r="B148">
        <v>9005303100</v>
      </c>
      <c r="C148" t="s">
        <v>1938</v>
      </c>
      <c r="D148">
        <v>4</v>
      </c>
      <c r="E148" t="s">
        <v>944</v>
      </c>
    </row>
    <row r="149" spans="1:5" x14ac:dyDescent="0.2">
      <c r="A149" t="s">
        <v>1937</v>
      </c>
      <c r="B149">
        <v>9005303100</v>
      </c>
      <c r="C149" t="s">
        <v>1938</v>
      </c>
      <c r="D149">
        <v>4</v>
      </c>
      <c r="E149" t="s">
        <v>944</v>
      </c>
    </row>
    <row r="150" spans="1:5" x14ac:dyDescent="0.2">
      <c r="A150" t="s">
        <v>1899</v>
      </c>
      <c r="B150">
        <v>9005253400</v>
      </c>
      <c r="C150" t="s">
        <v>1900</v>
      </c>
      <c r="D150">
        <v>3</v>
      </c>
      <c r="E150" t="s">
        <v>944</v>
      </c>
    </row>
    <row r="151" spans="1:5" x14ac:dyDescent="0.2">
      <c r="A151" t="s">
        <v>1899</v>
      </c>
      <c r="B151">
        <v>9005253400</v>
      </c>
      <c r="C151" t="s">
        <v>1900</v>
      </c>
      <c r="D151">
        <v>3</v>
      </c>
      <c r="E151" t="s">
        <v>944</v>
      </c>
    </row>
    <row r="152" spans="1:5" x14ac:dyDescent="0.2">
      <c r="A152" t="s">
        <v>1899</v>
      </c>
      <c r="B152">
        <v>9005253400</v>
      </c>
      <c r="C152" t="s">
        <v>1900</v>
      </c>
      <c r="D152">
        <v>3</v>
      </c>
      <c r="E152" t="s">
        <v>944</v>
      </c>
    </row>
    <row r="153" spans="1:5" x14ac:dyDescent="0.2">
      <c r="A153" t="s">
        <v>1901</v>
      </c>
      <c r="B153">
        <v>9005253500</v>
      </c>
      <c r="C153" t="s">
        <v>1902</v>
      </c>
      <c r="D153">
        <v>3</v>
      </c>
      <c r="E153" t="s">
        <v>944</v>
      </c>
    </row>
    <row r="154" spans="1:5" x14ac:dyDescent="0.2">
      <c r="A154" t="s">
        <v>1901</v>
      </c>
      <c r="B154">
        <v>9005253500</v>
      </c>
      <c r="C154" t="s">
        <v>1902</v>
      </c>
      <c r="D154">
        <v>3</v>
      </c>
      <c r="E154" t="s">
        <v>944</v>
      </c>
    </row>
    <row r="155" spans="1:5" x14ac:dyDescent="0.2">
      <c r="A155" t="s">
        <v>1901</v>
      </c>
      <c r="B155">
        <v>9005253500</v>
      </c>
      <c r="C155" t="s">
        <v>1902</v>
      </c>
      <c r="D155">
        <v>3</v>
      </c>
      <c r="E155" t="s">
        <v>944</v>
      </c>
    </row>
    <row r="156" spans="1:5" x14ac:dyDescent="0.2">
      <c r="A156" t="s">
        <v>1445</v>
      </c>
      <c r="B156">
        <v>9001257100</v>
      </c>
      <c r="C156" t="s">
        <v>1446</v>
      </c>
      <c r="D156">
        <v>3</v>
      </c>
      <c r="E156" t="s">
        <v>944</v>
      </c>
    </row>
    <row r="157" spans="1:5" x14ac:dyDescent="0.2">
      <c r="A157" t="s">
        <v>1445</v>
      </c>
      <c r="B157">
        <v>9001257100</v>
      </c>
      <c r="C157" t="s">
        <v>1446</v>
      </c>
      <c r="D157">
        <v>3</v>
      </c>
      <c r="E157" t="s">
        <v>944</v>
      </c>
    </row>
    <row r="158" spans="1:5" x14ac:dyDescent="0.2">
      <c r="A158" t="s">
        <v>1093</v>
      </c>
      <c r="B158">
        <v>9001021700</v>
      </c>
      <c r="C158" t="s">
        <v>1094</v>
      </c>
      <c r="D158">
        <v>2</v>
      </c>
      <c r="E158" t="s">
        <v>944</v>
      </c>
    </row>
    <row r="159" spans="1:5" x14ac:dyDescent="0.2">
      <c r="A159" t="s">
        <v>1907</v>
      </c>
      <c r="B159">
        <v>9005261100</v>
      </c>
      <c r="C159" t="s">
        <v>1908</v>
      </c>
      <c r="D159">
        <v>4</v>
      </c>
      <c r="E159" t="s">
        <v>944</v>
      </c>
    </row>
    <row r="160" spans="1:5" x14ac:dyDescent="0.2">
      <c r="A160" t="s">
        <v>1907</v>
      </c>
      <c r="B160">
        <v>9005261100</v>
      </c>
      <c r="C160" t="s">
        <v>1908</v>
      </c>
      <c r="D160">
        <v>4</v>
      </c>
      <c r="E160" t="s">
        <v>944</v>
      </c>
    </row>
    <row r="161" spans="1:5" x14ac:dyDescent="0.2">
      <c r="A161" t="s">
        <v>1967</v>
      </c>
      <c r="B161">
        <v>9005342100</v>
      </c>
      <c r="C161" t="s">
        <v>1968</v>
      </c>
      <c r="D161">
        <v>4</v>
      </c>
      <c r="E161" t="s">
        <v>944</v>
      </c>
    </row>
    <row r="162" spans="1:5" x14ac:dyDescent="0.2">
      <c r="A162" t="s">
        <v>1967</v>
      </c>
      <c r="B162">
        <v>9005342100</v>
      </c>
      <c r="C162" t="s">
        <v>1968</v>
      </c>
      <c r="D162">
        <v>4</v>
      </c>
      <c r="E162" t="s">
        <v>944</v>
      </c>
    </row>
    <row r="163" spans="1:5" x14ac:dyDescent="0.2">
      <c r="A163" t="s">
        <v>1911</v>
      </c>
      <c r="B163">
        <v>9005263200</v>
      </c>
      <c r="C163" t="s">
        <v>1912</v>
      </c>
      <c r="D163">
        <v>5</v>
      </c>
      <c r="E163" t="s">
        <v>944</v>
      </c>
    </row>
    <row r="164" spans="1:5" x14ac:dyDescent="0.2">
      <c r="A164" t="s">
        <v>1911</v>
      </c>
      <c r="B164">
        <v>9005263200</v>
      </c>
      <c r="C164" t="s">
        <v>1912</v>
      </c>
      <c r="D164">
        <v>5</v>
      </c>
      <c r="E164" t="s">
        <v>944</v>
      </c>
    </row>
    <row r="165" spans="1:5" x14ac:dyDescent="0.2">
      <c r="A165" t="s">
        <v>1911</v>
      </c>
      <c r="B165">
        <v>9005263200</v>
      </c>
      <c r="C165" t="s">
        <v>1912</v>
      </c>
      <c r="D165">
        <v>5</v>
      </c>
      <c r="E165" t="s">
        <v>944</v>
      </c>
    </row>
    <row r="166" spans="1:5" x14ac:dyDescent="0.2">
      <c r="A166" t="s">
        <v>1925</v>
      </c>
      <c r="B166">
        <v>9005296100</v>
      </c>
      <c r="C166" t="s">
        <v>1926</v>
      </c>
      <c r="D166">
        <v>4</v>
      </c>
      <c r="E166" t="s">
        <v>944</v>
      </c>
    </row>
    <row r="167" spans="1:5" x14ac:dyDescent="0.2">
      <c r="A167" t="s">
        <v>1925</v>
      </c>
      <c r="B167">
        <v>9005296100</v>
      </c>
      <c r="C167" t="s">
        <v>1926</v>
      </c>
      <c r="D167">
        <v>4</v>
      </c>
      <c r="E167" t="s">
        <v>944</v>
      </c>
    </row>
    <row r="168" spans="1:5" x14ac:dyDescent="0.2">
      <c r="A168" t="s">
        <v>1925</v>
      </c>
      <c r="B168">
        <v>9005296100</v>
      </c>
      <c r="C168" t="s">
        <v>1926</v>
      </c>
      <c r="D168">
        <v>4</v>
      </c>
      <c r="E168" t="s">
        <v>944</v>
      </c>
    </row>
    <row r="169" spans="1:5" x14ac:dyDescent="0.2">
      <c r="A169" t="s">
        <v>1095</v>
      </c>
      <c r="B169">
        <v>9001021801</v>
      </c>
      <c r="C169" t="s">
        <v>1096</v>
      </c>
      <c r="D169">
        <v>2</v>
      </c>
      <c r="E169" t="s">
        <v>944</v>
      </c>
    </row>
    <row r="170" spans="1:5" x14ac:dyDescent="0.2">
      <c r="A170" t="s">
        <v>1931</v>
      </c>
      <c r="B170">
        <v>9005300100</v>
      </c>
      <c r="C170" t="s">
        <v>1932</v>
      </c>
      <c r="D170">
        <v>4</v>
      </c>
      <c r="E170" t="s">
        <v>944</v>
      </c>
    </row>
    <row r="171" spans="1:5" x14ac:dyDescent="0.2">
      <c r="A171" t="s">
        <v>1931</v>
      </c>
      <c r="B171">
        <v>9005300100</v>
      </c>
      <c r="C171" t="s">
        <v>1932</v>
      </c>
      <c r="D171">
        <v>4</v>
      </c>
      <c r="E171" t="s">
        <v>944</v>
      </c>
    </row>
    <row r="172" spans="1:5" x14ac:dyDescent="0.2">
      <c r="A172" t="s">
        <v>1983</v>
      </c>
      <c r="B172">
        <v>9005362102</v>
      </c>
      <c r="C172" t="s">
        <v>1984</v>
      </c>
      <c r="D172">
        <v>4</v>
      </c>
      <c r="E172" t="s">
        <v>944</v>
      </c>
    </row>
    <row r="173" spans="1:5" x14ac:dyDescent="0.2">
      <c r="A173" t="s">
        <v>1983</v>
      </c>
      <c r="B173">
        <v>9005362102</v>
      </c>
      <c r="C173" t="s">
        <v>1984</v>
      </c>
      <c r="D173">
        <v>4</v>
      </c>
      <c r="E173" t="s">
        <v>944</v>
      </c>
    </row>
    <row r="174" spans="1:5" x14ac:dyDescent="0.2">
      <c r="A174" t="s">
        <v>1983</v>
      </c>
      <c r="B174">
        <v>9005362102</v>
      </c>
      <c r="C174" t="s">
        <v>1984</v>
      </c>
      <c r="D174">
        <v>4</v>
      </c>
      <c r="E174" t="s">
        <v>944</v>
      </c>
    </row>
    <row r="175" spans="1:5" x14ac:dyDescent="0.2">
      <c r="A175" t="s">
        <v>1933</v>
      </c>
      <c r="B175">
        <v>9005300400</v>
      </c>
      <c r="C175" t="s">
        <v>1934</v>
      </c>
      <c r="D175">
        <v>4</v>
      </c>
      <c r="E175" t="s">
        <v>944</v>
      </c>
    </row>
    <row r="176" spans="1:5" x14ac:dyDescent="0.2">
      <c r="A176" t="s">
        <v>1933</v>
      </c>
      <c r="B176">
        <v>9005300400</v>
      </c>
      <c r="C176" t="s">
        <v>1934</v>
      </c>
      <c r="D176">
        <v>4</v>
      </c>
      <c r="E176" t="s">
        <v>944</v>
      </c>
    </row>
    <row r="177" spans="1:5" x14ac:dyDescent="0.2">
      <c r="A177" t="s">
        <v>1935</v>
      </c>
      <c r="B177">
        <v>9005300500</v>
      </c>
      <c r="C177" t="s">
        <v>1936</v>
      </c>
      <c r="D177">
        <v>4</v>
      </c>
      <c r="E177" t="s">
        <v>944</v>
      </c>
    </row>
    <row r="178" spans="1:5" x14ac:dyDescent="0.2">
      <c r="A178" t="s">
        <v>1935</v>
      </c>
      <c r="B178">
        <v>9005300500</v>
      </c>
      <c r="C178" t="s">
        <v>1936</v>
      </c>
      <c r="D178">
        <v>4</v>
      </c>
      <c r="E178" t="s">
        <v>944</v>
      </c>
    </row>
    <row r="179" spans="1:5" x14ac:dyDescent="0.2">
      <c r="A179" t="s">
        <v>1111</v>
      </c>
      <c r="B179">
        <v>9001030100</v>
      </c>
      <c r="C179" t="s">
        <v>1112</v>
      </c>
      <c r="D179">
        <v>2</v>
      </c>
      <c r="E179" t="s">
        <v>944</v>
      </c>
    </row>
    <row r="180" spans="1:5" x14ac:dyDescent="0.2">
      <c r="A180" t="s">
        <v>1097</v>
      </c>
      <c r="B180">
        <v>9001021802</v>
      </c>
      <c r="C180" t="s">
        <v>1098</v>
      </c>
      <c r="D180">
        <v>3</v>
      </c>
      <c r="E180" t="s">
        <v>944</v>
      </c>
    </row>
    <row r="181" spans="1:5" x14ac:dyDescent="0.2">
      <c r="A181" t="s">
        <v>1113</v>
      </c>
      <c r="B181">
        <v>9001030200</v>
      </c>
      <c r="C181" t="s">
        <v>1114</v>
      </c>
      <c r="D181">
        <v>2</v>
      </c>
      <c r="E181" t="s">
        <v>944</v>
      </c>
    </row>
    <row r="182" spans="1:5" x14ac:dyDescent="0.2">
      <c r="A182" t="s">
        <v>1597</v>
      </c>
      <c r="B182">
        <v>9003471100</v>
      </c>
      <c r="C182" t="s">
        <v>1598</v>
      </c>
      <c r="D182">
        <v>4</v>
      </c>
      <c r="E182" t="s">
        <v>944</v>
      </c>
    </row>
    <row r="183" spans="1:5" x14ac:dyDescent="0.2">
      <c r="A183" t="s">
        <v>1597</v>
      </c>
      <c r="B183">
        <v>9003471100</v>
      </c>
      <c r="C183" t="s">
        <v>1598</v>
      </c>
      <c r="D183">
        <v>4</v>
      </c>
      <c r="E183" t="s">
        <v>944</v>
      </c>
    </row>
    <row r="184" spans="1:5" x14ac:dyDescent="0.2">
      <c r="A184" t="s">
        <v>1119</v>
      </c>
      <c r="B184">
        <v>9001030500</v>
      </c>
      <c r="C184" t="s">
        <v>1120</v>
      </c>
      <c r="D184">
        <v>2</v>
      </c>
      <c r="E184" t="s">
        <v>944</v>
      </c>
    </row>
    <row r="185" spans="1:5" x14ac:dyDescent="0.2">
      <c r="A185" t="s">
        <v>1939</v>
      </c>
      <c r="B185">
        <v>9005306100</v>
      </c>
      <c r="C185" t="s">
        <v>1940</v>
      </c>
      <c r="D185">
        <v>3</v>
      </c>
      <c r="E185" t="s">
        <v>944</v>
      </c>
    </row>
    <row r="186" spans="1:5" x14ac:dyDescent="0.2">
      <c r="A186" t="s">
        <v>1939</v>
      </c>
      <c r="B186">
        <v>9005306100</v>
      </c>
      <c r="C186" t="s">
        <v>1940</v>
      </c>
      <c r="D186">
        <v>3</v>
      </c>
      <c r="E186" t="s">
        <v>944</v>
      </c>
    </row>
    <row r="187" spans="1:5" x14ac:dyDescent="0.2">
      <c r="A187" t="s">
        <v>1939</v>
      </c>
      <c r="B187">
        <v>9005306100</v>
      </c>
      <c r="C187" t="s">
        <v>1940</v>
      </c>
      <c r="D187">
        <v>3</v>
      </c>
      <c r="E187" t="s">
        <v>944</v>
      </c>
    </row>
    <row r="188" spans="1:5" x14ac:dyDescent="0.2">
      <c r="A188" t="s">
        <v>1099</v>
      </c>
      <c r="B188">
        <v>9001021900</v>
      </c>
      <c r="C188" t="s">
        <v>1100</v>
      </c>
      <c r="D188">
        <v>3</v>
      </c>
      <c r="E188" t="s">
        <v>944</v>
      </c>
    </row>
    <row r="189" spans="1:5" x14ac:dyDescent="0.2">
      <c r="A189" t="s">
        <v>1951</v>
      </c>
      <c r="B189">
        <v>9005310601</v>
      </c>
      <c r="C189" t="s">
        <v>1952</v>
      </c>
      <c r="D189">
        <v>3</v>
      </c>
      <c r="E189" t="s">
        <v>944</v>
      </c>
    </row>
    <row r="190" spans="1:5" x14ac:dyDescent="0.2">
      <c r="A190" t="s">
        <v>1599</v>
      </c>
      <c r="B190">
        <v>9003471200</v>
      </c>
      <c r="C190" t="s">
        <v>1600</v>
      </c>
      <c r="D190">
        <v>4</v>
      </c>
      <c r="E190" t="s">
        <v>944</v>
      </c>
    </row>
    <row r="191" spans="1:5" x14ac:dyDescent="0.2">
      <c r="A191" t="s">
        <v>1101</v>
      </c>
      <c r="B191">
        <v>9001022000</v>
      </c>
      <c r="C191" t="s">
        <v>1102</v>
      </c>
      <c r="D191">
        <v>4</v>
      </c>
      <c r="E191" t="s">
        <v>944</v>
      </c>
    </row>
    <row r="192" spans="1:5" x14ac:dyDescent="0.2">
      <c r="A192" t="s">
        <v>1601</v>
      </c>
      <c r="B192">
        <v>9003471300</v>
      </c>
      <c r="C192" t="s">
        <v>1602</v>
      </c>
      <c r="D192">
        <v>3</v>
      </c>
      <c r="E192" t="s">
        <v>944</v>
      </c>
    </row>
    <row r="193" spans="1:5" x14ac:dyDescent="0.2">
      <c r="A193" t="s">
        <v>2337</v>
      </c>
      <c r="B193">
        <v>9009343200</v>
      </c>
      <c r="C193" t="s">
        <v>2338</v>
      </c>
      <c r="D193">
        <v>3</v>
      </c>
      <c r="E193" t="s">
        <v>944</v>
      </c>
    </row>
    <row r="194" spans="1:5" x14ac:dyDescent="0.2">
      <c r="A194" t="s">
        <v>1103</v>
      </c>
      <c r="B194">
        <v>9001022100</v>
      </c>
      <c r="C194" t="s">
        <v>1104</v>
      </c>
      <c r="D194">
        <v>3</v>
      </c>
      <c r="E194" t="s">
        <v>944</v>
      </c>
    </row>
    <row r="195" spans="1:5" x14ac:dyDescent="0.2">
      <c r="A195" t="s">
        <v>2359</v>
      </c>
      <c r="B195">
        <v>9009346102</v>
      </c>
      <c r="C195" t="s">
        <v>2360</v>
      </c>
      <c r="D195">
        <v>3</v>
      </c>
      <c r="E195" t="s">
        <v>944</v>
      </c>
    </row>
    <row r="196" spans="1:5" x14ac:dyDescent="0.2">
      <c r="A196" t="s">
        <v>2359</v>
      </c>
      <c r="B196">
        <v>9009346102</v>
      </c>
      <c r="C196" t="s">
        <v>2360</v>
      </c>
      <c r="D196">
        <v>3</v>
      </c>
      <c r="E196" t="s">
        <v>944</v>
      </c>
    </row>
    <row r="197" spans="1:5" x14ac:dyDescent="0.2">
      <c r="A197" t="s">
        <v>2359</v>
      </c>
      <c r="B197">
        <v>9009346102</v>
      </c>
      <c r="C197" t="s">
        <v>2360</v>
      </c>
      <c r="D197">
        <v>3</v>
      </c>
      <c r="E197" t="s">
        <v>944</v>
      </c>
    </row>
    <row r="198" spans="1:5" x14ac:dyDescent="0.2">
      <c r="A198" t="s">
        <v>1603</v>
      </c>
      <c r="B198">
        <v>9003471400</v>
      </c>
      <c r="C198" t="s">
        <v>1604</v>
      </c>
      <c r="D198">
        <v>3</v>
      </c>
      <c r="E198" t="s">
        <v>944</v>
      </c>
    </row>
    <row r="199" spans="1:5" x14ac:dyDescent="0.2">
      <c r="A199" t="s">
        <v>1603</v>
      </c>
      <c r="B199">
        <v>9003471400</v>
      </c>
      <c r="C199" t="s">
        <v>1604</v>
      </c>
      <c r="D199">
        <v>3</v>
      </c>
      <c r="E199" t="s">
        <v>944</v>
      </c>
    </row>
    <row r="200" spans="1:5" x14ac:dyDescent="0.2">
      <c r="A200" t="s">
        <v>1969</v>
      </c>
      <c r="B200">
        <v>9005349100</v>
      </c>
      <c r="C200" t="s">
        <v>1970</v>
      </c>
      <c r="D200">
        <v>4</v>
      </c>
      <c r="E200" t="s">
        <v>944</v>
      </c>
    </row>
    <row r="201" spans="1:5" x14ac:dyDescent="0.2">
      <c r="A201" t="s">
        <v>1969</v>
      </c>
      <c r="B201">
        <v>9005349100</v>
      </c>
      <c r="C201" t="s">
        <v>1970</v>
      </c>
      <c r="D201">
        <v>4</v>
      </c>
      <c r="E201" t="s">
        <v>944</v>
      </c>
    </row>
    <row r="202" spans="1:5" x14ac:dyDescent="0.2">
      <c r="A202" t="s">
        <v>1969</v>
      </c>
      <c r="B202">
        <v>9005349100</v>
      </c>
      <c r="C202" t="s">
        <v>1970</v>
      </c>
      <c r="D202">
        <v>4</v>
      </c>
      <c r="E202" t="s">
        <v>944</v>
      </c>
    </row>
    <row r="203" spans="1:5" x14ac:dyDescent="0.2">
      <c r="A203" t="s">
        <v>1971</v>
      </c>
      <c r="B203">
        <v>9005349200</v>
      </c>
      <c r="C203" t="s">
        <v>1972</v>
      </c>
      <c r="D203">
        <v>5</v>
      </c>
      <c r="E203" t="s">
        <v>944</v>
      </c>
    </row>
    <row r="204" spans="1:5" x14ac:dyDescent="0.2">
      <c r="A204" t="s">
        <v>1971</v>
      </c>
      <c r="B204">
        <v>9005349200</v>
      </c>
      <c r="C204" t="s">
        <v>1972</v>
      </c>
      <c r="D204">
        <v>5</v>
      </c>
      <c r="E204" t="s">
        <v>944</v>
      </c>
    </row>
    <row r="205" spans="1:5" x14ac:dyDescent="0.2">
      <c r="A205" t="s">
        <v>1971</v>
      </c>
      <c r="B205">
        <v>9005349200</v>
      </c>
      <c r="C205" t="s">
        <v>1972</v>
      </c>
      <c r="D205">
        <v>5</v>
      </c>
      <c r="E205" t="s">
        <v>944</v>
      </c>
    </row>
    <row r="206" spans="1:5" x14ac:dyDescent="0.2">
      <c r="A206" t="s">
        <v>1105</v>
      </c>
      <c r="B206">
        <v>9001022200</v>
      </c>
      <c r="C206" t="s">
        <v>1106</v>
      </c>
      <c r="D206">
        <v>2</v>
      </c>
      <c r="E206" t="s">
        <v>944</v>
      </c>
    </row>
    <row r="207" spans="1:5" x14ac:dyDescent="0.2">
      <c r="A207" t="s">
        <v>1605</v>
      </c>
      <c r="B207">
        <v>9003471500</v>
      </c>
      <c r="C207" t="s">
        <v>1606</v>
      </c>
      <c r="D207">
        <v>3</v>
      </c>
      <c r="E207" t="s">
        <v>944</v>
      </c>
    </row>
    <row r="208" spans="1:5" x14ac:dyDescent="0.2">
      <c r="A208" t="s">
        <v>1107</v>
      </c>
      <c r="B208">
        <v>9001022300</v>
      </c>
      <c r="C208" t="s">
        <v>1108</v>
      </c>
      <c r="D208">
        <v>3</v>
      </c>
      <c r="E208" t="s">
        <v>944</v>
      </c>
    </row>
    <row r="209" spans="1:5" x14ac:dyDescent="0.2">
      <c r="A209" t="s">
        <v>2379</v>
      </c>
      <c r="B209">
        <v>9009350300</v>
      </c>
      <c r="C209" t="s">
        <v>2380</v>
      </c>
      <c r="D209">
        <v>8</v>
      </c>
      <c r="E209" t="s">
        <v>936</v>
      </c>
    </row>
    <row r="210" spans="1:5" x14ac:dyDescent="0.2">
      <c r="A210" t="s">
        <v>1607</v>
      </c>
      <c r="B210">
        <v>9003473100</v>
      </c>
      <c r="C210" t="s">
        <v>1608</v>
      </c>
      <c r="D210">
        <v>3</v>
      </c>
      <c r="E210" t="s">
        <v>944</v>
      </c>
    </row>
    <row r="211" spans="1:5" x14ac:dyDescent="0.2">
      <c r="A211" t="s">
        <v>2381</v>
      </c>
      <c r="B211">
        <v>9009350400</v>
      </c>
      <c r="C211" t="s">
        <v>2382</v>
      </c>
      <c r="D211">
        <v>10</v>
      </c>
      <c r="E211" t="s">
        <v>936</v>
      </c>
    </row>
    <row r="212" spans="1:5" x14ac:dyDescent="0.2">
      <c r="A212" t="s">
        <v>1109</v>
      </c>
      <c r="B212">
        <v>9001022400</v>
      </c>
      <c r="C212" t="s">
        <v>1110</v>
      </c>
      <c r="D212">
        <v>2</v>
      </c>
      <c r="E212" t="s">
        <v>944</v>
      </c>
    </row>
    <row r="213" spans="1:5" x14ac:dyDescent="0.2">
      <c r="A213" t="s">
        <v>2383</v>
      </c>
      <c r="B213">
        <v>9009350500</v>
      </c>
      <c r="C213" t="s">
        <v>2384</v>
      </c>
      <c r="D213">
        <v>8</v>
      </c>
      <c r="E213" t="s">
        <v>936</v>
      </c>
    </row>
    <row r="214" spans="1:5" x14ac:dyDescent="0.2">
      <c r="A214" t="s">
        <v>1611</v>
      </c>
      <c r="B214">
        <v>9003473501</v>
      </c>
      <c r="C214" t="s">
        <v>1612</v>
      </c>
      <c r="D214">
        <v>3</v>
      </c>
      <c r="E214" t="s">
        <v>944</v>
      </c>
    </row>
    <row r="215" spans="1:5" x14ac:dyDescent="0.2">
      <c r="A215" t="s">
        <v>2385</v>
      </c>
      <c r="B215">
        <v>9009350800</v>
      </c>
      <c r="C215" t="s">
        <v>2386</v>
      </c>
      <c r="D215">
        <v>7</v>
      </c>
      <c r="E215" t="s">
        <v>936</v>
      </c>
    </row>
    <row r="216" spans="1:5" x14ac:dyDescent="0.2">
      <c r="A216" t="s">
        <v>2387</v>
      </c>
      <c r="B216">
        <v>9009350900</v>
      </c>
      <c r="C216" t="s">
        <v>2388</v>
      </c>
      <c r="D216">
        <v>5</v>
      </c>
      <c r="E216" t="s">
        <v>944</v>
      </c>
    </row>
    <row r="217" spans="1:5" x14ac:dyDescent="0.2">
      <c r="A217" t="s">
        <v>1789</v>
      </c>
      <c r="B217">
        <v>9003503900</v>
      </c>
      <c r="C217" t="s">
        <v>1790</v>
      </c>
      <c r="D217">
        <v>5</v>
      </c>
      <c r="E217" t="s">
        <v>944</v>
      </c>
    </row>
    <row r="218" spans="1:5" x14ac:dyDescent="0.2">
      <c r="A218" t="s">
        <v>1789</v>
      </c>
      <c r="B218">
        <v>9003503900</v>
      </c>
      <c r="C218" t="s">
        <v>1790</v>
      </c>
      <c r="D218">
        <v>5</v>
      </c>
      <c r="E218" t="s">
        <v>944</v>
      </c>
    </row>
    <row r="219" spans="1:5" x14ac:dyDescent="0.2">
      <c r="A219" t="s">
        <v>2389</v>
      </c>
      <c r="B219">
        <v>9009351000</v>
      </c>
      <c r="C219" t="s">
        <v>2390</v>
      </c>
      <c r="D219">
        <v>5</v>
      </c>
      <c r="E219" t="s">
        <v>944</v>
      </c>
    </row>
    <row r="220" spans="1:5" x14ac:dyDescent="0.2">
      <c r="A220" t="s">
        <v>2391</v>
      </c>
      <c r="B220">
        <v>9009351100</v>
      </c>
      <c r="C220" t="s">
        <v>2392</v>
      </c>
      <c r="D220">
        <v>7</v>
      </c>
      <c r="E220" t="s">
        <v>936</v>
      </c>
    </row>
    <row r="221" spans="1:5" x14ac:dyDescent="0.2">
      <c r="A221" t="s">
        <v>2393</v>
      </c>
      <c r="B221">
        <v>9009351200</v>
      </c>
      <c r="C221" t="s">
        <v>2394</v>
      </c>
      <c r="D221">
        <v>7</v>
      </c>
      <c r="E221" t="s">
        <v>936</v>
      </c>
    </row>
    <row r="222" spans="1:5" x14ac:dyDescent="0.2">
      <c r="A222" t="s">
        <v>1851</v>
      </c>
      <c r="B222">
        <v>9003514900</v>
      </c>
      <c r="C222" t="s">
        <v>1852</v>
      </c>
      <c r="D222">
        <v>4</v>
      </c>
      <c r="E222" t="s">
        <v>944</v>
      </c>
    </row>
    <row r="223" spans="1:5" x14ac:dyDescent="0.2">
      <c r="A223" t="s">
        <v>1851</v>
      </c>
      <c r="B223">
        <v>9003514900</v>
      </c>
      <c r="C223" t="s">
        <v>1852</v>
      </c>
      <c r="D223">
        <v>4</v>
      </c>
      <c r="E223" t="s">
        <v>944</v>
      </c>
    </row>
    <row r="224" spans="1:5" x14ac:dyDescent="0.2">
      <c r="A224" t="s">
        <v>2395</v>
      </c>
      <c r="B224">
        <v>9009351300</v>
      </c>
      <c r="C224" t="s">
        <v>2396</v>
      </c>
      <c r="D224">
        <v>6</v>
      </c>
      <c r="E224" t="s">
        <v>936</v>
      </c>
    </row>
    <row r="225" spans="1:5" x14ac:dyDescent="0.2">
      <c r="A225" t="s">
        <v>2397</v>
      </c>
      <c r="B225">
        <v>9009351400</v>
      </c>
      <c r="C225" t="s">
        <v>2398</v>
      </c>
      <c r="D225">
        <v>7</v>
      </c>
      <c r="E225" t="s">
        <v>936</v>
      </c>
    </row>
    <row r="226" spans="1:5" x14ac:dyDescent="0.2">
      <c r="A226" t="s">
        <v>1115</v>
      </c>
      <c r="B226">
        <v>9001030300</v>
      </c>
      <c r="C226" t="s">
        <v>1116</v>
      </c>
      <c r="D226">
        <v>2</v>
      </c>
      <c r="E226" t="s">
        <v>944</v>
      </c>
    </row>
    <row r="227" spans="1:5" x14ac:dyDescent="0.2">
      <c r="A227" t="s">
        <v>2407</v>
      </c>
      <c r="B227">
        <v>9009351800</v>
      </c>
      <c r="C227" t="s">
        <v>2408</v>
      </c>
      <c r="D227">
        <v>5</v>
      </c>
      <c r="E227" t="s">
        <v>944</v>
      </c>
    </row>
    <row r="228" spans="1:5" x14ac:dyDescent="0.2">
      <c r="A228" t="s">
        <v>2573</v>
      </c>
      <c r="B228">
        <v>9013526102</v>
      </c>
      <c r="C228" t="s">
        <v>2574</v>
      </c>
      <c r="D228">
        <v>3</v>
      </c>
      <c r="E228" t="s">
        <v>944</v>
      </c>
    </row>
    <row r="229" spans="1:5" x14ac:dyDescent="0.2">
      <c r="A229" t="s">
        <v>2573</v>
      </c>
      <c r="B229">
        <v>9013526102</v>
      </c>
      <c r="C229" t="s">
        <v>2574</v>
      </c>
      <c r="D229">
        <v>3</v>
      </c>
      <c r="E229" t="s">
        <v>944</v>
      </c>
    </row>
    <row r="230" spans="1:5" x14ac:dyDescent="0.2">
      <c r="A230" t="s">
        <v>2573</v>
      </c>
      <c r="B230">
        <v>9013526102</v>
      </c>
      <c r="C230" t="s">
        <v>2574</v>
      </c>
      <c r="D230">
        <v>3</v>
      </c>
      <c r="E230" t="s">
        <v>944</v>
      </c>
    </row>
    <row r="231" spans="1:5" x14ac:dyDescent="0.2">
      <c r="A231" t="s">
        <v>1121</v>
      </c>
      <c r="B231">
        <v>9001035100</v>
      </c>
      <c r="C231" t="s">
        <v>1122</v>
      </c>
      <c r="D231">
        <v>2</v>
      </c>
      <c r="E231" t="s">
        <v>944</v>
      </c>
    </row>
    <row r="232" spans="1:5" x14ac:dyDescent="0.2">
      <c r="A232" t="s">
        <v>1121</v>
      </c>
      <c r="B232">
        <v>9001035100</v>
      </c>
      <c r="C232" t="s">
        <v>1122</v>
      </c>
      <c r="D232">
        <v>2</v>
      </c>
      <c r="E232" t="s">
        <v>944</v>
      </c>
    </row>
    <row r="233" spans="1:5" x14ac:dyDescent="0.2">
      <c r="A233" t="s">
        <v>2425</v>
      </c>
      <c r="B233">
        <v>9009352701</v>
      </c>
      <c r="C233" t="s">
        <v>2426</v>
      </c>
      <c r="D233">
        <v>6</v>
      </c>
      <c r="E233" t="s">
        <v>936</v>
      </c>
    </row>
    <row r="234" spans="1:5" x14ac:dyDescent="0.2">
      <c r="A234" t="s">
        <v>2427</v>
      </c>
      <c r="B234">
        <v>9009352702</v>
      </c>
      <c r="C234" t="s">
        <v>2428</v>
      </c>
      <c r="D234">
        <v>4</v>
      </c>
      <c r="E234" t="s">
        <v>944</v>
      </c>
    </row>
    <row r="235" spans="1:5" x14ac:dyDescent="0.2">
      <c r="A235" t="s">
        <v>1117</v>
      </c>
      <c r="B235">
        <v>9001030400</v>
      </c>
      <c r="C235" t="s">
        <v>1118</v>
      </c>
      <c r="D235">
        <v>2</v>
      </c>
      <c r="E235" t="s">
        <v>944</v>
      </c>
    </row>
    <row r="236" spans="1:5" x14ac:dyDescent="0.2">
      <c r="A236" t="s">
        <v>2429</v>
      </c>
      <c r="B236">
        <v>9009352800</v>
      </c>
      <c r="C236" t="s">
        <v>2430</v>
      </c>
      <c r="D236">
        <v>5</v>
      </c>
      <c r="E236" t="s">
        <v>944</v>
      </c>
    </row>
    <row r="237" spans="1:5" x14ac:dyDescent="0.2">
      <c r="A237" t="s">
        <v>2429</v>
      </c>
      <c r="B237">
        <v>9009352800</v>
      </c>
      <c r="C237" t="s">
        <v>2430</v>
      </c>
      <c r="D237">
        <v>5</v>
      </c>
      <c r="E237" t="s">
        <v>944</v>
      </c>
    </row>
    <row r="238" spans="1:5" x14ac:dyDescent="0.2">
      <c r="A238" t="s">
        <v>1123</v>
      </c>
      <c r="B238">
        <v>9001035200</v>
      </c>
      <c r="C238" t="s">
        <v>1124</v>
      </c>
      <c r="D238">
        <v>2</v>
      </c>
      <c r="E238" t="s">
        <v>944</v>
      </c>
    </row>
    <row r="239" spans="1:5" x14ac:dyDescent="0.2">
      <c r="A239" t="s">
        <v>1127</v>
      </c>
      <c r="B239">
        <v>9001035400</v>
      </c>
      <c r="C239" t="s">
        <v>1128</v>
      </c>
      <c r="D239">
        <v>2</v>
      </c>
      <c r="E239" t="s">
        <v>944</v>
      </c>
    </row>
    <row r="240" spans="1:5" x14ac:dyDescent="0.2">
      <c r="A240" t="s">
        <v>1127</v>
      </c>
      <c r="B240">
        <v>9001035400</v>
      </c>
      <c r="C240" t="s">
        <v>1128</v>
      </c>
      <c r="D240">
        <v>2</v>
      </c>
      <c r="E240" t="s">
        <v>944</v>
      </c>
    </row>
    <row r="241" spans="1:5" x14ac:dyDescent="0.2">
      <c r="A241" t="s">
        <v>2591</v>
      </c>
      <c r="B241">
        <v>9013530600</v>
      </c>
      <c r="C241" t="s">
        <v>2592</v>
      </c>
      <c r="D241">
        <v>3</v>
      </c>
      <c r="E241" t="s">
        <v>944</v>
      </c>
    </row>
    <row r="242" spans="1:5" x14ac:dyDescent="0.2">
      <c r="A242" t="s">
        <v>2591</v>
      </c>
      <c r="B242">
        <v>9013530600</v>
      </c>
      <c r="C242" t="s">
        <v>2592</v>
      </c>
      <c r="D242">
        <v>3</v>
      </c>
      <c r="E242" t="s">
        <v>944</v>
      </c>
    </row>
    <row r="243" spans="1:5" x14ac:dyDescent="0.2">
      <c r="A243" t="s">
        <v>2591</v>
      </c>
      <c r="B243">
        <v>9013530600</v>
      </c>
      <c r="C243" t="s">
        <v>2592</v>
      </c>
      <c r="D243">
        <v>3</v>
      </c>
      <c r="E243" t="s">
        <v>944</v>
      </c>
    </row>
    <row r="244" spans="1:5" x14ac:dyDescent="0.2">
      <c r="A244" t="s">
        <v>1129</v>
      </c>
      <c r="B244">
        <v>9001042500</v>
      </c>
      <c r="C244" t="s">
        <v>1130</v>
      </c>
      <c r="D244">
        <v>2</v>
      </c>
      <c r="E244" t="s">
        <v>944</v>
      </c>
    </row>
    <row r="245" spans="1:5" x14ac:dyDescent="0.2">
      <c r="A245" t="s">
        <v>1133</v>
      </c>
      <c r="B245">
        <v>9001042700</v>
      </c>
      <c r="C245" t="s">
        <v>1134</v>
      </c>
      <c r="D245">
        <v>2</v>
      </c>
      <c r="E245" t="s">
        <v>944</v>
      </c>
    </row>
    <row r="246" spans="1:5" x14ac:dyDescent="0.2">
      <c r="A246" t="s">
        <v>1135</v>
      </c>
      <c r="B246">
        <v>9001042800</v>
      </c>
      <c r="C246" t="s">
        <v>1136</v>
      </c>
      <c r="D246">
        <v>3</v>
      </c>
      <c r="E246" t="s">
        <v>944</v>
      </c>
    </row>
    <row r="247" spans="1:5" x14ac:dyDescent="0.2">
      <c r="A247" t="s">
        <v>1141</v>
      </c>
      <c r="B247">
        <v>9001043100</v>
      </c>
      <c r="C247" t="s">
        <v>1142</v>
      </c>
      <c r="D247">
        <v>2</v>
      </c>
      <c r="E247" t="s">
        <v>944</v>
      </c>
    </row>
    <row r="248" spans="1:5" x14ac:dyDescent="0.2">
      <c r="A248" t="s">
        <v>1143</v>
      </c>
      <c r="B248">
        <v>9001043200</v>
      </c>
      <c r="C248" t="s">
        <v>1144</v>
      </c>
      <c r="D248">
        <v>3</v>
      </c>
      <c r="E248" t="s">
        <v>944</v>
      </c>
    </row>
    <row r="249" spans="1:5" x14ac:dyDescent="0.2">
      <c r="A249" t="s">
        <v>1125</v>
      </c>
      <c r="B249">
        <v>9001035300</v>
      </c>
      <c r="C249" t="s">
        <v>1126</v>
      </c>
      <c r="D249">
        <v>2</v>
      </c>
      <c r="E249" t="s">
        <v>944</v>
      </c>
    </row>
    <row r="250" spans="1:5" x14ac:dyDescent="0.2">
      <c r="A250" t="s">
        <v>1125</v>
      </c>
      <c r="B250">
        <v>9001035300</v>
      </c>
      <c r="C250" t="s">
        <v>1126</v>
      </c>
      <c r="D250">
        <v>2</v>
      </c>
      <c r="E250" t="s">
        <v>944</v>
      </c>
    </row>
    <row r="251" spans="1:5" x14ac:dyDescent="0.2">
      <c r="A251" t="s">
        <v>1145</v>
      </c>
      <c r="B251">
        <v>9001043300</v>
      </c>
      <c r="C251" t="s">
        <v>1146</v>
      </c>
      <c r="D251">
        <v>3</v>
      </c>
      <c r="E251" t="s">
        <v>944</v>
      </c>
    </row>
    <row r="252" spans="1:5" x14ac:dyDescent="0.2">
      <c r="A252" t="s">
        <v>1175</v>
      </c>
      <c r="B252">
        <v>9001045102</v>
      </c>
      <c r="C252" t="s">
        <v>1176</v>
      </c>
      <c r="D252">
        <v>2</v>
      </c>
      <c r="E252" t="s">
        <v>944</v>
      </c>
    </row>
    <row r="253" spans="1:5" x14ac:dyDescent="0.2">
      <c r="A253" t="s">
        <v>2299</v>
      </c>
      <c r="B253">
        <v>9009184200</v>
      </c>
      <c r="C253" t="s">
        <v>2300</v>
      </c>
      <c r="D253">
        <v>4</v>
      </c>
      <c r="E253" t="s">
        <v>944</v>
      </c>
    </row>
    <row r="254" spans="1:5" x14ac:dyDescent="0.2">
      <c r="A254" t="s">
        <v>1181</v>
      </c>
      <c r="B254">
        <v>9001045400</v>
      </c>
      <c r="C254" t="s">
        <v>1182</v>
      </c>
      <c r="D254">
        <v>2</v>
      </c>
      <c r="E254" t="s">
        <v>944</v>
      </c>
    </row>
    <row r="255" spans="1:5" x14ac:dyDescent="0.2">
      <c r="A255" t="s">
        <v>2301</v>
      </c>
      <c r="B255">
        <v>9009184300</v>
      </c>
      <c r="C255" t="s">
        <v>2302</v>
      </c>
      <c r="D255">
        <v>3</v>
      </c>
      <c r="E255" t="s">
        <v>944</v>
      </c>
    </row>
    <row r="256" spans="1:5" x14ac:dyDescent="0.2">
      <c r="A256" t="s">
        <v>1195</v>
      </c>
      <c r="B256">
        <v>9001055100</v>
      </c>
      <c r="C256" t="s">
        <v>1196</v>
      </c>
      <c r="D256">
        <v>2</v>
      </c>
      <c r="E256" t="s">
        <v>944</v>
      </c>
    </row>
    <row r="257" spans="1:5" x14ac:dyDescent="0.2">
      <c r="A257" t="s">
        <v>1131</v>
      </c>
      <c r="B257">
        <v>9001042600</v>
      </c>
      <c r="C257" t="s">
        <v>1132</v>
      </c>
      <c r="D257">
        <v>3</v>
      </c>
      <c r="E257" t="s">
        <v>944</v>
      </c>
    </row>
    <row r="258" spans="1:5" x14ac:dyDescent="0.2">
      <c r="A258" t="s">
        <v>1137</v>
      </c>
      <c r="B258">
        <v>9001042900</v>
      </c>
      <c r="C258" t="s">
        <v>1138</v>
      </c>
      <c r="D258">
        <v>2</v>
      </c>
      <c r="E258" t="s">
        <v>944</v>
      </c>
    </row>
    <row r="259" spans="1:5" x14ac:dyDescent="0.2">
      <c r="A259" t="s">
        <v>1891</v>
      </c>
      <c r="B259">
        <v>9005250100</v>
      </c>
      <c r="C259" t="s">
        <v>1892</v>
      </c>
      <c r="D259">
        <v>3</v>
      </c>
      <c r="E259" t="s">
        <v>944</v>
      </c>
    </row>
    <row r="260" spans="1:5" x14ac:dyDescent="0.2">
      <c r="A260" t="s">
        <v>1139</v>
      </c>
      <c r="B260">
        <v>9001043000</v>
      </c>
      <c r="C260" t="s">
        <v>1140</v>
      </c>
      <c r="D260">
        <v>3</v>
      </c>
      <c r="E260" t="s">
        <v>944</v>
      </c>
    </row>
    <row r="261" spans="1:5" x14ac:dyDescent="0.2">
      <c r="A261" t="s">
        <v>1919</v>
      </c>
      <c r="B261">
        <v>9005268100</v>
      </c>
      <c r="C261" t="s">
        <v>1920</v>
      </c>
      <c r="D261">
        <v>3</v>
      </c>
      <c r="E261" t="s">
        <v>944</v>
      </c>
    </row>
    <row r="262" spans="1:5" x14ac:dyDescent="0.2">
      <c r="A262" t="s">
        <v>1919</v>
      </c>
      <c r="B262">
        <v>9005268100</v>
      </c>
      <c r="C262" t="s">
        <v>1920</v>
      </c>
      <c r="D262">
        <v>3</v>
      </c>
      <c r="E262" t="s">
        <v>944</v>
      </c>
    </row>
    <row r="263" spans="1:5" x14ac:dyDescent="0.2">
      <c r="A263" t="s">
        <v>1919</v>
      </c>
      <c r="B263">
        <v>9005268100</v>
      </c>
      <c r="C263" t="s">
        <v>1920</v>
      </c>
      <c r="D263">
        <v>3</v>
      </c>
      <c r="E263" t="s">
        <v>944</v>
      </c>
    </row>
    <row r="264" spans="1:5" x14ac:dyDescent="0.2">
      <c r="A264" t="s">
        <v>1457</v>
      </c>
      <c r="B264">
        <v>9003405100</v>
      </c>
      <c r="C264" t="s">
        <v>1458</v>
      </c>
      <c r="D264">
        <v>4</v>
      </c>
      <c r="E264" t="s">
        <v>944</v>
      </c>
    </row>
    <row r="265" spans="1:5" x14ac:dyDescent="0.2">
      <c r="A265" t="s">
        <v>1459</v>
      </c>
      <c r="B265">
        <v>9003405200</v>
      </c>
      <c r="C265" t="s">
        <v>1460</v>
      </c>
      <c r="D265">
        <v>4</v>
      </c>
      <c r="E265" t="s">
        <v>944</v>
      </c>
    </row>
    <row r="266" spans="1:5" x14ac:dyDescent="0.2">
      <c r="A266" t="s">
        <v>2645</v>
      </c>
      <c r="B266">
        <v>9015900100</v>
      </c>
      <c r="C266" t="s">
        <v>2646</v>
      </c>
      <c r="D266">
        <v>4</v>
      </c>
      <c r="E266" t="s">
        <v>944</v>
      </c>
    </row>
    <row r="267" spans="1:5" x14ac:dyDescent="0.2">
      <c r="A267" t="s">
        <v>1461</v>
      </c>
      <c r="B267">
        <v>9003405300</v>
      </c>
      <c r="C267" t="s">
        <v>1462</v>
      </c>
      <c r="D267">
        <v>4</v>
      </c>
      <c r="E267" t="s">
        <v>944</v>
      </c>
    </row>
    <row r="268" spans="1:5" x14ac:dyDescent="0.2">
      <c r="A268" t="s">
        <v>2649</v>
      </c>
      <c r="B268">
        <v>9015901100</v>
      </c>
      <c r="C268" t="s">
        <v>2650</v>
      </c>
      <c r="D268">
        <v>4</v>
      </c>
      <c r="E268" t="s">
        <v>944</v>
      </c>
    </row>
    <row r="269" spans="1:5" x14ac:dyDescent="0.2">
      <c r="A269" t="s">
        <v>2649</v>
      </c>
      <c r="B269">
        <v>9015901100</v>
      </c>
      <c r="C269" t="s">
        <v>2650</v>
      </c>
      <c r="D269">
        <v>4</v>
      </c>
      <c r="E269" t="s">
        <v>944</v>
      </c>
    </row>
    <row r="270" spans="1:5" x14ac:dyDescent="0.2">
      <c r="A270" t="s">
        <v>2649</v>
      </c>
      <c r="B270">
        <v>9015901100</v>
      </c>
      <c r="C270" t="s">
        <v>2650</v>
      </c>
      <c r="D270">
        <v>4</v>
      </c>
      <c r="E270" t="s">
        <v>944</v>
      </c>
    </row>
    <row r="271" spans="1:5" x14ac:dyDescent="0.2">
      <c r="A271" t="s">
        <v>1147</v>
      </c>
      <c r="B271">
        <v>9001043400</v>
      </c>
      <c r="C271" t="s">
        <v>1148</v>
      </c>
      <c r="D271">
        <v>3</v>
      </c>
      <c r="E271" t="s">
        <v>944</v>
      </c>
    </row>
    <row r="272" spans="1:5" x14ac:dyDescent="0.2">
      <c r="A272" t="s">
        <v>1463</v>
      </c>
      <c r="B272">
        <v>9003405401</v>
      </c>
      <c r="C272" t="s">
        <v>1464</v>
      </c>
      <c r="D272">
        <v>3</v>
      </c>
      <c r="E272" t="s">
        <v>944</v>
      </c>
    </row>
    <row r="273" spans="1:5" x14ac:dyDescent="0.2">
      <c r="A273" t="s">
        <v>1463</v>
      </c>
      <c r="B273">
        <v>9003405401</v>
      </c>
      <c r="C273" t="s">
        <v>1464</v>
      </c>
      <c r="D273">
        <v>3</v>
      </c>
      <c r="E273" t="s">
        <v>944</v>
      </c>
    </row>
    <row r="274" spans="1:5" x14ac:dyDescent="0.2">
      <c r="A274" t="s">
        <v>2653</v>
      </c>
      <c r="B274">
        <v>9015902500</v>
      </c>
      <c r="C274" t="s">
        <v>2654</v>
      </c>
      <c r="D274">
        <v>3</v>
      </c>
      <c r="E274" t="s">
        <v>944</v>
      </c>
    </row>
    <row r="275" spans="1:5" x14ac:dyDescent="0.2">
      <c r="A275" t="s">
        <v>2653</v>
      </c>
      <c r="B275">
        <v>9015902500</v>
      </c>
      <c r="C275" t="s">
        <v>2654</v>
      </c>
      <c r="D275">
        <v>3</v>
      </c>
      <c r="E275" t="s">
        <v>944</v>
      </c>
    </row>
    <row r="276" spans="1:5" x14ac:dyDescent="0.2">
      <c r="A276" t="s">
        <v>2653</v>
      </c>
      <c r="B276">
        <v>9015902500</v>
      </c>
      <c r="C276" t="s">
        <v>2654</v>
      </c>
      <c r="D276">
        <v>3</v>
      </c>
      <c r="E276" t="s">
        <v>944</v>
      </c>
    </row>
    <row r="277" spans="1:5" x14ac:dyDescent="0.2">
      <c r="A277" t="s">
        <v>1149</v>
      </c>
      <c r="B277">
        <v>9001043500</v>
      </c>
      <c r="C277" t="s">
        <v>1150</v>
      </c>
      <c r="D277">
        <v>3</v>
      </c>
      <c r="E277" t="s">
        <v>944</v>
      </c>
    </row>
    <row r="278" spans="1:5" x14ac:dyDescent="0.2">
      <c r="A278" t="s">
        <v>2655</v>
      </c>
      <c r="B278">
        <v>9015903100</v>
      </c>
      <c r="C278" t="s">
        <v>2656</v>
      </c>
      <c r="D278">
        <v>5</v>
      </c>
      <c r="E278" t="s">
        <v>944</v>
      </c>
    </row>
    <row r="279" spans="1:5" x14ac:dyDescent="0.2">
      <c r="A279" t="s">
        <v>1465</v>
      </c>
      <c r="B279">
        <v>9003405402</v>
      </c>
      <c r="C279" t="s">
        <v>1466</v>
      </c>
      <c r="D279">
        <v>3</v>
      </c>
      <c r="E279" t="s">
        <v>944</v>
      </c>
    </row>
    <row r="280" spans="1:5" x14ac:dyDescent="0.2">
      <c r="A280" t="s">
        <v>2659</v>
      </c>
      <c r="B280">
        <v>9015904100</v>
      </c>
      <c r="C280" t="s">
        <v>2660</v>
      </c>
      <c r="D280">
        <v>4</v>
      </c>
      <c r="E280" t="s">
        <v>944</v>
      </c>
    </row>
    <row r="281" spans="1:5" x14ac:dyDescent="0.2">
      <c r="A281" t="s">
        <v>2659</v>
      </c>
      <c r="B281">
        <v>9015904100</v>
      </c>
      <c r="C281" t="s">
        <v>2660</v>
      </c>
      <c r="D281">
        <v>4</v>
      </c>
      <c r="E281" t="s">
        <v>944</v>
      </c>
    </row>
    <row r="282" spans="1:5" x14ac:dyDescent="0.2">
      <c r="A282" t="s">
        <v>1151</v>
      </c>
      <c r="B282">
        <v>9001043600</v>
      </c>
      <c r="C282" t="s">
        <v>1152</v>
      </c>
      <c r="D282">
        <v>3</v>
      </c>
      <c r="E282" t="s">
        <v>944</v>
      </c>
    </row>
    <row r="283" spans="1:5" x14ac:dyDescent="0.2">
      <c r="A283" t="s">
        <v>2663</v>
      </c>
      <c r="B283">
        <v>9015904500</v>
      </c>
      <c r="C283" t="s">
        <v>2664</v>
      </c>
      <c r="D283">
        <v>5</v>
      </c>
      <c r="E283" t="s">
        <v>944</v>
      </c>
    </row>
    <row r="284" spans="1:5" x14ac:dyDescent="0.2">
      <c r="A284" t="s">
        <v>1467</v>
      </c>
      <c r="B284">
        <v>9003405500</v>
      </c>
      <c r="C284" t="s">
        <v>1468</v>
      </c>
      <c r="D284">
        <v>4</v>
      </c>
      <c r="E284" t="s">
        <v>944</v>
      </c>
    </row>
    <row r="285" spans="1:5" x14ac:dyDescent="0.2">
      <c r="A285" t="s">
        <v>1153</v>
      </c>
      <c r="B285">
        <v>9001043700</v>
      </c>
      <c r="C285" t="s">
        <v>1154</v>
      </c>
      <c r="D285">
        <v>2</v>
      </c>
      <c r="E285" t="s">
        <v>944</v>
      </c>
    </row>
    <row r="286" spans="1:5" x14ac:dyDescent="0.2">
      <c r="A286" t="s">
        <v>2665</v>
      </c>
      <c r="B286">
        <v>9015905100</v>
      </c>
      <c r="C286" t="s">
        <v>2666</v>
      </c>
      <c r="D286">
        <v>4</v>
      </c>
      <c r="E286" t="s">
        <v>944</v>
      </c>
    </row>
    <row r="287" spans="1:5" x14ac:dyDescent="0.2">
      <c r="A287" t="s">
        <v>2665</v>
      </c>
      <c r="B287">
        <v>9015905100</v>
      </c>
      <c r="C287" t="s">
        <v>2666</v>
      </c>
      <c r="D287">
        <v>4</v>
      </c>
      <c r="E287" t="s">
        <v>944</v>
      </c>
    </row>
    <row r="288" spans="1:5" x14ac:dyDescent="0.2">
      <c r="A288" t="s">
        <v>2665</v>
      </c>
      <c r="B288">
        <v>9015905100</v>
      </c>
      <c r="C288" t="s">
        <v>2666</v>
      </c>
      <c r="D288">
        <v>4</v>
      </c>
      <c r="E288" t="s">
        <v>944</v>
      </c>
    </row>
    <row r="289" spans="1:5" x14ac:dyDescent="0.2">
      <c r="A289" t="s">
        <v>1469</v>
      </c>
      <c r="B289">
        <v>9003405600</v>
      </c>
      <c r="C289" t="s">
        <v>1470</v>
      </c>
      <c r="D289">
        <v>5</v>
      </c>
      <c r="E289" t="s">
        <v>944</v>
      </c>
    </row>
    <row r="290" spans="1:5" x14ac:dyDescent="0.2">
      <c r="A290" t="s">
        <v>1155</v>
      </c>
      <c r="B290">
        <v>9001043800</v>
      </c>
      <c r="C290" t="s">
        <v>1156</v>
      </c>
      <c r="D290">
        <v>3</v>
      </c>
      <c r="E290" t="s">
        <v>944</v>
      </c>
    </row>
    <row r="291" spans="1:5" x14ac:dyDescent="0.2">
      <c r="A291" t="s">
        <v>1471</v>
      </c>
      <c r="B291">
        <v>9003405700</v>
      </c>
      <c r="C291" t="s">
        <v>1472</v>
      </c>
      <c r="D291">
        <v>6</v>
      </c>
      <c r="E291" t="s">
        <v>936</v>
      </c>
    </row>
    <row r="292" spans="1:5" x14ac:dyDescent="0.2">
      <c r="A292" t="s">
        <v>2669</v>
      </c>
      <c r="B292">
        <v>9015907100</v>
      </c>
      <c r="C292" t="s">
        <v>2670</v>
      </c>
      <c r="D292">
        <v>5</v>
      </c>
      <c r="E292" t="s">
        <v>944</v>
      </c>
    </row>
    <row r="293" spans="1:5" x14ac:dyDescent="0.2">
      <c r="A293" t="s">
        <v>2669</v>
      </c>
      <c r="B293">
        <v>9015907100</v>
      </c>
      <c r="C293" t="s">
        <v>2670</v>
      </c>
      <c r="D293">
        <v>5</v>
      </c>
      <c r="E293" t="s">
        <v>944</v>
      </c>
    </row>
    <row r="294" spans="1:5" x14ac:dyDescent="0.2">
      <c r="A294" t="s">
        <v>1157</v>
      </c>
      <c r="B294">
        <v>9001043900</v>
      </c>
      <c r="C294" t="s">
        <v>1158</v>
      </c>
      <c r="D294">
        <v>3</v>
      </c>
      <c r="E294" t="s">
        <v>944</v>
      </c>
    </row>
    <row r="295" spans="1:5" x14ac:dyDescent="0.2">
      <c r="A295" t="s">
        <v>1347</v>
      </c>
      <c r="B295">
        <v>9001100300</v>
      </c>
      <c r="C295" t="s">
        <v>1348</v>
      </c>
      <c r="D295">
        <v>3</v>
      </c>
      <c r="E295" t="s">
        <v>944</v>
      </c>
    </row>
    <row r="296" spans="1:5" x14ac:dyDescent="0.2">
      <c r="A296" t="s">
        <v>1347</v>
      </c>
      <c r="B296">
        <v>9001100300</v>
      </c>
      <c r="C296" t="s">
        <v>1348</v>
      </c>
      <c r="D296">
        <v>3</v>
      </c>
      <c r="E296" t="s">
        <v>944</v>
      </c>
    </row>
    <row r="297" spans="1:5" x14ac:dyDescent="0.2">
      <c r="A297" t="s">
        <v>1473</v>
      </c>
      <c r="B297">
        <v>9003405800</v>
      </c>
      <c r="C297" t="s">
        <v>1474</v>
      </c>
      <c r="D297">
        <v>3</v>
      </c>
      <c r="E297" t="s">
        <v>944</v>
      </c>
    </row>
    <row r="298" spans="1:5" x14ac:dyDescent="0.2">
      <c r="A298" t="s">
        <v>1159</v>
      </c>
      <c r="B298">
        <v>9001044000</v>
      </c>
      <c r="C298" t="s">
        <v>1160</v>
      </c>
      <c r="D298">
        <v>4</v>
      </c>
      <c r="E298" t="s">
        <v>944</v>
      </c>
    </row>
    <row r="299" spans="1:5" x14ac:dyDescent="0.2">
      <c r="A299" t="s">
        <v>1475</v>
      </c>
      <c r="B299">
        <v>9003405900</v>
      </c>
      <c r="C299" t="s">
        <v>1476</v>
      </c>
      <c r="D299">
        <v>3</v>
      </c>
      <c r="E299" t="s">
        <v>944</v>
      </c>
    </row>
    <row r="300" spans="1:5" x14ac:dyDescent="0.2">
      <c r="A300" t="s">
        <v>1477</v>
      </c>
      <c r="B300">
        <v>9003406001</v>
      </c>
      <c r="C300" t="s">
        <v>1478</v>
      </c>
      <c r="D300">
        <v>5</v>
      </c>
      <c r="E300" t="s">
        <v>944</v>
      </c>
    </row>
    <row r="301" spans="1:5" x14ac:dyDescent="0.2">
      <c r="A301" t="s">
        <v>1477</v>
      </c>
      <c r="B301">
        <v>9003406001</v>
      </c>
      <c r="C301" t="s">
        <v>1478</v>
      </c>
      <c r="D301">
        <v>5</v>
      </c>
      <c r="E301" t="s">
        <v>944</v>
      </c>
    </row>
    <row r="302" spans="1:5" x14ac:dyDescent="0.2">
      <c r="A302" t="s">
        <v>1163</v>
      </c>
      <c r="B302">
        <v>9001044200</v>
      </c>
      <c r="C302" t="s">
        <v>1164</v>
      </c>
      <c r="D302">
        <v>2</v>
      </c>
      <c r="E302" t="s">
        <v>944</v>
      </c>
    </row>
    <row r="303" spans="1:5" x14ac:dyDescent="0.2">
      <c r="A303" t="s">
        <v>2073</v>
      </c>
      <c r="B303">
        <v>9009125300</v>
      </c>
      <c r="C303" t="s">
        <v>2074</v>
      </c>
      <c r="D303">
        <v>5</v>
      </c>
      <c r="E303" t="s">
        <v>944</v>
      </c>
    </row>
    <row r="304" spans="1:5" x14ac:dyDescent="0.2">
      <c r="A304" t="s">
        <v>1479</v>
      </c>
      <c r="B304">
        <v>9003406002</v>
      </c>
      <c r="C304" t="s">
        <v>1480</v>
      </c>
      <c r="D304">
        <v>3</v>
      </c>
      <c r="E304" t="s">
        <v>944</v>
      </c>
    </row>
    <row r="305" spans="1:5" x14ac:dyDescent="0.2">
      <c r="A305" t="s">
        <v>1479</v>
      </c>
      <c r="B305">
        <v>9003406002</v>
      </c>
      <c r="C305" t="s">
        <v>1480</v>
      </c>
      <c r="D305">
        <v>3</v>
      </c>
      <c r="E305" t="s">
        <v>944</v>
      </c>
    </row>
    <row r="306" spans="1:5" x14ac:dyDescent="0.2">
      <c r="A306" t="s">
        <v>2075</v>
      </c>
      <c r="B306">
        <v>9009125400</v>
      </c>
      <c r="C306" t="s">
        <v>2076</v>
      </c>
      <c r="D306">
        <v>5</v>
      </c>
      <c r="E306" t="s">
        <v>944</v>
      </c>
    </row>
    <row r="307" spans="1:5" x14ac:dyDescent="0.2">
      <c r="A307" t="s">
        <v>2081</v>
      </c>
      <c r="B307">
        <v>9009130200</v>
      </c>
      <c r="C307" t="s">
        <v>2082</v>
      </c>
      <c r="D307">
        <v>4</v>
      </c>
      <c r="E307" t="s">
        <v>944</v>
      </c>
    </row>
    <row r="308" spans="1:5" x14ac:dyDescent="0.2">
      <c r="A308" t="s">
        <v>1165</v>
      </c>
      <c r="B308">
        <v>9001044300</v>
      </c>
      <c r="C308" t="s">
        <v>1166</v>
      </c>
      <c r="D308">
        <v>2</v>
      </c>
      <c r="E308" t="s">
        <v>944</v>
      </c>
    </row>
    <row r="309" spans="1:5" x14ac:dyDescent="0.2">
      <c r="A309" t="s">
        <v>1481</v>
      </c>
      <c r="B309">
        <v>9003406100</v>
      </c>
      <c r="C309" t="s">
        <v>1482</v>
      </c>
      <c r="D309">
        <v>5</v>
      </c>
      <c r="E309" t="s">
        <v>944</v>
      </c>
    </row>
    <row r="310" spans="1:5" x14ac:dyDescent="0.2">
      <c r="A310" t="s">
        <v>1167</v>
      </c>
      <c r="B310">
        <v>9001044400</v>
      </c>
      <c r="C310" t="s">
        <v>1168</v>
      </c>
      <c r="D310">
        <v>2</v>
      </c>
      <c r="E310" t="s">
        <v>944</v>
      </c>
    </row>
    <row r="311" spans="1:5" x14ac:dyDescent="0.2">
      <c r="A311" t="s">
        <v>1483</v>
      </c>
      <c r="B311">
        <v>9003410101</v>
      </c>
      <c r="C311" t="s">
        <v>1484</v>
      </c>
      <c r="D311">
        <v>3</v>
      </c>
      <c r="E311" t="s">
        <v>944</v>
      </c>
    </row>
    <row r="312" spans="1:5" x14ac:dyDescent="0.2">
      <c r="A312" t="s">
        <v>1483</v>
      </c>
      <c r="B312">
        <v>9003410101</v>
      </c>
      <c r="C312" t="s">
        <v>1484</v>
      </c>
      <c r="D312">
        <v>3</v>
      </c>
      <c r="E312" t="s">
        <v>944</v>
      </c>
    </row>
    <row r="313" spans="1:5" x14ac:dyDescent="0.2">
      <c r="A313" t="s">
        <v>1483</v>
      </c>
      <c r="B313">
        <v>9003410101</v>
      </c>
      <c r="C313" t="s">
        <v>1484</v>
      </c>
      <c r="D313">
        <v>3</v>
      </c>
      <c r="E313" t="s">
        <v>944</v>
      </c>
    </row>
    <row r="314" spans="1:5" x14ac:dyDescent="0.2">
      <c r="A314" t="s">
        <v>1169</v>
      </c>
      <c r="B314">
        <v>9001044500</v>
      </c>
      <c r="C314" t="s">
        <v>1170</v>
      </c>
      <c r="D314">
        <v>2</v>
      </c>
      <c r="E314" t="s">
        <v>944</v>
      </c>
    </row>
    <row r="315" spans="1:5" x14ac:dyDescent="0.2">
      <c r="A315" t="s">
        <v>1529</v>
      </c>
      <c r="B315">
        <v>9003420500</v>
      </c>
      <c r="C315" t="s">
        <v>1530</v>
      </c>
      <c r="D315">
        <v>4</v>
      </c>
      <c r="E315" t="s">
        <v>944</v>
      </c>
    </row>
    <row r="316" spans="1:5" x14ac:dyDescent="0.2">
      <c r="A316" t="s">
        <v>1529</v>
      </c>
      <c r="B316">
        <v>9003420500</v>
      </c>
      <c r="C316" t="s">
        <v>1530</v>
      </c>
      <c r="D316">
        <v>4</v>
      </c>
      <c r="E316" t="s">
        <v>944</v>
      </c>
    </row>
    <row r="317" spans="1:5" x14ac:dyDescent="0.2">
      <c r="A317" t="s">
        <v>1171</v>
      </c>
      <c r="B317">
        <v>9001044600</v>
      </c>
      <c r="C317" t="s">
        <v>1172</v>
      </c>
      <c r="D317">
        <v>2</v>
      </c>
      <c r="E317" t="s">
        <v>944</v>
      </c>
    </row>
    <row r="318" spans="1:5" x14ac:dyDescent="0.2">
      <c r="A318" t="s">
        <v>1551</v>
      </c>
      <c r="B318">
        <v>9003430601</v>
      </c>
      <c r="C318" t="s">
        <v>1552</v>
      </c>
      <c r="D318">
        <v>4</v>
      </c>
      <c r="E318" t="s">
        <v>944</v>
      </c>
    </row>
    <row r="319" spans="1:5" x14ac:dyDescent="0.2">
      <c r="A319" t="s">
        <v>1551</v>
      </c>
      <c r="B319">
        <v>9003430601</v>
      </c>
      <c r="C319" t="s">
        <v>1552</v>
      </c>
      <c r="D319">
        <v>4</v>
      </c>
      <c r="E319" t="s">
        <v>944</v>
      </c>
    </row>
    <row r="320" spans="1:5" x14ac:dyDescent="0.2">
      <c r="A320" t="s">
        <v>1987</v>
      </c>
      <c r="B320">
        <v>9005425400</v>
      </c>
      <c r="C320" t="s">
        <v>1988</v>
      </c>
      <c r="D320">
        <v>4</v>
      </c>
      <c r="E320" t="s">
        <v>944</v>
      </c>
    </row>
    <row r="321" spans="1:5" x14ac:dyDescent="0.2">
      <c r="A321" t="s">
        <v>1987</v>
      </c>
      <c r="B321">
        <v>9005425400</v>
      </c>
      <c r="C321" t="s">
        <v>1988</v>
      </c>
      <c r="D321">
        <v>4</v>
      </c>
      <c r="E321" t="s">
        <v>944</v>
      </c>
    </row>
    <row r="322" spans="1:5" x14ac:dyDescent="0.2">
      <c r="A322" t="s">
        <v>1179</v>
      </c>
      <c r="B322">
        <v>9001045300</v>
      </c>
      <c r="C322" t="s">
        <v>1180</v>
      </c>
      <c r="D322">
        <v>2</v>
      </c>
      <c r="E322" t="s">
        <v>944</v>
      </c>
    </row>
    <row r="323" spans="1:5" x14ac:dyDescent="0.2">
      <c r="A323" t="s">
        <v>1409</v>
      </c>
      <c r="B323">
        <v>9001211400</v>
      </c>
      <c r="C323" t="s">
        <v>1410</v>
      </c>
      <c r="D323">
        <v>3</v>
      </c>
      <c r="E323" t="s">
        <v>944</v>
      </c>
    </row>
    <row r="324" spans="1:5" x14ac:dyDescent="0.2">
      <c r="A324" t="s">
        <v>1409</v>
      </c>
      <c r="B324">
        <v>9001211400</v>
      </c>
      <c r="C324" t="s">
        <v>1410</v>
      </c>
      <c r="D324">
        <v>3</v>
      </c>
      <c r="E324" t="s">
        <v>944</v>
      </c>
    </row>
    <row r="325" spans="1:5" x14ac:dyDescent="0.2">
      <c r="A325" t="s">
        <v>1189</v>
      </c>
      <c r="B325">
        <v>9001050400</v>
      </c>
      <c r="C325" t="s">
        <v>1190</v>
      </c>
      <c r="D325">
        <v>3</v>
      </c>
      <c r="E325" t="s">
        <v>944</v>
      </c>
    </row>
    <row r="326" spans="1:5" x14ac:dyDescent="0.2">
      <c r="A326" t="s">
        <v>1485</v>
      </c>
      <c r="B326">
        <v>9003410102</v>
      </c>
      <c r="C326" t="s">
        <v>1486</v>
      </c>
      <c r="D326">
        <v>3</v>
      </c>
      <c r="E326" t="s">
        <v>944</v>
      </c>
    </row>
    <row r="327" spans="1:5" x14ac:dyDescent="0.2">
      <c r="A327" t="s">
        <v>1485</v>
      </c>
      <c r="B327">
        <v>9003410102</v>
      </c>
      <c r="C327" t="s">
        <v>1486</v>
      </c>
      <c r="D327">
        <v>3</v>
      </c>
      <c r="E327" t="s">
        <v>944</v>
      </c>
    </row>
    <row r="328" spans="1:5" x14ac:dyDescent="0.2">
      <c r="A328" t="s">
        <v>1485</v>
      </c>
      <c r="B328">
        <v>9003410102</v>
      </c>
      <c r="C328" t="s">
        <v>1486</v>
      </c>
      <c r="D328">
        <v>3</v>
      </c>
      <c r="E328" t="s">
        <v>944</v>
      </c>
    </row>
    <row r="329" spans="1:5" x14ac:dyDescent="0.2">
      <c r="A329" t="s">
        <v>1905</v>
      </c>
      <c r="B329">
        <v>9005260200</v>
      </c>
      <c r="C329" t="s">
        <v>1906</v>
      </c>
      <c r="D329">
        <v>4</v>
      </c>
      <c r="E329" t="s">
        <v>944</v>
      </c>
    </row>
    <row r="330" spans="1:5" x14ac:dyDescent="0.2">
      <c r="A330" t="s">
        <v>1905</v>
      </c>
      <c r="B330">
        <v>9005260200</v>
      </c>
      <c r="C330" t="s">
        <v>1906</v>
      </c>
      <c r="D330">
        <v>4</v>
      </c>
      <c r="E330" t="s">
        <v>944</v>
      </c>
    </row>
    <row r="331" spans="1:5" x14ac:dyDescent="0.2">
      <c r="A331" t="s">
        <v>1991</v>
      </c>
      <c r="B331">
        <v>9005425600</v>
      </c>
      <c r="C331" t="s">
        <v>1992</v>
      </c>
      <c r="D331">
        <v>4</v>
      </c>
      <c r="E331" t="s">
        <v>944</v>
      </c>
    </row>
    <row r="332" spans="1:5" x14ac:dyDescent="0.2">
      <c r="A332" t="s">
        <v>1991</v>
      </c>
      <c r="B332">
        <v>9005425600</v>
      </c>
      <c r="C332" t="s">
        <v>1992</v>
      </c>
      <c r="D332">
        <v>4</v>
      </c>
      <c r="E332" t="s">
        <v>944</v>
      </c>
    </row>
    <row r="333" spans="1:5" x14ac:dyDescent="0.2">
      <c r="A333" t="s">
        <v>2641</v>
      </c>
      <c r="B333">
        <v>9015825000</v>
      </c>
      <c r="C333" t="s">
        <v>2642</v>
      </c>
      <c r="D333">
        <v>4</v>
      </c>
      <c r="E333" t="s">
        <v>944</v>
      </c>
    </row>
    <row r="334" spans="1:5" x14ac:dyDescent="0.2">
      <c r="A334" t="s">
        <v>2641</v>
      </c>
      <c r="B334">
        <v>9015825000</v>
      </c>
      <c r="C334" t="s">
        <v>2642</v>
      </c>
      <c r="D334">
        <v>4</v>
      </c>
      <c r="E334" t="s">
        <v>944</v>
      </c>
    </row>
    <row r="335" spans="1:5" x14ac:dyDescent="0.2">
      <c r="A335" t="s">
        <v>2641</v>
      </c>
      <c r="B335">
        <v>9015825000</v>
      </c>
      <c r="C335" t="s">
        <v>2642</v>
      </c>
      <c r="D335">
        <v>4</v>
      </c>
      <c r="E335" t="s">
        <v>944</v>
      </c>
    </row>
    <row r="336" spans="1:5" x14ac:dyDescent="0.2">
      <c r="A336" t="s">
        <v>2667</v>
      </c>
      <c r="B336">
        <v>9015906100</v>
      </c>
      <c r="C336" t="s">
        <v>2668</v>
      </c>
      <c r="D336">
        <v>4</v>
      </c>
      <c r="E336" t="s">
        <v>944</v>
      </c>
    </row>
    <row r="337" spans="1:5" x14ac:dyDescent="0.2">
      <c r="A337" t="s">
        <v>2667</v>
      </c>
      <c r="B337">
        <v>9015906100</v>
      </c>
      <c r="C337" t="s">
        <v>2668</v>
      </c>
      <c r="D337">
        <v>4</v>
      </c>
      <c r="E337" t="s">
        <v>944</v>
      </c>
    </row>
    <row r="338" spans="1:5" x14ac:dyDescent="0.2">
      <c r="A338" t="s">
        <v>1575</v>
      </c>
      <c r="B338">
        <v>9003464101</v>
      </c>
      <c r="C338" t="s">
        <v>1576</v>
      </c>
      <c r="D338">
        <v>3</v>
      </c>
      <c r="E338" t="s">
        <v>944</v>
      </c>
    </row>
    <row r="339" spans="1:5" x14ac:dyDescent="0.2">
      <c r="A339" t="s">
        <v>1575</v>
      </c>
      <c r="B339">
        <v>9003464101</v>
      </c>
      <c r="C339" t="s">
        <v>1576</v>
      </c>
      <c r="D339">
        <v>3</v>
      </c>
      <c r="E339" t="s">
        <v>944</v>
      </c>
    </row>
    <row r="340" spans="1:5" x14ac:dyDescent="0.2">
      <c r="A340" t="s">
        <v>1577</v>
      </c>
      <c r="B340">
        <v>9003464102</v>
      </c>
      <c r="C340" t="s">
        <v>1578</v>
      </c>
      <c r="D340">
        <v>3</v>
      </c>
      <c r="E340" t="s">
        <v>944</v>
      </c>
    </row>
    <row r="341" spans="1:5" x14ac:dyDescent="0.2">
      <c r="A341" t="s">
        <v>1581</v>
      </c>
      <c r="B341">
        <v>9003466102</v>
      </c>
      <c r="C341" t="s">
        <v>1582</v>
      </c>
      <c r="D341">
        <v>2</v>
      </c>
      <c r="E341" t="s">
        <v>944</v>
      </c>
    </row>
    <row r="342" spans="1:5" x14ac:dyDescent="0.2">
      <c r="A342" t="s">
        <v>1581</v>
      </c>
      <c r="B342">
        <v>9003466102</v>
      </c>
      <c r="C342" t="s">
        <v>1582</v>
      </c>
      <c r="D342">
        <v>2</v>
      </c>
      <c r="E342" t="s">
        <v>944</v>
      </c>
    </row>
    <row r="343" spans="1:5" x14ac:dyDescent="0.2">
      <c r="A343" t="s">
        <v>1585</v>
      </c>
      <c r="B343">
        <v>9003466202</v>
      </c>
      <c r="C343" t="s">
        <v>1586</v>
      </c>
      <c r="D343">
        <v>2</v>
      </c>
      <c r="E343" t="s">
        <v>944</v>
      </c>
    </row>
    <row r="344" spans="1:5" x14ac:dyDescent="0.2">
      <c r="A344" t="s">
        <v>1585</v>
      </c>
      <c r="B344">
        <v>9003466202</v>
      </c>
      <c r="C344" t="s">
        <v>1586</v>
      </c>
      <c r="D344">
        <v>2</v>
      </c>
      <c r="E344" t="s">
        <v>944</v>
      </c>
    </row>
    <row r="345" spans="1:5" x14ac:dyDescent="0.2">
      <c r="A345" t="s">
        <v>2613</v>
      </c>
      <c r="B345">
        <v>9013881100</v>
      </c>
      <c r="C345" t="s">
        <v>2614</v>
      </c>
      <c r="D345">
        <v>3</v>
      </c>
      <c r="E345" t="s">
        <v>944</v>
      </c>
    </row>
    <row r="346" spans="1:5" x14ac:dyDescent="0.2">
      <c r="A346" t="s">
        <v>2613</v>
      </c>
      <c r="B346">
        <v>9013881100</v>
      </c>
      <c r="C346" t="s">
        <v>2614</v>
      </c>
      <c r="D346">
        <v>3</v>
      </c>
      <c r="E346" t="s">
        <v>944</v>
      </c>
    </row>
    <row r="347" spans="1:5" x14ac:dyDescent="0.2">
      <c r="A347" t="s">
        <v>2637</v>
      </c>
      <c r="B347">
        <v>9015815000</v>
      </c>
      <c r="C347" t="s">
        <v>2638</v>
      </c>
      <c r="D347">
        <v>4</v>
      </c>
      <c r="E347" t="s">
        <v>944</v>
      </c>
    </row>
    <row r="348" spans="1:5" x14ac:dyDescent="0.2">
      <c r="A348" t="s">
        <v>2637</v>
      </c>
      <c r="B348">
        <v>9015815000</v>
      </c>
      <c r="C348" t="s">
        <v>2638</v>
      </c>
      <c r="D348">
        <v>4</v>
      </c>
      <c r="E348" t="s">
        <v>944</v>
      </c>
    </row>
    <row r="349" spans="1:5" x14ac:dyDescent="0.2">
      <c r="A349" t="s">
        <v>2333</v>
      </c>
      <c r="B349">
        <v>9009343101</v>
      </c>
      <c r="C349" t="s">
        <v>2334</v>
      </c>
      <c r="D349">
        <v>3</v>
      </c>
      <c r="E349" t="s">
        <v>944</v>
      </c>
    </row>
    <row r="350" spans="1:5" x14ac:dyDescent="0.2">
      <c r="A350" t="s">
        <v>2333</v>
      </c>
      <c r="B350">
        <v>9009343101</v>
      </c>
      <c r="C350" t="s">
        <v>2334</v>
      </c>
      <c r="D350">
        <v>3</v>
      </c>
      <c r="E350" t="s">
        <v>944</v>
      </c>
    </row>
    <row r="351" spans="1:5" x14ac:dyDescent="0.2">
      <c r="A351" t="s">
        <v>2333</v>
      </c>
      <c r="B351">
        <v>9009343101</v>
      </c>
      <c r="C351" t="s">
        <v>2334</v>
      </c>
      <c r="D351">
        <v>3</v>
      </c>
      <c r="E351" t="s">
        <v>944</v>
      </c>
    </row>
    <row r="352" spans="1:5" x14ac:dyDescent="0.2">
      <c r="A352" t="s">
        <v>2335</v>
      </c>
      <c r="B352">
        <v>9009343102</v>
      </c>
      <c r="C352" t="s">
        <v>2336</v>
      </c>
      <c r="D352">
        <v>3</v>
      </c>
      <c r="E352" t="s">
        <v>944</v>
      </c>
    </row>
    <row r="353" spans="1:5" x14ac:dyDescent="0.2">
      <c r="A353" t="s">
        <v>2339</v>
      </c>
      <c r="B353">
        <v>9009343300</v>
      </c>
      <c r="C353" t="s">
        <v>2340</v>
      </c>
      <c r="D353">
        <v>3</v>
      </c>
      <c r="E353" t="s">
        <v>944</v>
      </c>
    </row>
    <row r="354" spans="1:5" x14ac:dyDescent="0.2">
      <c r="A354" t="s">
        <v>2341</v>
      </c>
      <c r="B354">
        <v>9009343400</v>
      </c>
      <c r="C354" t="s">
        <v>2342</v>
      </c>
      <c r="D354">
        <v>3</v>
      </c>
      <c r="E354" t="s">
        <v>944</v>
      </c>
    </row>
    <row r="355" spans="1:5" x14ac:dyDescent="0.2">
      <c r="A355" t="s">
        <v>2237</v>
      </c>
      <c r="B355">
        <v>9009170500</v>
      </c>
      <c r="C355" t="s">
        <v>2238</v>
      </c>
      <c r="D355">
        <v>3</v>
      </c>
      <c r="E355" t="s">
        <v>944</v>
      </c>
    </row>
    <row r="356" spans="1:5" x14ac:dyDescent="0.2">
      <c r="A356" t="s">
        <v>2361</v>
      </c>
      <c r="B356">
        <v>9009347100</v>
      </c>
      <c r="C356" t="s">
        <v>2362</v>
      </c>
      <c r="D356">
        <v>3</v>
      </c>
      <c r="E356" t="s">
        <v>944</v>
      </c>
    </row>
    <row r="357" spans="1:5" x14ac:dyDescent="0.2">
      <c r="A357" t="s">
        <v>2361</v>
      </c>
      <c r="B357">
        <v>9009347100</v>
      </c>
      <c r="C357" t="s">
        <v>2362</v>
      </c>
      <c r="D357">
        <v>3</v>
      </c>
      <c r="E357" t="s">
        <v>944</v>
      </c>
    </row>
    <row r="358" spans="1:5" x14ac:dyDescent="0.2">
      <c r="A358" t="s">
        <v>2361</v>
      </c>
      <c r="B358">
        <v>9009347100</v>
      </c>
      <c r="C358" t="s">
        <v>2362</v>
      </c>
      <c r="D358">
        <v>3</v>
      </c>
      <c r="E358" t="s">
        <v>944</v>
      </c>
    </row>
    <row r="359" spans="1:5" x14ac:dyDescent="0.2">
      <c r="A359" t="s">
        <v>2239</v>
      </c>
      <c r="B359">
        <v>9009170600</v>
      </c>
      <c r="C359" t="s">
        <v>2240</v>
      </c>
      <c r="D359">
        <v>4</v>
      </c>
      <c r="E359" t="s">
        <v>944</v>
      </c>
    </row>
    <row r="360" spans="1:5" x14ac:dyDescent="0.2">
      <c r="A360" t="s">
        <v>2241</v>
      </c>
      <c r="B360">
        <v>9009170700</v>
      </c>
      <c r="C360" t="s">
        <v>2242</v>
      </c>
      <c r="D360">
        <v>4</v>
      </c>
      <c r="E360" t="s">
        <v>944</v>
      </c>
    </row>
    <row r="361" spans="1:5" x14ac:dyDescent="0.2">
      <c r="A361" t="s">
        <v>2243</v>
      </c>
      <c r="B361">
        <v>9009170800</v>
      </c>
      <c r="C361" t="s">
        <v>2244</v>
      </c>
      <c r="D361">
        <v>4</v>
      </c>
      <c r="E361" t="s">
        <v>944</v>
      </c>
    </row>
    <row r="362" spans="1:5" x14ac:dyDescent="0.2">
      <c r="A362" t="s">
        <v>2041</v>
      </c>
      <c r="B362">
        <v>9007600100</v>
      </c>
      <c r="C362" t="s">
        <v>2042</v>
      </c>
      <c r="D362">
        <v>4</v>
      </c>
      <c r="E362" t="s">
        <v>944</v>
      </c>
    </row>
    <row r="363" spans="1:5" x14ac:dyDescent="0.2">
      <c r="A363" t="s">
        <v>2245</v>
      </c>
      <c r="B363">
        <v>9009170900</v>
      </c>
      <c r="C363" t="s">
        <v>2246</v>
      </c>
      <c r="D363">
        <v>5</v>
      </c>
      <c r="E363" t="s">
        <v>944</v>
      </c>
    </row>
    <row r="364" spans="1:5" x14ac:dyDescent="0.2">
      <c r="A364" t="s">
        <v>2043</v>
      </c>
      <c r="B364">
        <v>9007610100</v>
      </c>
      <c r="C364" t="s">
        <v>2044</v>
      </c>
      <c r="D364">
        <v>4</v>
      </c>
      <c r="E364" t="s">
        <v>944</v>
      </c>
    </row>
    <row r="365" spans="1:5" x14ac:dyDescent="0.2">
      <c r="A365" t="s">
        <v>2247</v>
      </c>
      <c r="B365">
        <v>9009171000</v>
      </c>
      <c r="C365" t="s">
        <v>2248</v>
      </c>
      <c r="D365">
        <v>5</v>
      </c>
      <c r="E365" t="s">
        <v>944</v>
      </c>
    </row>
    <row r="366" spans="1:5" x14ac:dyDescent="0.2">
      <c r="A366" t="s">
        <v>2045</v>
      </c>
      <c r="B366">
        <v>9007610200</v>
      </c>
      <c r="C366" t="s">
        <v>2046</v>
      </c>
      <c r="D366">
        <v>4</v>
      </c>
      <c r="E366" t="s">
        <v>944</v>
      </c>
    </row>
    <row r="367" spans="1:5" x14ac:dyDescent="0.2">
      <c r="A367" t="s">
        <v>2249</v>
      </c>
      <c r="B367">
        <v>9009171100</v>
      </c>
      <c r="C367" t="s">
        <v>2250</v>
      </c>
      <c r="D367">
        <v>4</v>
      </c>
      <c r="E367" t="s">
        <v>944</v>
      </c>
    </row>
    <row r="368" spans="1:5" x14ac:dyDescent="0.2">
      <c r="A368" t="s">
        <v>2047</v>
      </c>
      <c r="B368">
        <v>9007610300</v>
      </c>
      <c r="C368" t="s">
        <v>2048</v>
      </c>
      <c r="D368">
        <v>3</v>
      </c>
      <c r="E368" t="s">
        <v>944</v>
      </c>
    </row>
    <row r="369" spans="1:5" x14ac:dyDescent="0.2">
      <c r="A369" t="s">
        <v>2251</v>
      </c>
      <c r="B369">
        <v>9009171200</v>
      </c>
      <c r="C369" t="s">
        <v>2252</v>
      </c>
      <c r="D369">
        <v>3</v>
      </c>
      <c r="E369" t="s">
        <v>944</v>
      </c>
    </row>
    <row r="370" spans="1:5" x14ac:dyDescent="0.2">
      <c r="A370" t="s">
        <v>2049</v>
      </c>
      <c r="B370">
        <v>9007610400</v>
      </c>
      <c r="C370" t="s">
        <v>2050</v>
      </c>
      <c r="D370">
        <v>3</v>
      </c>
      <c r="E370" t="s">
        <v>944</v>
      </c>
    </row>
    <row r="371" spans="1:5" x14ac:dyDescent="0.2">
      <c r="A371" t="s">
        <v>2253</v>
      </c>
      <c r="B371">
        <v>9009171300</v>
      </c>
      <c r="C371" t="s">
        <v>2254</v>
      </c>
      <c r="D371">
        <v>4</v>
      </c>
      <c r="E371" t="s">
        <v>944</v>
      </c>
    </row>
    <row r="372" spans="1:5" x14ac:dyDescent="0.2">
      <c r="A372" t="s">
        <v>2017</v>
      </c>
      <c r="B372">
        <v>9007550201</v>
      </c>
      <c r="C372" t="s">
        <v>2018</v>
      </c>
      <c r="D372">
        <v>3</v>
      </c>
      <c r="E372" t="s">
        <v>944</v>
      </c>
    </row>
    <row r="373" spans="1:5" x14ac:dyDescent="0.2">
      <c r="A373" t="s">
        <v>2017</v>
      </c>
      <c r="B373">
        <v>9007550201</v>
      </c>
      <c r="C373" t="s">
        <v>2018</v>
      </c>
      <c r="D373">
        <v>3</v>
      </c>
      <c r="E373" t="s">
        <v>944</v>
      </c>
    </row>
    <row r="374" spans="1:5" x14ac:dyDescent="0.2">
      <c r="A374" t="s">
        <v>2255</v>
      </c>
      <c r="B374">
        <v>9009171400</v>
      </c>
      <c r="C374" t="s">
        <v>2256</v>
      </c>
      <c r="D374">
        <v>5</v>
      </c>
      <c r="E374" t="s">
        <v>944</v>
      </c>
    </row>
    <row r="375" spans="1:5" x14ac:dyDescent="0.2">
      <c r="A375" t="s">
        <v>2257</v>
      </c>
      <c r="B375">
        <v>9009171500</v>
      </c>
      <c r="C375" t="s">
        <v>2258</v>
      </c>
      <c r="D375">
        <v>5</v>
      </c>
      <c r="E375" t="s">
        <v>944</v>
      </c>
    </row>
    <row r="376" spans="1:5" x14ac:dyDescent="0.2">
      <c r="A376" t="s">
        <v>2037</v>
      </c>
      <c r="B376">
        <v>9007595101</v>
      </c>
      <c r="C376" t="s">
        <v>2038</v>
      </c>
      <c r="D376">
        <v>4</v>
      </c>
      <c r="E376" t="s">
        <v>944</v>
      </c>
    </row>
    <row r="377" spans="1:5" x14ac:dyDescent="0.2">
      <c r="A377" t="s">
        <v>2037</v>
      </c>
      <c r="B377">
        <v>9007595101</v>
      </c>
      <c r="C377" t="s">
        <v>2038</v>
      </c>
      <c r="D377">
        <v>4</v>
      </c>
      <c r="E377" t="s">
        <v>944</v>
      </c>
    </row>
    <row r="378" spans="1:5" x14ac:dyDescent="0.2">
      <c r="A378" t="s">
        <v>2037</v>
      </c>
      <c r="B378">
        <v>9007595101</v>
      </c>
      <c r="C378" t="s">
        <v>2038</v>
      </c>
      <c r="D378">
        <v>4</v>
      </c>
      <c r="E378" t="s">
        <v>944</v>
      </c>
    </row>
    <row r="379" spans="1:5" x14ac:dyDescent="0.2">
      <c r="A379" t="s">
        <v>2261</v>
      </c>
      <c r="B379">
        <v>9009171700</v>
      </c>
      <c r="C379" t="s">
        <v>2262</v>
      </c>
      <c r="D379">
        <v>3</v>
      </c>
      <c r="E379" t="s">
        <v>944</v>
      </c>
    </row>
    <row r="380" spans="1:5" x14ac:dyDescent="0.2">
      <c r="A380" t="s">
        <v>2543</v>
      </c>
      <c r="B380">
        <v>9011714101</v>
      </c>
      <c r="C380" t="s">
        <v>2544</v>
      </c>
      <c r="D380">
        <v>4</v>
      </c>
      <c r="E380" t="s">
        <v>944</v>
      </c>
    </row>
    <row r="381" spans="1:5" x14ac:dyDescent="0.2">
      <c r="A381" t="s">
        <v>2545</v>
      </c>
      <c r="B381">
        <v>9011714103</v>
      </c>
      <c r="C381" t="s">
        <v>2546</v>
      </c>
      <c r="D381">
        <v>3</v>
      </c>
      <c r="E381" t="s">
        <v>944</v>
      </c>
    </row>
    <row r="382" spans="1:5" x14ac:dyDescent="0.2">
      <c r="A382" t="s">
        <v>2547</v>
      </c>
      <c r="B382">
        <v>9011714104</v>
      </c>
      <c r="C382" t="s">
        <v>2548</v>
      </c>
      <c r="D382">
        <v>4</v>
      </c>
      <c r="E382" t="s">
        <v>944</v>
      </c>
    </row>
    <row r="383" spans="1:5" x14ac:dyDescent="0.2">
      <c r="A383" t="s">
        <v>2547</v>
      </c>
      <c r="B383">
        <v>9011714104</v>
      </c>
      <c r="C383" t="s">
        <v>2548</v>
      </c>
      <c r="D383">
        <v>4</v>
      </c>
      <c r="E383" t="s">
        <v>944</v>
      </c>
    </row>
    <row r="384" spans="1:5" x14ac:dyDescent="0.2">
      <c r="A384" t="s">
        <v>2547</v>
      </c>
      <c r="B384">
        <v>9011714104</v>
      </c>
      <c r="C384" t="s">
        <v>2548</v>
      </c>
      <c r="D384">
        <v>4</v>
      </c>
      <c r="E384" t="s">
        <v>944</v>
      </c>
    </row>
    <row r="385" spans="1:5" x14ac:dyDescent="0.2">
      <c r="A385" t="s">
        <v>2269</v>
      </c>
      <c r="B385">
        <v>9009175400</v>
      </c>
      <c r="C385" t="s">
        <v>2270</v>
      </c>
      <c r="D385">
        <v>3</v>
      </c>
      <c r="E385" t="s">
        <v>944</v>
      </c>
    </row>
    <row r="386" spans="1:5" x14ac:dyDescent="0.2">
      <c r="A386" t="s">
        <v>2549</v>
      </c>
      <c r="B386">
        <v>9011715100</v>
      </c>
      <c r="C386" t="s">
        <v>2550</v>
      </c>
      <c r="D386">
        <v>3</v>
      </c>
      <c r="E386" t="s">
        <v>944</v>
      </c>
    </row>
    <row r="387" spans="1:5" x14ac:dyDescent="0.2">
      <c r="A387" t="s">
        <v>2549</v>
      </c>
      <c r="B387">
        <v>9011715100</v>
      </c>
      <c r="C387" t="s">
        <v>2550</v>
      </c>
      <c r="D387">
        <v>3</v>
      </c>
      <c r="E387" t="s">
        <v>944</v>
      </c>
    </row>
    <row r="388" spans="1:5" x14ac:dyDescent="0.2">
      <c r="A388" t="s">
        <v>2549</v>
      </c>
      <c r="B388">
        <v>9011715100</v>
      </c>
      <c r="C388" t="s">
        <v>2550</v>
      </c>
      <c r="D388">
        <v>3</v>
      </c>
      <c r="E388" t="s">
        <v>944</v>
      </c>
    </row>
    <row r="389" spans="1:5" x14ac:dyDescent="0.2">
      <c r="A389" t="s">
        <v>2555</v>
      </c>
      <c r="B389">
        <v>9011870100</v>
      </c>
      <c r="C389" t="s">
        <v>2556</v>
      </c>
      <c r="D389">
        <v>3</v>
      </c>
      <c r="E389" t="s">
        <v>944</v>
      </c>
    </row>
    <row r="390" spans="1:5" x14ac:dyDescent="0.2">
      <c r="A390" t="s">
        <v>2555</v>
      </c>
      <c r="B390">
        <v>9011870100</v>
      </c>
      <c r="C390" t="s">
        <v>2556</v>
      </c>
      <c r="D390">
        <v>3</v>
      </c>
      <c r="E390" t="s">
        <v>944</v>
      </c>
    </row>
    <row r="391" spans="1:5" x14ac:dyDescent="0.2">
      <c r="A391" t="s">
        <v>2555</v>
      </c>
      <c r="B391">
        <v>9011870100</v>
      </c>
      <c r="C391" t="s">
        <v>2556</v>
      </c>
      <c r="D391">
        <v>3</v>
      </c>
      <c r="E391" t="s">
        <v>944</v>
      </c>
    </row>
    <row r="392" spans="1:5" x14ac:dyDescent="0.2">
      <c r="A392" t="s">
        <v>2571</v>
      </c>
      <c r="B392">
        <v>9013526101</v>
      </c>
      <c r="C392" t="s">
        <v>2572</v>
      </c>
      <c r="D392">
        <v>3</v>
      </c>
      <c r="E392" t="s">
        <v>944</v>
      </c>
    </row>
    <row r="393" spans="1:5" x14ac:dyDescent="0.2">
      <c r="A393" t="s">
        <v>2571</v>
      </c>
      <c r="B393">
        <v>9013526101</v>
      </c>
      <c r="C393" t="s">
        <v>2572</v>
      </c>
      <c r="D393">
        <v>3</v>
      </c>
      <c r="E393" t="s">
        <v>944</v>
      </c>
    </row>
    <row r="394" spans="1:5" x14ac:dyDescent="0.2">
      <c r="A394" t="s">
        <v>2571</v>
      </c>
      <c r="B394">
        <v>9013526101</v>
      </c>
      <c r="C394" t="s">
        <v>2572</v>
      </c>
      <c r="D394">
        <v>3</v>
      </c>
      <c r="E394" t="s">
        <v>944</v>
      </c>
    </row>
    <row r="395" spans="1:5" x14ac:dyDescent="0.2">
      <c r="A395" t="s">
        <v>2315</v>
      </c>
      <c r="B395">
        <v>9009190100</v>
      </c>
      <c r="C395" t="s">
        <v>2316</v>
      </c>
      <c r="D395">
        <v>3</v>
      </c>
      <c r="E395" t="s">
        <v>944</v>
      </c>
    </row>
    <row r="396" spans="1:5" x14ac:dyDescent="0.2">
      <c r="A396" t="s">
        <v>2317</v>
      </c>
      <c r="B396">
        <v>9009190200</v>
      </c>
      <c r="C396" t="s">
        <v>2318</v>
      </c>
      <c r="D396">
        <v>3</v>
      </c>
      <c r="E396" t="s">
        <v>944</v>
      </c>
    </row>
    <row r="397" spans="1:5" x14ac:dyDescent="0.2">
      <c r="A397" t="s">
        <v>2319</v>
      </c>
      <c r="B397">
        <v>9009190301</v>
      </c>
      <c r="C397" t="s">
        <v>2320</v>
      </c>
      <c r="D397">
        <v>3</v>
      </c>
      <c r="E397" t="s">
        <v>944</v>
      </c>
    </row>
    <row r="398" spans="1:5" x14ac:dyDescent="0.2">
      <c r="A398" t="s">
        <v>2319</v>
      </c>
      <c r="B398">
        <v>9009190301</v>
      </c>
      <c r="C398" t="s">
        <v>2320</v>
      </c>
      <c r="D398">
        <v>3</v>
      </c>
      <c r="E398" t="s">
        <v>944</v>
      </c>
    </row>
    <row r="399" spans="1:5" x14ac:dyDescent="0.2">
      <c r="A399" t="s">
        <v>1923</v>
      </c>
      <c r="B399">
        <v>9005293100</v>
      </c>
      <c r="C399" t="s">
        <v>1924</v>
      </c>
      <c r="D399">
        <v>4</v>
      </c>
      <c r="E399" t="s">
        <v>944</v>
      </c>
    </row>
    <row r="400" spans="1:5" x14ac:dyDescent="0.2">
      <c r="A400" t="s">
        <v>2321</v>
      </c>
      <c r="B400">
        <v>9009190302</v>
      </c>
      <c r="C400" t="s">
        <v>2322</v>
      </c>
      <c r="D400">
        <v>3</v>
      </c>
      <c r="E400" t="s">
        <v>944</v>
      </c>
    </row>
    <row r="401" spans="1:5" x14ac:dyDescent="0.2">
      <c r="A401" t="s">
        <v>2609</v>
      </c>
      <c r="B401">
        <v>9013850200</v>
      </c>
      <c r="C401" t="s">
        <v>2610</v>
      </c>
      <c r="D401">
        <v>3</v>
      </c>
      <c r="E401" t="s">
        <v>944</v>
      </c>
    </row>
    <row r="402" spans="1:5" x14ac:dyDescent="0.2">
      <c r="A402" t="s">
        <v>2609</v>
      </c>
      <c r="B402">
        <v>9013850200</v>
      </c>
      <c r="C402" t="s">
        <v>2610</v>
      </c>
      <c r="D402">
        <v>3</v>
      </c>
      <c r="E402" t="s">
        <v>944</v>
      </c>
    </row>
    <row r="403" spans="1:5" x14ac:dyDescent="0.2">
      <c r="A403" t="s">
        <v>2609</v>
      </c>
      <c r="B403">
        <v>9013850200</v>
      </c>
      <c r="C403" t="s">
        <v>2610</v>
      </c>
      <c r="D403">
        <v>3</v>
      </c>
      <c r="E403" t="s">
        <v>944</v>
      </c>
    </row>
    <row r="404" spans="1:5" x14ac:dyDescent="0.2">
      <c r="A404" t="s">
        <v>2325</v>
      </c>
      <c r="B404">
        <v>9009194100</v>
      </c>
      <c r="C404" t="s">
        <v>2326</v>
      </c>
      <c r="D404">
        <v>4</v>
      </c>
      <c r="E404" t="s">
        <v>944</v>
      </c>
    </row>
    <row r="405" spans="1:5" x14ac:dyDescent="0.2">
      <c r="A405" t="s">
        <v>2327</v>
      </c>
      <c r="B405">
        <v>9009194201</v>
      </c>
      <c r="C405" t="s">
        <v>2328</v>
      </c>
      <c r="D405">
        <v>3</v>
      </c>
      <c r="E405" t="s">
        <v>944</v>
      </c>
    </row>
    <row r="406" spans="1:5" x14ac:dyDescent="0.2">
      <c r="A406" t="s">
        <v>2327</v>
      </c>
      <c r="B406">
        <v>9009194201</v>
      </c>
      <c r="C406" t="s">
        <v>2328</v>
      </c>
      <c r="D406">
        <v>3</v>
      </c>
      <c r="E406" t="s">
        <v>944</v>
      </c>
    </row>
    <row r="407" spans="1:5" x14ac:dyDescent="0.2">
      <c r="A407" t="s">
        <v>2611</v>
      </c>
      <c r="B407">
        <v>9013860100</v>
      </c>
      <c r="C407" t="s">
        <v>2612</v>
      </c>
      <c r="D407">
        <v>3</v>
      </c>
      <c r="E407" t="s">
        <v>944</v>
      </c>
    </row>
    <row r="408" spans="1:5" x14ac:dyDescent="0.2">
      <c r="A408" t="s">
        <v>2611</v>
      </c>
      <c r="B408">
        <v>9013860100</v>
      </c>
      <c r="C408" t="s">
        <v>2612</v>
      </c>
      <c r="D408">
        <v>3</v>
      </c>
      <c r="E408" t="s">
        <v>944</v>
      </c>
    </row>
    <row r="409" spans="1:5" x14ac:dyDescent="0.2">
      <c r="A409" t="s">
        <v>1909</v>
      </c>
      <c r="B409">
        <v>9005262100</v>
      </c>
      <c r="C409" t="s">
        <v>1910</v>
      </c>
      <c r="D409">
        <v>4</v>
      </c>
      <c r="E409" t="s">
        <v>944</v>
      </c>
    </row>
    <row r="410" spans="1:5" x14ac:dyDescent="0.2">
      <c r="A410" t="s">
        <v>1909</v>
      </c>
      <c r="B410">
        <v>9005262100</v>
      </c>
      <c r="C410" t="s">
        <v>1910</v>
      </c>
      <c r="D410">
        <v>4</v>
      </c>
      <c r="E410" t="s">
        <v>944</v>
      </c>
    </row>
    <row r="411" spans="1:5" x14ac:dyDescent="0.2">
      <c r="A411" t="s">
        <v>1909</v>
      </c>
      <c r="B411">
        <v>9005262100</v>
      </c>
      <c r="C411" t="s">
        <v>1910</v>
      </c>
      <c r="D411">
        <v>4</v>
      </c>
      <c r="E411" t="s">
        <v>944</v>
      </c>
    </row>
    <row r="412" spans="1:5" x14ac:dyDescent="0.2">
      <c r="A412" t="s">
        <v>1387</v>
      </c>
      <c r="B412">
        <v>9001210300</v>
      </c>
      <c r="C412" t="s">
        <v>1388</v>
      </c>
      <c r="D412">
        <v>4</v>
      </c>
      <c r="E412" t="s">
        <v>944</v>
      </c>
    </row>
    <row r="413" spans="1:5" x14ac:dyDescent="0.2">
      <c r="A413" t="s">
        <v>1395</v>
      </c>
      <c r="B413">
        <v>9001210701</v>
      </c>
      <c r="C413" t="s">
        <v>1396</v>
      </c>
      <c r="D413">
        <v>5</v>
      </c>
      <c r="E413" t="s">
        <v>944</v>
      </c>
    </row>
    <row r="414" spans="1:5" x14ac:dyDescent="0.2">
      <c r="A414" t="s">
        <v>1913</v>
      </c>
      <c r="B414">
        <v>9005265100</v>
      </c>
      <c r="C414" t="s">
        <v>1914</v>
      </c>
      <c r="D414">
        <v>4</v>
      </c>
      <c r="E414" t="s">
        <v>944</v>
      </c>
    </row>
    <row r="415" spans="1:5" x14ac:dyDescent="0.2">
      <c r="A415" t="s">
        <v>1913</v>
      </c>
      <c r="B415">
        <v>9005265100</v>
      </c>
      <c r="C415" t="s">
        <v>1914</v>
      </c>
      <c r="D415">
        <v>4</v>
      </c>
      <c r="E415" t="s">
        <v>944</v>
      </c>
    </row>
    <row r="416" spans="1:5" x14ac:dyDescent="0.2">
      <c r="A416" t="s">
        <v>1913</v>
      </c>
      <c r="B416">
        <v>9005265100</v>
      </c>
      <c r="C416" t="s">
        <v>1914</v>
      </c>
      <c r="D416">
        <v>4</v>
      </c>
      <c r="E416" t="s">
        <v>944</v>
      </c>
    </row>
    <row r="417" spans="1:5" x14ac:dyDescent="0.2">
      <c r="A417" t="s">
        <v>1913</v>
      </c>
      <c r="B417">
        <v>9005265100</v>
      </c>
      <c r="C417" t="s">
        <v>1914</v>
      </c>
      <c r="D417">
        <v>4</v>
      </c>
      <c r="E417" t="s">
        <v>944</v>
      </c>
    </row>
    <row r="418" spans="1:5" x14ac:dyDescent="0.2">
      <c r="A418" t="s">
        <v>1397</v>
      </c>
      <c r="B418">
        <v>9001210702</v>
      </c>
      <c r="C418" t="s">
        <v>1398</v>
      </c>
      <c r="D418">
        <v>5</v>
      </c>
      <c r="E418" t="s">
        <v>944</v>
      </c>
    </row>
    <row r="419" spans="1:5" x14ac:dyDescent="0.2">
      <c r="A419" t="s">
        <v>1407</v>
      </c>
      <c r="B419">
        <v>9001211300</v>
      </c>
      <c r="C419" t="s">
        <v>1408</v>
      </c>
      <c r="D419">
        <v>3</v>
      </c>
      <c r="E419" t="s">
        <v>944</v>
      </c>
    </row>
    <row r="420" spans="1:5" x14ac:dyDescent="0.2">
      <c r="A420" t="s">
        <v>1915</v>
      </c>
      <c r="B420">
        <v>9005266100</v>
      </c>
      <c r="C420" t="s">
        <v>1916</v>
      </c>
      <c r="D420">
        <v>4</v>
      </c>
      <c r="E420" t="s">
        <v>944</v>
      </c>
    </row>
    <row r="421" spans="1:5" x14ac:dyDescent="0.2">
      <c r="A421" t="s">
        <v>1915</v>
      </c>
      <c r="B421">
        <v>9005266100</v>
      </c>
      <c r="C421" t="s">
        <v>1916</v>
      </c>
      <c r="D421">
        <v>4</v>
      </c>
      <c r="E421" t="s">
        <v>944</v>
      </c>
    </row>
    <row r="422" spans="1:5" x14ac:dyDescent="0.2">
      <c r="A422" t="s">
        <v>1915</v>
      </c>
      <c r="B422">
        <v>9005266100</v>
      </c>
      <c r="C422" t="s">
        <v>1916</v>
      </c>
      <c r="D422">
        <v>4</v>
      </c>
      <c r="E422" t="s">
        <v>944</v>
      </c>
    </row>
    <row r="423" spans="1:5" x14ac:dyDescent="0.2">
      <c r="A423" t="s">
        <v>1915</v>
      </c>
      <c r="B423">
        <v>9005266100</v>
      </c>
      <c r="C423" t="s">
        <v>1916</v>
      </c>
      <c r="D423">
        <v>4</v>
      </c>
      <c r="E423" t="s">
        <v>944</v>
      </c>
    </row>
    <row r="424" spans="1:5" x14ac:dyDescent="0.2">
      <c r="A424" t="s">
        <v>1915</v>
      </c>
      <c r="B424">
        <v>9005266100</v>
      </c>
      <c r="C424" t="s">
        <v>1916</v>
      </c>
      <c r="D424">
        <v>4</v>
      </c>
      <c r="E424" t="s">
        <v>944</v>
      </c>
    </row>
    <row r="425" spans="1:5" x14ac:dyDescent="0.2">
      <c r="A425" t="s">
        <v>2025</v>
      </c>
      <c r="B425">
        <v>9007570100</v>
      </c>
      <c r="C425" t="s">
        <v>2026</v>
      </c>
      <c r="D425">
        <v>3</v>
      </c>
      <c r="E425" t="s">
        <v>944</v>
      </c>
    </row>
    <row r="426" spans="1:5" x14ac:dyDescent="0.2">
      <c r="A426" t="s">
        <v>2027</v>
      </c>
      <c r="B426">
        <v>9007570200</v>
      </c>
      <c r="C426" t="s">
        <v>2028</v>
      </c>
      <c r="D426">
        <v>3</v>
      </c>
      <c r="E426" t="s">
        <v>944</v>
      </c>
    </row>
    <row r="427" spans="1:5" x14ac:dyDescent="0.2">
      <c r="A427" t="s">
        <v>1411</v>
      </c>
      <c r="B427">
        <v>9001220100</v>
      </c>
      <c r="C427" t="s">
        <v>1412</v>
      </c>
      <c r="D427">
        <v>3</v>
      </c>
      <c r="E427" t="s">
        <v>944</v>
      </c>
    </row>
    <row r="428" spans="1:5" x14ac:dyDescent="0.2">
      <c r="A428" t="s">
        <v>2029</v>
      </c>
      <c r="B428">
        <v>9007570300</v>
      </c>
      <c r="C428" t="s">
        <v>2030</v>
      </c>
      <c r="D428">
        <v>3</v>
      </c>
      <c r="E428" t="s">
        <v>944</v>
      </c>
    </row>
    <row r="429" spans="1:5" x14ac:dyDescent="0.2">
      <c r="A429" t="s">
        <v>1415</v>
      </c>
      <c r="B429">
        <v>9001220300</v>
      </c>
      <c r="C429" t="s">
        <v>1416</v>
      </c>
      <c r="D429">
        <v>4</v>
      </c>
      <c r="E429" t="s">
        <v>944</v>
      </c>
    </row>
    <row r="430" spans="1:5" x14ac:dyDescent="0.2">
      <c r="A430" t="s">
        <v>1415</v>
      </c>
      <c r="B430">
        <v>9001220300</v>
      </c>
      <c r="C430" t="s">
        <v>1416</v>
      </c>
      <c r="D430">
        <v>4</v>
      </c>
      <c r="E430" t="s">
        <v>944</v>
      </c>
    </row>
    <row r="431" spans="1:5" x14ac:dyDescent="0.2">
      <c r="A431" t="s">
        <v>1415</v>
      </c>
      <c r="B431">
        <v>9001220300</v>
      </c>
      <c r="C431" t="s">
        <v>1416</v>
      </c>
      <c r="D431">
        <v>4</v>
      </c>
      <c r="E431" t="s">
        <v>944</v>
      </c>
    </row>
    <row r="432" spans="1:5" x14ac:dyDescent="0.2">
      <c r="A432" t="s">
        <v>1437</v>
      </c>
      <c r="B432">
        <v>9001245300</v>
      </c>
      <c r="C432" t="s">
        <v>1438</v>
      </c>
      <c r="D432">
        <v>2</v>
      </c>
      <c r="E432" t="s">
        <v>944</v>
      </c>
    </row>
    <row r="433" spans="1:5" x14ac:dyDescent="0.2">
      <c r="A433" t="s">
        <v>1893</v>
      </c>
      <c r="B433">
        <v>9005253100</v>
      </c>
      <c r="C433" t="s">
        <v>1894</v>
      </c>
      <c r="D433">
        <v>4</v>
      </c>
      <c r="E433" t="s">
        <v>944</v>
      </c>
    </row>
    <row r="434" spans="1:5" x14ac:dyDescent="0.2">
      <c r="A434" t="s">
        <v>1897</v>
      </c>
      <c r="B434">
        <v>9005253300</v>
      </c>
      <c r="C434" t="s">
        <v>1898</v>
      </c>
      <c r="D434">
        <v>4</v>
      </c>
      <c r="E434" t="s">
        <v>944</v>
      </c>
    </row>
    <row r="435" spans="1:5" x14ac:dyDescent="0.2">
      <c r="A435" t="s">
        <v>1903</v>
      </c>
      <c r="B435">
        <v>9005253600</v>
      </c>
      <c r="C435" t="s">
        <v>1904</v>
      </c>
      <c r="D435">
        <v>5</v>
      </c>
      <c r="E435" t="s">
        <v>944</v>
      </c>
    </row>
    <row r="436" spans="1:5" x14ac:dyDescent="0.2">
      <c r="A436" t="s">
        <v>1917</v>
      </c>
      <c r="B436">
        <v>9005267100</v>
      </c>
      <c r="C436" t="s">
        <v>1918</v>
      </c>
      <c r="D436">
        <v>4</v>
      </c>
      <c r="E436" t="s">
        <v>944</v>
      </c>
    </row>
    <row r="437" spans="1:5" x14ac:dyDescent="0.2">
      <c r="A437" t="s">
        <v>1917</v>
      </c>
      <c r="B437">
        <v>9005267100</v>
      </c>
      <c r="C437" t="s">
        <v>1918</v>
      </c>
      <c r="D437">
        <v>4</v>
      </c>
      <c r="E437" t="s">
        <v>944</v>
      </c>
    </row>
    <row r="438" spans="1:5" x14ac:dyDescent="0.2">
      <c r="A438" t="s">
        <v>1917</v>
      </c>
      <c r="B438">
        <v>9005267100</v>
      </c>
      <c r="C438" t="s">
        <v>1918</v>
      </c>
      <c r="D438">
        <v>4</v>
      </c>
      <c r="E438" t="s">
        <v>944</v>
      </c>
    </row>
    <row r="439" spans="1:5" x14ac:dyDescent="0.2">
      <c r="A439" t="s">
        <v>1927</v>
      </c>
      <c r="B439">
        <v>9005298300</v>
      </c>
      <c r="C439" t="s">
        <v>1928</v>
      </c>
      <c r="D439">
        <v>3</v>
      </c>
      <c r="E439" t="s">
        <v>944</v>
      </c>
    </row>
    <row r="440" spans="1:5" x14ac:dyDescent="0.2">
      <c r="A440" t="s">
        <v>1929</v>
      </c>
      <c r="B440">
        <v>9005298400</v>
      </c>
      <c r="C440" t="s">
        <v>1930</v>
      </c>
      <c r="D440">
        <v>3</v>
      </c>
      <c r="E440" t="s">
        <v>944</v>
      </c>
    </row>
    <row r="441" spans="1:5" x14ac:dyDescent="0.2">
      <c r="A441" t="s">
        <v>1941</v>
      </c>
      <c r="B441">
        <v>9005310100</v>
      </c>
      <c r="C441" t="s">
        <v>1942</v>
      </c>
      <c r="D441">
        <v>5</v>
      </c>
      <c r="E441" t="s">
        <v>944</v>
      </c>
    </row>
    <row r="442" spans="1:5" x14ac:dyDescent="0.2">
      <c r="A442" t="s">
        <v>1943</v>
      </c>
      <c r="B442">
        <v>9005310200</v>
      </c>
      <c r="C442" t="s">
        <v>1944</v>
      </c>
      <c r="D442">
        <v>5</v>
      </c>
      <c r="E442" t="s">
        <v>944</v>
      </c>
    </row>
    <row r="443" spans="1:5" x14ac:dyDescent="0.2">
      <c r="A443" t="s">
        <v>1945</v>
      </c>
      <c r="B443">
        <v>9005310300</v>
      </c>
      <c r="C443" t="s">
        <v>1946</v>
      </c>
      <c r="D443">
        <v>6</v>
      </c>
      <c r="E443" t="s">
        <v>936</v>
      </c>
    </row>
    <row r="444" spans="1:5" x14ac:dyDescent="0.2">
      <c r="A444" t="s">
        <v>1947</v>
      </c>
      <c r="B444">
        <v>9005310400</v>
      </c>
      <c r="C444" t="s">
        <v>1948</v>
      </c>
      <c r="D444">
        <v>4</v>
      </c>
      <c r="E444" t="s">
        <v>944</v>
      </c>
    </row>
    <row r="445" spans="1:5" x14ac:dyDescent="0.2">
      <c r="A445" t="s">
        <v>1947</v>
      </c>
      <c r="B445">
        <v>9005310400</v>
      </c>
      <c r="C445" t="s">
        <v>1948</v>
      </c>
      <c r="D445">
        <v>4</v>
      </c>
      <c r="E445" t="s">
        <v>944</v>
      </c>
    </row>
    <row r="446" spans="1:5" x14ac:dyDescent="0.2">
      <c r="A446" t="s">
        <v>1949</v>
      </c>
      <c r="B446">
        <v>9005310500</v>
      </c>
      <c r="C446" t="s">
        <v>1950</v>
      </c>
      <c r="D446">
        <v>5</v>
      </c>
      <c r="E446" t="s">
        <v>944</v>
      </c>
    </row>
    <row r="447" spans="1:5" x14ac:dyDescent="0.2">
      <c r="A447" t="s">
        <v>1953</v>
      </c>
      <c r="B447">
        <v>9005310602</v>
      </c>
      <c r="C447" t="s">
        <v>1954</v>
      </c>
      <c r="D447">
        <v>4</v>
      </c>
      <c r="E447" t="s">
        <v>944</v>
      </c>
    </row>
    <row r="448" spans="1:5" x14ac:dyDescent="0.2">
      <c r="A448" t="s">
        <v>1955</v>
      </c>
      <c r="B448">
        <v>9005310700</v>
      </c>
      <c r="C448" t="s">
        <v>1956</v>
      </c>
      <c r="D448">
        <v>5</v>
      </c>
      <c r="E448" t="s">
        <v>944</v>
      </c>
    </row>
    <row r="449" spans="1:5" x14ac:dyDescent="0.2">
      <c r="A449" t="s">
        <v>2051</v>
      </c>
      <c r="B449">
        <v>9007620100</v>
      </c>
      <c r="C449" t="s">
        <v>2052</v>
      </c>
      <c r="D449">
        <v>4</v>
      </c>
      <c r="E449" t="s">
        <v>944</v>
      </c>
    </row>
    <row r="450" spans="1:5" x14ac:dyDescent="0.2">
      <c r="A450" t="s">
        <v>1957</v>
      </c>
      <c r="B450">
        <v>9005310801</v>
      </c>
      <c r="C450" t="s">
        <v>1958</v>
      </c>
      <c r="D450">
        <v>5</v>
      </c>
      <c r="E450" t="s">
        <v>944</v>
      </c>
    </row>
    <row r="451" spans="1:5" x14ac:dyDescent="0.2">
      <c r="A451" t="s">
        <v>1959</v>
      </c>
      <c r="B451">
        <v>9005310803</v>
      </c>
      <c r="C451" t="s">
        <v>1960</v>
      </c>
      <c r="D451">
        <v>6</v>
      </c>
      <c r="E451" t="s">
        <v>936</v>
      </c>
    </row>
    <row r="452" spans="1:5" x14ac:dyDescent="0.2">
      <c r="A452" t="s">
        <v>1961</v>
      </c>
      <c r="B452">
        <v>9005310804</v>
      </c>
      <c r="C452" t="s">
        <v>1962</v>
      </c>
      <c r="D452">
        <v>4</v>
      </c>
      <c r="E452" t="s">
        <v>944</v>
      </c>
    </row>
    <row r="453" spans="1:5" x14ac:dyDescent="0.2">
      <c r="A453" t="s">
        <v>2033</v>
      </c>
      <c r="B453">
        <v>9007585100</v>
      </c>
      <c r="C453" t="s">
        <v>2034</v>
      </c>
      <c r="D453">
        <v>3</v>
      </c>
      <c r="E453" t="s">
        <v>944</v>
      </c>
    </row>
    <row r="454" spans="1:5" x14ac:dyDescent="0.2">
      <c r="A454" t="s">
        <v>2033</v>
      </c>
      <c r="B454">
        <v>9007585100</v>
      </c>
      <c r="C454" t="s">
        <v>2034</v>
      </c>
      <c r="D454">
        <v>3</v>
      </c>
      <c r="E454" t="s">
        <v>944</v>
      </c>
    </row>
    <row r="455" spans="1:5" x14ac:dyDescent="0.2">
      <c r="A455" t="s">
        <v>1965</v>
      </c>
      <c r="B455">
        <v>9005320200</v>
      </c>
      <c r="C455" t="s">
        <v>1966</v>
      </c>
      <c r="D455">
        <v>4</v>
      </c>
      <c r="E455" t="s">
        <v>944</v>
      </c>
    </row>
    <row r="456" spans="1:5" x14ac:dyDescent="0.2">
      <c r="A456" t="s">
        <v>1595</v>
      </c>
      <c r="B456">
        <v>9003470100</v>
      </c>
      <c r="C456" t="s">
        <v>1596</v>
      </c>
      <c r="D456">
        <v>3</v>
      </c>
      <c r="E456" t="s">
        <v>944</v>
      </c>
    </row>
    <row r="457" spans="1:5" x14ac:dyDescent="0.2">
      <c r="A457" t="s">
        <v>1595</v>
      </c>
      <c r="B457">
        <v>9003470100</v>
      </c>
      <c r="C457" t="s">
        <v>1596</v>
      </c>
      <c r="D457">
        <v>3</v>
      </c>
      <c r="E457" t="s">
        <v>944</v>
      </c>
    </row>
    <row r="458" spans="1:5" x14ac:dyDescent="0.2">
      <c r="A458" t="s">
        <v>1595</v>
      </c>
      <c r="B458">
        <v>9003470100</v>
      </c>
      <c r="C458" t="s">
        <v>1596</v>
      </c>
      <c r="D458">
        <v>3</v>
      </c>
      <c r="E458" t="s">
        <v>944</v>
      </c>
    </row>
    <row r="459" spans="1:5" x14ac:dyDescent="0.2">
      <c r="A459" t="s">
        <v>2343</v>
      </c>
      <c r="B459">
        <v>9009344100</v>
      </c>
      <c r="C459" t="s">
        <v>2344</v>
      </c>
      <c r="D459">
        <v>3</v>
      </c>
      <c r="E459" t="s">
        <v>944</v>
      </c>
    </row>
    <row r="460" spans="1:5" x14ac:dyDescent="0.2">
      <c r="A460" t="s">
        <v>2343</v>
      </c>
      <c r="B460">
        <v>9009344100</v>
      </c>
      <c r="C460" t="s">
        <v>2344</v>
      </c>
      <c r="D460">
        <v>3</v>
      </c>
      <c r="E460" t="s">
        <v>944</v>
      </c>
    </row>
    <row r="461" spans="1:5" x14ac:dyDescent="0.2">
      <c r="A461" t="s">
        <v>2345</v>
      </c>
      <c r="B461">
        <v>9009344200</v>
      </c>
      <c r="C461" t="s">
        <v>2346</v>
      </c>
      <c r="D461">
        <v>3</v>
      </c>
      <c r="E461" t="s">
        <v>944</v>
      </c>
    </row>
    <row r="462" spans="1:5" x14ac:dyDescent="0.2">
      <c r="A462" t="s">
        <v>2345</v>
      </c>
      <c r="B462">
        <v>9009344200</v>
      </c>
      <c r="C462" t="s">
        <v>2346</v>
      </c>
      <c r="D462">
        <v>3</v>
      </c>
      <c r="E462" t="s">
        <v>944</v>
      </c>
    </row>
    <row r="463" spans="1:5" x14ac:dyDescent="0.2">
      <c r="A463" t="s">
        <v>2347</v>
      </c>
      <c r="B463">
        <v>9009345100</v>
      </c>
      <c r="C463" t="s">
        <v>2348</v>
      </c>
      <c r="D463">
        <v>4</v>
      </c>
      <c r="E463" t="s">
        <v>944</v>
      </c>
    </row>
    <row r="464" spans="1:5" x14ac:dyDescent="0.2">
      <c r="A464" t="s">
        <v>2347</v>
      </c>
      <c r="B464">
        <v>9009345100</v>
      </c>
      <c r="C464" t="s">
        <v>2348</v>
      </c>
      <c r="D464">
        <v>4</v>
      </c>
      <c r="E464" t="s">
        <v>944</v>
      </c>
    </row>
    <row r="465" spans="1:5" x14ac:dyDescent="0.2">
      <c r="A465" t="s">
        <v>1629</v>
      </c>
      <c r="B465">
        <v>9003477101</v>
      </c>
      <c r="C465" t="s">
        <v>1630</v>
      </c>
      <c r="D465">
        <v>3</v>
      </c>
      <c r="E465" t="s">
        <v>944</v>
      </c>
    </row>
    <row r="466" spans="1:5" x14ac:dyDescent="0.2">
      <c r="A466" t="s">
        <v>1629</v>
      </c>
      <c r="B466">
        <v>9003477101</v>
      </c>
      <c r="C466" t="s">
        <v>1630</v>
      </c>
      <c r="D466">
        <v>3</v>
      </c>
      <c r="E466" t="s">
        <v>944</v>
      </c>
    </row>
    <row r="467" spans="1:5" x14ac:dyDescent="0.2">
      <c r="A467" t="s">
        <v>2349</v>
      </c>
      <c r="B467">
        <v>9009345201</v>
      </c>
      <c r="C467" t="s">
        <v>2350</v>
      </c>
      <c r="D467">
        <v>4</v>
      </c>
      <c r="E467" t="s">
        <v>944</v>
      </c>
    </row>
    <row r="468" spans="1:5" x14ac:dyDescent="0.2">
      <c r="A468" t="s">
        <v>2351</v>
      </c>
      <c r="B468">
        <v>9009345202</v>
      </c>
      <c r="C468" t="s">
        <v>2352</v>
      </c>
      <c r="D468">
        <v>3</v>
      </c>
      <c r="E468" t="s">
        <v>944</v>
      </c>
    </row>
    <row r="469" spans="1:5" x14ac:dyDescent="0.2">
      <c r="A469" t="s">
        <v>2353</v>
      </c>
      <c r="B469">
        <v>9009345300</v>
      </c>
      <c r="C469" t="s">
        <v>2354</v>
      </c>
      <c r="D469">
        <v>4</v>
      </c>
      <c r="E469" t="s">
        <v>944</v>
      </c>
    </row>
    <row r="470" spans="1:5" x14ac:dyDescent="0.2">
      <c r="A470" t="s">
        <v>2353</v>
      </c>
      <c r="B470">
        <v>9009345300</v>
      </c>
      <c r="C470" t="s">
        <v>2354</v>
      </c>
      <c r="D470">
        <v>4</v>
      </c>
      <c r="E470" t="s">
        <v>944</v>
      </c>
    </row>
    <row r="471" spans="1:5" x14ac:dyDescent="0.2">
      <c r="A471" t="s">
        <v>1633</v>
      </c>
      <c r="B471">
        <v>9003477200</v>
      </c>
      <c r="C471" t="s">
        <v>1634</v>
      </c>
      <c r="D471">
        <v>3</v>
      </c>
      <c r="E471" t="s">
        <v>944</v>
      </c>
    </row>
    <row r="472" spans="1:5" x14ac:dyDescent="0.2">
      <c r="A472" t="s">
        <v>1633</v>
      </c>
      <c r="B472">
        <v>9003477200</v>
      </c>
      <c r="C472" t="s">
        <v>1634</v>
      </c>
      <c r="D472">
        <v>3</v>
      </c>
      <c r="E472" t="s">
        <v>944</v>
      </c>
    </row>
    <row r="473" spans="1:5" x14ac:dyDescent="0.2">
      <c r="A473" t="s">
        <v>2355</v>
      </c>
      <c r="B473">
        <v>9009345400</v>
      </c>
      <c r="C473" t="s">
        <v>2356</v>
      </c>
      <c r="D473">
        <v>4</v>
      </c>
      <c r="E473" t="s">
        <v>944</v>
      </c>
    </row>
    <row r="474" spans="1:5" x14ac:dyDescent="0.2">
      <c r="A474" t="s">
        <v>2355</v>
      </c>
      <c r="B474">
        <v>9009345400</v>
      </c>
      <c r="C474" t="s">
        <v>2356</v>
      </c>
      <c r="D474">
        <v>4</v>
      </c>
      <c r="E474" t="s">
        <v>944</v>
      </c>
    </row>
    <row r="475" spans="1:5" x14ac:dyDescent="0.2">
      <c r="A475" t="s">
        <v>2357</v>
      </c>
      <c r="B475">
        <v>9009346101</v>
      </c>
      <c r="C475" t="s">
        <v>2358</v>
      </c>
      <c r="D475">
        <v>3</v>
      </c>
      <c r="E475" t="s">
        <v>944</v>
      </c>
    </row>
    <row r="476" spans="1:5" x14ac:dyDescent="0.2">
      <c r="A476" t="s">
        <v>2039</v>
      </c>
      <c r="B476">
        <v>9007595102</v>
      </c>
      <c r="C476" t="s">
        <v>2040</v>
      </c>
      <c r="D476">
        <v>4</v>
      </c>
      <c r="E476" t="s">
        <v>944</v>
      </c>
    </row>
    <row r="477" spans="1:5" x14ac:dyDescent="0.2">
      <c r="A477" t="s">
        <v>2015</v>
      </c>
      <c r="B477">
        <v>9007550100</v>
      </c>
      <c r="C477" t="s">
        <v>2016</v>
      </c>
      <c r="D477">
        <v>4</v>
      </c>
      <c r="E477" t="s">
        <v>944</v>
      </c>
    </row>
    <row r="478" spans="1:5" x14ac:dyDescent="0.2">
      <c r="A478" t="s">
        <v>2363</v>
      </c>
      <c r="B478">
        <v>9009347200</v>
      </c>
      <c r="C478" t="s">
        <v>2364</v>
      </c>
      <c r="D478">
        <v>3</v>
      </c>
      <c r="E478" t="s">
        <v>944</v>
      </c>
    </row>
    <row r="479" spans="1:5" x14ac:dyDescent="0.2">
      <c r="A479" t="s">
        <v>2363</v>
      </c>
      <c r="B479">
        <v>9009347200</v>
      </c>
      <c r="C479" t="s">
        <v>2364</v>
      </c>
      <c r="D479">
        <v>3</v>
      </c>
      <c r="E479" t="s">
        <v>944</v>
      </c>
    </row>
    <row r="480" spans="1:5" x14ac:dyDescent="0.2">
      <c r="A480" t="s">
        <v>2019</v>
      </c>
      <c r="B480">
        <v>9007550202</v>
      </c>
      <c r="C480" t="s">
        <v>2020</v>
      </c>
      <c r="D480">
        <v>4</v>
      </c>
      <c r="E480" t="s">
        <v>944</v>
      </c>
    </row>
    <row r="481" spans="1:5" x14ac:dyDescent="0.2">
      <c r="A481" t="s">
        <v>2365</v>
      </c>
      <c r="B481">
        <v>9009348111</v>
      </c>
      <c r="C481" t="s">
        <v>2366</v>
      </c>
      <c r="D481">
        <v>3</v>
      </c>
      <c r="E481" t="s">
        <v>944</v>
      </c>
    </row>
    <row r="482" spans="1:5" x14ac:dyDescent="0.2">
      <c r="A482" t="s">
        <v>2035</v>
      </c>
      <c r="B482">
        <v>9007590100</v>
      </c>
      <c r="C482" t="s">
        <v>2036</v>
      </c>
      <c r="D482">
        <v>3</v>
      </c>
      <c r="E482" t="s">
        <v>944</v>
      </c>
    </row>
    <row r="483" spans="1:5" x14ac:dyDescent="0.2">
      <c r="A483" t="s">
        <v>2035</v>
      </c>
      <c r="B483">
        <v>9007590100</v>
      </c>
      <c r="C483" t="s">
        <v>2036</v>
      </c>
      <c r="D483">
        <v>3</v>
      </c>
      <c r="E483" t="s">
        <v>944</v>
      </c>
    </row>
    <row r="484" spans="1:5" x14ac:dyDescent="0.2">
      <c r="A484" t="s">
        <v>2035</v>
      </c>
      <c r="B484">
        <v>9007590100</v>
      </c>
      <c r="C484" t="s">
        <v>2036</v>
      </c>
      <c r="D484">
        <v>3</v>
      </c>
      <c r="E484" t="s">
        <v>944</v>
      </c>
    </row>
    <row r="485" spans="1:5" x14ac:dyDescent="0.2">
      <c r="A485" t="s">
        <v>2035</v>
      </c>
      <c r="B485">
        <v>9007590100</v>
      </c>
      <c r="C485" t="s">
        <v>2036</v>
      </c>
      <c r="D485">
        <v>3</v>
      </c>
      <c r="E485" t="s">
        <v>944</v>
      </c>
    </row>
    <row r="486" spans="1:5" x14ac:dyDescent="0.2">
      <c r="A486" t="s">
        <v>2367</v>
      </c>
      <c r="B486">
        <v>9009348122</v>
      </c>
      <c r="C486" t="s">
        <v>2368</v>
      </c>
      <c r="D486">
        <v>3</v>
      </c>
      <c r="E486" t="s">
        <v>944</v>
      </c>
    </row>
    <row r="487" spans="1:5" x14ac:dyDescent="0.2">
      <c r="A487" t="s">
        <v>2369</v>
      </c>
      <c r="B487">
        <v>9009348123</v>
      </c>
      <c r="C487" t="s">
        <v>2370</v>
      </c>
      <c r="D487">
        <v>3</v>
      </c>
      <c r="E487" t="s">
        <v>944</v>
      </c>
    </row>
    <row r="488" spans="1:5" x14ac:dyDescent="0.2">
      <c r="A488" t="s">
        <v>2371</v>
      </c>
      <c r="B488">
        <v>9009348124</v>
      </c>
      <c r="C488" t="s">
        <v>2372</v>
      </c>
      <c r="D488">
        <v>4</v>
      </c>
      <c r="E488" t="s">
        <v>944</v>
      </c>
    </row>
    <row r="489" spans="1:5" x14ac:dyDescent="0.2">
      <c r="A489" t="s">
        <v>2373</v>
      </c>
      <c r="B489">
        <v>9009348125</v>
      </c>
      <c r="C489" t="s">
        <v>2374</v>
      </c>
      <c r="D489">
        <v>4</v>
      </c>
      <c r="E489" t="s">
        <v>944</v>
      </c>
    </row>
    <row r="490" spans="1:5" x14ac:dyDescent="0.2">
      <c r="A490" t="s">
        <v>2403</v>
      </c>
      <c r="B490">
        <v>9009351602</v>
      </c>
      <c r="C490" t="s">
        <v>2404</v>
      </c>
      <c r="D490">
        <v>5</v>
      </c>
      <c r="E490" t="s">
        <v>944</v>
      </c>
    </row>
    <row r="491" spans="1:5" x14ac:dyDescent="0.2">
      <c r="A491" t="s">
        <v>1719</v>
      </c>
      <c r="B491">
        <v>9003496900</v>
      </c>
      <c r="C491" t="s">
        <v>1720</v>
      </c>
      <c r="D491">
        <v>3</v>
      </c>
      <c r="E491" t="s">
        <v>944</v>
      </c>
    </row>
    <row r="492" spans="1:5" x14ac:dyDescent="0.2">
      <c r="A492" t="s">
        <v>1719</v>
      </c>
      <c r="B492">
        <v>9003496900</v>
      </c>
      <c r="C492" t="s">
        <v>1720</v>
      </c>
      <c r="D492">
        <v>3</v>
      </c>
      <c r="E492" t="s">
        <v>944</v>
      </c>
    </row>
    <row r="493" spans="1:5" x14ac:dyDescent="0.2">
      <c r="A493" t="s">
        <v>1719</v>
      </c>
      <c r="B493">
        <v>9003496900</v>
      </c>
      <c r="C493" t="s">
        <v>1720</v>
      </c>
      <c r="D493">
        <v>3</v>
      </c>
      <c r="E493" t="s">
        <v>944</v>
      </c>
    </row>
    <row r="494" spans="1:5" x14ac:dyDescent="0.2">
      <c r="A494" t="s">
        <v>2405</v>
      </c>
      <c r="B494">
        <v>9009351700</v>
      </c>
      <c r="C494" t="s">
        <v>2406</v>
      </c>
      <c r="D494">
        <v>9</v>
      </c>
      <c r="E494" t="s">
        <v>936</v>
      </c>
    </row>
    <row r="495" spans="1:5" x14ac:dyDescent="0.2">
      <c r="A495" t="s">
        <v>2409</v>
      </c>
      <c r="B495">
        <v>9009351900</v>
      </c>
      <c r="C495" t="s">
        <v>2410</v>
      </c>
      <c r="D495">
        <v>4</v>
      </c>
      <c r="E495" t="s">
        <v>944</v>
      </c>
    </row>
    <row r="496" spans="1:5" x14ac:dyDescent="0.2">
      <c r="A496" t="s">
        <v>2409</v>
      </c>
      <c r="B496">
        <v>9009351900</v>
      </c>
      <c r="C496" t="s">
        <v>2410</v>
      </c>
      <c r="D496">
        <v>4</v>
      </c>
      <c r="E496" t="s">
        <v>944</v>
      </c>
    </row>
    <row r="497" spans="1:5" x14ac:dyDescent="0.2">
      <c r="A497" t="s">
        <v>1805</v>
      </c>
      <c r="B497">
        <v>9003510100</v>
      </c>
      <c r="C497" t="s">
        <v>1806</v>
      </c>
      <c r="D497">
        <v>4</v>
      </c>
      <c r="E497" t="s">
        <v>944</v>
      </c>
    </row>
    <row r="498" spans="1:5" x14ac:dyDescent="0.2">
      <c r="A498" t="s">
        <v>2411</v>
      </c>
      <c r="B498">
        <v>9009352000</v>
      </c>
      <c r="C498" t="s">
        <v>2412</v>
      </c>
      <c r="D498">
        <v>4</v>
      </c>
      <c r="E498" t="s">
        <v>944</v>
      </c>
    </row>
    <row r="499" spans="1:5" x14ac:dyDescent="0.2">
      <c r="A499" t="s">
        <v>1807</v>
      </c>
      <c r="B499">
        <v>9003510200</v>
      </c>
      <c r="C499" t="s">
        <v>1808</v>
      </c>
      <c r="D499">
        <v>4</v>
      </c>
      <c r="E499" t="s">
        <v>944</v>
      </c>
    </row>
    <row r="500" spans="1:5" x14ac:dyDescent="0.2">
      <c r="A500" t="s">
        <v>2413</v>
      </c>
      <c r="B500">
        <v>9009352100</v>
      </c>
      <c r="C500" t="s">
        <v>2414</v>
      </c>
      <c r="D500">
        <v>5</v>
      </c>
      <c r="E500" t="s">
        <v>944</v>
      </c>
    </row>
    <row r="501" spans="1:5" x14ac:dyDescent="0.2">
      <c r="A501" t="s">
        <v>2413</v>
      </c>
      <c r="B501">
        <v>9009352100</v>
      </c>
      <c r="C501" t="s">
        <v>2414</v>
      </c>
      <c r="D501">
        <v>5</v>
      </c>
      <c r="E501" t="s">
        <v>944</v>
      </c>
    </row>
    <row r="502" spans="1:5" x14ac:dyDescent="0.2">
      <c r="A502" t="s">
        <v>1809</v>
      </c>
      <c r="B502">
        <v>9003510300</v>
      </c>
      <c r="C502" t="s">
        <v>1810</v>
      </c>
      <c r="D502">
        <v>5</v>
      </c>
      <c r="E502" t="s">
        <v>944</v>
      </c>
    </row>
    <row r="503" spans="1:5" x14ac:dyDescent="0.2">
      <c r="A503" t="s">
        <v>2415</v>
      </c>
      <c r="B503">
        <v>9009352200</v>
      </c>
      <c r="C503" t="s">
        <v>2416</v>
      </c>
      <c r="D503">
        <v>8</v>
      </c>
      <c r="E503" t="s">
        <v>936</v>
      </c>
    </row>
    <row r="504" spans="1:5" x14ac:dyDescent="0.2">
      <c r="A504" t="s">
        <v>1811</v>
      </c>
      <c r="B504">
        <v>9003510400</v>
      </c>
      <c r="C504" t="s">
        <v>1812</v>
      </c>
      <c r="D504">
        <v>5</v>
      </c>
      <c r="E504" t="s">
        <v>944</v>
      </c>
    </row>
    <row r="505" spans="1:5" x14ac:dyDescent="0.2">
      <c r="A505" t="s">
        <v>2417</v>
      </c>
      <c r="B505">
        <v>9009352300</v>
      </c>
      <c r="C505" t="s">
        <v>2418</v>
      </c>
      <c r="D505">
        <v>6</v>
      </c>
      <c r="E505" t="s">
        <v>936</v>
      </c>
    </row>
    <row r="506" spans="1:5" x14ac:dyDescent="0.2">
      <c r="A506" t="s">
        <v>1813</v>
      </c>
      <c r="B506">
        <v>9003510500</v>
      </c>
      <c r="C506" t="s">
        <v>1814</v>
      </c>
      <c r="D506">
        <v>4</v>
      </c>
      <c r="E506" t="s">
        <v>944</v>
      </c>
    </row>
    <row r="507" spans="1:5" x14ac:dyDescent="0.2">
      <c r="A507" t="s">
        <v>2419</v>
      </c>
      <c r="B507">
        <v>9009352400</v>
      </c>
      <c r="C507" t="s">
        <v>2420</v>
      </c>
      <c r="D507">
        <v>6</v>
      </c>
      <c r="E507" t="s">
        <v>936</v>
      </c>
    </row>
    <row r="508" spans="1:5" x14ac:dyDescent="0.2">
      <c r="A508" t="s">
        <v>1815</v>
      </c>
      <c r="B508">
        <v>9003510600</v>
      </c>
      <c r="C508" t="s">
        <v>1816</v>
      </c>
      <c r="D508">
        <v>5</v>
      </c>
      <c r="E508" t="s">
        <v>944</v>
      </c>
    </row>
    <row r="509" spans="1:5" x14ac:dyDescent="0.2">
      <c r="A509" t="s">
        <v>2421</v>
      </c>
      <c r="B509">
        <v>9009352500</v>
      </c>
      <c r="C509" t="s">
        <v>2422</v>
      </c>
      <c r="D509">
        <v>5</v>
      </c>
      <c r="E509" t="s">
        <v>944</v>
      </c>
    </row>
    <row r="510" spans="1:5" x14ac:dyDescent="0.2">
      <c r="A510" t="s">
        <v>1817</v>
      </c>
      <c r="B510">
        <v>9003510700</v>
      </c>
      <c r="C510" t="s">
        <v>1818</v>
      </c>
      <c r="D510">
        <v>5</v>
      </c>
      <c r="E510" t="s">
        <v>944</v>
      </c>
    </row>
    <row r="511" spans="1:5" x14ac:dyDescent="0.2">
      <c r="A511" t="s">
        <v>1817</v>
      </c>
      <c r="B511">
        <v>9003510700</v>
      </c>
      <c r="C511" t="s">
        <v>1818</v>
      </c>
      <c r="D511">
        <v>5</v>
      </c>
      <c r="E511" t="s">
        <v>944</v>
      </c>
    </row>
    <row r="512" spans="1:5" x14ac:dyDescent="0.2">
      <c r="A512" t="s">
        <v>2423</v>
      </c>
      <c r="B512">
        <v>9009352600</v>
      </c>
      <c r="C512" t="s">
        <v>2424</v>
      </c>
      <c r="D512">
        <v>6</v>
      </c>
      <c r="E512" t="s">
        <v>936</v>
      </c>
    </row>
    <row r="513" spans="1:5" x14ac:dyDescent="0.2">
      <c r="A513" t="s">
        <v>1975</v>
      </c>
      <c r="B513">
        <v>9005360200</v>
      </c>
      <c r="C513" t="s">
        <v>1976</v>
      </c>
      <c r="D513">
        <v>3</v>
      </c>
      <c r="E513" t="s">
        <v>944</v>
      </c>
    </row>
    <row r="514" spans="1:5" x14ac:dyDescent="0.2">
      <c r="A514" t="s">
        <v>1819</v>
      </c>
      <c r="B514">
        <v>9003510800</v>
      </c>
      <c r="C514" t="s">
        <v>1820</v>
      </c>
      <c r="D514">
        <v>5</v>
      </c>
      <c r="E514" t="s">
        <v>944</v>
      </c>
    </row>
    <row r="515" spans="1:5" x14ac:dyDescent="0.2">
      <c r="A515" t="s">
        <v>1977</v>
      </c>
      <c r="B515">
        <v>9005360300</v>
      </c>
      <c r="C515" t="s">
        <v>1978</v>
      </c>
      <c r="D515">
        <v>4</v>
      </c>
      <c r="E515" t="s">
        <v>944</v>
      </c>
    </row>
    <row r="516" spans="1:5" x14ac:dyDescent="0.2">
      <c r="A516" t="s">
        <v>1821</v>
      </c>
      <c r="B516">
        <v>9003510900</v>
      </c>
      <c r="C516" t="s">
        <v>1822</v>
      </c>
      <c r="D516">
        <v>4</v>
      </c>
      <c r="E516" t="s">
        <v>944</v>
      </c>
    </row>
    <row r="517" spans="1:5" x14ac:dyDescent="0.2">
      <c r="A517" t="s">
        <v>1979</v>
      </c>
      <c r="B517">
        <v>9005360400</v>
      </c>
      <c r="C517" t="s">
        <v>1980</v>
      </c>
      <c r="D517">
        <v>5</v>
      </c>
      <c r="E517" t="s">
        <v>944</v>
      </c>
    </row>
    <row r="518" spans="1:5" x14ac:dyDescent="0.2">
      <c r="A518" t="s">
        <v>1823</v>
      </c>
      <c r="B518">
        <v>9003511000</v>
      </c>
      <c r="C518" t="s">
        <v>1824</v>
      </c>
      <c r="D518">
        <v>4</v>
      </c>
      <c r="E518" t="s">
        <v>944</v>
      </c>
    </row>
    <row r="519" spans="1:5" x14ac:dyDescent="0.2">
      <c r="A519" t="s">
        <v>2431</v>
      </c>
      <c r="B519">
        <v>9009361100</v>
      </c>
      <c r="C519" t="s">
        <v>2432</v>
      </c>
      <c r="D519">
        <v>4</v>
      </c>
      <c r="E519" t="s">
        <v>944</v>
      </c>
    </row>
    <row r="520" spans="1:5" x14ac:dyDescent="0.2">
      <c r="A520" t="s">
        <v>1825</v>
      </c>
      <c r="B520">
        <v>9003511100</v>
      </c>
      <c r="C520" t="s">
        <v>1826</v>
      </c>
      <c r="D520">
        <v>4</v>
      </c>
      <c r="E520" t="s">
        <v>944</v>
      </c>
    </row>
    <row r="521" spans="1:5" x14ac:dyDescent="0.2">
      <c r="A521" t="s">
        <v>1827</v>
      </c>
      <c r="B521">
        <v>9003511200</v>
      </c>
      <c r="C521" t="s">
        <v>1828</v>
      </c>
      <c r="D521">
        <v>5</v>
      </c>
      <c r="E521" t="s">
        <v>944</v>
      </c>
    </row>
    <row r="522" spans="1:5" x14ac:dyDescent="0.2">
      <c r="A522" t="s">
        <v>1829</v>
      </c>
      <c r="B522">
        <v>9003511300</v>
      </c>
      <c r="C522" t="s">
        <v>1830</v>
      </c>
      <c r="D522">
        <v>4</v>
      </c>
      <c r="E522" t="s">
        <v>944</v>
      </c>
    </row>
    <row r="523" spans="1:5" x14ac:dyDescent="0.2">
      <c r="A523" t="s">
        <v>1831</v>
      </c>
      <c r="B523">
        <v>9003511400</v>
      </c>
      <c r="C523" t="s">
        <v>1832</v>
      </c>
      <c r="D523">
        <v>4</v>
      </c>
      <c r="E523" t="s">
        <v>944</v>
      </c>
    </row>
    <row r="524" spans="1:5" x14ac:dyDescent="0.2">
      <c r="A524" t="s">
        <v>1835</v>
      </c>
      <c r="B524">
        <v>9003514102</v>
      </c>
      <c r="C524" t="s">
        <v>1836</v>
      </c>
      <c r="D524">
        <v>3</v>
      </c>
      <c r="E524" t="s">
        <v>944</v>
      </c>
    </row>
    <row r="525" spans="1:5" x14ac:dyDescent="0.2">
      <c r="A525" t="s">
        <v>1835</v>
      </c>
      <c r="B525">
        <v>9003514102</v>
      </c>
      <c r="C525" t="s">
        <v>1836</v>
      </c>
      <c r="D525">
        <v>3</v>
      </c>
      <c r="E525" t="s">
        <v>944</v>
      </c>
    </row>
    <row r="526" spans="1:5" x14ac:dyDescent="0.2">
      <c r="A526" t="s">
        <v>1835</v>
      </c>
      <c r="B526">
        <v>9003514102</v>
      </c>
      <c r="C526" t="s">
        <v>1836</v>
      </c>
      <c r="D526">
        <v>3</v>
      </c>
      <c r="E526" t="s">
        <v>944</v>
      </c>
    </row>
    <row r="527" spans="1:5" x14ac:dyDescent="0.2">
      <c r="A527" t="s">
        <v>2473</v>
      </c>
      <c r="B527">
        <v>9011695202</v>
      </c>
      <c r="C527" t="s">
        <v>2474</v>
      </c>
      <c r="D527">
        <v>3</v>
      </c>
      <c r="E527" t="s">
        <v>944</v>
      </c>
    </row>
    <row r="528" spans="1:5" x14ac:dyDescent="0.2">
      <c r="A528" t="s">
        <v>2473</v>
      </c>
      <c r="B528">
        <v>9011695202</v>
      </c>
      <c r="C528" t="s">
        <v>2474</v>
      </c>
      <c r="D528">
        <v>3</v>
      </c>
      <c r="E528" t="s">
        <v>944</v>
      </c>
    </row>
    <row r="529" spans="1:5" x14ac:dyDescent="0.2">
      <c r="A529" t="s">
        <v>2551</v>
      </c>
      <c r="B529">
        <v>9011716101</v>
      </c>
      <c r="C529" t="s">
        <v>2552</v>
      </c>
      <c r="D529">
        <v>3</v>
      </c>
      <c r="E529" t="s">
        <v>944</v>
      </c>
    </row>
    <row r="530" spans="1:5" x14ac:dyDescent="0.2">
      <c r="A530" t="s">
        <v>2553</v>
      </c>
      <c r="B530">
        <v>9011716102</v>
      </c>
      <c r="C530" t="s">
        <v>2554</v>
      </c>
      <c r="D530">
        <v>3</v>
      </c>
      <c r="E530" t="s">
        <v>944</v>
      </c>
    </row>
    <row r="531" spans="1:5" x14ac:dyDescent="0.2">
      <c r="A531" t="s">
        <v>2553</v>
      </c>
      <c r="B531">
        <v>9011716102</v>
      </c>
      <c r="C531" t="s">
        <v>2554</v>
      </c>
      <c r="D531">
        <v>3</v>
      </c>
      <c r="E531" t="s">
        <v>944</v>
      </c>
    </row>
    <row r="532" spans="1:5" x14ac:dyDescent="0.2">
      <c r="A532" t="s">
        <v>2553</v>
      </c>
      <c r="B532">
        <v>9011716102</v>
      </c>
      <c r="C532" t="s">
        <v>2554</v>
      </c>
      <c r="D532">
        <v>3</v>
      </c>
      <c r="E532" t="s">
        <v>944</v>
      </c>
    </row>
    <row r="533" spans="1:5" x14ac:dyDescent="0.2">
      <c r="A533" t="s">
        <v>2565</v>
      </c>
      <c r="B533">
        <v>9011870701</v>
      </c>
      <c r="C533" t="s">
        <v>2566</v>
      </c>
      <c r="D533">
        <v>3</v>
      </c>
      <c r="E533" t="s">
        <v>944</v>
      </c>
    </row>
    <row r="534" spans="1:5" x14ac:dyDescent="0.2">
      <c r="A534" t="s">
        <v>1489</v>
      </c>
      <c r="B534">
        <v>9003415400</v>
      </c>
      <c r="C534" t="s">
        <v>1490</v>
      </c>
      <c r="D534">
        <v>6</v>
      </c>
      <c r="E534" t="s">
        <v>936</v>
      </c>
    </row>
    <row r="535" spans="1:5" x14ac:dyDescent="0.2">
      <c r="A535" t="s">
        <v>2567</v>
      </c>
      <c r="B535">
        <v>9011870703</v>
      </c>
      <c r="C535" t="s">
        <v>2568</v>
      </c>
      <c r="D535">
        <v>4</v>
      </c>
      <c r="E535" t="s">
        <v>944</v>
      </c>
    </row>
    <row r="536" spans="1:5" x14ac:dyDescent="0.2">
      <c r="A536" t="s">
        <v>1511</v>
      </c>
      <c r="B536">
        <v>9003416500</v>
      </c>
      <c r="C536" t="s">
        <v>1512</v>
      </c>
      <c r="D536">
        <v>4</v>
      </c>
      <c r="E536" t="s">
        <v>944</v>
      </c>
    </row>
    <row r="537" spans="1:5" x14ac:dyDescent="0.2">
      <c r="A537" t="s">
        <v>2569</v>
      </c>
      <c r="B537">
        <v>9011870704</v>
      </c>
      <c r="C537" t="s">
        <v>2570</v>
      </c>
      <c r="D537">
        <v>4</v>
      </c>
      <c r="E537" t="s">
        <v>944</v>
      </c>
    </row>
    <row r="538" spans="1:5" x14ac:dyDescent="0.2">
      <c r="A538" t="s">
        <v>1531</v>
      </c>
      <c r="B538">
        <v>9003420600</v>
      </c>
      <c r="C538" t="s">
        <v>1532</v>
      </c>
      <c r="D538">
        <v>4</v>
      </c>
      <c r="E538" t="s">
        <v>944</v>
      </c>
    </row>
    <row r="539" spans="1:5" x14ac:dyDescent="0.2">
      <c r="A539" t="s">
        <v>1531</v>
      </c>
      <c r="B539">
        <v>9003420600</v>
      </c>
      <c r="C539" t="s">
        <v>1532</v>
      </c>
      <c r="D539">
        <v>4</v>
      </c>
      <c r="E539" t="s">
        <v>944</v>
      </c>
    </row>
    <row r="540" spans="1:5" x14ac:dyDescent="0.2">
      <c r="A540" t="s">
        <v>1657</v>
      </c>
      <c r="B540">
        <v>9003484100</v>
      </c>
      <c r="C540" t="s">
        <v>1658</v>
      </c>
      <c r="D540">
        <v>4</v>
      </c>
      <c r="E540" t="s">
        <v>944</v>
      </c>
    </row>
    <row r="541" spans="1:5" x14ac:dyDescent="0.2">
      <c r="A541" t="s">
        <v>1533</v>
      </c>
      <c r="B541">
        <v>9003420700</v>
      </c>
      <c r="C541" t="s">
        <v>1534</v>
      </c>
      <c r="D541">
        <v>4</v>
      </c>
      <c r="E541" t="s">
        <v>944</v>
      </c>
    </row>
    <row r="542" spans="1:5" x14ac:dyDescent="0.2">
      <c r="A542" t="s">
        <v>1659</v>
      </c>
      <c r="B542">
        <v>9003484200</v>
      </c>
      <c r="C542" t="s">
        <v>1660</v>
      </c>
      <c r="D542">
        <v>3</v>
      </c>
      <c r="E542" t="s">
        <v>944</v>
      </c>
    </row>
    <row r="543" spans="1:5" x14ac:dyDescent="0.2">
      <c r="A543" t="s">
        <v>1659</v>
      </c>
      <c r="B543">
        <v>9003484200</v>
      </c>
      <c r="C543" t="s">
        <v>1660</v>
      </c>
      <c r="D543">
        <v>3</v>
      </c>
      <c r="E543" t="s">
        <v>944</v>
      </c>
    </row>
    <row r="544" spans="1:5" x14ac:dyDescent="0.2">
      <c r="A544" t="s">
        <v>1659</v>
      </c>
      <c r="B544">
        <v>9003484200</v>
      </c>
      <c r="C544" t="s">
        <v>1660</v>
      </c>
      <c r="D544">
        <v>3</v>
      </c>
      <c r="E544" t="s">
        <v>944</v>
      </c>
    </row>
    <row r="545" spans="1:5" x14ac:dyDescent="0.2">
      <c r="A545" t="s">
        <v>1989</v>
      </c>
      <c r="B545">
        <v>9005425500</v>
      </c>
      <c r="C545" t="s">
        <v>1990</v>
      </c>
      <c r="D545">
        <v>4</v>
      </c>
      <c r="E545" t="s">
        <v>944</v>
      </c>
    </row>
    <row r="546" spans="1:5" x14ac:dyDescent="0.2">
      <c r="A546" t="s">
        <v>1661</v>
      </c>
      <c r="B546">
        <v>9003487100</v>
      </c>
      <c r="C546" t="s">
        <v>1662</v>
      </c>
      <c r="D546">
        <v>2</v>
      </c>
      <c r="E546" t="s">
        <v>944</v>
      </c>
    </row>
    <row r="547" spans="1:5" x14ac:dyDescent="0.2">
      <c r="A547" t="s">
        <v>1661</v>
      </c>
      <c r="B547">
        <v>9003487100</v>
      </c>
      <c r="C547" t="s">
        <v>1662</v>
      </c>
      <c r="D547">
        <v>2</v>
      </c>
      <c r="E547" t="s">
        <v>944</v>
      </c>
    </row>
    <row r="548" spans="1:5" x14ac:dyDescent="0.2">
      <c r="A548" t="s">
        <v>1535</v>
      </c>
      <c r="B548">
        <v>9003430100</v>
      </c>
      <c r="C548" t="s">
        <v>1536</v>
      </c>
      <c r="D548">
        <v>3</v>
      </c>
      <c r="E548" t="s">
        <v>944</v>
      </c>
    </row>
    <row r="549" spans="1:5" x14ac:dyDescent="0.2">
      <c r="A549" t="s">
        <v>1539</v>
      </c>
      <c r="B549">
        <v>9003430202</v>
      </c>
      <c r="C549" t="s">
        <v>1540</v>
      </c>
      <c r="D549">
        <v>3</v>
      </c>
      <c r="E549" t="s">
        <v>944</v>
      </c>
    </row>
    <row r="550" spans="1:5" x14ac:dyDescent="0.2">
      <c r="A550" t="s">
        <v>2579</v>
      </c>
      <c r="B550">
        <v>9013530100</v>
      </c>
      <c r="C550" t="s">
        <v>2580</v>
      </c>
      <c r="D550">
        <v>4</v>
      </c>
      <c r="E550" t="s">
        <v>944</v>
      </c>
    </row>
    <row r="551" spans="1:5" x14ac:dyDescent="0.2">
      <c r="A551" t="s">
        <v>2579</v>
      </c>
      <c r="B551">
        <v>9013530100</v>
      </c>
      <c r="C551" t="s">
        <v>2580</v>
      </c>
      <c r="D551">
        <v>4</v>
      </c>
      <c r="E551" t="s">
        <v>944</v>
      </c>
    </row>
    <row r="552" spans="1:5" x14ac:dyDescent="0.2">
      <c r="A552" t="s">
        <v>1543</v>
      </c>
      <c r="B552">
        <v>9003430301</v>
      </c>
      <c r="C552" t="s">
        <v>1544</v>
      </c>
      <c r="D552">
        <v>3</v>
      </c>
      <c r="E552" t="s">
        <v>944</v>
      </c>
    </row>
    <row r="553" spans="1:5" x14ac:dyDescent="0.2">
      <c r="A553" t="s">
        <v>1543</v>
      </c>
      <c r="B553">
        <v>9003430301</v>
      </c>
      <c r="C553" t="s">
        <v>1544</v>
      </c>
      <c r="D553">
        <v>3</v>
      </c>
      <c r="E553" t="s">
        <v>944</v>
      </c>
    </row>
    <row r="554" spans="1:5" x14ac:dyDescent="0.2">
      <c r="A554" t="s">
        <v>1547</v>
      </c>
      <c r="B554">
        <v>9003430400</v>
      </c>
      <c r="C554" t="s">
        <v>1548</v>
      </c>
      <c r="D554">
        <v>4</v>
      </c>
      <c r="E554" t="s">
        <v>944</v>
      </c>
    </row>
    <row r="555" spans="1:5" x14ac:dyDescent="0.2">
      <c r="A555" t="s">
        <v>1549</v>
      </c>
      <c r="B555">
        <v>9003430500</v>
      </c>
      <c r="C555" t="s">
        <v>1550</v>
      </c>
      <c r="D555">
        <v>3</v>
      </c>
      <c r="E555" t="s">
        <v>944</v>
      </c>
    </row>
    <row r="556" spans="1:5" x14ac:dyDescent="0.2">
      <c r="A556" t="s">
        <v>2597</v>
      </c>
      <c r="B556">
        <v>9013535100</v>
      </c>
      <c r="C556" t="s">
        <v>2598</v>
      </c>
      <c r="D556">
        <v>3</v>
      </c>
      <c r="E556" t="s">
        <v>944</v>
      </c>
    </row>
    <row r="557" spans="1:5" x14ac:dyDescent="0.2">
      <c r="A557" t="s">
        <v>2597</v>
      </c>
      <c r="B557">
        <v>9013535100</v>
      </c>
      <c r="C557" t="s">
        <v>2598</v>
      </c>
      <c r="D557">
        <v>3</v>
      </c>
      <c r="E557" t="s">
        <v>944</v>
      </c>
    </row>
    <row r="558" spans="1:5" x14ac:dyDescent="0.2">
      <c r="A558" t="s">
        <v>2599</v>
      </c>
      <c r="B558">
        <v>9013535200</v>
      </c>
      <c r="C558" t="s">
        <v>2600</v>
      </c>
      <c r="D558">
        <v>3</v>
      </c>
      <c r="E558" t="s">
        <v>944</v>
      </c>
    </row>
    <row r="559" spans="1:5" x14ac:dyDescent="0.2">
      <c r="A559" t="s">
        <v>2599</v>
      </c>
      <c r="B559">
        <v>9013535200</v>
      </c>
      <c r="C559" t="s">
        <v>2600</v>
      </c>
      <c r="D559">
        <v>3</v>
      </c>
      <c r="E559" t="s">
        <v>944</v>
      </c>
    </row>
    <row r="560" spans="1:5" x14ac:dyDescent="0.2">
      <c r="A560" t="s">
        <v>2599</v>
      </c>
      <c r="B560">
        <v>9013535200</v>
      </c>
      <c r="C560" t="s">
        <v>2600</v>
      </c>
      <c r="D560">
        <v>3</v>
      </c>
      <c r="E560" t="s">
        <v>944</v>
      </c>
    </row>
    <row r="561" spans="1:5" x14ac:dyDescent="0.2">
      <c r="A561" t="s">
        <v>2601</v>
      </c>
      <c r="B561">
        <v>9013538201</v>
      </c>
      <c r="C561" t="s">
        <v>2602</v>
      </c>
      <c r="D561">
        <v>3</v>
      </c>
      <c r="E561" t="s">
        <v>944</v>
      </c>
    </row>
    <row r="562" spans="1:5" x14ac:dyDescent="0.2">
      <c r="A562" t="s">
        <v>2601</v>
      </c>
      <c r="B562">
        <v>9013538201</v>
      </c>
      <c r="C562" t="s">
        <v>2602</v>
      </c>
      <c r="D562">
        <v>3</v>
      </c>
      <c r="E562" t="s">
        <v>944</v>
      </c>
    </row>
    <row r="563" spans="1:5" x14ac:dyDescent="0.2">
      <c r="A563" t="s">
        <v>2603</v>
      </c>
      <c r="B563">
        <v>9013538202</v>
      </c>
      <c r="C563" t="s">
        <v>2604</v>
      </c>
      <c r="D563">
        <v>3</v>
      </c>
      <c r="E563" t="s">
        <v>944</v>
      </c>
    </row>
    <row r="564" spans="1:5" x14ac:dyDescent="0.2">
      <c r="A564" t="s">
        <v>2603</v>
      </c>
      <c r="B564">
        <v>9013538202</v>
      </c>
      <c r="C564" t="s">
        <v>2604</v>
      </c>
      <c r="D564">
        <v>3</v>
      </c>
      <c r="E564" t="s">
        <v>944</v>
      </c>
    </row>
    <row r="565" spans="1:5" x14ac:dyDescent="0.2">
      <c r="A565" t="s">
        <v>1635</v>
      </c>
      <c r="B565">
        <v>9003480300</v>
      </c>
      <c r="C565" t="s">
        <v>1636</v>
      </c>
      <c r="D565">
        <v>4</v>
      </c>
      <c r="E565" t="s">
        <v>944</v>
      </c>
    </row>
    <row r="566" spans="1:5" x14ac:dyDescent="0.2">
      <c r="A566" t="s">
        <v>1637</v>
      </c>
      <c r="B566">
        <v>9003480400</v>
      </c>
      <c r="C566" t="s">
        <v>1638</v>
      </c>
      <c r="D566">
        <v>3</v>
      </c>
      <c r="E566" t="s">
        <v>944</v>
      </c>
    </row>
    <row r="567" spans="1:5" x14ac:dyDescent="0.2">
      <c r="A567" t="s">
        <v>1639</v>
      </c>
      <c r="B567">
        <v>9003480500</v>
      </c>
      <c r="C567" t="s">
        <v>1640</v>
      </c>
      <c r="D567">
        <v>4</v>
      </c>
      <c r="E567" t="s">
        <v>944</v>
      </c>
    </row>
    <row r="568" spans="1:5" x14ac:dyDescent="0.2">
      <c r="A568" t="s">
        <v>1557</v>
      </c>
      <c r="B568">
        <v>9003460202</v>
      </c>
      <c r="C568" t="s">
        <v>1558</v>
      </c>
      <c r="D568">
        <v>2</v>
      </c>
      <c r="E568" t="s">
        <v>944</v>
      </c>
    </row>
    <row r="569" spans="1:5" x14ac:dyDescent="0.2">
      <c r="A569" t="s">
        <v>1557</v>
      </c>
      <c r="B569">
        <v>9003460202</v>
      </c>
      <c r="C569" t="s">
        <v>1558</v>
      </c>
      <c r="D569">
        <v>2</v>
      </c>
      <c r="E569" t="s">
        <v>944</v>
      </c>
    </row>
    <row r="570" spans="1:5" x14ac:dyDescent="0.2">
      <c r="A570" t="s">
        <v>1641</v>
      </c>
      <c r="B570">
        <v>9003480600</v>
      </c>
      <c r="C570" t="s">
        <v>1642</v>
      </c>
      <c r="D570">
        <v>5</v>
      </c>
      <c r="E570" t="s">
        <v>944</v>
      </c>
    </row>
    <row r="571" spans="1:5" x14ac:dyDescent="0.2">
      <c r="A571" t="s">
        <v>1561</v>
      </c>
      <c r="B571">
        <v>9003460204</v>
      </c>
      <c r="C571" t="s">
        <v>1562</v>
      </c>
      <c r="D571">
        <v>2</v>
      </c>
      <c r="E571" t="s">
        <v>944</v>
      </c>
    </row>
    <row r="572" spans="1:5" x14ac:dyDescent="0.2">
      <c r="A572" t="s">
        <v>1643</v>
      </c>
      <c r="B572">
        <v>9003480700</v>
      </c>
      <c r="C572" t="s">
        <v>1644</v>
      </c>
      <c r="D572">
        <v>4</v>
      </c>
      <c r="E572" t="s">
        <v>944</v>
      </c>
    </row>
    <row r="573" spans="1:5" x14ac:dyDescent="0.2">
      <c r="A573" t="s">
        <v>1645</v>
      </c>
      <c r="B573">
        <v>9003480800</v>
      </c>
      <c r="C573" t="s">
        <v>1646</v>
      </c>
      <c r="D573">
        <v>3</v>
      </c>
      <c r="E573" t="s">
        <v>944</v>
      </c>
    </row>
    <row r="574" spans="1:5" x14ac:dyDescent="0.2">
      <c r="A574" t="s">
        <v>1647</v>
      </c>
      <c r="B574">
        <v>9003480900</v>
      </c>
      <c r="C574" t="s">
        <v>1648</v>
      </c>
      <c r="D574">
        <v>3</v>
      </c>
      <c r="E574" t="s">
        <v>944</v>
      </c>
    </row>
    <row r="575" spans="1:5" x14ac:dyDescent="0.2">
      <c r="A575" t="s">
        <v>1649</v>
      </c>
      <c r="B575">
        <v>9003481000</v>
      </c>
      <c r="C575" t="s">
        <v>1650</v>
      </c>
      <c r="D575">
        <v>3</v>
      </c>
      <c r="E575" t="s">
        <v>944</v>
      </c>
    </row>
    <row r="576" spans="1:5" x14ac:dyDescent="0.2">
      <c r="A576" t="s">
        <v>1587</v>
      </c>
      <c r="B576">
        <v>9003466300</v>
      </c>
      <c r="C576" t="s">
        <v>1588</v>
      </c>
      <c r="D576">
        <v>2</v>
      </c>
      <c r="E576" t="s">
        <v>944</v>
      </c>
    </row>
    <row r="577" spans="1:5" x14ac:dyDescent="0.2">
      <c r="A577" t="s">
        <v>1651</v>
      </c>
      <c r="B577">
        <v>9003481100</v>
      </c>
      <c r="C577" t="s">
        <v>1652</v>
      </c>
      <c r="D577">
        <v>3</v>
      </c>
      <c r="E577" t="s">
        <v>944</v>
      </c>
    </row>
    <row r="578" spans="1:5" x14ac:dyDescent="0.2">
      <c r="A578" t="s">
        <v>1591</v>
      </c>
      <c r="B578">
        <v>9003468101</v>
      </c>
      <c r="C578" t="s">
        <v>1592</v>
      </c>
      <c r="D578">
        <v>3</v>
      </c>
      <c r="E578" t="s">
        <v>944</v>
      </c>
    </row>
    <row r="579" spans="1:5" x14ac:dyDescent="0.2">
      <c r="A579" t="s">
        <v>1591</v>
      </c>
      <c r="B579">
        <v>9003468101</v>
      </c>
      <c r="C579" t="s">
        <v>1592</v>
      </c>
      <c r="D579">
        <v>3</v>
      </c>
      <c r="E579" t="s">
        <v>944</v>
      </c>
    </row>
    <row r="580" spans="1:5" x14ac:dyDescent="0.2">
      <c r="A580" t="s">
        <v>1593</v>
      </c>
      <c r="B580">
        <v>9003468102</v>
      </c>
      <c r="C580" t="s">
        <v>1594</v>
      </c>
      <c r="D580">
        <v>3</v>
      </c>
      <c r="E580" t="s">
        <v>944</v>
      </c>
    </row>
    <row r="581" spans="1:5" x14ac:dyDescent="0.2">
      <c r="A581" t="s">
        <v>1653</v>
      </c>
      <c r="B581">
        <v>9003481200</v>
      </c>
      <c r="C581" t="s">
        <v>1654</v>
      </c>
      <c r="D581">
        <v>3</v>
      </c>
      <c r="E581" t="s">
        <v>944</v>
      </c>
    </row>
    <row r="582" spans="1:5" x14ac:dyDescent="0.2">
      <c r="A582" t="s">
        <v>1655</v>
      </c>
      <c r="B582">
        <v>9003481300</v>
      </c>
      <c r="C582" t="s">
        <v>1656</v>
      </c>
      <c r="D582">
        <v>3</v>
      </c>
      <c r="E582" t="s">
        <v>944</v>
      </c>
    </row>
    <row r="583" spans="1:5" x14ac:dyDescent="0.2">
      <c r="A583" t="s">
        <v>1879</v>
      </c>
      <c r="B583">
        <v>9003524300</v>
      </c>
      <c r="C583" t="s">
        <v>1880</v>
      </c>
      <c r="D583">
        <v>3</v>
      </c>
      <c r="E583" t="s">
        <v>944</v>
      </c>
    </row>
    <row r="584" spans="1:5" x14ac:dyDescent="0.2">
      <c r="A584" t="s">
        <v>2053</v>
      </c>
      <c r="B584">
        <v>9007630100</v>
      </c>
      <c r="C584" t="s">
        <v>2054</v>
      </c>
      <c r="D584">
        <v>3</v>
      </c>
      <c r="E584" t="s">
        <v>944</v>
      </c>
    </row>
    <row r="585" spans="1:5" x14ac:dyDescent="0.2">
      <c r="A585" t="s">
        <v>2057</v>
      </c>
      <c r="B585">
        <v>9007670100</v>
      </c>
      <c r="C585" t="s">
        <v>2058</v>
      </c>
      <c r="D585">
        <v>4</v>
      </c>
      <c r="E585" t="s">
        <v>944</v>
      </c>
    </row>
    <row r="586" spans="1:5" x14ac:dyDescent="0.2">
      <c r="A586" t="s">
        <v>2057</v>
      </c>
      <c r="B586">
        <v>9007670100</v>
      </c>
      <c r="C586" t="s">
        <v>2058</v>
      </c>
      <c r="D586">
        <v>4</v>
      </c>
      <c r="E586" t="s">
        <v>944</v>
      </c>
    </row>
    <row r="587" spans="1:5" x14ac:dyDescent="0.2">
      <c r="A587" t="s">
        <v>1555</v>
      </c>
      <c r="B587">
        <v>9003460100</v>
      </c>
      <c r="C587" t="s">
        <v>1556</v>
      </c>
      <c r="D587">
        <v>2</v>
      </c>
      <c r="E587" t="s">
        <v>944</v>
      </c>
    </row>
    <row r="588" spans="1:5" x14ac:dyDescent="0.2">
      <c r="A588" t="s">
        <v>1555</v>
      </c>
      <c r="B588">
        <v>9003460100</v>
      </c>
      <c r="C588" t="s">
        <v>1556</v>
      </c>
      <c r="D588">
        <v>2</v>
      </c>
      <c r="E588" t="s">
        <v>944</v>
      </c>
    </row>
    <row r="589" spans="1:5" x14ac:dyDescent="0.2">
      <c r="A589" t="s">
        <v>1555</v>
      </c>
      <c r="B589">
        <v>9003460100</v>
      </c>
      <c r="C589" t="s">
        <v>1556</v>
      </c>
      <c r="D589">
        <v>2</v>
      </c>
      <c r="E589" t="s">
        <v>944</v>
      </c>
    </row>
    <row r="590" spans="1:5" x14ac:dyDescent="0.2">
      <c r="A590" t="s">
        <v>1669</v>
      </c>
      <c r="B590">
        <v>9003487400</v>
      </c>
      <c r="C590" t="s">
        <v>1670</v>
      </c>
      <c r="D590">
        <v>3</v>
      </c>
      <c r="E590" t="s">
        <v>944</v>
      </c>
    </row>
    <row r="591" spans="1:5" x14ac:dyDescent="0.2">
      <c r="A591" t="s">
        <v>1709</v>
      </c>
      <c r="B591">
        <v>9003496400</v>
      </c>
      <c r="C591" t="s">
        <v>1710</v>
      </c>
      <c r="D591">
        <v>2</v>
      </c>
      <c r="E591" t="s">
        <v>944</v>
      </c>
    </row>
    <row r="592" spans="1:5" x14ac:dyDescent="0.2">
      <c r="A592" t="s">
        <v>1711</v>
      </c>
      <c r="B592">
        <v>9003496500</v>
      </c>
      <c r="C592" t="s">
        <v>1712</v>
      </c>
      <c r="D592">
        <v>2</v>
      </c>
      <c r="E592" t="s">
        <v>944</v>
      </c>
    </row>
    <row r="593" spans="1:5" x14ac:dyDescent="0.2">
      <c r="A593" t="s">
        <v>1559</v>
      </c>
      <c r="B593">
        <v>9003460203</v>
      </c>
      <c r="C593" t="s">
        <v>1560</v>
      </c>
      <c r="D593">
        <v>2</v>
      </c>
      <c r="E593" t="s">
        <v>944</v>
      </c>
    </row>
    <row r="594" spans="1:5" x14ac:dyDescent="0.2">
      <c r="A594" t="s">
        <v>1713</v>
      </c>
      <c r="B594">
        <v>9003496600</v>
      </c>
      <c r="C594" t="s">
        <v>1714</v>
      </c>
      <c r="D594">
        <v>2</v>
      </c>
      <c r="E594" t="s">
        <v>944</v>
      </c>
    </row>
    <row r="595" spans="1:5" x14ac:dyDescent="0.2">
      <c r="A595" t="s">
        <v>1715</v>
      </c>
      <c r="B595">
        <v>9003496700</v>
      </c>
      <c r="C595" t="s">
        <v>1716</v>
      </c>
      <c r="D595">
        <v>3</v>
      </c>
      <c r="E595" t="s">
        <v>944</v>
      </c>
    </row>
    <row r="596" spans="1:5" x14ac:dyDescent="0.2">
      <c r="A596" t="s">
        <v>1715</v>
      </c>
      <c r="B596">
        <v>9003496700</v>
      </c>
      <c r="C596" t="s">
        <v>1716</v>
      </c>
      <c r="D596">
        <v>3</v>
      </c>
      <c r="E596" t="s">
        <v>944</v>
      </c>
    </row>
    <row r="597" spans="1:5" x14ac:dyDescent="0.2">
      <c r="A597" t="s">
        <v>1705</v>
      </c>
      <c r="B597">
        <v>9003496200</v>
      </c>
      <c r="C597" t="s">
        <v>1706</v>
      </c>
      <c r="D597">
        <v>3</v>
      </c>
      <c r="E597" t="s">
        <v>944</v>
      </c>
    </row>
    <row r="598" spans="1:5" x14ac:dyDescent="0.2">
      <c r="A598" t="s">
        <v>1705</v>
      </c>
      <c r="B598">
        <v>9003496200</v>
      </c>
      <c r="C598" t="s">
        <v>1706</v>
      </c>
      <c r="D598">
        <v>3</v>
      </c>
      <c r="E598" t="s">
        <v>944</v>
      </c>
    </row>
    <row r="599" spans="1:5" x14ac:dyDescent="0.2">
      <c r="A599" t="s">
        <v>1705</v>
      </c>
      <c r="B599">
        <v>9003496200</v>
      </c>
      <c r="C599" t="s">
        <v>1706</v>
      </c>
      <c r="D599">
        <v>3</v>
      </c>
      <c r="E599" t="s">
        <v>944</v>
      </c>
    </row>
    <row r="600" spans="1:5" x14ac:dyDescent="0.2">
      <c r="A600" t="s">
        <v>1705</v>
      </c>
      <c r="B600">
        <v>9003496200</v>
      </c>
      <c r="C600" t="s">
        <v>1706</v>
      </c>
      <c r="D600">
        <v>3</v>
      </c>
      <c r="E600" t="s">
        <v>944</v>
      </c>
    </row>
    <row r="601" spans="1:5" x14ac:dyDescent="0.2">
      <c r="A601" t="s">
        <v>1705</v>
      </c>
      <c r="B601">
        <v>9003496200</v>
      </c>
      <c r="C601" t="s">
        <v>1706</v>
      </c>
      <c r="D601">
        <v>3</v>
      </c>
      <c r="E601" t="s">
        <v>944</v>
      </c>
    </row>
    <row r="602" spans="1:5" x14ac:dyDescent="0.2">
      <c r="A602" t="s">
        <v>1717</v>
      </c>
      <c r="B602">
        <v>9003496800</v>
      </c>
      <c r="C602" t="s">
        <v>1718</v>
      </c>
      <c r="D602">
        <v>4</v>
      </c>
      <c r="E602" t="s">
        <v>944</v>
      </c>
    </row>
    <row r="603" spans="1:5" x14ac:dyDescent="0.2">
      <c r="A603" t="s">
        <v>1717</v>
      </c>
      <c r="B603">
        <v>9003496800</v>
      </c>
      <c r="C603" t="s">
        <v>1718</v>
      </c>
      <c r="D603">
        <v>4</v>
      </c>
      <c r="E603" t="s">
        <v>944</v>
      </c>
    </row>
    <row r="604" spans="1:5" x14ac:dyDescent="0.2">
      <c r="A604" t="s">
        <v>1721</v>
      </c>
      <c r="B604">
        <v>9003497000</v>
      </c>
      <c r="C604" t="s">
        <v>1722</v>
      </c>
      <c r="D604">
        <v>2</v>
      </c>
      <c r="E604" t="s">
        <v>944</v>
      </c>
    </row>
    <row r="605" spans="1:5" x14ac:dyDescent="0.2">
      <c r="A605" t="s">
        <v>1723</v>
      </c>
      <c r="B605">
        <v>9003497100</v>
      </c>
      <c r="C605" t="s">
        <v>1724</v>
      </c>
      <c r="D605">
        <v>2</v>
      </c>
      <c r="E605" t="s">
        <v>944</v>
      </c>
    </row>
    <row r="606" spans="1:5" x14ac:dyDescent="0.2">
      <c r="A606" t="s">
        <v>1723</v>
      </c>
      <c r="B606">
        <v>9003497100</v>
      </c>
      <c r="C606" t="s">
        <v>1724</v>
      </c>
      <c r="D606">
        <v>2</v>
      </c>
      <c r="E606" t="s">
        <v>944</v>
      </c>
    </row>
    <row r="607" spans="1:5" x14ac:dyDescent="0.2">
      <c r="A607" t="s">
        <v>2539</v>
      </c>
      <c r="B607">
        <v>9011712100</v>
      </c>
      <c r="C607" t="s">
        <v>2540</v>
      </c>
      <c r="D607">
        <v>3</v>
      </c>
      <c r="E607" t="s">
        <v>944</v>
      </c>
    </row>
    <row r="608" spans="1:5" x14ac:dyDescent="0.2">
      <c r="A608" t="s">
        <v>2539</v>
      </c>
      <c r="B608">
        <v>9011712100</v>
      </c>
      <c r="C608" t="s">
        <v>2540</v>
      </c>
      <c r="D608">
        <v>3</v>
      </c>
      <c r="E608" t="s">
        <v>944</v>
      </c>
    </row>
    <row r="609" spans="1:5" x14ac:dyDescent="0.2">
      <c r="A609" t="s">
        <v>1487</v>
      </c>
      <c r="B609">
        <v>9003415300</v>
      </c>
      <c r="C609" t="s">
        <v>1488</v>
      </c>
      <c r="D609">
        <v>8</v>
      </c>
      <c r="E609" t="s">
        <v>936</v>
      </c>
    </row>
    <row r="610" spans="1:5" x14ac:dyDescent="0.2">
      <c r="A610" t="s">
        <v>1861</v>
      </c>
      <c r="B610">
        <v>9003520100</v>
      </c>
      <c r="C610" t="s">
        <v>1862</v>
      </c>
      <c r="D610">
        <v>2</v>
      </c>
      <c r="E610" t="s">
        <v>944</v>
      </c>
    </row>
    <row r="611" spans="1:5" x14ac:dyDescent="0.2">
      <c r="A611" t="s">
        <v>1861</v>
      </c>
      <c r="B611">
        <v>9003520100</v>
      </c>
      <c r="C611" t="s">
        <v>1862</v>
      </c>
      <c r="D611">
        <v>2</v>
      </c>
      <c r="E611" t="s">
        <v>944</v>
      </c>
    </row>
    <row r="612" spans="1:5" x14ac:dyDescent="0.2">
      <c r="A612" t="s">
        <v>1737</v>
      </c>
      <c r="B612">
        <v>9003500100</v>
      </c>
      <c r="C612" t="s">
        <v>1738</v>
      </c>
      <c r="D612">
        <v>9</v>
      </c>
      <c r="E612" t="s">
        <v>936</v>
      </c>
    </row>
    <row r="613" spans="1:5" x14ac:dyDescent="0.2">
      <c r="A613" t="s">
        <v>1863</v>
      </c>
      <c r="B613">
        <v>9003520201</v>
      </c>
      <c r="C613" t="s">
        <v>1864</v>
      </c>
      <c r="D613">
        <v>2</v>
      </c>
      <c r="E613" t="s">
        <v>944</v>
      </c>
    </row>
    <row r="614" spans="1:5" x14ac:dyDescent="0.2">
      <c r="A614" t="s">
        <v>1863</v>
      </c>
      <c r="B614">
        <v>9003520201</v>
      </c>
      <c r="C614" t="s">
        <v>1864</v>
      </c>
      <c r="D614">
        <v>2</v>
      </c>
      <c r="E614" t="s">
        <v>944</v>
      </c>
    </row>
    <row r="615" spans="1:5" x14ac:dyDescent="0.2">
      <c r="A615" t="s">
        <v>1745</v>
      </c>
      <c r="B615">
        <v>9003500500</v>
      </c>
      <c r="C615" t="s">
        <v>1746</v>
      </c>
      <c r="D615">
        <v>3</v>
      </c>
      <c r="E615" t="s">
        <v>944</v>
      </c>
    </row>
    <row r="616" spans="1:5" x14ac:dyDescent="0.2">
      <c r="A616" t="s">
        <v>1753</v>
      </c>
      <c r="B616">
        <v>9003501400</v>
      </c>
      <c r="C616" t="s">
        <v>1754</v>
      </c>
      <c r="D616">
        <v>8</v>
      </c>
      <c r="E616" t="s">
        <v>936</v>
      </c>
    </row>
    <row r="617" spans="1:5" x14ac:dyDescent="0.2">
      <c r="A617" t="s">
        <v>1491</v>
      </c>
      <c r="B617">
        <v>9003415500</v>
      </c>
      <c r="C617" t="s">
        <v>1492</v>
      </c>
      <c r="D617">
        <v>6</v>
      </c>
      <c r="E617" t="s">
        <v>936</v>
      </c>
    </row>
    <row r="618" spans="1:5" x14ac:dyDescent="0.2">
      <c r="A618" t="s">
        <v>1865</v>
      </c>
      <c r="B618">
        <v>9003520202</v>
      </c>
      <c r="C618" t="s">
        <v>1866</v>
      </c>
      <c r="D618">
        <v>2</v>
      </c>
      <c r="E618" t="s">
        <v>944</v>
      </c>
    </row>
    <row r="619" spans="1:5" x14ac:dyDescent="0.2">
      <c r="A619" t="s">
        <v>1761</v>
      </c>
      <c r="B619">
        <v>9003502100</v>
      </c>
      <c r="C619" t="s">
        <v>1762</v>
      </c>
      <c r="D619">
        <v>2</v>
      </c>
      <c r="E619" t="s">
        <v>944</v>
      </c>
    </row>
    <row r="620" spans="1:5" x14ac:dyDescent="0.2">
      <c r="A620" t="s">
        <v>1493</v>
      </c>
      <c r="B620">
        <v>9003415600</v>
      </c>
      <c r="C620" t="s">
        <v>1494</v>
      </c>
      <c r="D620">
        <v>5</v>
      </c>
      <c r="E620" t="s">
        <v>944</v>
      </c>
    </row>
    <row r="621" spans="1:5" x14ac:dyDescent="0.2">
      <c r="A621" t="s">
        <v>1767</v>
      </c>
      <c r="B621">
        <v>9003502500</v>
      </c>
      <c r="C621" t="s">
        <v>1768</v>
      </c>
      <c r="D621">
        <v>6</v>
      </c>
      <c r="E621" t="s">
        <v>936</v>
      </c>
    </row>
    <row r="622" spans="1:5" x14ac:dyDescent="0.2">
      <c r="A622" t="s">
        <v>1867</v>
      </c>
      <c r="B622">
        <v>9003520301</v>
      </c>
      <c r="C622" t="s">
        <v>1868</v>
      </c>
      <c r="D622">
        <v>3</v>
      </c>
      <c r="E622" t="s">
        <v>944</v>
      </c>
    </row>
    <row r="623" spans="1:5" x14ac:dyDescent="0.2">
      <c r="A623" t="s">
        <v>1769</v>
      </c>
      <c r="B623">
        <v>9003502600</v>
      </c>
      <c r="C623" t="s">
        <v>1770</v>
      </c>
      <c r="D623">
        <v>7</v>
      </c>
      <c r="E623" t="s">
        <v>936</v>
      </c>
    </row>
    <row r="624" spans="1:5" x14ac:dyDescent="0.2">
      <c r="A624" t="s">
        <v>1495</v>
      </c>
      <c r="B624">
        <v>9003415700</v>
      </c>
      <c r="C624" t="s">
        <v>1496</v>
      </c>
      <c r="D624">
        <v>5</v>
      </c>
      <c r="E624" t="s">
        <v>944</v>
      </c>
    </row>
    <row r="625" spans="1:5" x14ac:dyDescent="0.2">
      <c r="A625" t="s">
        <v>1771</v>
      </c>
      <c r="B625">
        <v>9003502700</v>
      </c>
      <c r="C625" t="s">
        <v>1772</v>
      </c>
      <c r="D625">
        <v>7</v>
      </c>
      <c r="E625" t="s">
        <v>936</v>
      </c>
    </row>
    <row r="626" spans="1:5" x14ac:dyDescent="0.2">
      <c r="A626" t="s">
        <v>1869</v>
      </c>
      <c r="B626">
        <v>9003520302</v>
      </c>
      <c r="C626" t="s">
        <v>1870</v>
      </c>
      <c r="D626">
        <v>3</v>
      </c>
      <c r="E626" t="s">
        <v>944</v>
      </c>
    </row>
    <row r="627" spans="1:5" x14ac:dyDescent="0.2">
      <c r="A627" t="s">
        <v>1497</v>
      </c>
      <c r="B627">
        <v>9003415800</v>
      </c>
      <c r="C627" t="s">
        <v>1498</v>
      </c>
      <c r="D627">
        <v>4</v>
      </c>
      <c r="E627" t="s">
        <v>944</v>
      </c>
    </row>
    <row r="628" spans="1:5" x14ac:dyDescent="0.2">
      <c r="A628" t="s">
        <v>1775</v>
      </c>
      <c r="B628">
        <v>9003502900</v>
      </c>
      <c r="C628" t="s">
        <v>1776</v>
      </c>
      <c r="D628">
        <v>5</v>
      </c>
      <c r="E628" t="s">
        <v>944</v>
      </c>
    </row>
    <row r="629" spans="1:5" x14ac:dyDescent="0.2">
      <c r="A629" t="s">
        <v>1871</v>
      </c>
      <c r="B629">
        <v>9003520400</v>
      </c>
      <c r="C629" t="s">
        <v>1872</v>
      </c>
      <c r="D629">
        <v>2</v>
      </c>
      <c r="E629" t="s">
        <v>944</v>
      </c>
    </row>
    <row r="630" spans="1:5" x14ac:dyDescent="0.2">
      <c r="A630" t="s">
        <v>1873</v>
      </c>
      <c r="B630">
        <v>9003520501</v>
      </c>
      <c r="C630" t="s">
        <v>1874</v>
      </c>
      <c r="D630">
        <v>2</v>
      </c>
      <c r="E630" t="s">
        <v>944</v>
      </c>
    </row>
    <row r="631" spans="1:5" x14ac:dyDescent="0.2">
      <c r="A631" t="s">
        <v>1779</v>
      </c>
      <c r="B631">
        <v>9003503100</v>
      </c>
      <c r="C631" t="s">
        <v>1780</v>
      </c>
      <c r="D631">
        <v>5</v>
      </c>
      <c r="E631" t="s">
        <v>944</v>
      </c>
    </row>
    <row r="632" spans="1:5" x14ac:dyDescent="0.2">
      <c r="A632" t="s">
        <v>1501</v>
      </c>
      <c r="B632">
        <v>9003416000</v>
      </c>
      <c r="C632" t="s">
        <v>1502</v>
      </c>
      <c r="D632">
        <v>6</v>
      </c>
      <c r="E632" t="s">
        <v>936</v>
      </c>
    </row>
    <row r="633" spans="1:5" x14ac:dyDescent="0.2">
      <c r="A633" t="s">
        <v>1785</v>
      </c>
      <c r="B633">
        <v>9003503700</v>
      </c>
      <c r="C633" t="s">
        <v>1786</v>
      </c>
      <c r="D633">
        <v>7</v>
      </c>
      <c r="E633" t="s">
        <v>936</v>
      </c>
    </row>
    <row r="634" spans="1:5" x14ac:dyDescent="0.2">
      <c r="A634" t="s">
        <v>2021</v>
      </c>
      <c r="B634">
        <v>9007560100</v>
      </c>
      <c r="C634" t="s">
        <v>2022</v>
      </c>
      <c r="D634">
        <v>3</v>
      </c>
      <c r="E634" t="s">
        <v>944</v>
      </c>
    </row>
    <row r="635" spans="1:5" x14ac:dyDescent="0.2">
      <c r="A635" t="s">
        <v>2021</v>
      </c>
      <c r="B635">
        <v>9007560100</v>
      </c>
      <c r="C635" t="s">
        <v>2022</v>
      </c>
      <c r="D635">
        <v>3</v>
      </c>
      <c r="E635" t="s">
        <v>944</v>
      </c>
    </row>
    <row r="636" spans="1:5" x14ac:dyDescent="0.2">
      <c r="A636" t="s">
        <v>1787</v>
      </c>
      <c r="B636">
        <v>9003503800</v>
      </c>
      <c r="C636" t="s">
        <v>1788</v>
      </c>
      <c r="D636">
        <v>11</v>
      </c>
      <c r="E636" t="s">
        <v>936</v>
      </c>
    </row>
    <row r="637" spans="1:5" x14ac:dyDescent="0.2">
      <c r="A637" t="s">
        <v>1503</v>
      </c>
      <c r="B637">
        <v>9003416100</v>
      </c>
      <c r="C637" t="s">
        <v>1504</v>
      </c>
      <c r="D637">
        <v>8</v>
      </c>
      <c r="E637" t="s">
        <v>936</v>
      </c>
    </row>
    <row r="638" spans="1:5" x14ac:dyDescent="0.2">
      <c r="A638" t="s">
        <v>1841</v>
      </c>
      <c r="B638">
        <v>9003514400</v>
      </c>
      <c r="C638" t="s">
        <v>1842</v>
      </c>
      <c r="D638">
        <v>4</v>
      </c>
      <c r="E638" t="s">
        <v>944</v>
      </c>
    </row>
    <row r="639" spans="1:5" x14ac:dyDescent="0.2">
      <c r="A639" t="s">
        <v>1505</v>
      </c>
      <c r="B639">
        <v>9003416200</v>
      </c>
      <c r="C639" t="s">
        <v>1506</v>
      </c>
      <c r="D639">
        <v>6</v>
      </c>
      <c r="E639" t="s">
        <v>936</v>
      </c>
    </row>
    <row r="640" spans="1:5" x14ac:dyDescent="0.2">
      <c r="A640" t="s">
        <v>1843</v>
      </c>
      <c r="B640">
        <v>9003514500</v>
      </c>
      <c r="C640" t="s">
        <v>1844</v>
      </c>
      <c r="D640">
        <v>4</v>
      </c>
      <c r="E640" t="s">
        <v>944</v>
      </c>
    </row>
    <row r="641" spans="1:5" x14ac:dyDescent="0.2">
      <c r="A641" t="s">
        <v>1507</v>
      </c>
      <c r="B641">
        <v>9003416300</v>
      </c>
      <c r="C641" t="s">
        <v>1508</v>
      </c>
      <c r="D641">
        <v>6</v>
      </c>
      <c r="E641" t="s">
        <v>936</v>
      </c>
    </row>
    <row r="642" spans="1:5" x14ac:dyDescent="0.2">
      <c r="A642" t="s">
        <v>1507</v>
      </c>
      <c r="B642">
        <v>9003416300</v>
      </c>
      <c r="C642" t="s">
        <v>1508</v>
      </c>
      <c r="D642">
        <v>6</v>
      </c>
      <c r="E642" t="s">
        <v>936</v>
      </c>
    </row>
    <row r="643" spans="1:5" x14ac:dyDescent="0.2">
      <c r="A643" t="s">
        <v>1845</v>
      </c>
      <c r="B643">
        <v>9003514600</v>
      </c>
      <c r="C643" t="s">
        <v>1846</v>
      </c>
      <c r="D643">
        <v>4</v>
      </c>
      <c r="E643" t="s">
        <v>944</v>
      </c>
    </row>
    <row r="644" spans="1:5" x14ac:dyDescent="0.2">
      <c r="A644" t="s">
        <v>1847</v>
      </c>
      <c r="B644">
        <v>9003514700</v>
      </c>
      <c r="C644" t="s">
        <v>1848</v>
      </c>
      <c r="D644">
        <v>5</v>
      </c>
      <c r="E644" t="s">
        <v>944</v>
      </c>
    </row>
    <row r="645" spans="1:5" x14ac:dyDescent="0.2">
      <c r="A645" t="s">
        <v>1849</v>
      </c>
      <c r="B645">
        <v>9003514800</v>
      </c>
      <c r="C645" t="s">
        <v>1850</v>
      </c>
      <c r="D645">
        <v>6</v>
      </c>
      <c r="E645" t="s">
        <v>936</v>
      </c>
    </row>
    <row r="646" spans="1:5" x14ac:dyDescent="0.2">
      <c r="A646" t="s">
        <v>1509</v>
      </c>
      <c r="B646">
        <v>9003416400</v>
      </c>
      <c r="C646" t="s">
        <v>1510</v>
      </c>
      <c r="D646">
        <v>3</v>
      </c>
      <c r="E646" t="s">
        <v>944</v>
      </c>
    </row>
    <row r="647" spans="1:5" x14ac:dyDescent="0.2">
      <c r="A647" t="s">
        <v>1853</v>
      </c>
      <c r="B647">
        <v>9003515000</v>
      </c>
      <c r="C647" t="s">
        <v>1854</v>
      </c>
      <c r="D647">
        <v>3</v>
      </c>
      <c r="E647" t="s">
        <v>944</v>
      </c>
    </row>
    <row r="648" spans="1:5" x14ac:dyDescent="0.2">
      <c r="A648" t="s">
        <v>1857</v>
      </c>
      <c r="B648">
        <v>9003515102</v>
      </c>
      <c r="C648" t="s">
        <v>1858</v>
      </c>
      <c r="D648">
        <v>3</v>
      </c>
      <c r="E648" t="s">
        <v>944</v>
      </c>
    </row>
    <row r="649" spans="1:5" x14ac:dyDescent="0.2">
      <c r="A649" t="s">
        <v>1859</v>
      </c>
      <c r="B649">
        <v>9003515200</v>
      </c>
      <c r="C649" t="s">
        <v>1860</v>
      </c>
      <c r="D649">
        <v>3</v>
      </c>
      <c r="E649" t="s">
        <v>944</v>
      </c>
    </row>
    <row r="650" spans="1:5" x14ac:dyDescent="0.2">
      <c r="A650" t="s">
        <v>1513</v>
      </c>
      <c r="B650">
        <v>9003416600</v>
      </c>
      <c r="C650" t="s">
        <v>1514</v>
      </c>
      <c r="D650">
        <v>6</v>
      </c>
      <c r="E650" t="s">
        <v>936</v>
      </c>
    </row>
    <row r="651" spans="1:5" x14ac:dyDescent="0.2">
      <c r="A651" t="s">
        <v>1515</v>
      </c>
      <c r="B651">
        <v>9003416700</v>
      </c>
      <c r="C651" t="s">
        <v>1516</v>
      </c>
      <c r="D651">
        <v>5</v>
      </c>
      <c r="E651" t="s">
        <v>944</v>
      </c>
    </row>
    <row r="652" spans="1:5" x14ac:dyDescent="0.2">
      <c r="A652" t="s">
        <v>1517</v>
      </c>
      <c r="B652">
        <v>9003416800</v>
      </c>
      <c r="C652" t="s">
        <v>1518</v>
      </c>
      <c r="D652">
        <v>5</v>
      </c>
      <c r="E652" t="s">
        <v>944</v>
      </c>
    </row>
    <row r="653" spans="1:5" x14ac:dyDescent="0.2">
      <c r="A653" t="s">
        <v>1883</v>
      </c>
      <c r="B653">
        <v>9003524501</v>
      </c>
      <c r="C653" t="s">
        <v>1884</v>
      </c>
      <c r="D653">
        <v>4</v>
      </c>
      <c r="E653" t="s">
        <v>944</v>
      </c>
    </row>
    <row r="654" spans="1:5" x14ac:dyDescent="0.2">
      <c r="A654" t="s">
        <v>1523</v>
      </c>
      <c r="B654">
        <v>9003417400</v>
      </c>
      <c r="C654" t="s">
        <v>1524</v>
      </c>
      <c r="D654">
        <v>3</v>
      </c>
      <c r="E654" t="s">
        <v>944</v>
      </c>
    </row>
    <row r="655" spans="1:5" x14ac:dyDescent="0.2">
      <c r="A655" t="s">
        <v>1525</v>
      </c>
      <c r="B655">
        <v>9003417500</v>
      </c>
      <c r="C655" t="s">
        <v>1526</v>
      </c>
      <c r="D655">
        <v>4</v>
      </c>
      <c r="E655" t="s">
        <v>944</v>
      </c>
    </row>
    <row r="656" spans="1:5" x14ac:dyDescent="0.2">
      <c r="A656" t="s">
        <v>1527</v>
      </c>
      <c r="B656">
        <v>9003420400</v>
      </c>
      <c r="C656" t="s">
        <v>1528</v>
      </c>
      <c r="D656">
        <v>3</v>
      </c>
      <c r="E656" t="s">
        <v>944</v>
      </c>
    </row>
    <row r="657" spans="1:5" x14ac:dyDescent="0.2">
      <c r="A657" t="s">
        <v>2031</v>
      </c>
      <c r="B657">
        <v>9007580100</v>
      </c>
      <c r="C657" t="s">
        <v>2032</v>
      </c>
      <c r="D657">
        <v>3</v>
      </c>
      <c r="E657" t="s">
        <v>944</v>
      </c>
    </row>
    <row r="658" spans="1:5" x14ac:dyDescent="0.2">
      <c r="A658" t="s">
        <v>2031</v>
      </c>
      <c r="B658">
        <v>9007580100</v>
      </c>
      <c r="C658" t="s">
        <v>2032</v>
      </c>
      <c r="D658">
        <v>3</v>
      </c>
      <c r="E658" t="s">
        <v>944</v>
      </c>
    </row>
    <row r="659" spans="1:5" x14ac:dyDescent="0.2">
      <c r="A659" t="s">
        <v>1537</v>
      </c>
      <c r="B659">
        <v>9003430201</v>
      </c>
      <c r="C659" t="s">
        <v>1538</v>
      </c>
      <c r="D659">
        <v>4</v>
      </c>
      <c r="E659" t="s">
        <v>944</v>
      </c>
    </row>
    <row r="660" spans="1:5" x14ac:dyDescent="0.2">
      <c r="A660" t="s">
        <v>1541</v>
      </c>
      <c r="B660">
        <v>9003430203</v>
      </c>
      <c r="C660" t="s">
        <v>1542</v>
      </c>
      <c r="D660">
        <v>3</v>
      </c>
      <c r="E660" t="s">
        <v>944</v>
      </c>
    </row>
    <row r="661" spans="1:5" x14ac:dyDescent="0.2">
      <c r="A661" t="s">
        <v>1545</v>
      </c>
      <c r="B661">
        <v>9003430302</v>
      </c>
      <c r="C661" t="s">
        <v>1546</v>
      </c>
      <c r="D661">
        <v>3</v>
      </c>
      <c r="E661" t="s">
        <v>944</v>
      </c>
    </row>
    <row r="662" spans="1:5" x14ac:dyDescent="0.2">
      <c r="A662" t="s">
        <v>2639</v>
      </c>
      <c r="B662">
        <v>9015820000</v>
      </c>
      <c r="C662" t="s">
        <v>2640</v>
      </c>
      <c r="D662">
        <v>4</v>
      </c>
      <c r="E662" t="s">
        <v>944</v>
      </c>
    </row>
    <row r="663" spans="1:5" x14ac:dyDescent="0.2">
      <c r="A663" t="s">
        <v>2531</v>
      </c>
      <c r="B663">
        <v>9011709100</v>
      </c>
      <c r="C663" t="s">
        <v>2532</v>
      </c>
      <c r="D663">
        <v>4</v>
      </c>
      <c r="E663" t="s">
        <v>944</v>
      </c>
    </row>
    <row r="664" spans="1:5" x14ac:dyDescent="0.2">
      <c r="A664" t="s">
        <v>2531</v>
      </c>
      <c r="B664">
        <v>9011709100</v>
      </c>
      <c r="C664" t="s">
        <v>2532</v>
      </c>
      <c r="D664">
        <v>4</v>
      </c>
      <c r="E664" t="s">
        <v>944</v>
      </c>
    </row>
    <row r="665" spans="1:5" x14ac:dyDescent="0.2">
      <c r="A665" t="s">
        <v>2531</v>
      </c>
      <c r="B665">
        <v>9011709100</v>
      </c>
      <c r="C665" t="s">
        <v>2532</v>
      </c>
      <c r="D665">
        <v>4</v>
      </c>
      <c r="E665" t="s">
        <v>944</v>
      </c>
    </row>
    <row r="666" spans="1:5" x14ac:dyDescent="0.2">
      <c r="A666" t="s">
        <v>2531</v>
      </c>
      <c r="B666">
        <v>9011709100</v>
      </c>
      <c r="C666" t="s">
        <v>2532</v>
      </c>
      <c r="D666">
        <v>4</v>
      </c>
      <c r="E666" t="s">
        <v>944</v>
      </c>
    </row>
    <row r="667" spans="1:5" x14ac:dyDescent="0.2">
      <c r="A667" t="s">
        <v>2605</v>
      </c>
      <c r="B667">
        <v>9013840100</v>
      </c>
      <c r="C667" t="s">
        <v>2606</v>
      </c>
      <c r="D667">
        <v>4</v>
      </c>
      <c r="E667" t="s">
        <v>944</v>
      </c>
    </row>
    <row r="668" spans="1:5" x14ac:dyDescent="0.2">
      <c r="A668" t="s">
        <v>2605</v>
      </c>
      <c r="B668">
        <v>9013840100</v>
      </c>
      <c r="C668" t="s">
        <v>2606</v>
      </c>
      <c r="D668">
        <v>4</v>
      </c>
      <c r="E668" t="s">
        <v>944</v>
      </c>
    </row>
    <row r="669" spans="1:5" x14ac:dyDescent="0.2">
      <c r="A669" t="s">
        <v>2615</v>
      </c>
      <c r="B669">
        <v>9013881200</v>
      </c>
      <c r="C669" t="s">
        <v>2616</v>
      </c>
      <c r="D669">
        <v>3</v>
      </c>
      <c r="E669" t="s">
        <v>944</v>
      </c>
    </row>
    <row r="670" spans="1:5" x14ac:dyDescent="0.2">
      <c r="A670" t="s">
        <v>2617</v>
      </c>
      <c r="B670">
        <v>9013881300</v>
      </c>
      <c r="C670" t="s">
        <v>2618</v>
      </c>
      <c r="D670">
        <v>4</v>
      </c>
      <c r="E670" t="s">
        <v>944</v>
      </c>
    </row>
    <row r="671" spans="1:5" x14ac:dyDescent="0.2">
      <c r="A671" t="s">
        <v>2533</v>
      </c>
      <c r="B671">
        <v>9011709200</v>
      </c>
      <c r="C671" t="s">
        <v>2534</v>
      </c>
      <c r="D671">
        <v>5</v>
      </c>
      <c r="E671" t="s">
        <v>944</v>
      </c>
    </row>
    <row r="672" spans="1:5" x14ac:dyDescent="0.2">
      <c r="A672" t="s">
        <v>2533</v>
      </c>
      <c r="B672">
        <v>9011709200</v>
      </c>
      <c r="C672" t="s">
        <v>2534</v>
      </c>
      <c r="D672">
        <v>5</v>
      </c>
      <c r="E672" t="s">
        <v>944</v>
      </c>
    </row>
    <row r="673" spans="1:5" x14ac:dyDescent="0.2">
      <c r="A673" t="s">
        <v>2535</v>
      </c>
      <c r="B673">
        <v>9011710100</v>
      </c>
      <c r="C673" t="s">
        <v>2536</v>
      </c>
      <c r="D673">
        <v>3</v>
      </c>
      <c r="E673" t="s">
        <v>944</v>
      </c>
    </row>
    <row r="674" spans="1:5" x14ac:dyDescent="0.2">
      <c r="A674" t="s">
        <v>2535</v>
      </c>
      <c r="B674">
        <v>9011710100</v>
      </c>
      <c r="C674" t="s">
        <v>2536</v>
      </c>
      <c r="D674">
        <v>3</v>
      </c>
      <c r="E674" t="s">
        <v>944</v>
      </c>
    </row>
    <row r="675" spans="1:5" x14ac:dyDescent="0.2">
      <c r="A675" t="s">
        <v>1553</v>
      </c>
      <c r="B675">
        <v>9003430602</v>
      </c>
      <c r="C675" t="s">
        <v>1554</v>
      </c>
      <c r="D675">
        <v>3</v>
      </c>
      <c r="E675" t="s">
        <v>944</v>
      </c>
    </row>
    <row r="676" spans="1:5" x14ac:dyDescent="0.2">
      <c r="A676" t="s">
        <v>2499</v>
      </c>
      <c r="B676">
        <v>9011702100</v>
      </c>
      <c r="C676" t="s">
        <v>2500</v>
      </c>
      <c r="D676">
        <v>3</v>
      </c>
      <c r="E676" t="s">
        <v>944</v>
      </c>
    </row>
    <row r="677" spans="1:5" x14ac:dyDescent="0.2">
      <c r="A677" t="s">
        <v>2499</v>
      </c>
      <c r="B677">
        <v>9011702100</v>
      </c>
      <c r="C677" t="s">
        <v>2500</v>
      </c>
      <c r="D677">
        <v>3</v>
      </c>
      <c r="E677" t="s">
        <v>944</v>
      </c>
    </row>
    <row r="678" spans="1:5" x14ac:dyDescent="0.2">
      <c r="A678" t="s">
        <v>2399</v>
      </c>
      <c r="B678">
        <v>9009351500</v>
      </c>
      <c r="C678" t="s">
        <v>2400</v>
      </c>
      <c r="D678">
        <v>5</v>
      </c>
      <c r="E678" t="s">
        <v>944</v>
      </c>
    </row>
    <row r="679" spans="1:5" x14ac:dyDescent="0.2">
      <c r="A679" t="s">
        <v>2503</v>
      </c>
      <c r="B679">
        <v>9011702400</v>
      </c>
      <c r="C679" t="s">
        <v>2504</v>
      </c>
      <c r="D679">
        <v>3</v>
      </c>
      <c r="E679" t="s">
        <v>944</v>
      </c>
    </row>
    <row r="680" spans="1:5" x14ac:dyDescent="0.2">
      <c r="A680" t="s">
        <v>2401</v>
      </c>
      <c r="B680">
        <v>9009351601</v>
      </c>
      <c r="C680" t="s">
        <v>2402</v>
      </c>
      <c r="D680">
        <v>6</v>
      </c>
      <c r="E680" t="s">
        <v>936</v>
      </c>
    </row>
    <row r="681" spans="1:5" x14ac:dyDescent="0.2">
      <c r="A681" t="s">
        <v>2507</v>
      </c>
      <c r="B681">
        <v>9011702600</v>
      </c>
      <c r="C681" t="s">
        <v>2508</v>
      </c>
      <c r="D681">
        <v>3</v>
      </c>
      <c r="E681" t="s">
        <v>944</v>
      </c>
    </row>
    <row r="682" spans="1:5" x14ac:dyDescent="0.2">
      <c r="A682" t="s">
        <v>2509</v>
      </c>
      <c r="B682">
        <v>9011702700</v>
      </c>
      <c r="C682" t="s">
        <v>2510</v>
      </c>
      <c r="D682">
        <v>3</v>
      </c>
      <c r="E682" t="s">
        <v>944</v>
      </c>
    </row>
    <row r="683" spans="1:5" x14ac:dyDescent="0.2">
      <c r="A683" t="s">
        <v>1973</v>
      </c>
      <c r="B683">
        <v>9005360100</v>
      </c>
      <c r="C683" t="s">
        <v>1974</v>
      </c>
      <c r="D683">
        <v>3</v>
      </c>
      <c r="E683" t="s">
        <v>944</v>
      </c>
    </row>
    <row r="684" spans="1:5" x14ac:dyDescent="0.2">
      <c r="A684" t="s">
        <v>2511</v>
      </c>
      <c r="B684">
        <v>9011702800</v>
      </c>
      <c r="C684" t="s">
        <v>2512</v>
      </c>
      <c r="D684">
        <v>4</v>
      </c>
      <c r="E684" t="s">
        <v>944</v>
      </c>
    </row>
    <row r="685" spans="1:5" x14ac:dyDescent="0.2">
      <c r="A685" t="s">
        <v>2511</v>
      </c>
      <c r="B685">
        <v>9011702800</v>
      </c>
      <c r="C685" t="s">
        <v>2512</v>
      </c>
      <c r="D685">
        <v>4</v>
      </c>
      <c r="E685" t="s">
        <v>944</v>
      </c>
    </row>
    <row r="686" spans="1:5" x14ac:dyDescent="0.2">
      <c r="A686" t="s">
        <v>2513</v>
      </c>
      <c r="B686">
        <v>9011702900</v>
      </c>
      <c r="C686" t="s">
        <v>2514</v>
      </c>
      <c r="D686">
        <v>3</v>
      </c>
      <c r="E686" t="s">
        <v>944</v>
      </c>
    </row>
    <row r="687" spans="1:5" x14ac:dyDescent="0.2">
      <c r="A687" t="s">
        <v>2513</v>
      </c>
      <c r="B687">
        <v>9011702900</v>
      </c>
      <c r="C687" t="s">
        <v>2514</v>
      </c>
      <c r="D687">
        <v>3</v>
      </c>
      <c r="E687" t="s">
        <v>944</v>
      </c>
    </row>
    <row r="688" spans="1:5" x14ac:dyDescent="0.2">
      <c r="A688" t="s">
        <v>2515</v>
      </c>
      <c r="B688">
        <v>9011703000</v>
      </c>
      <c r="C688" t="s">
        <v>2516</v>
      </c>
      <c r="D688">
        <v>3</v>
      </c>
      <c r="E688" t="s">
        <v>944</v>
      </c>
    </row>
    <row r="689" spans="1:5" x14ac:dyDescent="0.2">
      <c r="A689" t="s">
        <v>2515</v>
      </c>
      <c r="B689">
        <v>9011703000</v>
      </c>
      <c r="C689" t="s">
        <v>2516</v>
      </c>
      <c r="D689">
        <v>3</v>
      </c>
      <c r="E689" t="s">
        <v>944</v>
      </c>
    </row>
    <row r="690" spans="1:5" x14ac:dyDescent="0.2">
      <c r="A690" t="s">
        <v>1579</v>
      </c>
      <c r="B690">
        <v>9003466101</v>
      </c>
      <c r="C690" t="s">
        <v>1580</v>
      </c>
      <c r="D690">
        <v>3</v>
      </c>
      <c r="E690" t="s">
        <v>944</v>
      </c>
    </row>
    <row r="691" spans="1:5" x14ac:dyDescent="0.2">
      <c r="A691" t="s">
        <v>1583</v>
      </c>
      <c r="B691">
        <v>9003466201</v>
      </c>
      <c r="C691" t="s">
        <v>1584</v>
      </c>
      <c r="D691">
        <v>3</v>
      </c>
      <c r="E691" t="s">
        <v>944</v>
      </c>
    </row>
    <row r="692" spans="1:5" x14ac:dyDescent="0.2">
      <c r="A692" t="s">
        <v>1589</v>
      </c>
      <c r="B692">
        <v>9003466400</v>
      </c>
      <c r="C692" t="s">
        <v>1590</v>
      </c>
      <c r="D692">
        <v>3</v>
      </c>
      <c r="E692" t="s">
        <v>944</v>
      </c>
    </row>
    <row r="693" spans="1:5" x14ac:dyDescent="0.2">
      <c r="A693" t="s">
        <v>1739</v>
      </c>
      <c r="B693">
        <v>9003500200</v>
      </c>
      <c r="C693" t="s">
        <v>1740</v>
      </c>
      <c r="D693">
        <v>8</v>
      </c>
      <c r="E693" t="s">
        <v>936</v>
      </c>
    </row>
    <row r="694" spans="1:5" x14ac:dyDescent="0.2">
      <c r="A694" t="s">
        <v>1743</v>
      </c>
      <c r="B694">
        <v>9003500400</v>
      </c>
      <c r="C694" t="s">
        <v>1744</v>
      </c>
      <c r="D694">
        <v>7</v>
      </c>
      <c r="E694" t="s">
        <v>936</v>
      </c>
    </row>
    <row r="695" spans="1:5" x14ac:dyDescent="0.2">
      <c r="A695" t="s">
        <v>1747</v>
      </c>
      <c r="B695">
        <v>9003500900</v>
      </c>
      <c r="C695" t="s">
        <v>1748</v>
      </c>
      <c r="D695">
        <v>9</v>
      </c>
      <c r="E695" t="s">
        <v>936</v>
      </c>
    </row>
    <row r="696" spans="1:5" x14ac:dyDescent="0.2">
      <c r="A696" t="s">
        <v>1749</v>
      </c>
      <c r="B696">
        <v>9003501200</v>
      </c>
      <c r="C696" t="s">
        <v>1750</v>
      </c>
      <c r="D696">
        <v>9</v>
      </c>
      <c r="E696" t="s">
        <v>936</v>
      </c>
    </row>
    <row r="697" spans="1:5" x14ac:dyDescent="0.2">
      <c r="A697" t="s">
        <v>1751</v>
      </c>
      <c r="B697">
        <v>9003501300</v>
      </c>
      <c r="C697" t="s">
        <v>1752</v>
      </c>
      <c r="D697">
        <v>9</v>
      </c>
      <c r="E697" t="s">
        <v>936</v>
      </c>
    </row>
    <row r="698" spans="1:5" x14ac:dyDescent="0.2">
      <c r="A698" t="s">
        <v>1755</v>
      </c>
      <c r="B698">
        <v>9003501500</v>
      </c>
      <c r="C698" t="s">
        <v>1756</v>
      </c>
      <c r="D698">
        <v>8</v>
      </c>
      <c r="E698" t="s">
        <v>936</v>
      </c>
    </row>
    <row r="699" spans="1:5" x14ac:dyDescent="0.2">
      <c r="A699" t="s">
        <v>1757</v>
      </c>
      <c r="B699">
        <v>9003501700</v>
      </c>
      <c r="C699" t="s">
        <v>1758</v>
      </c>
      <c r="D699">
        <v>8</v>
      </c>
      <c r="E699" t="s">
        <v>936</v>
      </c>
    </row>
    <row r="700" spans="1:5" x14ac:dyDescent="0.2">
      <c r="A700" t="s">
        <v>1763</v>
      </c>
      <c r="B700">
        <v>9003502300</v>
      </c>
      <c r="C700" t="s">
        <v>1764</v>
      </c>
      <c r="D700">
        <v>5</v>
      </c>
      <c r="E700" t="s">
        <v>944</v>
      </c>
    </row>
    <row r="701" spans="1:5" x14ac:dyDescent="0.2">
      <c r="A701" t="s">
        <v>1985</v>
      </c>
      <c r="B701">
        <v>9005425300</v>
      </c>
      <c r="C701" t="s">
        <v>1986</v>
      </c>
      <c r="D701">
        <v>3</v>
      </c>
      <c r="E701" t="s">
        <v>944</v>
      </c>
    </row>
    <row r="702" spans="1:5" x14ac:dyDescent="0.2">
      <c r="A702" t="s">
        <v>1985</v>
      </c>
      <c r="B702">
        <v>9005425300</v>
      </c>
      <c r="C702" t="s">
        <v>1986</v>
      </c>
      <c r="D702">
        <v>3</v>
      </c>
      <c r="E702" t="s">
        <v>944</v>
      </c>
    </row>
    <row r="703" spans="1:5" x14ac:dyDescent="0.2">
      <c r="A703" t="s">
        <v>1985</v>
      </c>
      <c r="B703">
        <v>9005425300</v>
      </c>
      <c r="C703" t="s">
        <v>1986</v>
      </c>
      <c r="D703">
        <v>3</v>
      </c>
      <c r="E703" t="s">
        <v>944</v>
      </c>
    </row>
    <row r="704" spans="1:5" x14ac:dyDescent="0.2">
      <c r="A704" t="s">
        <v>1765</v>
      </c>
      <c r="B704">
        <v>9003502400</v>
      </c>
      <c r="C704" t="s">
        <v>1766</v>
      </c>
      <c r="D704">
        <v>7</v>
      </c>
      <c r="E704" t="s">
        <v>936</v>
      </c>
    </row>
    <row r="705" spans="1:5" x14ac:dyDescent="0.2">
      <c r="A705" t="s">
        <v>1781</v>
      </c>
      <c r="B705">
        <v>9003503300</v>
      </c>
      <c r="C705" t="s">
        <v>1782</v>
      </c>
      <c r="D705">
        <v>6</v>
      </c>
      <c r="E705" t="s">
        <v>936</v>
      </c>
    </row>
    <row r="706" spans="1:5" x14ac:dyDescent="0.2">
      <c r="A706" t="s">
        <v>1631</v>
      </c>
      <c r="B706">
        <v>9003477102</v>
      </c>
      <c r="C706" t="s">
        <v>1632</v>
      </c>
      <c r="D706">
        <v>3</v>
      </c>
      <c r="E706" t="s">
        <v>944</v>
      </c>
    </row>
    <row r="707" spans="1:5" x14ac:dyDescent="0.2">
      <c r="A707" t="s">
        <v>1783</v>
      </c>
      <c r="B707">
        <v>9003503500</v>
      </c>
      <c r="C707" t="s">
        <v>1784</v>
      </c>
      <c r="D707">
        <v>8</v>
      </c>
      <c r="E707" t="s">
        <v>936</v>
      </c>
    </row>
    <row r="708" spans="1:5" x14ac:dyDescent="0.2">
      <c r="A708" t="s">
        <v>1791</v>
      </c>
      <c r="B708">
        <v>9003504000</v>
      </c>
      <c r="C708" t="s">
        <v>1792</v>
      </c>
      <c r="D708">
        <v>6</v>
      </c>
      <c r="E708" t="s">
        <v>936</v>
      </c>
    </row>
    <row r="709" spans="1:5" x14ac:dyDescent="0.2">
      <c r="A709" t="s">
        <v>1793</v>
      </c>
      <c r="B709">
        <v>9003504100</v>
      </c>
      <c r="C709" t="s">
        <v>1794</v>
      </c>
      <c r="D709">
        <v>8</v>
      </c>
      <c r="E709" t="s">
        <v>936</v>
      </c>
    </row>
    <row r="710" spans="1:5" x14ac:dyDescent="0.2">
      <c r="A710" t="s">
        <v>1795</v>
      </c>
      <c r="B710">
        <v>9003504200</v>
      </c>
      <c r="C710" t="s">
        <v>1796</v>
      </c>
      <c r="D710">
        <v>5</v>
      </c>
      <c r="E710" t="s">
        <v>944</v>
      </c>
    </row>
    <row r="711" spans="1:5" x14ac:dyDescent="0.2">
      <c r="A711" t="s">
        <v>1797</v>
      </c>
      <c r="B711">
        <v>9003504300</v>
      </c>
      <c r="C711" t="s">
        <v>1798</v>
      </c>
      <c r="D711">
        <v>9</v>
      </c>
      <c r="E711" t="s">
        <v>936</v>
      </c>
    </row>
    <row r="712" spans="1:5" x14ac:dyDescent="0.2">
      <c r="A712" t="s">
        <v>1799</v>
      </c>
      <c r="B712">
        <v>9003504500</v>
      </c>
      <c r="C712" t="s">
        <v>1800</v>
      </c>
      <c r="D712">
        <v>7</v>
      </c>
      <c r="E712" t="s">
        <v>936</v>
      </c>
    </row>
    <row r="713" spans="1:5" x14ac:dyDescent="0.2">
      <c r="A713" t="s">
        <v>1801</v>
      </c>
      <c r="B713">
        <v>9003504800</v>
      </c>
      <c r="C713" t="s">
        <v>1802</v>
      </c>
      <c r="D713">
        <v>6</v>
      </c>
      <c r="E713" t="s">
        <v>936</v>
      </c>
    </row>
    <row r="714" spans="1:5" x14ac:dyDescent="0.2">
      <c r="A714" t="s">
        <v>1803</v>
      </c>
      <c r="B714">
        <v>9003504900</v>
      </c>
      <c r="C714" t="s">
        <v>1804</v>
      </c>
      <c r="D714">
        <v>6</v>
      </c>
      <c r="E714" t="s">
        <v>936</v>
      </c>
    </row>
    <row r="715" spans="1:5" x14ac:dyDescent="0.2">
      <c r="A715" t="s">
        <v>1881</v>
      </c>
      <c r="B715">
        <v>9003524400</v>
      </c>
      <c r="C715" t="s">
        <v>1882</v>
      </c>
      <c r="D715">
        <v>8</v>
      </c>
      <c r="E715" t="s">
        <v>936</v>
      </c>
    </row>
    <row r="716" spans="1:5" x14ac:dyDescent="0.2">
      <c r="A716" t="s">
        <v>1885</v>
      </c>
      <c r="B716">
        <v>9003524502</v>
      </c>
      <c r="C716" t="s">
        <v>1886</v>
      </c>
      <c r="D716">
        <v>2</v>
      </c>
      <c r="E716" t="s">
        <v>944</v>
      </c>
    </row>
    <row r="717" spans="1:5" x14ac:dyDescent="0.2">
      <c r="A717" t="s">
        <v>1887</v>
      </c>
      <c r="B717">
        <v>9003524600</v>
      </c>
      <c r="C717" t="s">
        <v>1888</v>
      </c>
      <c r="D717">
        <v>4</v>
      </c>
      <c r="E717" t="s">
        <v>944</v>
      </c>
    </row>
    <row r="718" spans="1:5" x14ac:dyDescent="0.2">
      <c r="A718" t="s">
        <v>1889</v>
      </c>
      <c r="B718">
        <v>9003524700</v>
      </c>
      <c r="C718" t="s">
        <v>1890</v>
      </c>
      <c r="D718">
        <v>5</v>
      </c>
      <c r="E718" t="s">
        <v>944</v>
      </c>
    </row>
    <row r="719" spans="1:5" x14ac:dyDescent="0.2">
      <c r="A719" t="s">
        <v>1663</v>
      </c>
      <c r="B719">
        <v>9003487201</v>
      </c>
      <c r="C719" t="s">
        <v>1664</v>
      </c>
      <c r="D719">
        <v>3</v>
      </c>
      <c r="E719" t="s">
        <v>944</v>
      </c>
    </row>
    <row r="720" spans="1:5" x14ac:dyDescent="0.2">
      <c r="A720" t="s">
        <v>1663</v>
      </c>
      <c r="B720">
        <v>9003487201</v>
      </c>
      <c r="C720" t="s">
        <v>1664</v>
      </c>
      <c r="D720">
        <v>3</v>
      </c>
      <c r="E720" t="s">
        <v>944</v>
      </c>
    </row>
    <row r="721" spans="1:5" x14ac:dyDescent="0.2">
      <c r="A721" t="s">
        <v>1665</v>
      </c>
      <c r="B721">
        <v>9003487202</v>
      </c>
      <c r="C721" t="s">
        <v>1666</v>
      </c>
      <c r="D721">
        <v>2</v>
      </c>
      <c r="E721" t="s">
        <v>944</v>
      </c>
    </row>
    <row r="722" spans="1:5" x14ac:dyDescent="0.2">
      <c r="A722" t="s">
        <v>1665</v>
      </c>
      <c r="B722">
        <v>9003487202</v>
      </c>
      <c r="C722" t="s">
        <v>1666</v>
      </c>
      <c r="D722">
        <v>2</v>
      </c>
      <c r="E722" t="s">
        <v>944</v>
      </c>
    </row>
    <row r="723" spans="1:5" x14ac:dyDescent="0.2">
      <c r="A723" t="s">
        <v>1667</v>
      </c>
      <c r="B723">
        <v>9003487300</v>
      </c>
      <c r="C723" t="s">
        <v>1668</v>
      </c>
      <c r="D723">
        <v>3</v>
      </c>
      <c r="E723" t="s">
        <v>944</v>
      </c>
    </row>
    <row r="724" spans="1:5" x14ac:dyDescent="0.2">
      <c r="A724" t="s">
        <v>1671</v>
      </c>
      <c r="B724">
        <v>9003487500</v>
      </c>
      <c r="C724" t="s">
        <v>1672</v>
      </c>
      <c r="D724">
        <v>3</v>
      </c>
      <c r="E724" t="s">
        <v>944</v>
      </c>
    </row>
    <row r="725" spans="1:5" x14ac:dyDescent="0.2">
      <c r="A725" t="s">
        <v>1671</v>
      </c>
      <c r="B725">
        <v>9003487500</v>
      </c>
      <c r="C725" t="s">
        <v>1672</v>
      </c>
      <c r="D725">
        <v>3</v>
      </c>
      <c r="E725" t="s">
        <v>944</v>
      </c>
    </row>
    <row r="726" spans="1:5" x14ac:dyDescent="0.2">
      <c r="A726" t="s">
        <v>1673</v>
      </c>
      <c r="B726">
        <v>9003490100</v>
      </c>
      <c r="C726" t="s">
        <v>1674</v>
      </c>
      <c r="D726">
        <v>3</v>
      </c>
      <c r="E726" t="s">
        <v>944</v>
      </c>
    </row>
    <row r="727" spans="1:5" x14ac:dyDescent="0.2">
      <c r="A727" t="s">
        <v>1687</v>
      </c>
      <c r="B727">
        <v>9003492600</v>
      </c>
      <c r="C727" t="s">
        <v>1688</v>
      </c>
      <c r="D727">
        <v>3</v>
      </c>
      <c r="E727" t="s">
        <v>944</v>
      </c>
    </row>
    <row r="728" spans="1:5" x14ac:dyDescent="0.2">
      <c r="A728" t="s">
        <v>1687</v>
      </c>
      <c r="B728">
        <v>9003492600</v>
      </c>
      <c r="C728" t="s">
        <v>1688</v>
      </c>
      <c r="D728">
        <v>3</v>
      </c>
      <c r="E728" t="s">
        <v>944</v>
      </c>
    </row>
    <row r="729" spans="1:5" x14ac:dyDescent="0.2">
      <c r="A729" t="s">
        <v>1689</v>
      </c>
      <c r="B729">
        <v>9003494100</v>
      </c>
      <c r="C729" t="s">
        <v>1690</v>
      </c>
      <c r="D729">
        <v>3</v>
      </c>
      <c r="E729" t="s">
        <v>944</v>
      </c>
    </row>
    <row r="730" spans="1:5" x14ac:dyDescent="0.2">
      <c r="A730" t="s">
        <v>1691</v>
      </c>
      <c r="B730">
        <v>9003494201</v>
      </c>
      <c r="C730" t="s">
        <v>1692</v>
      </c>
      <c r="D730">
        <v>3</v>
      </c>
      <c r="E730" t="s">
        <v>944</v>
      </c>
    </row>
    <row r="731" spans="1:5" x14ac:dyDescent="0.2">
      <c r="A731" t="s">
        <v>1693</v>
      </c>
      <c r="B731">
        <v>9003494202</v>
      </c>
      <c r="C731" t="s">
        <v>1694</v>
      </c>
      <c r="D731">
        <v>2</v>
      </c>
      <c r="E731" t="s">
        <v>944</v>
      </c>
    </row>
    <row r="732" spans="1:5" x14ac:dyDescent="0.2">
      <c r="A732" t="s">
        <v>1695</v>
      </c>
      <c r="B732">
        <v>9003494300</v>
      </c>
      <c r="C732" t="s">
        <v>1696</v>
      </c>
      <c r="D732">
        <v>3</v>
      </c>
      <c r="E732" t="s">
        <v>944</v>
      </c>
    </row>
    <row r="733" spans="1:5" x14ac:dyDescent="0.2">
      <c r="A733" t="s">
        <v>1695</v>
      </c>
      <c r="B733">
        <v>9003494300</v>
      </c>
      <c r="C733" t="s">
        <v>1696</v>
      </c>
      <c r="D733">
        <v>3</v>
      </c>
      <c r="E733" t="s">
        <v>944</v>
      </c>
    </row>
    <row r="734" spans="1:5" x14ac:dyDescent="0.2">
      <c r="A734" t="s">
        <v>1697</v>
      </c>
      <c r="B734">
        <v>9003494400</v>
      </c>
      <c r="C734" t="s">
        <v>1698</v>
      </c>
      <c r="D734">
        <v>3</v>
      </c>
      <c r="E734" t="s">
        <v>944</v>
      </c>
    </row>
    <row r="735" spans="1:5" x14ac:dyDescent="0.2">
      <c r="A735" t="s">
        <v>1699</v>
      </c>
      <c r="B735">
        <v>9003494500</v>
      </c>
      <c r="C735" t="s">
        <v>1700</v>
      </c>
      <c r="D735">
        <v>3</v>
      </c>
      <c r="E735" t="s">
        <v>944</v>
      </c>
    </row>
    <row r="736" spans="1:5" x14ac:dyDescent="0.2">
      <c r="A736" t="s">
        <v>1701</v>
      </c>
      <c r="B736">
        <v>9003494600</v>
      </c>
      <c r="C736" t="s">
        <v>1702</v>
      </c>
      <c r="D736">
        <v>3</v>
      </c>
      <c r="E736" t="s">
        <v>944</v>
      </c>
    </row>
    <row r="737" spans="1:5" x14ac:dyDescent="0.2">
      <c r="A737" t="s">
        <v>2661</v>
      </c>
      <c r="B737">
        <v>9015904400</v>
      </c>
      <c r="C737" t="s">
        <v>2662</v>
      </c>
      <c r="D737">
        <v>5</v>
      </c>
      <c r="E737" t="s">
        <v>944</v>
      </c>
    </row>
    <row r="738" spans="1:5" x14ac:dyDescent="0.2">
      <c r="A738" t="s">
        <v>1703</v>
      </c>
      <c r="B738">
        <v>9003496100</v>
      </c>
      <c r="C738" t="s">
        <v>1704</v>
      </c>
      <c r="D738">
        <v>5</v>
      </c>
      <c r="E738" t="s">
        <v>944</v>
      </c>
    </row>
    <row r="739" spans="1:5" x14ac:dyDescent="0.2">
      <c r="A739" t="s">
        <v>1707</v>
      </c>
      <c r="B739">
        <v>9003496300</v>
      </c>
      <c r="C739" t="s">
        <v>1708</v>
      </c>
      <c r="D739">
        <v>3</v>
      </c>
      <c r="E739" t="s">
        <v>944</v>
      </c>
    </row>
    <row r="740" spans="1:5" x14ac:dyDescent="0.2">
      <c r="A740" t="s">
        <v>2671</v>
      </c>
      <c r="B740">
        <v>9015907200</v>
      </c>
      <c r="C740" t="s">
        <v>2672</v>
      </c>
      <c r="D740">
        <v>5</v>
      </c>
      <c r="E740" t="s">
        <v>944</v>
      </c>
    </row>
    <row r="741" spans="1:5" x14ac:dyDescent="0.2">
      <c r="A741" t="s">
        <v>2671</v>
      </c>
      <c r="B741">
        <v>9015907200</v>
      </c>
      <c r="C741" t="s">
        <v>2672</v>
      </c>
      <c r="D741">
        <v>5</v>
      </c>
      <c r="E741" t="s">
        <v>944</v>
      </c>
    </row>
    <row r="742" spans="1:5" x14ac:dyDescent="0.2">
      <c r="A742" t="s">
        <v>2671</v>
      </c>
      <c r="B742">
        <v>9015907200</v>
      </c>
      <c r="C742" t="s">
        <v>2672</v>
      </c>
      <c r="D742">
        <v>5</v>
      </c>
      <c r="E742" t="s">
        <v>944</v>
      </c>
    </row>
    <row r="743" spans="1:5" x14ac:dyDescent="0.2">
      <c r="A743" t="s">
        <v>2055</v>
      </c>
      <c r="B743">
        <v>9007640100</v>
      </c>
      <c r="C743" t="s">
        <v>2056</v>
      </c>
      <c r="D743">
        <v>3</v>
      </c>
      <c r="E743" t="s">
        <v>944</v>
      </c>
    </row>
    <row r="744" spans="1:5" x14ac:dyDescent="0.2">
      <c r="A744" t="s">
        <v>2495</v>
      </c>
      <c r="B744">
        <v>9011701100</v>
      </c>
      <c r="C744" t="s">
        <v>2496</v>
      </c>
      <c r="D744">
        <v>4</v>
      </c>
      <c r="E744" t="s">
        <v>944</v>
      </c>
    </row>
    <row r="745" spans="1:5" x14ac:dyDescent="0.2">
      <c r="A745" t="s">
        <v>2497</v>
      </c>
      <c r="B745">
        <v>9011701200</v>
      </c>
      <c r="C745" t="s">
        <v>2498</v>
      </c>
      <c r="D745">
        <v>3</v>
      </c>
      <c r="E745" t="s">
        <v>944</v>
      </c>
    </row>
    <row r="746" spans="1:5" x14ac:dyDescent="0.2">
      <c r="A746" t="s">
        <v>2463</v>
      </c>
      <c r="B746">
        <v>9011693400</v>
      </c>
      <c r="C746" t="s">
        <v>2464</v>
      </c>
      <c r="D746">
        <v>4</v>
      </c>
      <c r="E746" t="s">
        <v>944</v>
      </c>
    </row>
    <row r="747" spans="1:5" x14ac:dyDescent="0.2">
      <c r="A747" t="s">
        <v>2463</v>
      </c>
      <c r="B747">
        <v>9011693400</v>
      </c>
      <c r="C747" t="s">
        <v>2464</v>
      </c>
      <c r="D747">
        <v>4</v>
      </c>
      <c r="E747" t="s">
        <v>944</v>
      </c>
    </row>
    <row r="748" spans="1:5" x14ac:dyDescent="0.2">
      <c r="A748" t="s">
        <v>2463</v>
      </c>
      <c r="B748">
        <v>9011693400</v>
      </c>
      <c r="C748" t="s">
        <v>2464</v>
      </c>
      <c r="D748">
        <v>4</v>
      </c>
      <c r="E748" t="s">
        <v>944</v>
      </c>
    </row>
    <row r="749" spans="1:5" x14ac:dyDescent="0.2">
      <c r="A749" t="s">
        <v>2443</v>
      </c>
      <c r="B749">
        <v>9011650100</v>
      </c>
      <c r="C749" t="s">
        <v>2444</v>
      </c>
      <c r="D749">
        <v>3</v>
      </c>
      <c r="E749" t="s">
        <v>944</v>
      </c>
    </row>
    <row r="750" spans="1:5" x14ac:dyDescent="0.2">
      <c r="A750" t="s">
        <v>2443</v>
      </c>
      <c r="B750">
        <v>9011650100</v>
      </c>
      <c r="C750" t="s">
        <v>2444</v>
      </c>
      <c r="D750">
        <v>3</v>
      </c>
      <c r="E750" t="s">
        <v>944</v>
      </c>
    </row>
    <row r="751" spans="1:5" x14ac:dyDescent="0.2">
      <c r="A751" t="s">
        <v>1833</v>
      </c>
      <c r="B751">
        <v>9003514101</v>
      </c>
      <c r="C751" t="s">
        <v>1834</v>
      </c>
      <c r="D751">
        <v>3</v>
      </c>
      <c r="E751" t="s">
        <v>944</v>
      </c>
    </row>
    <row r="752" spans="1:5" x14ac:dyDescent="0.2">
      <c r="A752" t="s">
        <v>1833</v>
      </c>
      <c r="B752">
        <v>9003514101</v>
      </c>
      <c r="C752" t="s">
        <v>1834</v>
      </c>
      <c r="D752">
        <v>3</v>
      </c>
      <c r="E752" t="s">
        <v>944</v>
      </c>
    </row>
    <row r="753" spans="1:5" x14ac:dyDescent="0.2">
      <c r="A753" t="s">
        <v>1837</v>
      </c>
      <c r="B753">
        <v>9003514200</v>
      </c>
      <c r="C753" t="s">
        <v>1838</v>
      </c>
      <c r="D753">
        <v>4</v>
      </c>
      <c r="E753" t="s">
        <v>944</v>
      </c>
    </row>
    <row r="754" spans="1:5" x14ac:dyDescent="0.2">
      <c r="A754" t="s">
        <v>1839</v>
      </c>
      <c r="B754">
        <v>9003514300</v>
      </c>
      <c r="C754" t="s">
        <v>1840</v>
      </c>
      <c r="D754">
        <v>4</v>
      </c>
      <c r="E754" t="s">
        <v>944</v>
      </c>
    </row>
    <row r="755" spans="1:5" x14ac:dyDescent="0.2">
      <c r="A755" t="s">
        <v>1855</v>
      </c>
      <c r="B755">
        <v>9003515101</v>
      </c>
      <c r="C755" t="s">
        <v>1856</v>
      </c>
      <c r="D755">
        <v>3</v>
      </c>
      <c r="E755" t="s">
        <v>944</v>
      </c>
    </row>
    <row r="756" spans="1:5" x14ac:dyDescent="0.2">
      <c r="A756" t="s">
        <v>2589</v>
      </c>
      <c r="B756">
        <v>9013530500</v>
      </c>
      <c r="C756" t="s">
        <v>2590</v>
      </c>
      <c r="D756">
        <v>3</v>
      </c>
      <c r="E756" t="s">
        <v>944</v>
      </c>
    </row>
    <row r="757" spans="1:5" x14ac:dyDescent="0.2">
      <c r="A757" t="s">
        <v>2589</v>
      </c>
      <c r="B757">
        <v>9013530500</v>
      </c>
      <c r="C757" t="s">
        <v>2590</v>
      </c>
      <c r="D757">
        <v>3</v>
      </c>
      <c r="E757" t="s">
        <v>944</v>
      </c>
    </row>
    <row r="758" spans="1:5" x14ac:dyDescent="0.2">
      <c r="A758" t="s">
        <v>2619</v>
      </c>
      <c r="B758">
        <v>9013881500</v>
      </c>
      <c r="C758" t="s">
        <v>2620</v>
      </c>
      <c r="D758">
        <v>3</v>
      </c>
      <c r="E758" t="s">
        <v>944</v>
      </c>
    </row>
    <row r="759" spans="1:5" x14ac:dyDescent="0.2">
      <c r="A759" t="s">
        <v>1875</v>
      </c>
      <c r="B759">
        <v>9003524100</v>
      </c>
      <c r="C759" t="s">
        <v>1876</v>
      </c>
      <c r="D759">
        <v>3</v>
      </c>
      <c r="E759" t="s">
        <v>944</v>
      </c>
    </row>
    <row r="760" spans="1:5" x14ac:dyDescent="0.2">
      <c r="A760" t="s">
        <v>1877</v>
      </c>
      <c r="B760">
        <v>9003524200</v>
      </c>
      <c r="C760" t="s">
        <v>1878</v>
      </c>
      <c r="D760">
        <v>3</v>
      </c>
      <c r="E760" t="s">
        <v>944</v>
      </c>
    </row>
    <row r="761" spans="1:5" x14ac:dyDescent="0.2">
      <c r="A761" t="s">
        <v>2581</v>
      </c>
      <c r="B761">
        <v>9013530200</v>
      </c>
      <c r="C761" t="s">
        <v>2582</v>
      </c>
      <c r="D761">
        <v>5</v>
      </c>
      <c r="E761" t="s">
        <v>944</v>
      </c>
    </row>
    <row r="762" spans="1:5" x14ac:dyDescent="0.2">
      <c r="A762" t="s">
        <v>2583</v>
      </c>
      <c r="B762">
        <v>9013530301</v>
      </c>
      <c r="C762" t="s">
        <v>2584</v>
      </c>
      <c r="D762">
        <v>3</v>
      </c>
      <c r="E762" t="s">
        <v>944</v>
      </c>
    </row>
    <row r="763" spans="1:5" x14ac:dyDescent="0.2">
      <c r="A763" t="s">
        <v>2583</v>
      </c>
      <c r="B763">
        <v>9013530301</v>
      </c>
      <c r="C763" t="s">
        <v>2584</v>
      </c>
      <c r="D763">
        <v>3</v>
      </c>
      <c r="E763" t="s">
        <v>944</v>
      </c>
    </row>
    <row r="764" spans="1:5" x14ac:dyDescent="0.2">
      <c r="A764" t="s">
        <v>2585</v>
      </c>
      <c r="B764">
        <v>9013530302</v>
      </c>
      <c r="C764" t="s">
        <v>2586</v>
      </c>
      <c r="D764">
        <v>3</v>
      </c>
      <c r="E764" t="s">
        <v>944</v>
      </c>
    </row>
    <row r="765" spans="1:5" x14ac:dyDescent="0.2">
      <c r="A765" t="s">
        <v>2585</v>
      </c>
      <c r="B765">
        <v>9013530302</v>
      </c>
      <c r="C765" t="s">
        <v>2586</v>
      </c>
      <c r="D765">
        <v>3</v>
      </c>
      <c r="E765" t="s">
        <v>944</v>
      </c>
    </row>
    <row r="766" spans="1:5" x14ac:dyDescent="0.2">
      <c r="A766" t="s">
        <v>2587</v>
      </c>
      <c r="B766">
        <v>9013530400</v>
      </c>
      <c r="C766" t="s">
        <v>2588</v>
      </c>
      <c r="D766">
        <v>3</v>
      </c>
      <c r="E766" t="s">
        <v>944</v>
      </c>
    </row>
    <row r="767" spans="1:5" x14ac:dyDescent="0.2">
      <c r="A767" t="s">
        <v>2593</v>
      </c>
      <c r="B767">
        <v>9013533101</v>
      </c>
      <c r="C767" t="s">
        <v>2594</v>
      </c>
      <c r="D767">
        <v>3</v>
      </c>
      <c r="E767" t="s">
        <v>944</v>
      </c>
    </row>
    <row r="768" spans="1:5" x14ac:dyDescent="0.2">
      <c r="A768" t="s">
        <v>2595</v>
      </c>
      <c r="B768">
        <v>9013533102</v>
      </c>
      <c r="C768" t="s">
        <v>2596</v>
      </c>
      <c r="D768">
        <v>3</v>
      </c>
      <c r="E768" t="s">
        <v>944</v>
      </c>
    </row>
    <row r="769" spans="1:5" x14ac:dyDescent="0.2">
      <c r="A769" t="s">
        <v>1993</v>
      </c>
      <c r="B769">
        <v>9007541100</v>
      </c>
      <c r="C769" t="s">
        <v>1994</v>
      </c>
      <c r="D769">
        <v>6</v>
      </c>
      <c r="E769" t="s">
        <v>936</v>
      </c>
    </row>
    <row r="770" spans="1:5" x14ac:dyDescent="0.2">
      <c r="A770" t="s">
        <v>1995</v>
      </c>
      <c r="B770">
        <v>9007541200</v>
      </c>
      <c r="C770" t="s">
        <v>1996</v>
      </c>
      <c r="D770">
        <v>3</v>
      </c>
      <c r="E770" t="s">
        <v>944</v>
      </c>
    </row>
    <row r="771" spans="1:5" x14ac:dyDescent="0.2">
      <c r="A771" t="s">
        <v>1997</v>
      </c>
      <c r="B771">
        <v>9007541300</v>
      </c>
      <c r="C771" t="s">
        <v>1998</v>
      </c>
      <c r="D771">
        <v>2</v>
      </c>
      <c r="E771" t="s">
        <v>944</v>
      </c>
    </row>
    <row r="772" spans="1:5" x14ac:dyDescent="0.2">
      <c r="A772" t="s">
        <v>1999</v>
      </c>
      <c r="B772">
        <v>9007541401</v>
      </c>
      <c r="C772" t="s">
        <v>2000</v>
      </c>
      <c r="D772">
        <v>3</v>
      </c>
      <c r="E772" t="s">
        <v>944</v>
      </c>
    </row>
    <row r="773" spans="1:5" x14ac:dyDescent="0.2">
      <c r="A773" t="s">
        <v>2001</v>
      </c>
      <c r="B773">
        <v>9007541402</v>
      </c>
      <c r="C773" t="s">
        <v>2002</v>
      </c>
      <c r="D773">
        <v>3</v>
      </c>
      <c r="E773" t="s">
        <v>944</v>
      </c>
    </row>
    <row r="774" spans="1:5" x14ac:dyDescent="0.2">
      <c r="A774" t="s">
        <v>2003</v>
      </c>
      <c r="B774">
        <v>9007541500</v>
      </c>
      <c r="C774" t="s">
        <v>2004</v>
      </c>
      <c r="D774">
        <v>4</v>
      </c>
      <c r="E774" t="s">
        <v>944</v>
      </c>
    </row>
    <row r="775" spans="1:5" x14ac:dyDescent="0.2">
      <c r="A775" t="s">
        <v>2005</v>
      </c>
      <c r="B775">
        <v>9007541600</v>
      </c>
      <c r="C775" t="s">
        <v>2006</v>
      </c>
      <c r="D775">
        <v>6</v>
      </c>
      <c r="E775" t="s">
        <v>936</v>
      </c>
    </row>
    <row r="776" spans="1:5" x14ac:dyDescent="0.2">
      <c r="A776" t="s">
        <v>2007</v>
      </c>
      <c r="B776">
        <v>9007541700</v>
      </c>
      <c r="C776" t="s">
        <v>2008</v>
      </c>
      <c r="D776">
        <v>6</v>
      </c>
      <c r="E776" t="s">
        <v>936</v>
      </c>
    </row>
    <row r="777" spans="1:5" x14ac:dyDescent="0.2">
      <c r="A777" t="s">
        <v>2009</v>
      </c>
      <c r="B777">
        <v>9007542000</v>
      </c>
      <c r="C777" t="s">
        <v>2010</v>
      </c>
      <c r="D777">
        <v>4</v>
      </c>
      <c r="E777" t="s">
        <v>944</v>
      </c>
    </row>
    <row r="778" spans="1:5" x14ac:dyDescent="0.2">
      <c r="A778" t="s">
        <v>2011</v>
      </c>
      <c r="B778">
        <v>9007542100</v>
      </c>
      <c r="C778" t="s">
        <v>2012</v>
      </c>
      <c r="D778">
        <v>3</v>
      </c>
      <c r="E778" t="s">
        <v>944</v>
      </c>
    </row>
    <row r="779" spans="1:5" x14ac:dyDescent="0.2">
      <c r="A779" t="s">
        <v>2013</v>
      </c>
      <c r="B779">
        <v>9007542200</v>
      </c>
      <c r="C779" t="s">
        <v>2014</v>
      </c>
      <c r="D779">
        <v>3</v>
      </c>
      <c r="E779" t="s">
        <v>944</v>
      </c>
    </row>
    <row r="780" spans="1:5" x14ac:dyDescent="0.2">
      <c r="A780" t="s">
        <v>2023</v>
      </c>
      <c r="B780">
        <v>9007560200</v>
      </c>
      <c r="C780" t="s">
        <v>2024</v>
      </c>
      <c r="D780">
        <v>4</v>
      </c>
      <c r="E780" t="s">
        <v>944</v>
      </c>
    </row>
    <row r="781" spans="1:5" x14ac:dyDescent="0.2">
      <c r="A781" t="s">
        <v>2063</v>
      </c>
      <c r="B781">
        <v>9007680200</v>
      </c>
      <c r="C781" t="s">
        <v>2064</v>
      </c>
      <c r="D781">
        <v>3</v>
      </c>
      <c r="E781" t="s">
        <v>944</v>
      </c>
    </row>
    <row r="782" spans="1:5" x14ac:dyDescent="0.2">
      <c r="A782" t="s">
        <v>2467</v>
      </c>
      <c r="B782">
        <v>9011693600</v>
      </c>
      <c r="C782" t="s">
        <v>2468</v>
      </c>
      <c r="D782">
        <v>3</v>
      </c>
      <c r="E782" t="s">
        <v>944</v>
      </c>
    </row>
    <row r="783" spans="1:5" x14ac:dyDescent="0.2">
      <c r="A783" t="s">
        <v>2467</v>
      </c>
      <c r="B783">
        <v>9011693600</v>
      </c>
      <c r="C783" t="s">
        <v>2468</v>
      </c>
      <c r="D783">
        <v>3</v>
      </c>
      <c r="E783" t="s">
        <v>944</v>
      </c>
    </row>
    <row r="784" spans="1:5" x14ac:dyDescent="0.2">
      <c r="A784" t="s">
        <v>2467</v>
      </c>
      <c r="B784">
        <v>9011693600</v>
      </c>
      <c r="C784" t="s">
        <v>2468</v>
      </c>
      <c r="D784">
        <v>3</v>
      </c>
      <c r="E784" t="s">
        <v>944</v>
      </c>
    </row>
    <row r="785" spans="1:5" x14ac:dyDescent="0.2">
      <c r="A785" t="s">
        <v>2471</v>
      </c>
      <c r="B785">
        <v>9011695201</v>
      </c>
      <c r="C785" t="s">
        <v>2472</v>
      </c>
      <c r="D785">
        <v>2</v>
      </c>
      <c r="E785" t="s">
        <v>944</v>
      </c>
    </row>
    <row r="786" spans="1:5" x14ac:dyDescent="0.2">
      <c r="A786" t="s">
        <v>2471</v>
      </c>
      <c r="B786">
        <v>9011695201</v>
      </c>
      <c r="C786" t="s">
        <v>2472</v>
      </c>
      <c r="D786">
        <v>2</v>
      </c>
      <c r="E786" t="s">
        <v>944</v>
      </c>
    </row>
    <row r="787" spans="1:5" x14ac:dyDescent="0.2">
      <c r="A787" t="s">
        <v>2561</v>
      </c>
      <c r="B787">
        <v>9011870501</v>
      </c>
      <c r="C787" t="s">
        <v>2562</v>
      </c>
      <c r="D787">
        <v>4</v>
      </c>
      <c r="E787" t="s">
        <v>944</v>
      </c>
    </row>
    <row r="788" spans="1:5" x14ac:dyDescent="0.2">
      <c r="A788" t="s">
        <v>2563</v>
      </c>
      <c r="B788">
        <v>9011870502</v>
      </c>
      <c r="C788" t="s">
        <v>2564</v>
      </c>
      <c r="D788">
        <v>4</v>
      </c>
      <c r="E788" t="s">
        <v>944</v>
      </c>
    </row>
    <row r="789" spans="1:5" x14ac:dyDescent="0.2">
      <c r="A789" t="s">
        <v>2563</v>
      </c>
      <c r="B789">
        <v>9011870502</v>
      </c>
      <c r="C789" t="s">
        <v>2564</v>
      </c>
      <c r="D789">
        <v>4</v>
      </c>
      <c r="E789" t="s">
        <v>944</v>
      </c>
    </row>
    <row r="790" spans="1:5" x14ac:dyDescent="0.2">
      <c r="A790" t="s">
        <v>2445</v>
      </c>
      <c r="B790">
        <v>9011660101</v>
      </c>
      <c r="C790" t="s">
        <v>2446</v>
      </c>
      <c r="D790">
        <v>3</v>
      </c>
      <c r="E790" t="s">
        <v>944</v>
      </c>
    </row>
    <row r="791" spans="1:5" x14ac:dyDescent="0.2">
      <c r="A791" t="s">
        <v>2447</v>
      </c>
      <c r="B791">
        <v>9011660102</v>
      </c>
      <c r="C791" t="s">
        <v>2448</v>
      </c>
      <c r="D791">
        <v>4</v>
      </c>
      <c r="E791" t="s">
        <v>944</v>
      </c>
    </row>
    <row r="792" spans="1:5" x14ac:dyDescent="0.2">
      <c r="A792" t="s">
        <v>2059</v>
      </c>
      <c r="B792">
        <v>9007670200</v>
      </c>
      <c r="C792" t="s">
        <v>2060</v>
      </c>
      <c r="D792">
        <v>4</v>
      </c>
      <c r="E792" t="s">
        <v>944</v>
      </c>
    </row>
    <row r="793" spans="1:5" x14ac:dyDescent="0.2">
      <c r="A793" t="s">
        <v>2449</v>
      </c>
      <c r="B793">
        <v>9011690300</v>
      </c>
      <c r="C793" t="s">
        <v>2450</v>
      </c>
      <c r="D793">
        <v>5</v>
      </c>
      <c r="E793" t="s">
        <v>944</v>
      </c>
    </row>
    <row r="794" spans="1:5" x14ac:dyDescent="0.2">
      <c r="A794" t="s">
        <v>2449</v>
      </c>
      <c r="B794">
        <v>9011690300</v>
      </c>
      <c r="C794" t="s">
        <v>2450</v>
      </c>
      <c r="D794">
        <v>5</v>
      </c>
      <c r="E794" t="s">
        <v>944</v>
      </c>
    </row>
    <row r="795" spans="1:5" x14ac:dyDescent="0.2">
      <c r="A795" t="s">
        <v>2451</v>
      </c>
      <c r="B795">
        <v>9011690400</v>
      </c>
      <c r="C795" t="s">
        <v>2452</v>
      </c>
      <c r="D795">
        <v>5</v>
      </c>
      <c r="E795" t="s">
        <v>944</v>
      </c>
    </row>
    <row r="796" spans="1:5" x14ac:dyDescent="0.2">
      <c r="A796" t="s">
        <v>2453</v>
      </c>
      <c r="B796">
        <v>9011690500</v>
      </c>
      <c r="C796" t="s">
        <v>2454</v>
      </c>
      <c r="D796">
        <v>5</v>
      </c>
      <c r="E796" t="s">
        <v>944</v>
      </c>
    </row>
    <row r="797" spans="1:5" x14ac:dyDescent="0.2">
      <c r="A797" t="s">
        <v>2455</v>
      </c>
      <c r="B797">
        <v>9011690700</v>
      </c>
      <c r="C797" t="s">
        <v>2456</v>
      </c>
      <c r="D797">
        <v>5</v>
      </c>
      <c r="E797" t="s">
        <v>944</v>
      </c>
    </row>
    <row r="798" spans="1:5" x14ac:dyDescent="0.2">
      <c r="A798" t="s">
        <v>2457</v>
      </c>
      <c r="B798">
        <v>9011690800</v>
      </c>
      <c r="C798" t="s">
        <v>2458</v>
      </c>
      <c r="D798">
        <v>6</v>
      </c>
      <c r="E798" t="s">
        <v>936</v>
      </c>
    </row>
    <row r="799" spans="1:5" x14ac:dyDescent="0.2">
      <c r="A799" t="s">
        <v>2459</v>
      </c>
      <c r="B799">
        <v>9011690900</v>
      </c>
      <c r="C799" t="s">
        <v>2460</v>
      </c>
      <c r="D799">
        <v>3</v>
      </c>
      <c r="E799" t="s">
        <v>944</v>
      </c>
    </row>
    <row r="800" spans="1:5" x14ac:dyDescent="0.2">
      <c r="A800" t="s">
        <v>2461</v>
      </c>
      <c r="B800">
        <v>9011693300</v>
      </c>
      <c r="C800" t="s">
        <v>2462</v>
      </c>
      <c r="D800">
        <v>3</v>
      </c>
      <c r="E800" t="s">
        <v>944</v>
      </c>
    </row>
    <row r="801" spans="1:5" x14ac:dyDescent="0.2">
      <c r="A801" t="s">
        <v>2465</v>
      </c>
      <c r="B801">
        <v>9011693500</v>
      </c>
      <c r="C801" t="s">
        <v>2466</v>
      </c>
      <c r="D801">
        <v>3</v>
      </c>
      <c r="E801" t="s">
        <v>944</v>
      </c>
    </row>
    <row r="802" spans="1:5" x14ac:dyDescent="0.2">
      <c r="A802" t="s">
        <v>2469</v>
      </c>
      <c r="B802">
        <v>9011693700</v>
      </c>
      <c r="C802" t="s">
        <v>2470</v>
      </c>
      <c r="D802">
        <v>3</v>
      </c>
      <c r="E802" t="s">
        <v>944</v>
      </c>
    </row>
    <row r="803" spans="1:5" x14ac:dyDescent="0.2">
      <c r="A803" t="s">
        <v>2491</v>
      </c>
      <c r="B803">
        <v>9011697000</v>
      </c>
      <c r="C803" t="s">
        <v>2492</v>
      </c>
      <c r="D803">
        <v>6</v>
      </c>
      <c r="E803" t="s">
        <v>936</v>
      </c>
    </row>
    <row r="804" spans="1:5" x14ac:dyDescent="0.2">
      <c r="A804" t="s">
        <v>2493</v>
      </c>
      <c r="B804">
        <v>9011700100</v>
      </c>
      <c r="C804" t="s">
        <v>2494</v>
      </c>
      <c r="D804">
        <v>4</v>
      </c>
      <c r="E804" t="s">
        <v>944</v>
      </c>
    </row>
    <row r="805" spans="1:5" x14ac:dyDescent="0.2">
      <c r="A805" t="s">
        <v>2559</v>
      </c>
      <c r="B805">
        <v>9011870300</v>
      </c>
      <c r="C805" t="s">
        <v>2560</v>
      </c>
      <c r="D805">
        <v>5</v>
      </c>
      <c r="E805" t="s">
        <v>944</v>
      </c>
    </row>
    <row r="806" spans="1:5" x14ac:dyDescent="0.2">
      <c r="A806" t="s">
        <v>2559</v>
      </c>
      <c r="B806">
        <v>9011870300</v>
      </c>
      <c r="C806" t="s">
        <v>2560</v>
      </c>
      <c r="D806">
        <v>5</v>
      </c>
      <c r="E806" t="s">
        <v>944</v>
      </c>
    </row>
    <row r="807" spans="1:5" x14ac:dyDescent="0.2">
      <c r="A807" t="s">
        <v>2527</v>
      </c>
      <c r="B807">
        <v>9011707100</v>
      </c>
      <c r="C807" t="s">
        <v>2528</v>
      </c>
      <c r="D807">
        <v>4</v>
      </c>
      <c r="E807" t="s">
        <v>944</v>
      </c>
    </row>
    <row r="808" spans="1:5" x14ac:dyDescent="0.2">
      <c r="A808" t="s">
        <v>2527</v>
      </c>
      <c r="B808">
        <v>9011707100</v>
      </c>
      <c r="C808" t="s">
        <v>2528</v>
      </c>
      <c r="D808">
        <v>4</v>
      </c>
      <c r="E808" t="s">
        <v>944</v>
      </c>
    </row>
    <row r="809" spans="1:5" x14ac:dyDescent="0.2">
      <c r="A809" t="s">
        <v>2517</v>
      </c>
      <c r="B809">
        <v>9011705101</v>
      </c>
      <c r="C809" t="s">
        <v>2518</v>
      </c>
      <c r="D809">
        <v>3</v>
      </c>
      <c r="E809" t="s">
        <v>944</v>
      </c>
    </row>
    <row r="810" spans="1:5" x14ac:dyDescent="0.2">
      <c r="A810" t="s">
        <v>2529</v>
      </c>
      <c r="B810">
        <v>9011708100</v>
      </c>
      <c r="C810" t="s">
        <v>2530</v>
      </c>
      <c r="D810">
        <v>4</v>
      </c>
      <c r="E810" t="s">
        <v>944</v>
      </c>
    </row>
    <row r="811" spans="1:5" x14ac:dyDescent="0.2">
      <c r="A811" t="s">
        <v>2529</v>
      </c>
      <c r="B811">
        <v>9011708100</v>
      </c>
      <c r="C811" t="s">
        <v>2530</v>
      </c>
      <c r="D811">
        <v>4</v>
      </c>
      <c r="E811" t="s">
        <v>944</v>
      </c>
    </row>
    <row r="812" spans="1:5" x14ac:dyDescent="0.2">
      <c r="A812" t="s">
        <v>2519</v>
      </c>
      <c r="B812">
        <v>9011705102</v>
      </c>
      <c r="C812" t="s">
        <v>2520</v>
      </c>
      <c r="D812">
        <v>4</v>
      </c>
      <c r="E812" t="s">
        <v>944</v>
      </c>
    </row>
    <row r="813" spans="1:5" x14ac:dyDescent="0.2">
      <c r="A813" t="s">
        <v>2521</v>
      </c>
      <c r="B813">
        <v>9011705200</v>
      </c>
      <c r="C813" t="s">
        <v>2522</v>
      </c>
      <c r="D813">
        <v>3</v>
      </c>
      <c r="E813" t="s">
        <v>944</v>
      </c>
    </row>
    <row r="814" spans="1:5" x14ac:dyDescent="0.2">
      <c r="A814" t="s">
        <v>2523</v>
      </c>
      <c r="B814">
        <v>9011705300</v>
      </c>
      <c r="C814" t="s">
        <v>2524</v>
      </c>
      <c r="D814">
        <v>3</v>
      </c>
      <c r="E814" t="s">
        <v>944</v>
      </c>
    </row>
    <row r="815" spans="1:5" x14ac:dyDescent="0.2">
      <c r="A815" t="s">
        <v>2525</v>
      </c>
      <c r="B815">
        <v>9011705400</v>
      </c>
      <c r="C815" t="s">
        <v>2526</v>
      </c>
      <c r="D815">
        <v>3</v>
      </c>
      <c r="E815" t="s">
        <v>944</v>
      </c>
    </row>
    <row r="816" spans="1:5" x14ac:dyDescent="0.2">
      <c r="A816" t="s">
        <v>2673</v>
      </c>
      <c r="B816">
        <v>9015907300</v>
      </c>
      <c r="C816" t="s">
        <v>2674</v>
      </c>
      <c r="D816">
        <v>5</v>
      </c>
      <c r="E816" t="s">
        <v>944</v>
      </c>
    </row>
    <row r="817" spans="1:5" x14ac:dyDescent="0.2">
      <c r="A817" t="s">
        <v>2537</v>
      </c>
      <c r="B817">
        <v>9011711100</v>
      </c>
      <c r="C817" t="s">
        <v>2538</v>
      </c>
      <c r="D817">
        <v>4</v>
      </c>
      <c r="E817" t="s">
        <v>944</v>
      </c>
    </row>
    <row r="818" spans="1:5" x14ac:dyDescent="0.2">
      <c r="A818" t="s">
        <v>2657</v>
      </c>
      <c r="B818">
        <v>9015903200</v>
      </c>
      <c r="C818" t="s">
        <v>2658</v>
      </c>
      <c r="D818">
        <v>4</v>
      </c>
      <c r="E818" t="s">
        <v>944</v>
      </c>
    </row>
    <row r="819" spans="1:5" x14ac:dyDescent="0.2">
      <c r="A819" t="s">
        <v>2657</v>
      </c>
      <c r="B819">
        <v>9015903200</v>
      </c>
      <c r="C819" t="s">
        <v>2658</v>
      </c>
      <c r="D819">
        <v>4</v>
      </c>
      <c r="E819" t="s">
        <v>944</v>
      </c>
    </row>
    <row r="820" spans="1:5" x14ac:dyDescent="0.2">
      <c r="A820" t="s">
        <v>2625</v>
      </c>
      <c r="B820">
        <v>9013890202</v>
      </c>
      <c r="C820" t="s">
        <v>2626</v>
      </c>
      <c r="D820">
        <v>3</v>
      </c>
      <c r="E820" t="s">
        <v>944</v>
      </c>
    </row>
    <row r="821" spans="1:5" x14ac:dyDescent="0.2">
      <c r="A821" t="s">
        <v>2625</v>
      </c>
      <c r="B821">
        <v>9013890202</v>
      </c>
      <c r="C821" t="s">
        <v>2626</v>
      </c>
      <c r="D821">
        <v>3</v>
      </c>
      <c r="E821" t="s">
        <v>944</v>
      </c>
    </row>
    <row r="822" spans="1:5" x14ac:dyDescent="0.2">
      <c r="A822" t="s">
        <v>2625</v>
      </c>
      <c r="B822">
        <v>9013890202</v>
      </c>
      <c r="C822" t="s">
        <v>2626</v>
      </c>
      <c r="D822">
        <v>3</v>
      </c>
      <c r="E822" t="s">
        <v>944</v>
      </c>
    </row>
    <row r="823" spans="1:5" x14ac:dyDescent="0.2">
      <c r="A823" t="s">
        <v>2621</v>
      </c>
      <c r="B823">
        <v>9013890100</v>
      </c>
      <c r="C823" t="s">
        <v>2622</v>
      </c>
      <c r="D823">
        <v>5</v>
      </c>
      <c r="E823" t="s">
        <v>944</v>
      </c>
    </row>
    <row r="824" spans="1:5" x14ac:dyDescent="0.2">
      <c r="A824" t="s">
        <v>2621</v>
      </c>
      <c r="B824">
        <v>9013890100</v>
      </c>
      <c r="C824" t="s">
        <v>2622</v>
      </c>
      <c r="D824">
        <v>5</v>
      </c>
      <c r="E824" t="s">
        <v>944</v>
      </c>
    </row>
    <row r="825" spans="1:5" x14ac:dyDescent="0.2">
      <c r="A825" t="s">
        <v>2623</v>
      </c>
      <c r="B825">
        <v>9013890201</v>
      </c>
      <c r="C825" t="s">
        <v>2624</v>
      </c>
      <c r="D825">
        <v>3</v>
      </c>
      <c r="E825" t="s">
        <v>944</v>
      </c>
    </row>
    <row r="826" spans="1:5" x14ac:dyDescent="0.2">
      <c r="A826" t="s">
        <v>2623</v>
      </c>
      <c r="B826">
        <v>9013890201</v>
      </c>
      <c r="C826" t="s">
        <v>2624</v>
      </c>
      <c r="D826">
        <v>3</v>
      </c>
      <c r="E826" t="s">
        <v>944</v>
      </c>
    </row>
    <row r="827" spans="1:5" x14ac:dyDescent="0.2">
      <c r="A827" t="s">
        <v>2647</v>
      </c>
      <c r="B827">
        <v>9015900200</v>
      </c>
      <c r="C827" t="s">
        <v>2648</v>
      </c>
      <c r="D827">
        <v>4</v>
      </c>
      <c r="E827" t="s">
        <v>944</v>
      </c>
    </row>
    <row r="828" spans="1:5" x14ac:dyDescent="0.2">
      <c r="A828" t="s">
        <v>1725</v>
      </c>
      <c r="B828">
        <v>9003497200</v>
      </c>
      <c r="C828" t="s">
        <v>1726</v>
      </c>
      <c r="D828">
        <v>2</v>
      </c>
      <c r="E828" t="s">
        <v>944</v>
      </c>
    </row>
    <row r="829" spans="1:5" x14ac:dyDescent="0.2">
      <c r="A829" t="s">
        <v>1727</v>
      </c>
      <c r="B829">
        <v>9003497300</v>
      </c>
      <c r="C829" t="s">
        <v>1728</v>
      </c>
      <c r="D829">
        <v>2</v>
      </c>
      <c r="E829" t="s">
        <v>944</v>
      </c>
    </row>
    <row r="830" spans="1:5" x14ac:dyDescent="0.2">
      <c r="A830" t="s">
        <v>1729</v>
      </c>
      <c r="B830">
        <v>9003497400</v>
      </c>
      <c r="C830" t="s">
        <v>1730</v>
      </c>
      <c r="D830">
        <v>2</v>
      </c>
      <c r="E830" t="s">
        <v>944</v>
      </c>
    </row>
    <row r="831" spans="1:5" x14ac:dyDescent="0.2">
      <c r="A831" t="s">
        <v>1731</v>
      </c>
      <c r="B831">
        <v>9003497500</v>
      </c>
      <c r="C831" t="s">
        <v>1732</v>
      </c>
      <c r="D831">
        <v>3</v>
      </c>
      <c r="E831" t="s">
        <v>944</v>
      </c>
    </row>
    <row r="832" spans="1:5" x14ac:dyDescent="0.2">
      <c r="A832" t="s">
        <v>1733</v>
      </c>
      <c r="B832">
        <v>9003497600</v>
      </c>
      <c r="C832" t="s">
        <v>1734</v>
      </c>
      <c r="D832">
        <v>2</v>
      </c>
      <c r="E832" t="s">
        <v>944</v>
      </c>
    </row>
    <row r="833" spans="1:5" x14ac:dyDescent="0.2">
      <c r="A833" t="s">
        <v>1735</v>
      </c>
      <c r="B833">
        <v>9003497700</v>
      </c>
      <c r="C833" t="s">
        <v>1736</v>
      </c>
      <c r="D833">
        <v>2</v>
      </c>
      <c r="E833" t="s">
        <v>944</v>
      </c>
    </row>
    <row r="834" spans="1:5" x14ac:dyDescent="0.2">
      <c r="A834" t="s">
        <v>2051</v>
      </c>
      <c r="B834">
        <v>9007620100</v>
      </c>
      <c r="C834" t="s">
        <v>2052</v>
      </c>
      <c r="D834">
        <v>4</v>
      </c>
      <c r="E834" t="s">
        <v>944</v>
      </c>
    </row>
    <row r="835" spans="1:5" x14ac:dyDescent="0.2">
      <c r="A835" t="s">
        <v>2061</v>
      </c>
      <c r="B835">
        <v>9007680100</v>
      </c>
      <c r="C835" t="s">
        <v>2062</v>
      </c>
      <c r="D835">
        <v>4</v>
      </c>
      <c r="E835" t="s">
        <v>944</v>
      </c>
    </row>
    <row r="836" spans="1:5" x14ac:dyDescent="0.2">
      <c r="A836" t="s">
        <v>1183</v>
      </c>
      <c r="B836">
        <v>9001050100</v>
      </c>
      <c r="C836" t="s">
        <v>1184</v>
      </c>
      <c r="D836">
        <v>2</v>
      </c>
      <c r="E836" t="s">
        <v>944</v>
      </c>
    </row>
    <row r="837" spans="1:5" x14ac:dyDescent="0.2">
      <c r="A837" t="s">
        <v>1187</v>
      </c>
      <c r="B837">
        <v>9001050300</v>
      </c>
      <c r="C837" t="s">
        <v>1188</v>
      </c>
      <c r="D837">
        <v>2</v>
      </c>
      <c r="E837" t="s">
        <v>944</v>
      </c>
    </row>
    <row r="838" spans="1:5" x14ac:dyDescent="0.2">
      <c r="A838" t="s">
        <v>1195</v>
      </c>
      <c r="B838">
        <v>9001055100</v>
      </c>
      <c r="C838" t="s">
        <v>1196</v>
      </c>
      <c r="D838">
        <v>2</v>
      </c>
      <c r="E838" t="s">
        <v>944</v>
      </c>
    </row>
    <row r="839" spans="1:5" x14ac:dyDescent="0.2">
      <c r="A839" t="s">
        <v>1197</v>
      </c>
      <c r="B839">
        <v>9001055200</v>
      </c>
      <c r="C839" t="s">
        <v>1198</v>
      </c>
      <c r="D839">
        <v>2</v>
      </c>
      <c r="E839" t="s">
        <v>944</v>
      </c>
    </row>
    <row r="840" spans="1:5" x14ac:dyDescent="0.2">
      <c r="A840" t="s">
        <v>1349</v>
      </c>
      <c r="B840">
        <v>9001105100</v>
      </c>
      <c r="C840" t="s">
        <v>1350</v>
      </c>
      <c r="D840">
        <v>2</v>
      </c>
      <c r="E840" t="s">
        <v>944</v>
      </c>
    </row>
    <row r="841" spans="1:5" x14ac:dyDescent="0.2">
      <c r="A841" t="s">
        <v>1129</v>
      </c>
      <c r="B841">
        <v>9001042500</v>
      </c>
      <c r="C841" t="s">
        <v>1130</v>
      </c>
      <c r="D841">
        <v>2</v>
      </c>
      <c r="E841" t="s">
        <v>944</v>
      </c>
    </row>
    <row r="842" spans="1:5" x14ac:dyDescent="0.2">
      <c r="A842" t="s">
        <v>1131</v>
      </c>
      <c r="B842">
        <v>9001042600</v>
      </c>
      <c r="C842" t="s">
        <v>1132</v>
      </c>
      <c r="D842">
        <v>3</v>
      </c>
      <c r="E842" t="s">
        <v>944</v>
      </c>
    </row>
    <row r="843" spans="1:5" x14ac:dyDescent="0.2">
      <c r="A843" t="s">
        <v>1149</v>
      </c>
      <c r="B843">
        <v>9001043500</v>
      </c>
      <c r="C843" t="s">
        <v>1150</v>
      </c>
      <c r="D843">
        <v>3</v>
      </c>
      <c r="E843" t="s">
        <v>944</v>
      </c>
    </row>
    <row r="844" spans="1:5" x14ac:dyDescent="0.2">
      <c r="A844" t="s">
        <v>1165</v>
      </c>
      <c r="B844">
        <v>9001044300</v>
      </c>
      <c r="C844" t="s">
        <v>1166</v>
      </c>
      <c r="D844">
        <v>2</v>
      </c>
      <c r="E844" t="s">
        <v>944</v>
      </c>
    </row>
    <row r="845" spans="1:5" x14ac:dyDescent="0.2">
      <c r="A845" t="s">
        <v>1181</v>
      </c>
      <c r="B845">
        <v>9001045400</v>
      </c>
      <c r="C845" t="s">
        <v>1182</v>
      </c>
      <c r="D845">
        <v>2</v>
      </c>
      <c r="E845" t="s">
        <v>944</v>
      </c>
    </row>
    <row r="846" spans="1:5" x14ac:dyDescent="0.2">
      <c r="A846" t="s">
        <v>1183</v>
      </c>
      <c r="B846">
        <v>9001050100</v>
      </c>
      <c r="C846" t="s">
        <v>1184</v>
      </c>
      <c r="D846">
        <v>2</v>
      </c>
      <c r="E846" t="s">
        <v>944</v>
      </c>
    </row>
    <row r="847" spans="1:5" x14ac:dyDescent="0.2">
      <c r="A847" t="s">
        <v>1185</v>
      </c>
      <c r="B847">
        <v>9001050200</v>
      </c>
      <c r="C847" t="s">
        <v>1186</v>
      </c>
      <c r="D847">
        <v>2</v>
      </c>
      <c r="E847" t="s">
        <v>944</v>
      </c>
    </row>
    <row r="848" spans="1:5" x14ac:dyDescent="0.2">
      <c r="A848" t="s">
        <v>1187</v>
      </c>
      <c r="B848">
        <v>9001050300</v>
      </c>
      <c r="C848" t="s">
        <v>1188</v>
      </c>
      <c r="D848">
        <v>2</v>
      </c>
      <c r="E848" t="s">
        <v>944</v>
      </c>
    </row>
    <row r="849" spans="1:5" x14ac:dyDescent="0.2">
      <c r="A849" t="s">
        <v>1189</v>
      </c>
      <c r="B849">
        <v>9001050400</v>
      </c>
      <c r="C849" t="s">
        <v>1190</v>
      </c>
      <c r="D849">
        <v>3</v>
      </c>
      <c r="E849" t="s">
        <v>944</v>
      </c>
    </row>
    <row r="850" spans="1:5" x14ac:dyDescent="0.2">
      <c r="A850" t="s">
        <v>1191</v>
      </c>
      <c r="B850">
        <v>9001050500</v>
      </c>
      <c r="C850" t="s">
        <v>1192</v>
      </c>
      <c r="D850">
        <v>2</v>
      </c>
      <c r="E850" t="s">
        <v>944</v>
      </c>
    </row>
    <row r="851" spans="1:5" x14ac:dyDescent="0.2">
      <c r="A851" t="s">
        <v>1193</v>
      </c>
      <c r="B851">
        <v>9001050600</v>
      </c>
      <c r="C851" t="s">
        <v>1194</v>
      </c>
      <c r="D851">
        <v>2</v>
      </c>
      <c r="E851" t="s">
        <v>944</v>
      </c>
    </row>
    <row r="852" spans="1:5" x14ac:dyDescent="0.2">
      <c r="A852" t="s">
        <v>1197</v>
      </c>
      <c r="B852">
        <v>9001055200</v>
      </c>
      <c r="C852" t="s">
        <v>1198</v>
      </c>
      <c r="D852">
        <v>2</v>
      </c>
      <c r="E852" t="s">
        <v>944</v>
      </c>
    </row>
    <row r="853" spans="1:5" x14ac:dyDescent="0.2">
      <c r="A853" t="s">
        <v>1205</v>
      </c>
      <c r="B853">
        <v>9001060400</v>
      </c>
      <c r="C853" t="s">
        <v>1206</v>
      </c>
      <c r="D853">
        <v>2</v>
      </c>
      <c r="E853" t="s">
        <v>944</v>
      </c>
    </row>
    <row r="854" spans="1:5" x14ac:dyDescent="0.2">
      <c r="A854" t="s">
        <v>1677</v>
      </c>
      <c r="B854">
        <v>9003492100</v>
      </c>
      <c r="C854" t="s">
        <v>1678</v>
      </c>
      <c r="D854">
        <v>3</v>
      </c>
      <c r="E854" t="s">
        <v>944</v>
      </c>
    </row>
    <row r="855" spans="1:5" x14ac:dyDescent="0.2">
      <c r="A855" t="s">
        <v>1679</v>
      </c>
      <c r="B855">
        <v>9003492200</v>
      </c>
      <c r="C855" t="s">
        <v>1680</v>
      </c>
      <c r="D855">
        <v>3</v>
      </c>
      <c r="E855" t="s">
        <v>944</v>
      </c>
    </row>
    <row r="856" spans="1:5" x14ac:dyDescent="0.2">
      <c r="A856" t="s">
        <v>1681</v>
      </c>
      <c r="B856">
        <v>9003492300</v>
      </c>
      <c r="C856" t="s">
        <v>1682</v>
      </c>
      <c r="D856">
        <v>4</v>
      </c>
      <c r="E856" t="s">
        <v>944</v>
      </c>
    </row>
    <row r="857" spans="1:5" x14ac:dyDescent="0.2">
      <c r="A857" t="s">
        <v>1683</v>
      </c>
      <c r="B857">
        <v>9003492400</v>
      </c>
      <c r="C857" t="s">
        <v>1684</v>
      </c>
      <c r="D857">
        <v>3</v>
      </c>
      <c r="E857" t="s">
        <v>944</v>
      </c>
    </row>
    <row r="858" spans="1:5" x14ac:dyDescent="0.2">
      <c r="A858" t="s">
        <v>1685</v>
      </c>
      <c r="B858">
        <v>9003492500</v>
      </c>
      <c r="C858" t="s">
        <v>1686</v>
      </c>
      <c r="D858">
        <v>3</v>
      </c>
      <c r="E858" t="s">
        <v>944</v>
      </c>
    </row>
    <row r="859" spans="1:5" x14ac:dyDescent="0.2">
      <c r="A859" t="s">
        <v>1687</v>
      </c>
      <c r="B859">
        <v>9003492600</v>
      </c>
      <c r="C859" t="s">
        <v>1688</v>
      </c>
      <c r="D859">
        <v>3</v>
      </c>
      <c r="E859" t="s">
        <v>944</v>
      </c>
    </row>
    <row r="860" spans="1:5" x14ac:dyDescent="0.2">
      <c r="A860" t="s">
        <v>1689</v>
      </c>
      <c r="B860">
        <v>9003494100</v>
      </c>
      <c r="C860" t="s">
        <v>1690</v>
      </c>
      <c r="D860">
        <v>3</v>
      </c>
      <c r="E860" t="s">
        <v>944</v>
      </c>
    </row>
    <row r="861" spans="1:5" x14ac:dyDescent="0.2">
      <c r="A861" t="s">
        <v>2605</v>
      </c>
      <c r="B861">
        <v>9013840100</v>
      </c>
      <c r="C861" t="s">
        <v>2606</v>
      </c>
      <c r="D861">
        <v>4</v>
      </c>
      <c r="E861" t="s">
        <v>944</v>
      </c>
    </row>
    <row r="862" spans="1:5" x14ac:dyDescent="0.2">
      <c r="A862" t="s">
        <v>2623</v>
      </c>
      <c r="B862">
        <v>9013890201</v>
      </c>
      <c r="C862" t="s">
        <v>2624</v>
      </c>
      <c r="D862">
        <v>3</v>
      </c>
      <c r="E862" t="s">
        <v>944</v>
      </c>
    </row>
    <row r="863" spans="1:5" x14ac:dyDescent="0.2">
      <c r="A863" t="s">
        <v>2643</v>
      </c>
      <c r="B863">
        <v>9015830100</v>
      </c>
      <c r="C863" t="s">
        <v>2644</v>
      </c>
      <c r="D863">
        <v>4</v>
      </c>
      <c r="E863" t="s">
        <v>944</v>
      </c>
    </row>
    <row r="864" spans="1:5" x14ac:dyDescent="0.2">
      <c r="A864" t="s">
        <v>1127</v>
      </c>
      <c r="B864">
        <v>9001035400</v>
      </c>
      <c r="C864" t="s">
        <v>1128</v>
      </c>
      <c r="D864">
        <v>2</v>
      </c>
      <c r="E864" t="s">
        <v>944</v>
      </c>
    </row>
    <row r="865" spans="1:5" x14ac:dyDescent="0.2">
      <c r="A865" t="s">
        <v>1137</v>
      </c>
      <c r="B865">
        <v>9001042900</v>
      </c>
      <c r="C865" t="s">
        <v>1138</v>
      </c>
      <c r="D865">
        <v>2</v>
      </c>
      <c r="E865" t="s">
        <v>944</v>
      </c>
    </row>
    <row r="866" spans="1:5" x14ac:dyDescent="0.2">
      <c r="A866" t="s">
        <v>1173</v>
      </c>
      <c r="B866">
        <v>9001045101</v>
      </c>
      <c r="C866" t="s">
        <v>1174</v>
      </c>
      <c r="D866">
        <v>2</v>
      </c>
      <c r="E866" t="s">
        <v>944</v>
      </c>
    </row>
    <row r="867" spans="1:5" x14ac:dyDescent="0.2">
      <c r="A867" t="s">
        <v>1175</v>
      </c>
      <c r="B867">
        <v>9001045102</v>
      </c>
      <c r="C867" t="s">
        <v>1176</v>
      </c>
      <c r="D867">
        <v>2</v>
      </c>
      <c r="E867" t="s">
        <v>944</v>
      </c>
    </row>
    <row r="868" spans="1:5" x14ac:dyDescent="0.2">
      <c r="A868" t="s">
        <v>1177</v>
      </c>
      <c r="B868">
        <v>9001045200</v>
      </c>
      <c r="C868" t="s">
        <v>1178</v>
      </c>
      <c r="D868">
        <v>2</v>
      </c>
      <c r="E868" t="s">
        <v>944</v>
      </c>
    </row>
    <row r="869" spans="1:5" x14ac:dyDescent="0.2">
      <c r="A869" t="s">
        <v>1179</v>
      </c>
      <c r="B869">
        <v>9001045300</v>
      </c>
      <c r="C869" t="s">
        <v>1180</v>
      </c>
      <c r="D869">
        <v>2</v>
      </c>
      <c r="E869" t="s">
        <v>944</v>
      </c>
    </row>
    <row r="870" spans="1:5" x14ac:dyDescent="0.2">
      <c r="A870" t="s">
        <v>1181</v>
      </c>
      <c r="B870">
        <v>9001045400</v>
      </c>
      <c r="C870" t="s">
        <v>1182</v>
      </c>
      <c r="D870">
        <v>2</v>
      </c>
      <c r="E870" t="s">
        <v>944</v>
      </c>
    </row>
    <row r="871" spans="1:5" x14ac:dyDescent="0.2">
      <c r="A871" t="s">
        <v>1195</v>
      </c>
      <c r="B871">
        <v>9001055100</v>
      </c>
      <c r="C871" t="s">
        <v>1196</v>
      </c>
      <c r="D871">
        <v>2</v>
      </c>
      <c r="E871" t="s">
        <v>944</v>
      </c>
    </row>
    <row r="872" spans="1:5" x14ac:dyDescent="0.2">
      <c r="A872" t="s">
        <v>1429</v>
      </c>
      <c r="B872">
        <v>9001240100</v>
      </c>
      <c r="C872" t="s">
        <v>1430</v>
      </c>
      <c r="D872">
        <v>3</v>
      </c>
      <c r="E872" t="s">
        <v>944</v>
      </c>
    </row>
    <row r="873" spans="1:5" x14ac:dyDescent="0.2">
      <c r="A873" t="s">
        <v>1439</v>
      </c>
      <c r="B873">
        <v>9001245400</v>
      </c>
      <c r="C873" t="s">
        <v>1440</v>
      </c>
      <c r="D873">
        <v>2</v>
      </c>
      <c r="E873" t="s">
        <v>944</v>
      </c>
    </row>
    <row r="874" spans="1:5" x14ac:dyDescent="0.2">
      <c r="A874" t="s">
        <v>1921</v>
      </c>
      <c r="B874">
        <v>9005290100</v>
      </c>
      <c r="C874" t="s">
        <v>1922</v>
      </c>
      <c r="D874">
        <v>3</v>
      </c>
      <c r="E874" t="s">
        <v>944</v>
      </c>
    </row>
    <row r="875" spans="1:5" x14ac:dyDescent="0.2">
      <c r="A875" t="s">
        <v>1923</v>
      </c>
      <c r="B875">
        <v>9005293100</v>
      </c>
      <c r="C875" t="s">
        <v>1924</v>
      </c>
      <c r="D875">
        <v>4</v>
      </c>
      <c r="E875" t="s">
        <v>944</v>
      </c>
    </row>
    <row r="876" spans="1:5" x14ac:dyDescent="0.2">
      <c r="A876" t="s">
        <v>1955</v>
      </c>
      <c r="B876">
        <v>9005310700</v>
      </c>
      <c r="C876" t="s">
        <v>1956</v>
      </c>
      <c r="D876">
        <v>5</v>
      </c>
      <c r="E876" t="s">
        <v>944</v>
      </c>
    </row>
    <row r="877" spans="1:5" x14ac:dyDescent="0.2">
      <c r="A877" t="s">
        <v>1963</v>
      </c>
      <c r="B877">
        <v>9005320100</v>
      </c>
      <c r="C877" t="s">
        <v>1964</v>
      </c>
      <c r="D877">
        <v>4</v>
      </c>
      <c r="E877" t="s">
        <v>944</v>
      </c>
    </row>
    <row r="878" spans="1:5" x14ac:dyDescent="0.2">
      <c r="A878" t="s">
        <v>1965</v>
      </c>
      <c r="B878">
        <v>9005320200</v>
      </c>
      <c r="C878" t="s">
        <v>1966</v>
      </c>
      <c r="D878">
        <v>4</v>
      </c>
      <c r="E878" t="s">
        <v>944</v>
      </c>
    </row>
    <row r="879" spans="1:5" x14ac:dyDescent="0.2">
      <c r="A879" t="s">
        <v>2619</v>
      </c>
      <c r="B879">
        <v>9013881500</v>
      </c>
      <c r="C879" t="s">
        <v>2620</v>
      </c>
      <c r="D879">
        <v>3</v>
      </c>
      <c r="E879" t="s">
        <v>944</v>
      </c>
    </row>
    <row r="880" spans="1:5" x14ac:dyDescent="0.2">
      <c r="A880" t="s">
        <v>2627</v>
      </c>
      <c r="B880">
        <v>9015800300</v>
      </c>
      <c r="C880" t="s">
        <v>2628</v>
      </c>
      <c r="D880">
        <v>6</v>
      </c>
      <c r="E880" t="s">
        <v>936</v>
      </c>
    </row>
    <row r="881" spans="1:5" x14ac:dyDescent="0.2">
      <c r="A881" t="s">
        <v>2629</v>
      </c>
      <c r="B881">
        <v>9015800400</v>
      </c>
      <c r="C881" t="s">
        <v>2630</v>
      </c>
      <c r="D881">
        <v>5</v>
      </c>
      <c r="E881" t="s">
        <v>944</v>
      </c>
    </row>
    <row r="882" spans="1:5" x14ac:dyDescent="0.2">
      <c r="A882" t="s">
        <v>2631</v>
      </c>
      <c r="B882">
        <v>9015800500</v>
      </c>
      <c r="C882" t="s">
        <v>2632</v>
      </c>
      <c r="D882">
        <v>5</v>
      </c>
      <c r="E882" t="s">
        <v>944</v>
      </c>
    </row>
    <row r="883" spans="1:5" x14ac:dyDescent="0.2">
      <c r="A883" t="s">
        <v>2633</v>
      </c>
      <c r="B883">
        <v>9015800600</v>
      </c>
      <c r="C883" t="s">
        <v>2634</v>
      </c>
      <c r="D883">
        <v>8</v>
      </c>
      <c r="E883" t="s">
        <v>936</v>
      </c>
    </row>
    <row r="884" spans="1:5" x14ac:dyDescent="0.2">
      <c r="A884" t="s">
        <v>2635</v>
      </c>
      <c r="B884">
        <v>9015800700</v>
      </c>
      <c r="C884" t="s">
        <v>2636</v>
      </c>
      <c r="D884">
        <v>7</v>
      </c>
      <c r="E884" t="s">
        <v>936</v>
      </c>
    </row>
    <row r="885" spans="1:5" x14ac:dyDescent="0.2">
      <c r="A885" t="s">
        <v>2637</v>
      </c>
      <c r="B885">
        <v>9015815000</v>
      </c>
      <c r="C885" t="s">
        <v>2638</v>
      </c>
      <c r="D885">
        <v>4</v>
      </c>
      <c r="E885" t="s">
        <v>944</v>
      </c>
    </row>
    <row r="886" spans="1:5" x14ac:dyDescent="0.2">
      <c r="A886" t="s">
        <v>2641</v>
      </c>
      <c r="B886">
        <v>9015825000</v>
      </c>
      <c r="C886" t="s">
        <v>2642</v>
      </c>
      <c r="D886">
        <v>4</v>
      </c>
      <c r="E886" t="s">
        <v>944</v>
      </c>
    </row>
    <row r="887" spans="1:5" x14ac:dyDescent="0.2">
      <c r="A887" t="s">
        <v>1595</v>
      </c>
      <c r="B887">
        <v>9003470100</v>
      </c>
      <c r="C887" t="s">
        <v>1596</v>
      </c>
      <c r="D887">
        <v>3</v>
      </c>
      <c r="E887" t="s">
        <v>944</v>
      </c>
    </row>
    <row r="888" spans="1:5" x14ac:dyDescent="0.2">
      <c r="A888" t="s">
        <v>1603</v>
      </c>
      <c r="B888">
        <v>9003471400</v>
      </c>
      <c r="C888" t="s">
        <v>1604</v>
      </c>
      <c r="D888">
        <v>3</v>
      </c>
      <c r="E888" t="s">
        <v>944</v>
      </c>
    </row>
    <row r="889" spans="1:5" x14ac:dyDescent="0.2">
      <c r="A889" t="s">
        <v>1607</v>
      </c>
      <c r="B889">
        <v>9003473100</v>
      </c>
      <c r="C889" t="s">
        <v>1608</v>
      </c>
      <c r="D889">
        <v>3</v>
      </c>
      <c r="E889" t="s">
        <v>944</v>
      </c>
    </row>
    <row r="890" spans="1:5" x14ac:dyDescent="0.2">
      <c r="A890" t="s">
        <v>1609</v>
      </c>
      <c r="B890">
        <v>9003473400</v>
      </c>
      <c r="C890" t="s">
        <v>1610</v>
      </c>
      <c r="D890">
        <v>4</v>
      </c>
      <c r="E890" t="s">
        <v>944</v>
      </c>
    </row>
    <row r="891" spans="1:5" x14ac:dyDescent="0.2">
      <c r="A891" t="s">
        <v>1611</v>
      </c>
      <c r="B891">
        <v>9003473501</v>
      </c>
      <c r="C891" t="s">
        <v>1612</v>
      </c>
      <c r="D891">
        <v>3</v>
      </c>
      <c r="E891" t="s">
        <v>944</v>
      </c>
    </row>
    <row r="892" spans="1:5" x14ac:dyDescent="0.2">
      <c r="A892" t="s">
        <v>1613</v>
      </c>
      <c r="B892">
        <v>9003473502</v>
      </c>
      <c r="C892" t="s">
        <v>1614</v>
      </c>
      <c r="D892">
        <v>3</v>
      </c>
      <c r="E892" t="s">
        <v>944</v>
      </c>
    </row>
    <row r="893" spans="1:5" x14ac:dyDescent="0.2">
      <c r="A893" t="s">
        <v>1615</v>
      </c>
      <c r="B893">
        <v>9003473601</v>
      </c>
      <c r="C893" t="s">
        <v>1616</v>
      </c>
      <c r="D893">
        <v>3</v>
      </c>
      <c r="E893" t="s">
        <v>944</v>
      </c>
    </row>
    <row r="894" spans="1:5" x14ac:dyDescent="0.2">
      <c r="A894" t="s">
        <v>1617</v>
      </c>
      <c r="B894">
        <v>9003473602</v>
      </c>
      <c r="C894" t="s">
        <v>1618</v>
      </c>
      <c r="D894">
        <v>3</v>
      </c>
      <c r="E894" t="s">
        <v>944</v>
      </c>
    </row>
    <row r="895" spans="1:5" x14ac:dyDescent="0.2">
      <c r="A895" t="s">
        <v>1619</v>
      </c>
      <c r="B895">
        <v>9003473700</v>
      </c>
      <c r="C895" t="s">
        <v>1620</v>
      </c>
      <c r="D895">
        <v>4</v>
      </c>
      <c r="E895" t="s">
        <v>944</v>
      </c>
    </row>
    <row r="896" spans="1:5" x14ac:dyDescent="0.2">
      <c r="A896" t="s">
        <v>1621</v>
      </c>
      <c r="B896">
        <v>9003473800</v>
      </c>
      <c r="C896" t="s">
        <v>1622</v>
      </c>
      <c r="D896">
        <v>5</v>
      </c>
      <c r="E896" t="s">
        <v>944</v>
      </c>
    </row>
    <row r="897" spans="1:5" x14ac:dyDescent="0.2">
      <c r="A897" t="s">
        <v>1881</v>
      </c>
      <c r="B897">
        <v>9003524400</v>
      </c>
      <c r="C897" t="s">
        <v>1882</v>
      </c>
      <c r="D897">
        <v>8</v>
      </c>
      <c r="E897" t="s">
        <v>936</v>
      </c>
    </row>
    <row r="898" spans="1:5" x14ac:dyDescent="0.2">
      <c r="A898" t="s">
        <v>1623</v>
      </c>
      <c r="B898">
        <v>9003476100</v>
      </c>
      <c r="C898" t="s">
        <v>1624</v>
      </c>
      <c r="D898">
        <v>4</v>
      </c>
      <c r="E898" t="s">
        <v>944</v>
      </c>
    </row>
    <row r="899" spans="1:5" x14ac:dyDescent="0.2">
      <c r="A899" t="s">
        <v>1625</v>
      </c>
      <c r="B899">
        <v>9003476200</v>
      </c>
      <c r="C899" t="s">
        <v>1626</v>
      </c>
      <c r="D899">
        <v>3</v>
      </c>
      <c r="E899" t="s">
        <v>944</v>
      </c>
    </row>
    <row r="900" spans="1:5" x14ac:dyDescent="0.2">
      <c r="A900" t="s">
        <v>1627</v>
      </c>
      <c r="B900">
        <v>9003476300</v>
      </c>
      <c r="C900" t="s">
        <v>1628</v>
      </c>
      <c r="D900">
        <v>4</v>
      </c>
      <c r="E900" t="s">
        <v>944</v>
      </c>
    </row>
    <row r="901" spans="1:5" x14ac:dyDescent="0.2">
      <c r="A901" t="s">
        <v>2423</v>
      </c>
      <c r="B901">
        <v>9009352600</v>
      </c>
      <c r="C901" t="s">
        <v>2424</v>
      </c>
      <c r="D901">
        <v>6</v>
      </c>
      <c r="E901" t="s">
        <v>936</v>
      </c>
    </row>
    <row r="902" spans="1:5" x14ac:dyDescent="0.2">
      <c r="A902" t="s">
        <v>2425</v>
      </c>
      <c r="B902">
        <v>9009352701</v>
      </c>
      <c r="C902" t="s">
        <v>2426</v>
      </c>
      <c r="D902">
        <v>6</v>
      </c>
      <c r="E902" t="s">
        <v>936</v>
      </c>
    </row>
    <row r="903" spans="1:5" x14ac:dyDescent="0.2">
      <c r="A903" t="s">
        <v>2429</v>
      </c>
      <c r="B903">
        <v>9009352800</v>
      </c>
      <c r="C903" t="s">
        <v>2430</v>
      </c>
      <c r="D903">
        <v>5</v>
      </c>
      <c r="E903" t="s">
        <v>944</v>
      </c>
    </row>
    <row r="904" spans="1:5" x14ac:dyDescent="0.2">
      <c r="A904" t="s">
        <v>2431</v>
      </c>
      <c r="B904">
        <v>9009361100</v>
      </c>
      <c r="C904" t="s">
        <v>2432</v>
      </c>
      <c r="D904">
        <v>4</v>
      </c>
      <c r="E904" t="s">
        <v>944</v>
      </c>
    </row>
    <row r="905" spans="1:5" x14ac:dyDescent="0.2">
      <c r="A905" t="s">
        <v>2433</v>
      </c>
      <c r="B905">
        <v>9009361200</v>
      </c>
      <c r="C905" t="s">
        <v>2434</v>
      </c>
      <c r="D905">
        <v>4</v>
      </c>
      <c r="E905" t="s">
        <v>944</v>
      </c>
    </row>
    <row r="906" spans="1:5" x14ac:dyDescent="0.2">
      <c r="A906" t="s">
        <v>2435</v>
      </c>
      <c r="B906">
        <v>9009361300</v>
      </c>
      <c r="C906" t="s">
        <v>2436</v>
      </c>
      <c r="D906">
        <v>4</v>
      </c>
      <c r="E906" t="s">
        <v>944</v>
      </c>
    </row>
    <row r="907" spans="1:5" x14ac:dyDescent="0.2">
      <c r="A907" t="s">
        <v>1967</v>
      </c>
      <c r="B907">
        <v>9005342100</v>
      </c>
      <c r="C907" t="s">
        <v>1968</v>
      </c>
      <c r="D907">
        <v>4</v>
      </c>
      <c r="E907" t="s">
        <v>944</v>
      </c>
    </row>
    <row r="908" spans="1:5" x14ac:dyDescent="0.2">
      <c r="A908" t="s">
        <v>1975</v>
      </c>
      <c r="B908">
        <v>9005360200</v>
      </c>
      <c r="C908" t="s">
        <v>1976</v>
      </c>
      <c r="D908">
        <v>3</v>
      </c>
      <c r="E908" t="s">
        <v>944</v>
      </c>
    </row>
    <row r="909" spans="1:5" x14ac:dyDescent="0.2">
      <c r="A909" t="s">
        <v>1981</v>
      </c>
      <c r="B909">
        <v>9005362101</v>
      </c>
      <c r="C909" t="s">
        <v>1982</v>
      </c>
      <c r="D909">
        <v>4</v>
      </c>
      <c r="E909" t="s">
        <v>944</v>
      </c>
    </row>
    <row r="910" spans="1:5" x14ac:dyDescent="0.2">
      <c r="A910" t="s">
        <v>1983</v>
      </c>
      <c r="B910">
        <v>9005362102</v>
      </c>
      <c r="C910" t="s">
        <v>1984</v>
      </c>
      <c r="D910">
        <v>4</v>
      </c>
      <c r="E910" t="s">
        <v>944</v>
      </c>
    </row>
    <row r="911" spans="1:5" x14ac:dyDescent="0.2">
      <c r="A911" t="s">
        <v>2647</v>
      </c>
      <c r="B911">
        <v>9015900200</v>
      </c>
      <c r="C911" t="s">
        <v>2648</v>
      </c>
      <c r="D911">
        <v>4</v>
      </c>
      <c r="E911" t="s">
        <v>944</v>
      </c>
    </row>
    <row r="912" spans="1:5" x14ac:dyDescent="0.2">
      <c r="A912" t="s">
        <v>2649</v>
      </c>
      <c r="B912">
        <v>9015901100</v>
      </c>
      <c r="C912" t="s">
        <v>2650</v>
      </c>
      <c r="D912">
        <v>4</v>
      </c>
      <c r="E912" t="s">
        <v>944</v>
      </c>
    </row>
    <row r="913" spans="1:5" x14ac:dyDescent="0.2">
      <c r="A913" t="s">
        <v>2651</v>
      </c>
      <c r="B913">
        <v>9015902200</v>
      </c>
      <c r="C913" t="s">
        <v>2652</v>
      </c>
      <c r="D913">
        <v>4</v>
      </c>
      <c r="E913" t="s">
        <v>944</v>
      </c>
    </row>
    <row r="914" spans="1:5" x14ac:dyDescent="0.2">
      <c r="A914" t="s">
        <v>2653</v>
      </c>
      <c r="B914">
        <v>9015902500</v>
      </c>
      <c r="C914" t="s">
        <v>2654</v>
      </c>
      <c r="D914">
        <v>3</v>
      </c>
      <c r="E914" t="s">
        <v>944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97A-545C-4C41-8AE4-5CC43B1202B5}">
  <sheetPr>
    <tabColor theme="6" tint="0.59999389629810485"/>
  </sheetPr>
  <dimension ref="A1:P14"/>
  <sheetViews>
    <sheetView zoomScale="150" zoomScaleNormal="150" workbookViewId="0">
      <selection activeCell="H4" sqref="H4"/>
    </sheetView>
  </sheetViews>
  <sheetFormatPr baseColWidth="10" defaultColWidth="8.83203125" defaultRowHeight="15" x14ac:dyDescent="0.2"/>
  <cols>
    <col min="1" max="1" width="27.5" customWidth="1"/>
    <col min="2" max="10" width="13.6640625" customWidth="1"/>
  </cols>
  <sheetData>
    <row r="1" spans="1:16" x14ac:dyDescent="0.2">
      <c r="A1" s="14" t="s">
        <v>3883</v>
      </c>
    </row>
    <row r="2" spans="1:16" x14ac:dyDescent="0.2">
      <c r="A2" s="248" t="s">
        <v>2695</v>
      </c>
      <c r="B2" s="250" t="s">
        <v>2696</v>
      </c>
      <c r="C2" s="250"/>
      <c r="D2" s="251"/>
      <c r="E2" s="252" t="s">
        <v>2697</v>
      </c>
      <c r="F2" s="253"/>
      <c r="G2" s="253"/>
      <c r="H2" s="254" t="s">
        <v>2698</v>
      </c>
      <c r="I2" s="255"/>
      <c r="J2" s="256"/>
    </row>
    <row r="3" spans="1:16" x14ac:dyDescent="0.2">
      <c r="A3" s="249"/>
      <c r="B3" s="15" t="s">
        <v>2699</v>
      </c>
      <c r="C3" s="16" t="s">
        <v>2700</v>
      </c>
      <c r="D3" s="17" t="s">
        <v>2701</v>
      </c>
      <c r="E3" s="15" t="s">
        <v>2699</v>
      </c>
      <c r="F3" s="17" t="s">
        <v>2700</v>
      </c>
      <c r="G3" s="16" t="s">
        <v>2701</v>
      </c>
      <c r="H3" s="15" t="s">
        <v>2699</v>
      </c>
      <c r="I3" s="16" t="s">
        <v>2700</v>
      </c>
      <c r="J3" s="18" t="s">
        <v>2701</v>
      </c>
    </row>
    <row r="4" spans="1:16" x14ac:dyDescent="0.2">
      <c r="A4" s="19" t="s">
        <v>2702</v>
      </c>
      <c r="B4" s="158">
        <f>C4+D4</f>
        <v>92890424.46971707</v>
      </c>
      <c r="C4" s="159">
        <f>F4+I4</f>
        <v>44309076.848484054</v>
      </c>
      <c r="D4" s="160">
        <f>G4+J4</f>
        <v>48581347.621233016</v>
      </c>
      <c r="E4" s="159">
        <f>F4+G4</f>
        <v>58471010.013801053</v>
      </c>
      <c r="F4" s="160">
        <f>'[1]2.) Small Load'!H868</f>
        <v>44253449.255484052</v>
      </c>
      <c r="G4" s="159">
        <f>'[1]2.) Small Load'!L868</f>
        <v>14217560.758317005</v>
      </c>
      <c r="H4" s="160">
        <f>I4+J4</f>
        <v>34419414.455916017</v>
      </c>
      <c r="I4" s="159">
        <f>'[1]3.) Large Load'!H278</f>
        <v>55627.592999999993</v>
      </c>
      <c r="J4" s="161">
        <f>'[1]3.) Large Load'!L278</f>
        <v>34363786.862916015</v>
      </c>
    </row>
    <row r="5" spans="1:16" x14ac:dyDescent="0.2">
      <c r="A5" s="19" t="s">
        <v>2703</v>
      </c>
      <c r="B5" s="162">
        <f>C5+D5</f>
        <v>124546319.02429999</v>
      </c>
      <c r="C5" s="163">
        <f>F5+I5</f>
        <v>67612952.937499985</v>
      </c>
      <c r="D5" s="164">
        <f>G5+J5</f>
        <v>56933366.086800009</v>
      </c>
      <c r="E5" s="163">
        <f>F5+G5</f>
        <v>80858628.885499984</v>
      </c>
      <c r="F5" s="164">
        <f>'[1]2.) Small Load'!J868</f>
        <v>67612952.937499985</v>
      </c>
      <c r="G5" s="163">
        <f>'[1]2.) Small Load'!N868</f>
        <v>13245675.947999999</v>
      </c>
      <c r="H5" s="164">
        <f>I5+J5</f>
        <v>43687690.13880001</v>
      </c>
      <c r="I5" s="163">
        <f>'[1]3.) Large Load'!J278</f>
        <v>0</v>
      </c>
      <c r="J5" s="165">
        <f>'[1]3.) Large Load'!N278</f>
        <v>43687690.13880001</v>
      </c>
    </row>
    <row r="6" spans="1:16" x14ac:dyDescent="0.2">
      <c r="A6" t="s">
        <v>2704</v>
      </c>
      <c r="B6" s="20">
        <f>B5/B4</f>
        <v>1.3407874895103205</v>
      </c>
      <c r="C6" s="20">
        <f t="shared" ref="C6:J6" si="0">C5/C4</f>
        <v>1.525939102019753</v>
      </c>
      <c r="D6" s="20">
        <f t="shared" si="0"/>
        <v>1.1719182129463335</v>
      </c>
      <c r="E6" s="20">
        <f t="shared" si="0"/>
        <v>1.3828840799297759</v>
      </c>
      <c r="F6" s="20">
        <f t="shared" si="0"/>
        <v>1.5278572422040331</v>
      </c>
      <c r="G6" s="20">
        <f t="shared" si="0"/>
        <v>0.93164194429424385</v>
      </c>
      <c r="H6" s="20">
        <f t="shared" si="0"/>
        <v>1.2692746471545788</v>
      </c>
      <c r="I6" s="20">
        <f t="shared" si="0"/>
        <v>0</v>
      </c>
      <c r="J6" s="20">
        <f t="shared" si="0"/>
        <v>1.2713293302940942</v>
      </c>
    </row>
    <row r="7" spans="1:16" x14ac:dyDescent="0.2">
      <c r="C7" s="257" t="s">
        <v>2705</v>
      </c>
      <c r="D7" s="257"/>
    </row>
    <row r="8" spans="1:16" s="22" customFormat="1" x14ac:dyDescent="0.2">
      <c r="A8" s="21" t="s">
        <v>2706</v>
      </c>
      <c r="C8" s="23"/>
      <c r="D8" s="23"/>
      <c r="E8" s="24"/>
      <c r="F8" s="24"/>
      <c r="G8" s="24"/>
      <c r="H8" s="24"/>
      <c r="I8" s="24"/>
      <c r="J8" s="24"/>
      <c r="K8" s="24"/>
      <c r="L8" s="24"/>
      <c r="M8" s="24"/>
      <c r="N8" s="24"/>
      <c r="O8" s="24"/>
      <c r="P8" s="24"/>
    </row>
    <row r="9" spans="1:16" s="22" customFormat="1" x14ac:dyDescent="0.2">
      <c r="A9" s="21" t="s">
        <v>3878</v>
      </c>
      <c r="C9" s="23"/>
      <c r="D9" s="23"/>
      <c r="E9" s="24"/>
      <c r="F9" s="24"/>
      <c r="G9" s="24"/>
      <c r="H9" s="24"/>
      <c r="I9" s="24"/>
      <c r="J9" s="24"/>
      <c r="K9" s="24"/>
      <c r="L9" s="24"/>
      <c r="M9" s="24"/>
      <c r="N9" s="24"/>
      <c r="O9" s="24"/>
      <c r="P9" s="24"/>
    </row>
    <row r="14" spans="1:16" x14ac:dyDescent="0.2">
      <c r="D14" t="s">
        <v>2705</v>
      </c>
    </row>
  </sheetData>
  <mergeCells count="5">
    <mergeCell ref="A2:A3"/>
    <mergeCell ref="B2:D2"/>
    <mergeCell ref="E2:G2"/>
    <mergeCell ref="H2:J2"/>
    <mergeCell ref="C7:D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C7A7-E4DB-4FAB-A684-4AFFABB7814A}">
  <sheetPr>
    <tabColor theme="6" tint="0.59999389629810485"/>
  </sheetPr>
  <dimension ref="A3:D644"/>
  <sheetViews>
    <sheetView topLeftCell="A529" workbookViewId="0">
      <selection activeCell="E632" sqref="E632"/>
    </sheetView>
  </sheetViews>
  <sheetFormatPr baseColWidth="10" defaultColWidth="8.83203125" defaultRowHeight="15" x14ac:dyDescent="0.2"/>
  <cols>
    <col min="1" max="1" width="12.1640625" bestFit="1" customWidth="1"/>
    <col min="2" max="2" width="17.5" bestFit="1" customWidth="1"/>
    <col min="3" max="3" width="19.83203125" bestFit="1" customWidth="1"/>
    <col min="4" max="4" width="26.1640625" bestFit="1" customWidth="1"/>
    <col min="5" max="5" width="25.6640625" bestFit="1" customWidth="1"/>
    <col min="6" max="6" width="2" bestFit="1" customWidth="1"/>
    <col min="7" max="7" width="5.5" bestFit="1" customWidth="1"/>
    <col min="8" max="8" width="11.33203125" bestFit="1" customWidth="1"/>
    <col min="9" max="640" width="16.33203125" bestFit="1" customWidth="1"/>
    <col min="641" max="641" width="11.33203125" bestFit="1" customWidth="1"/>
  </cols>
  <sheetData>
    <row r="3" spans="1:4" x14ac:dyDescent="0.2">
      <c r="A3" s="68" t="s">
        <v>2707</v>
      </c>
      <c r="B3" t="s">
        <v>2708</v>
      </c>
      <c r="C3" t="s">
        <v>915</v>
      </c>
      <c r="D3" t="s">
        <v>917</v>
      </c>
    </row>
    <row r="4" spans="1:4" x14ac:dyDescent="0.2">
      <c r="A4" s="69">
        <v>9001010101</v>
      </c>
      <c r="B4" s="320">
        <v>1</v>
      </c>
      <c r="C4" s="320">
        <v>141392.73027599999</v>
      </c>
      <c r="D4" s="320">
        <v>84065.02</v>
      </c>
    </row>
    <row r="5" spans="1:4" x14ac:dyDescent="0.2">
      <c r="A5" s="69">
        <v>9001010102</v>
      </c>
      <c r="B5" s="320">
        <v>1</v>
      </c>
      <c r="C5" s="320">
        <v>176810.88457200001</v>
      </c>
      <c r="D5" s="320">
        <v>23505.93</v>
      </c>
    </row>
    <row r="6" spans="1:4" x14ac:dyDescent="0.2">
      <c r="A6" s="69">
        <v>9001010201</v>
      </c>
      <c r="B6" s="320">
        <v>1</v>
      </c>
      <c r="C6" s="320">
        <v>111301.79067</v>
      </c>
      <c r="D6" s="320">
        <v>7785.25</v>
      </c>
    </row>
    <row r="7" spans="1:4" x14ac:dyDescent="0.2">
      <c r="A7" s="69">
        <v>9001010202</v>
      </c>
      <c r="B7" s="320">
        <v>2</v>
      </c>
      <c r="C7" s="320">
        <v>1039438.853628</v>
      </c>
      <c r="D7" s="320">
        <v>383486.15750000003</v>
      </c>
    </row>
    <row r="8" spans="1:4" x14ac:dyDescent="0.2">
      <c r="A8" s="69">
        <v>9001010300</v>
      </c>
      <c r="B8" s="320">
        <v>1</v>
      </c>
      <c r="C8" s="320">
        <v>130533.600666</v>
      </c>
      <c r="D8" s="320">
        <v>15902.12</v>
      </c>
    </row>
    <row r="9" spans="1:4" x14ac:dyDescent="0.2">
      <c r="A9" s="69">
        <v>9001010400</v>
      </c>
      <c r="B9" s="320">
        <v>1</v>
      </c>
      <c r="C9" s="320">
        <v>60916.7811</v>
      </c>
      <c r="D9" s="320">
        <v>8613.17</v>
      </c>
    </row>
    <row r="10" spans="1:4" x14ac:dyDescent="0.2">
      <c r="A10" s="69">
        <v>9001010500</v>
      </c>
      <c r="B10" s="320">
        <v>1</v>
      </c>
      <c r="C10" s="320">
        <v>44756.562269999995</v>
      </c>
      <c r="D10" s="320">
        <v>2483.35</v>
      </c>
    </row>
    <row r="11" spans="1:4" x14ac:dyDescent="0.2">
      <c r="A11" s="69">
        <v>9001010600</v>
      </c>
      <c r="B11" s="320">
        <v>1</v>
      </c>
      <c r="C11" s="320">
        <v>23517.346313999999</v>
      </c>
      <c r="D11" s="320">
        <v>2758.89</v>
      </c>
    </row>
    <row r="12" spans="1:4" x14ac:dyDescent="0.2">
      <c r="A12" s="69">
        <v>9001010700</v>
      </c>
      <c r="B12" s="320">
        <v>1</v>
      </c>
      <c r="C12" s="320">
        <v>39745.541597999996</v>
      </c>
      <c r="D12" s="320">
        <v>3129.68</v>
      </c>
    </row>
    <row r="13" spans="1:4" x14ac:dyDescent="0.2">
      <c r="A13" s="69">
        <v>9001010800</v>
      </c>
      <c r="B13" s="320">
        <v>1</v>
      </c>
      <c r="C13" s="320">
        <v>40025.012159999998</v>
      </c>
      <c r="D13" s="320">
        <v>15845.91</v>
      </c>
    </row>
    <row r="14" spans="1:4" x14ac:dyDescent="0.2">
      <c r="A14" s="69">
        <v>9001010900</v>
      </c>
      <c r="B14" s="320">
        <v>1</v>
      </c>
      <c r="C14" s="320">
        <v>59732.721089999999</v>
      </c>
      <c r="D14" s="320">
        <v>7675.62</v>
      </c>
    </row>
    <row r="15" spans="1:4" x14ac:dyDescent="0.2">
      <c r="A15" s="69">
        <v>9001011000</v>
      </c>
      <c r="B15" s="320">
        <v>1</v>
      </c>
      <c r="C15" s="320">
        <v>87643.639230000001</v>
      </c>
      <c r="D15" s="320">
        <v>8048.34</v>
      </c>
    </row>
    <row r="16" spans="1:4" x14ac:dyDescent="0.2">
      <c r="A16" s="69">
        <v>9001011100</v>
      </c>
      <c r="B16" s="320">
        <v>1</v>
      </c>
      <c r="C16" s="320">
        <v>92110.181729999997</v>
      </c>
      <c r="D16" s="320">
        <v>7329.38</v>
      </c>
    </row>
    <row r="17" spans="1:4" x14ac:dyDescent="0.2">
      <c r="A17" s="69">
        <v>9001011200</v>
      </c>
      <c r="B17" s="320">
        <v>1</v>
      </c>
      <c r="C17" s="320">
        <v>64131.090072000006</v>
      </c>
      <c r="D17" s="320">
        <v>1433.6</v>
      </c>
    </row>
    <row r="18" spans="1:4" x14ac:dyDescent="0.2">
      <c r="A18" s="69">
        <v>9001011300</v>
      </c>
      <c r="B18" s="320">
        <v>1</v>
      </c>
      <c r="C18" s="320">
        <v>35309.309280000001</v>
      </c>
      <c r="D18" s="320">
        <v>1255.0899999999999</v>
      </c>
    </row>
    <row r="19" spans="1:4" x14ac:dyDescent="0.2">
      <c r="A19" s="69">
        <v>9001020100</v>
      </c>
      <c r="B19" s="320">
        <v>1</v>
      </c>
      <c r="C19" s="320">
        <v>76790.379035999998</v>
      </c>
      <c r="D19" s="320">
        <v>2129.25</v>
      </c>
    </row>
    <row r="20" spans="1:4" x14ac:dyDescent="0.2">
      <c r="A20" s="69">
        <v>9001020200</v>
      </c>
      <c r="B20" s="320">
        <v>2</v>
      </c>
      <c r="C20" s="320">
        <v>77364.937965000005</v>
      </c>
      <c r="D20" s="320">
        <v>23865.3</v>
      </c>
    </row>
    <row r="21" spans="1:4" x14ac:dyDescent="0.2">
      <c r="A21" s="69">
        <v>9001020300</v>
      </c>
      <c r="B21" s="320">
        <v>1</v>
      </c>
      <c r="C21" s="320">
        <v>135246.927669</v>
      </c>
      <c r="D21" s="320">
        <v>74877.14</v>
      </c>
    </row>
    <row r="22" spans="1:4" x14ac:dyDescent="0.2">
      <c r="A22" s="69">
        <v>9001020400</v>
      </c>
      <c r="B22" s="320">
        <v>1</v>
      </c>
      <c r="C22" s="320">
        <v>58485.315630000005</v>
      </c>
      <c r="D22" s="320">
        <v>25348.73</v>
      </c>
    </row>
    <row r="23" spans="1:4" x14ac:dyDescent="0.2">
      <c r="A23" s="69">
        <v>9001020500</v>
      </c>
      <c r="B23" s="320">
        <v>1</v>
      </c>
      <c r="C23" s="320">
        <v>80134.068735000008</v>
      </c>
      <c r="D23" s="320">
        <v>60912.480000000003</v>
      </c>
    </row>
    <row r="24" spans="1:4" x14ac:dyDescent="0.2">
      <c r="A24" s="69">
        <v>9001020600</v>
      </c>
      <c r="B24" s="320">
        <v>1</v>
      </c>
      <c r="C24" s="320">
        <v>66300.907680000004</v>
      </c>
      <c r="D24" s="320">
        <v>52357.25</v>
      </c>
    </row>
    <row r="25" spans="1:4" x14ac:dyDescent="0.2">
      <c r="A25" s="69">
        <v>9001020700</v>
      </c>
      <c r="B25" s="320">
        <v>1</v>
      </c>
      <c r="C25" s="320">
        <v>55072.519740000003</v>
      </c>
      <c r="D25" s="320">
        <v>24708.13</v>
      </c>
    </row>
    <row r="26" spans="1:4" x14ac:dyDescent="0.2">
      <c r="A26" s="69">
        <v>9001020800</v>
      </c>
      <c r="B26" s="320">
        <v>1</v>
      </c>
      <c r="C26" s="320">
        <v>36988.821029999999</v>
      </c>
      <c r="D26" s="320">
        <v>13018.45</v>
      </c>
    </row>
    <row r="27" spans="1:4" x14ac:dyDescent="0.2">
      <c r="A27" s="69">
        <v>9001020900</v>
      </c>
      <c r="B27" s="320">
        <v>1</v>
      </c>
      <c r="C27" s="320">
        <v>58716.095444999999</v>
      </c>
      <c r="D27" s="320">
        <v>23512.63</v>
      </c>
    </row>
    <row r="28" spans="1:4" x14ac:dyDescent="0.2">
      <c r="A28" s="69">
        <v>9001021000</v>
      </c>
      <c r="B28" s="320">
        <v>1</v>
      </c>
      <c r="C28" s="320">
        <v>40399.23573</v>
      </c>
      <c r="D28" s="320">
        <v>28401.18</v>
      </c>
    </row>
    <row r="29" spans="1:4" x14ac:dyDescent="0.2">
      <c r="A29" s="69">
        <v>9001021100</v>
      </c>
      <c r="B29" s="320">
        <v>1</v>
      </c>
      <c r="C29" s="320">
        <v>62757.015930000001</v>
      </c>
      <c r="D29" s="320">
        <v>42749.3</v>
      </c>
    </row>
    <row r="30" spans="1:4" x14ac:dyDescent="0.2">
      <c r="A30" s="69">
        <v>9001021200</v>
      </c>
      <c r="B30" s="320">
        <v>1</v>
      </c>
      <c r="C30" s="320">
        <v>63821.906799000004</v>
      </c>
      <c r="D30" s="320">
        <v>52536.29</v>
      </c>
    </row>
    <row r="31" spans="1:4" x14ac:dyDescent="0.2">
      <c r="A31" s="69">
        <v>9001021300</v>
      </c>
      <c r="B31" s="320">
        <v>1</v>
      </c>
      <c r="C31" s="320">
        <v>42841.815029999998</v>
      </c>
      <c r="D31" s="320">
        <v>41538.239999999998</v>
      </c>
    </row>
    <row r="32" spans="1:4" x14ac:dyDescent="0.2">
      <c r="A32" s="69">
        <v>9001021400</v>
      </c>
      <c r="B32" s="320">
        <v>2</v>
      </c>
      <c r="C32" s="320">
        <v>1514165.3510129999</v>
      </c>
      <c r="D32" s="320">
        <v>1269080.5325</v>
      </c>
    </row>
    <row r="33" spans="1:4" x14ac:dyDescent="0.2">
      <c r="A33" s="69">
        <v>9001021500</v>
      </c>
      <c r="B33" s="320">
        <v>1</v>
      </c>
      <c r="C33" s="320">
        <v>40504.845612000005</v>
      </c>
      <c r="D33" s="320">
        <v>2054.09</v>
      </c>
    </row>
    <row r="34" spans="1:4" x14ac:dyDescent="0.2">
      <c r="A34" s="69">
        <v>9001021600</v>
      </c>
      <c r="B34" s="320">
        <v>1</v>
      </c>
      <c r="C34" s="320">
        <v>53767.613129999998</v>
      </c>
      <c r="D34" s="320">
        <v>9208.34</v>
      </c>
    </row>
    <row r="35" spans="1:4" x14ac:dyDescent="0.2">
      <c r="A35" s="69">
        <v>9001021700</v>
      </c>
      <c r="B35" s="320">
        <v>1</v>
      </c>
      <c r="C35" s="320">
        <v>53211.921147000001</v>
      </c>
      <c r="D35" s="320">
        <v>14602.3</v>
      </c>
    </row>
    <row r="36" spans="1:4" x14ac:dyDescent="0.2">
      <c r="A36" s="69">
        <v>9001021801</v>
      </c>
      <c r="B36" s="320">
        <v>1</v>
      </c>
      <c r="C36" s="320">
        <v>36227.888339999998</v>
      </c>
      <c r="D36" s="320">
        <v>14887.2</v>
      </c>
    </row>
    <row r="37" spans="1:4" x14ac:dyDescent="0.2">
      <c r="A37" s="69">
        <v>9001021802</v>
      </c>
      <c r="B37" s="320">
        <v>1</v>
      </c>
      <c r="C37" s="320">
        <v>43858.587507000004</v>
      </c>
      <c r="D37" s="320">
        <v>11169.85</v>
      </c>
    </row>
    <row r="38" spans="1:4" x14ac:dyDescent="0.2">
      <c r="A38" s="69">
        <v>9001021900</v>
      </c>
      <c r="B38" s="320">
        <v>1</v>
      </c>
      <c r="C38" s="320">
        <v>64076.867042999998</v>
      </c>
      <c r="D38" s="320">
        <v>8116.83</v>
      </c>
    </row>
    <row r="39" spans="1:4" x14ac:dyDescent="0.2">
      <c r="A39" s="69">
        <v>9001022000</v>
      </c>
      <c r="B39" s="320">
        <v>1</v>
      </c>
      <c r="C39" s="320">
        <v>20920.572162</v>
      </c>
      <c r="D39" s="320">
        <v>405.38</v>
      </c>
    </row>
    <row r="40" spans="1:4" x14ac:dyDescent="0.2">
      <c r="A40" s="69">
        <v>9001022100</v>
      </c>
      <c r="B40" s="320">
        <v>1</v>
      </c>
      <c r="C40" s="320">
        <v>52368.806006999999</v>
      </c>
      <c r="D40" s="320">
        <v>3743.21</v>
      </c>
    </row>
    <row r="41" spans="1:4" x14ac:dyDescent="0.2">
      <c r="A41" s="69">
        <v>9001022200</v>
      </c>
      <c r="B41" s="320">
        <v>1</v>
      </c>
      <c r="C41" s="320">
        <v>39090.204299999998</v>
      </c>
      <c r="D41" s="320">
        <v>70</v>
      </c>
    </row>
    <row r="42" spans="1:4" x14ac:dyDescent="0.2">
      <c r="A42" s="69">
        <v>9001022300</v>
      </c>
      <c r="B42" s="320">
        <v>1</v>
      </c>
      <c r="C42" s="320">
        <v>45628.350705000004</v>
      </c>
      <c r="D42" s="320">
        <v>7588.75</v>
      </c>
    </row>
    <row r="43" spans="1:4" x14ac:dyDescent="0.2">
      <c r="A43" s="69">
        <v>9001022400</v>
      </c>
      <c r="B43" s="320">
        <v>1</v>
      </c>
      <c r="C43" s="320">
        <v>38408.729939999997</v>
      </c>
      <c r="D43" s="320">
        <v>17249.05</v>
      </c>
    </row>
    <row r="44" spans="1:4" x14ac:dyDescent="0.2">
      <c r="A44" s="69">
        <v>9001030100</v>
      </c>
      <c r="B44" s="320">
        <v>1</v>
      </c>
      <c r="C44" s="320">
        <v>80986.744860000006</v>
      </c>
      <c r="D44" s="320">
        <v>33785.24</v>
      </c>
    </row>
    <row r="45" spans="1:4" x14ac:dyDescent="0.2">
      <c r="A45" s="69">
        <v>9001030200</v>
      </c>
      <c r="B45" s="320">
        <v>1</v>
      </c>
      <c r="C45" s="320">
        <v>54310.350570000002</v>
      </c>
      <c r="D45" s="320">
        <v>27065.39</v>
      </c>
    </row>
    <row r="46" spans="1:4" x14ac:dyDescent="0.2">
      <c r="A46" s="69">
        <v>9001030300</v>
      </c>
      <c r="B46" s="320">
        <v>1</v>
      </c>
      <c r="C46" s="320">
        <v>93291.261630000008</v>
      </c>
      <c r="D46" s="320">
        <v>36540.699999999997</v>
      </c>
    </row>
    <row r="47" spans="1:4" x14ac:dyDescent="0.2">
      <c r="A47" s="69">
        <v>9001030400</v>
      </c>
      <c r="B47" s="320">
        <v>1</v>
      </c>
      <c r="C47" s="320">
        <v>49707.346080000003</v>
      </c>
      <c r="D47" s="320">
        <v>29355.96</v>
      </c>
    </row>
    <row r="48" spans="1:4" x14ac:dyDescent="0.2">
      <c r="A48" s="69">
        <v>9001030500</v>
      </c>
      <c r="B48" s="320">
        <v>1</v>
      </c>
      <c r="C48" s="320">
        <v>372518.73359399999</v>
      </c>
      <c r="D48" s="320">
        <v>384149.23499999999</v>
      </c>
    </row>
    <row r="49" spans="1:4" x14ac:dyDescent="0.2">
      <c r="A49" s="69">
        <v>9001035100</v>
      </c>
      <c r="B49" s="320">
        <v>1</v>
      </c>
      <c r="C49" s="320">
        <v>440822.73742499994</v>
      </c>
      <c r="D49" s="320">
        <v>364511.158</v>
      </c>
    </row>
    <row r="50" spans="1:4" x14ac:dyDescent="0.2">
      <c r="A50" s="69">
        <v>9001035200</v>
      </c>
      <c r="B50" s="320">
        <v>1</v>
      </c>
      <c r="C50" s="320">
        <v>95394.583179000008</v>
      </c>
      <c r="D50" s="320">
        <v>28433.9</v>
      </c>
    </row>
    <row r="51" spans="1:4" x14ac:dyDescent="0.2">
      <c r="A51" s="69">
        <v>9001035300</v>
      </c>
      <c r="B51" s="320">
        <v>2</v>
      </c>
      <c r="C51" s="320">
        <v>82189.618686000002</v>
      </c>
      <c r="D51" s="320">
        <v>28225.915000000001</v>
      </c>
    </row>
    <row r="52" spans="1:4" x14ac:dyDescent="0.2">
      <c r="A52" s="69">
        <v>9001035400</v>
      </c>
      <c r="B52" s="320">
        <v>3</v>
      </c>
      <c r="C52" s="320">
        <v>117131.76489000001</v>
      </c>
      <c r="D52" s="320">
        <v>69867.61</v>
      </c>
    </row>
    <row r="53" spans="1:4" x14ac:dyDescent="0.2">
      <c r="A53" s="69">
        <v>9001042500</v>
      </c>
      <c r="B53" s="320">
        <v>2</v>
      </c>
      <c r="C53" s="320">
        <v>50059.366139999998</v>
      </c>
      <c r="D53" s="320">
        <v>47346.81</v>
      </c>
    </row>
    <row r="54" spans="1:4" x14ac:dyDescent="0.2">
      <c r="A54" s="69">
        <v>9001042600</v>
      </c>
      <c r="B54" s="320">
        <v>2</v>
      </c>
      <c r="C54" s="320">
        <v>48874.921662000001</v>
      </c>
      <c r="D54" s="320">
        <v>26917.550000000003</v>
      </c>
    </row>
    <row r="55" spans="1:4" x14ac:dyDescent="0.2">
      <c r="A55" s="69">
        <v>9001042700</v>
      </c>
      <c r="B55" s="320">
        <v>1</v>
      </c>
      <c r="C55" s="320">
        <v>48698.349419999999</v>
      </c>
      <c r="D55" s="320">
        <v>22563.360000000001</v>
      </c>
    </row>
    <row r="56" spans="1:4" x14ac:dyDescent="0.2">
      <c r="A56" s="69">
        <v>9001042800</v>
      </c>
      <c r="B56" s="320">
        <v>1</v>
      </c>
      <c r="C56" s="320">
        <v>67569.142032000003</v>
      </c>
      <c r="D56" s="320">
        <v>55463.35</v>
      </c>
    </row>
    <row r="57" spans="1:4" x14ac:dyDescent="0.2">
      <c r="A57" s="69">
        <v>9001042900</v>
      </c>
      <c r="B57" s="320">
        <v>2</v>
      </c>
      <c r="C57" s="320">
        <v>22678.281129000003</v>
      </c>
      <c r="D57" s="320">
        <v>13098.59</v>
      </c>
    </row>
    <row r="58" spans="1:4" x14ac:dyDescent="0.2">
      <c r="A58" s="69">
        <v>9001043000</v>
      </c>
      <c r="B58" s="320">
        <v>1</v>
      </c>
      <c r="C58" s="320">
        <v>37380.07518</v>
      </c>
      <c r="D58" s="320">
        <v>21765.39</v>
      </c>
    </row>
    <row r="59" spans="1:4" x14ac:dyDescent="0.2">
      <c r="A59" s="69">
        <v>9001043100</v>
      </c>
      <c r="B59" s="320">
        <v>1</v>
      </c>
      <c r="C59" s="320">
        <v>61237.018794000003</v>
      </c>
      <c r="D59" s="320">
        <v>24795.599999999999</v>
      </c>
    </row>
    <row r="60" spans="1:4" x14ac:dyDescent="0.2">
      <c r="A60" s="69">
        <v>9001043200</v>
      </c>
      <c r="B60" s="320">
        <v>1</v>
      </c>
      <c r="C60" s="320">
        <v>790725.73356000008</v>
      </c>
      <c r="D60" s="320">
        <v>1082194.51</v>
      </c>
    </row>
    <row r="61" spans="1:4" x14ac:dyDescent="0.2">
      <c r="A61" s="69">
        <v>9001043300</v>
      </c>
      <c r="B61" s="320">
        <v>1</v>
      </c>
      <c r="C61" s="320">
        <v>35963.052678</v>
      </c>
      <c r="D61" s="320">
        <v>35917.040000000001</v>
      </c>
    </row>
    <row r="62" spans="1:4" x14ac:dyDescent="0.2">
      <c r="A62" s="69">
        <v>9001043400</v>
      </c>
      <c r="B62" s="320">
        <v>1</v>
      </c>
      <c r="C62" s="320">
        <v>37069.379633999997</v>
      </c>
      <c r="D62" s="320">
        <v>19184.939999999999</v>
      </c>
    </row>
    <row r="63" spans="1:4" x14ac:dyDescent="0.2">
      <c r="A63" s="69">
        <v>9001043500</v>
      </c>
      <c r="B63" s="320">
        <v>2</v>
      </c>
      <c r="C63" s="320">
        <v>27503.594580000001</v>
      </c>
      <c r="D63" s="320">
        <v>38746.26</v>
      </c>
    </row>
    <row r="64" spans="1:4" x14ac:dyDescent="0.2">
      <c r="A64" s="69">
        <v>9001043600</v>
      </c>
      <c r="B64" s="320">
        <v>1</v>
      </c>
      <c r="C64" s="320">
        <v>30816.62199</v>
      </c>
      <c r="D64" s="320">
        <v>27502.42</v>
      </c>
    </row>
    <row r="65" spans="1:4" x14ac:dyDescent="0.2">
      <c r="A65" s="69">
        <v>9001043700</v>
      </c>
      <c r="B65" s="320">
        <v>1</v>
      </c>
      <c r="C65" s="320">
        <v>23978.845086000001</v>
      </c>
      <c r="D65" s="320">
        <v>12341.02</v>
      </c>
    </row>
    <row r="66" spans="1:4" x14ac:dyDescent="0.2">
      <c r="A66" s="69">
        <v>9001043800</v>
      </c>
      <c r="B66" s="320">
        <v>1</v>
      </c>
      <c r="C66" s="320">
        <v>64265.555339999999</v>
      </c>
      <c r="D66" s="320">
        <v>23954.17</v>
      </c>
    </row>
    <row r="67" spans="1:4" x14ac:dyDescent="0.2">
      <c r="A67" s="69">
        <v>9001043900</v>
      </c>
      <c r="B67" s="320">
        <v>1</v>
      </c>
      <c r="C67" s="320">
        <v>52499.392302</v>
      </c>
      <c r="D67" s="320">
        <v>40667.61</v>
      </c>
    </row>
    <row r="68" spans="1:4" x14ac:dyDescent="0.2">
      <c r="A68" s="69">
        <v>9001044000</v>
      </c>
      <c r="B68" s="320">
        <v>1</v>
      </c>
      <c r="C68" s="320">
        <v>5511.7110300000004</v>
      </c>
      <c r="D68" s="320">
        <v>164994.15</v>
      </c>
    </row>
    <row r="69" spans="1:4" x14ac:dyDescent="0.2">
      <c r="A69" s="69">
        <v>9001044200</v>
      </c>
      <c r="B69" s="320">
        <v>1</v>
      </c>
      <c r="C69" s="320">
        <v>931.11291000000006</v>
      </c>
      <c r="D69" s="320">
        <v>102.16</v>
      </c>
    </row>
    <row r="70" spans="1:4" x14ac:dyDescent="0.2">
      <c r="A70" s="69">
        <v>9001044300</v>
      </c>
      <c r="B70" s="320">
        <v>2</v>
      </c>
      <c r="C70" s="320">
        <v>3459.20253</v>
      </c>
      <c r="D70" s="320">
        <v>0</v>
      </c>
    </row>
    <row r="71" spans="1:4" x14ac:dyDescent="0.2">
      <c r="A71" s="69">
        <v>9001044400</v>
      </c>
      <c r="B71" s="320">
        <v>1</v>
      </c>
      <c r="C71" s="320">
        <v>7686.9691499999999</v>
      </c>
      <c r="D71" s="320">
        <v>1735.61</v>
      </c>
    </row>
    <row r="72" spans="1:4" x14ac:dyDescent="0.2">
      <c r="A72" s="69">
        <v>9001044500</v>
      </c>
      <c r="B72" s="320">
        <v>1</v>
      </c>
      <c r="C72" s="320">
        <v>12912.217710000001</v>
      </c>
      <c r="D72" s="320">
        <v>384.42</v>
      </c>
    </row>
    <row r="73" spans="1:4" x14ac:dyDescent="0.2">
      <c r="A73" s="69">
        <v>9001044600</v>
      </c>
      <c r="B73" s="320">
        <v>1</v>
      </c>
      <c r="C73" s="320">
        <v>66609.119640000004</v>
      </c>
      <c r="D73" s="320">
        <v>26423.49</v>
      </c>
    </row>
    <row r="74" spans="1:4" x14ac:dyDescent="0.2">
      <c r="A74" s="69">
        <v>9001045101</v>
      </c>
      <c r="B74" s="320">
        <v>1</v>
      </c>
      <c r="C74" s="320">
        <v>70871.097150000001</v>
      </c>
      <c r="D74" s="320">
        <v>40031.455000000002</v>
      </c>
    </row>
    <row r="75" spans="1:4" x14ac:dyDescent="0.2">
      <c r="A75" s="69">
        <v>9001045102</v>
      </c>
      <c r="B75" s="320">
        <v>1</v>
      </c>
      <c r="C75" s="320">
        <v>86008.314735000007</v>
      </c>
      <c r="D75" s="320">
        <v>59803.004999999997</v>
      </c>
    </row>
    <row r="76" spans="1:4" x14ac:dyDescent="0.2">
      <c r="A76" s="69">
        <v>9001045200</v>
      </c>
      <c r="B76" s="320">
        <v>1</v>
      </c>
      <c r="C76" s="320">
        <v>46002.0792</v>
      </c>
      <c r="D76" s="320">
        <v>19014.46</v>
      </c>
    </row>
    <row r="77" spans="1:4" x14ac:dyDescent="0.2">
      <c r="A77" s="69">
        <v>9001045300</v>
      </c>
      <c r="B77" s="320">
        <v>2</v>
      </c>
      <c r="C77" s="320">
        <v>36249.343200000003</v>
      </c>
      <c r="D77" s="320">
        <v>35898.825000000004</v>
      </c>
    </row>
    <row r="78" spans="1:4" x14ac:dyDescent="0.2">
      <c r="A78" s="69">
        <v>9001045400</v>
      </c>
      <c r="B78" s="320">
        <v>3</v>
      </c>
      <c r="C78" s="320">
        <v>270045.45069600007</v>
      </c>
      <c r="D78" s="320">
        <v>344958.505</v>
      </c>
    </row>
    <row r="79" spans="1:4" x14ac:dyDescent="0.2">
      <c r="A79" s="69">
        <v>9001050100</v>
      </c>
      <c r="B79" s="320">
        <v>2</v>
      </c>
      <c r="C79" s="320">
        <v>535702.64932800003</v>
      </c>
      <c r="D79" s="320">
        <v>383836.77500000002</v>
      </c>
    </row>
    <row r="80" spans="1:4" x14ac:dyDescent="0.2">
      <c r="A80" s="69">
        <v>9001050200</v>
      </c>
      <c r="B80" s="320">
        <v>1</v>
      </c>
      <c r="C80" s="320">
        <v>71129.185301999998</v>
      </c>
      <c r="D80" s="320">
        <v>27588.02</v>
      </c>
    </row>
    <row r="81" spans="1:4" x14ac:dyDescent="0.2">
      <c r="A81" s="69">
        <v>9001050300</v>
      </c>
      <c r="B81" s="320">
        <v>2</v>
      </c>
      <c r="C81" s="320">
        <v>155991.12610200001</v>
      </c>
      <c r="D81" s="320">
        <v>82894.264999999999</v>
      </c>
    </row>
    <row r="82" spans="1:4" x14ac:dyDescent="0.2">
      <c r="A82" s="69">
        <v>9001050400</v>
      </c>
      <c r="B82" s="320">
        <v>1</v>
      </c>
      <c r="C82" s="320">
        <v>43883.853719999999</v>
      </c>
      <c r="D82" s="320">
        <v>19179.91</v>
      </c>
    </row>
    <row r="83" spans="1:4" x14ac:dyDescent="0.2">
      <c r="A83" s="69">
        <v>9001050500</v>
      </c>
      <c r="B83" s="320">
        <v>1</v>
      </c>
      <c r="C83" s="320">
        <v>87628.02915300001</v>
      </c>
      <c r="D83" s="320">
        <v>59388.24</v>
      </c>
    </row>
    <row r="84" spans="1:4" x14ac:dyDescent="0.2">
      <c r="A84" s="69">
        <v>9001050600</v>
      </c>
      <c r="B84" s="320">
        <v>1</v>
      </c>
      <c r="C84" s="320">
        <v>77110.199418000004</v>
      </c>
      <c r="D84" s="320">
        <v>30199.65</v>
      </c>
    </row>
    <row r="85" spans="1:4" x14ac:dyDescent="0.2">
      <c r="A85" s="69">
        <v>9001055100</v>
      </c>
      <c r="B85" s="320">
        <v>3</v>
      </c>
      <c r="C85" s="320">
        <v>218369.08701300004</v>
      </c>
      <c r="D85" s="320">
        <v>220656.345</v>
      </c>
    </row>
    <row r="86" spans="1:4" x14ac:dyDescent="0.2">
      <c r="A86" s="69">
        <v>9001055200</v>
      </c>
      <c r="B86" s="320">
        <v>2</v>
      </c>
      <c r="C86" s="320">
        <v>91182.517439999996</v>
      </c>
      <c r="D86" s="320">
        <v>23066.18</v>
      </c>
    </row>
    <row r="87" spans="1:4" x14ac:dyDescent="0.2">
      <c r="A87" s="69">
        <v>9001060400</v>
      </c>
      <c r="B87" s="320">
        <v>1</v>
      </c>
      <c r="C87" s="320">
        <v>2587.7884199999999</v>
      </c>
      <c r="D87" s="320">
        <v>0</v>
      </c>
    </row>
    <row r="88" spans="1:4" x14ac:dyDescent="0.2">
      <c r="A88" s="69">
        <v>9001100100</v>
      </c>
      <c r="B88" s="320">
        <v>2</v>
      </c>
      <c r="C88" s="320">
        <v>58970.439380999997</v>
      </c>
      <c r="D88" s="320">
        <v>92115.37</v>
      </c>
    </row>
    <row r="89" spans="1:4" x14ac:dyDescent="0.2">
      <c r="A89" s="69">
        <v>9001100200</v>
      </c>
      <c r="B89" s="320">
        <v>1</v>
      </c>
      <c r="C89" s="320">
        <v>273711.45064200001</v>
      </c>
      <c r="D89" s="320">
        <v>361603.03</v>
      </c>
    </row>
    <row r="90" spans="1:4" x14ac:dyDescent="0.2">
      <c r="A90" s="69">
        <v>9001100300</v>
      </c>
      <c r="B90" s="320">
        <v>2</v>
      </c>
      <c r="C90" s="320">
        <v>80304.782670000001</v>
      </c>
      <c r="D90" s="320">
        <v>93966.07</v>
      </c>
    </row>
    <row r="91" spans="1:4" x14ac:dyDescent="0.2">
      <c r="A91" s="69">
        <v>9001105200</v>
      </c>
      <c r="B91" s="320">
        <v>1</v>
      </c>
      <c r="C91" s="320">
        <v>235.55427</v>
      </c>
      <c r="D91" s="320">
        <v>0</v>
      </c>
    </row>
    <row r="92" spans="1:4" x14ac:dyDescent="0.2">
      <c r="A92" s="69">
        <v>9001110500</v>
      </c>
      <c r="B92" s="320">
        <v>1</v>
      </c>
      <c r="C92" s="320">
        <v>473.77953000000002</v>
      </c>
      <c r="D92" s="320">
        <v>0</v>
      </c>
    </row>
    <row r="93" spans="1:4" x14ac:dyDescent="0.2">
      <c r="A93" s="69">
        <v>9001200100</v>
      </c>
      <c r="B93" s="320">
        <v>1</v>
      </c>
      <c r="C93" s="320">
        <v>248449.77397800001</v>
      </c>
      <c r="D93" s="320">
        <v>188091.53</v>
      </c>
    </row>
    <row r="94" spans="1:4" x14ac:dyDescent="0.2">
      <c r="A94" s="69">
        <v>9001200200</v>
      </c>
      <c r="B94" s="320">
        <v>1</v>
      </c>
      <c r="C94" s="320">
        <v>67328.306639999995</v>
      </c>
      <c r="D94" s="320">
        <v>118956.015</v>
      </c>
    </row>
    <row r="95" spans="1:4" x14ac:dyDescent="0.2">
      <c r="A95" s="69">
        <v>9001200301</v>
      </c>
      <c r="B95" s="320">
        <v>2</v>
      </c>
      <c r="C95" s="320">
        <v>56312.372529</v>
      </c>
      <c r="D95" s="320">
        <v>37650.06</v>
      </c>
    </row>
    <row r="96" spans="1:4" x14ac:dyDescent="0.2">
      <c r="A96" s="69">
        <v>9001200302</v>
      </c>
      <c r="B96" s="320">
        <v>2</v>
      </c>
      <c r="C96" s="320">
        <v>68722.225802999994</v>
      </c>
      <c r="D96" s="320">
        <v>68432.675000000003</v>
      </c>
    </row>
    <row r="97" spans="1:4" x14ac:dyDescent="0.2">
      <c r="A97" s="69">
        <v>9001205100</v>
      </c>
      <c r="B97" s="320">
        <v>1</v>
      </c>
      <c r="C97" s="320">
        <v>53352.115277999997</v>
      </c>
      <c r="D97" s="320">
        <v>69296.89</v>
      </c>
    </row>
    <row r="98" spans="1:4" x14ac:dyDescent="0.2">
      <c r="A98" s="69">
        <v>9001205200</v>
      </c>
      <c r="B98" s="320">
        <v>2</v>
      </c>
      <c r="C98" s="320">
        <v>100733.384556</v>
      </c>
      <c r="D98" s="320">
        <v>54837.415000000001</v>
      </c>
    </row>
    <row r="99" spans="1:4" x14ac:dyDescent="0.2">
      <c r="A99" s="69">
        <v>9001205300</v>
      </c>
      <c r="B99" s="320">
        <v>3</v>
      </c>
      <c r="C99" s="320">
        <v>311654.606256</v>
      </c>
      <c r="D99" s="320">
        <v>453104.67</v>
      </c>
    </row>
    <row r="100" spans="1:4" x14ac:dyDescent="0.2">
      <c r="A100" s="69">
        <v>9001210100</v>
      </c>
      <c r="B100" s="320">
        <v>1</v>
      </c>
      <c r="C100" s="320">
        <v>49665.408155999998</v>
      </c>
      <c r="D100" s="320">
        <v>1712.48</v>
      </c>
    </row>
    <row r="101" spans="1:4" x14ac:dyDescent="0.2">
      <c r="A101" s="69">
        <v>9001210200</v>
      </c>
      <c r="B101" s="320">
        <v>1</v>
      </c>
      <c r="C101" s="320">
        <v>37690.02594</v>
      </c>
      <c r="D101" s="320">
        <v>17698.78</v>
      </c>
    </row>
    <row r="102" spans="1:4" x14ac:dyDescent="0.2">
      <c r="A102" s="69">
        <v>9001210300</v>
      </c>
      <c r="B102" s="320">
        <v>1</v>
      </c>
      <c r="C102" s="320">
        <v>42556.109420999994</v>
      </c>
      <c r="D102" s="320">
        <v>16005.42</v>
      </c>
    </row>
    <row r="103" spans="1:4" x14ac:dyDescent="0.2">
      <c r="A103" s="69">
        <v>9001210400</v>
      </c>
      <c r="B103" s="320">
        <v>1</v>
      </c>
      <c r="C103" s="320">
        <v>1023642.843363</v>
      </c>
      <c r="D103" s="320">
        <v>970146.17249999999</v>
      </c>
    </row>
    <row r="104" spans="1:4" x14ac:dyDescent="0.2">
      <c r="A104" s="69">
        <v>9001210500</v>
      </c>
      <c r="B104" s="320">
        <v>3</v>
      </c>
      <c r="C104" s="320">
        <v>103324.12748699999</v>
      </c>
      <c r="D104" s="320">
        <v>79086.7</v>
      </c>
    </row>
    <row r="105" spans="1:4" x14ac:dyDescent="0.2">
      <c r="A105" s="69">
        <v>9001210600</v>
      </c>
      <c r="B105" s="320">
        <v>1</v>
      </c>
      <c r="C105" s="320">
        <v>47467.861035000002</v>
      </c>
      <c r="D105" s="320">
        <v>14178.85</v>
      </c>
    </row>
    <row r="106" spans="1:4" x14ac:dyDescent="0.2">
      <c r="A106" s="69">
        <v>9001210701</v>
      </c>
      <c r="B106" s="320">
        <v>1</v>
      </c>
      <c r="C106" s="320">
        <v>61984.930287000003</v>
      </c>
      <c r="D106" s="320">
        <v>84620.01</v>
      </c>
    </row>
    <row r="107" spans="1:4" x14ac:dyDescent="0.2">
      <c r="A107" s="69">
        <v>9001210702</v>
      </c>
      <c r="B107" s="320">
        <v>1</v>
      </c>
      <c r="C107" s="320">
        <v>40550.669754000002</v>
      </c>
      <c r="D107" s="320">
        <v>6646.4849999999997</v>
      </c>
    </row>
    <row r="108" spans="1:4" x14ac:dyDescent="0.2">
      <c r="A108" s="69">
        <v>9001210800</v>
      </c>
      <c r="B108" s="320">
        <v>1</v>
      </c>
      <c r="C108" s="320">
        <v>64267.028490000004</v>
      </c>
      <c r="D108" s="320">
        <v>63624.959999999999</v>
      </c>
    </row>
    <row r="109" spans="1:4" x14ac:dyDescent="0.2">
      <c r="A109" s="69">
        <v>9001210900</v>
      </c>
      <c r="B109" s="320">
        <v>2</v>
      </c>
      <c r="C109" s="320">
        <v>74880.705710999988</v>
      </c>
      <c r="D109" s="320">
        <v>66178.91</v>
      </c>
    </row>
    <row r="110" spans="1:4" x14ac:dyDescent="0.2">
      <c r="A110" s="69">
        <v>9001211000</v>
      </c>
      <c r="B110" s="320">
        <v>2</v>
      </c>
      <c r="C110" s="320">
        <v>54084.556764000001</v>
      </c>
      <c r="D110" s="320">
        <v>27039.03</v>
      </c>
    </row>
    <row r="111" spans="1:4" x14ac:dyDescent="0.2">
      <c r="A111" s="69">
        <v>9001211100</v>
      </c>
      <c r="B111" s="320">
        <v>1</v>
      </c>
      <c r="C111" s="320">
        <v>510.3861</v>
      </c>
      <c r="D111" s="320">
        <v>211.05</v>
      </c>
    </row>
    <row r="112" spans="1:4" x14ac:dyDescent="0.2">
      <c r="A112" s="69">
        <v>9001211200</v>
      </c>
      <c r="B112" s="320">
        <v>1</v>
      </c>
      <c r="C112" s="320">
        <v>73265.709237000003</v>
      </c>
      <c r="D112" s="320">
        <v>33889.339999999997</v>
      </c>
    </row>
    <row r="113" spans="1:4" x14ac:dyDescent="0.2">
      <c r="A113" s="69">
        <v>9001211300</v>
      </c>
      <c r="B113" s="320">
        <v>1</v>
      </c>
      <c r="C113" s="320">
        <v>47380.371380999997</v>
      </c>
      <c r="D113" s="320">
        <v>21328.87</v>
      </c>
    </row>
    <row r="114" spans="1:4" x14ac:dyDescent="0.2">
      <c r="A114" s="69">
        <v>9001211400</v>
      </c>
      <c r="B114" s="320">
        <v>2</v>
      </c>
      <c r="C114" s="320">
        <v>53136.441770999998</v>
      </c>
      <c r="D114" s="320">
        <v>28844.46</v>
      </c>
    </row>
    <row r="115" spans="1:4" x14ac:dyDescent="0.2">
      <c r="A115" s="69">
        <v>9001220100</v>
      </c>
      <c r="B115" s="320">
        <v>1</v>
      </c>
      <c r="C115" s="320">
        <v>62603.571177000005</v>
      </c>
      <c r="D115" s="320">
        <v>53250.54</v>
      </c>
    </row>
    <row r="116" spans="1:4" x14ac:dyDescent="0.2">
      <c r="A116" s="69">
        <v>9001220200</v>
      </c>
      <c r="B116" s="320">
        <v>3</v>
      </c>
      <c r="C116" s="320">
        <v>75161.872568999999</v>
      </c>
      <c r="D116" s="320">
        <v>58595.5</v>
      </c>
    </row>
    <row r="117" spans="1:4" x14ac:dyDescent="0.2">
      <c r="A117" s="69">
        <v>9001220300</v>
      </c>
      <c r="B117" s="320">
        <v>2</v>
      </c>
      <c r="C117" s="320">
        <v>178619.362635</v>
      </c>
      <c r="D117" s="320">
        <v>296501.3775</v>
      </c>
    </row>
    <row r="118" spans="1:4" x14ac:dyDescent="0.2">
      <c r="A118" s="69">
        <v>9001230100</v>
      </c>
      <c r="B118" s="320">
        <v>1</v>
      </c>
      <c r="C118" s="320">
        <v>358599.985422</v>
      </c>
      <c r="D118" s="320">
        <v>445326.52500000002</v>
      </c>
    </row>
    <row r="119" spans="1:4" x14ac:dyDescent="0.2">
      <c r="A119" s="69">
        <v>9001230200</v>
      </c>
      <c r="B119" s="320">
        <v>1</v>
      </c>
      <c r="C119" s="320">
        <v>28327.678553999998</v>
      </c>
      <c r="D119" s="320">
        <v>11139.305</v>
      </c>
    </row>
    <row r="120" spans="1:4" x14ac:dyDescent="0.2">
      <c r="A120" s="69">
        <v>9001230300</v>
      </c>
      <c r="B120" s="320">
        <v>1</v>
      </c>
      <c r="C120" s="320">
        <v>47140.281258000003</v>
      </c>
      <c r="D120" s="320">
        <v>30743.57</v>
      </c>
    </row>
    <row r="121" spans="1:4" x14ac:dyDescent="0.2">
      <c r="A121" s="69">
        <v>9001230400</v>
      </c>
      <c r="B121" s="320">
        <v>3</v>
      </c>
      <c r="C121" s="320">
        <v>75492.913040999993</v>
      </c>
      <c r="D121" s="320">
        <v>68011.81</v>
      </c>
    </row>
    <row r="122" spans="1:4" x14ac:dyDescent="0.2">
      <c r="A122" s="69">
        <v>9001230501</v>
      </c>
      <c r="B122" s="320">
        <v>1</v>
      </c>
      <c r="C122" s="320">
        <v>50253.454859999998</v>
      </c>
      <c r="D122" s="320">
        <v>63588.3</v>
      </c>
    </row>
    <row r="123" spans="1:4" x14ac:dyDescent="0.2">
      <c r="A123" s="69">
        <v>9001230502</v>
      </c>
      <c r="B123" s="320">
        <v>1</v>
      </c>
      <c r="C123" s="320">
        <v>50058.176510999998</v>
      </c>
      <c r="D123" s="320">
        <v>38579.24</v>
      </c>
    </row>
    <row r="124" spans="1:4" x14ac:dyDescent="0.2">
      <c r="A124" s="69">
        <v>9001240100</v>
      </c>
      <c r="B124" s="320">
        <v>4</v>
      </c>
      <c r="C124" s="320">
        <v>60659.961305999997</v>
      </c>
      <c r="D124" s="320">
        <v>45503</v>
      </c>
    </row>
    <row r="125" spans="1:4" x14ac:dyDescent="0.2">
      <c r="A125" s="69">
        <v>9001240200</v>
      </c>
      <c r="B125" s="320">
        <v>1</v>
      </c>
      <c r="C125" s="320">
        <v>176305.02273299999</v>
      </c>
      <c r="D125" s="320">
        <v>217180.245</v>
      </c>
    </row>
    <row r="126" spans="1:4" x14ac:dyDescent="0.2">
      <c r="A126" s="69">
        <v>9001245100</v>
      </c>
      <c r="B126" s="320">
        <v>1</v>
      </c>
      <c r="C126" s="320">
        <v>33072.37689</v>
      </c>
      <c r="D126" s="320">
        <v>41884.339999999997</v>
      </c>
    </row>
    <row r="127" spans="1:4" x14ac:dyDescent="0.2">
      <c r="A127" s="69">
        <v>9001245200</v>
      </c>
      <c r="B127" s="320">
        <v>3</v>
      </c>
      <c r="C127" s="320">
        <v>364020.27807600005</v>
      </c>
      <c r="D127" s="320">
        <v>463485.64749999996</v>
      </c>
    </row>
    <row r="128" spans="1:4" x14ac:dyDescent="0.2">
      <c r="A128" s="69">
        <v>9001245300</v>
      </c>
      <c r="B128" s="320">
        <v>1</v>
      </c>
      <c r="C128" s="320">
        <v>77014.340339999995</v>
      </c>
      <c r="D128" s="320">
        <v>26086.63</v>
      </c>
    </row>
    <row r="129" spans="1:4" x14ac:dyDescent="0.2">
      <c r="A129" s="69">
        <v>9001245400</v>
      </c>
      <c r="B129" s="320">
        <v>2</v>
      </c>
      <c r="C129" s="320">
        <v>53305.903769999997</v>
      </c>
      <c r="D129" s="320">
        <v>13642.26</v>
      </c>
    </row>
    <row r="130" spans="1:4" x14ac:dyDescent="0.2">
      <c r="A130" s="69">
        <v>9001245500</v>
      </c>
      <c r="B130" s="320">
        <v>1</v>
      </c>
      <c r="C130" s="320">
        <v>46970.230482000006</v>
      </c>
      <c r="D130" s="320">
        <v>19536.689999999999</v>
      </c>
    </row>
    <row r="131" spans="1:4" x14ac:dyDescent="0.2">
      <c r="A131" s="69">
        <v>9001245600</v>
      </c>
      <c r="B131" s="320">
        <v>2</v>
      </c>
      <c r="C131" s="320">
        <v>92371.047131999992</v>
      </c>
      <c r="D131" s="320">
        <v>57749.06</v>
      </c>
    </row>
    <row r="132" spans="1:4" x14ac:dyDescent="0.2">
      <c r="A132" s="69">
        <v>9001257100</v>
      </c>
      <c r="B132" s="320">
        <v>2</v>
      </c>
      <c r="C132" s="320">
        <v>107768.933055</v>
      </c>
      <c r="D132" s="320">
        <v>116109.63</v>
      </c>
    </row>
    <row r="133" spans="1:4" x14ac:dyDescent="0.2">
      <c r="A133" s="69">
        <v>9003330100</v>
      </c>
      <c r="B133" s="320">
        <v>3</v>
      </c>
      <c r="C133" s="320">
        <v>36811.113738</v>
      </c>
      <c r="D133" s="320">
        <v>68508.815000000002</v>
      </c>
    </row>
    <row r="134" spans="1:4" x14ac:dyDescent="0.2">
      <c r="A134" s="69">
        <v>9003400100</v>
      </c>
      <c r="B134" s="320">
        <v>2</v>
      </c>
      <c r="C134" s="320">
        <v>80956.463174999997</v>
      </c>
      <c r="D134" s="320">
        <v>9431426.0649999995</v>
      </c>
    </row>
    <row r="135" spans="1:4" x14ac:dyDescent="0.2">
      <c r="A135" s="69">
        <v>9003400200</v>
      </c>
      <c r="B135" s="320">
        <v>1</v>
      </c>
      <c r="C135" s="320">
        <v>303085.70663700002</v>
      </c>
      <c r="D135" s="320">
        <v>297680.61499999999</v>
      </c>
    </row>
    <row r="136" spans="1:4" x14ac:dyDescent="0.2">
      <c r="A136" s="69">
        <v>9003400300</v>
      </c>
      <c r="B136" s="320">
        <v>2</v>
      </c>
      <c r="C136" s="320">
        <v>72576.058170000004</v>
      </c>
      <c r="D136" s="320">
        <v>57402.83</v>
      </c>
    </row>
    <row r="137" spans="1:4" x14ac:dyDescent="0.2">
      <c r="A137" s="69">
        <v>9003405100</v>
      </c>
      <c r="B137" s="320">
        <v>1</v>
      </c>
      <c r="C137" s="320">
        <v>44185.742244000001</v>
      </c>
      <c r="D137" s="320">
        <v>15566.26</v>
      </c>
    </row>
    <row r="138" spans="1:4" x14ac:dyDescent="0.2">
      <c r="A138" s="69">
        <v>9003405200</v>
      </c>
      <c r="B138" s="320">
        <v>1</v>
      </c>
      <c r="C138" s="320">
        <v>46721.628450000004</v>
      </c>
      <c r="D138" s="320">
        <v>92427.28</v>
      </c>
    </row>
    <row r="139" spans="1:4" x14ac:dyDescent="0.2">
      <c r="A139" s="69">
        <v>9003405300</v>
      </c>
      <c r="B139" s="320">
        <v>1</v>
      </c>
      <c r="C139" s="320">
        <v>60907.212870000003</v>
      </c>
      <c r="D139" s="320">
        <v>52851.06</v>
      </c>
    </row>
    <row r="140" spans="1:4" x14ac:dyDescent="0.2">
      <c r="A140" s="69">
        <v>9003405401</v>
      </c>
      <c r="B140" s="320">
        <v>2</v>
      </c>
      <c r="C140" s="320">
        <v>41614.896015000006</v>
      </c>
      <c r="D140" s="320">
        <v>56769.62</v>
      </c>
    </row>
    <row r="141" spans="1:4" x14ac:dyDescent="0.2">
      <c r="A141" s="69">
        <v>9003405402</v>
      </c>
      <c r="B141" s="320">
        <v>1</v>
      </c>
      <c r="C141" s="320">
        <v>46575.665849999998</v>
      </c>
      <c r="D141" s="320">
        <v>31981.48</v>
      </c>
    </row>
    <row r="142" spans="1:4" x14ac:dyDescent="0.2">
      <c r="A142" s="69">
        <v>9003405500</v>
      </c>
      <c r="B142" s="320">
        <v>1</v>
      </c>
      <c r="C142" s="320">
        <v>55656.162450000003</v>
      </c>
      <c r="D142" s="320">
        <v>36117.394999999997</v>
      </c>
    </row>
    <row r="143" spans="1:4" x14ac:dyDescent="0.2">
      <c r="A143" s="69">
        <v>9003405600</v>
      </c>
      <c r="B143" s="320">
        <v>1</v>
      </c>
      <c r="C143" s="320">
        <v>71352.386847000002</v>
      </c>
      <c r="D143" s="320">
        <v>58739.99</v>
      </c>
    </row>
    <row r="144" spans="1:4" x14ac:dyDescent="0.2">
      <c r="A144" s="69">
        <v>9003405700</v>
      </c>
      <c r="B144" s="320">
        <v>1</v>
      </c>
      <c r="C144" s="320">
        <v>19042.999500000002</v>
      </c>
      <c r="D144" s="320">
        <v>10392.27</v>
      </c>
    </row>
    <row r="145" spans="1:4" x14ac:dyDescent="0.2">
      <c r="A145" s="69">
        <v>9003405800</v>
      </c>
      <c r="B145" s="320">
        <v>1</v>
      </c>
      <c r="C145" s="320">
        <v>94235.151339000004</v>
      </c>
      <c r="D145" s="320">
        <v>112987.94</v>
      </c>
    </row>
    <row r="146" spans="1:4" x14ac:dyDescent="0.2">
      <c r="A146" s="69">
        <v>9003405900</v>
      </c>
      <c r="B146" s="320">
        <v>1</v>
      </c>
      <c r="C146" s="320">
        <v>55139.653842</v>
      </c>
      <c r="D146" s="320">
        <v>107530.97</v>
      </c>
    </row>
    <row r="147" spans="1:4" x14ac:dyDescent="0.2">
      <c r="A147" s="69">
        <v>9003406001</v>
      </c>
      <c r="B147" s="320">
        <v>1</v>
      </c>
      <c r="C147" s="320">
        <v>613221.86667000002</v>
      </c>
      <c r="D147" s="320">
        <v>1495026.72</v>
      </c>
    </row>
    <row r="148" spans="1:4" x14ac:dyDescent="0.2">
      <c r="A148" s="69">
        <v>9003406002</v>
      </c>
      <c r="B148" s="320">
        <v>2</v>
      </c>
      <c r="C148" s="320">
        <v>56840.893830000001</v>
      </c>
      <c r="D148" s="320">
        <v>69089.26999999999</v>
      </c>
    </row>
    <row r="149" spans="1:4" x14ac:dyDescent="0.2">
      <c r="A149" s="69">
        <v>9003406100</v>
      </c>
      <c r="B149" s="320">
        <v>1</v>
      </c>
      <c r="C149" s="320">
        <v>29087.602740000002</v>
      </c>
      <c r="D149" s="320">
        <v>26130.1</v>
      </c>
    </row>
    <row r="150" spans="1:4" x14ac:dyDescent="0.2">
      <c r="A150" s="69">
        <v>9003410101</v>
      </c>
      <c r="B150" s="320">
        <v>2</v>
      </c>
      <c r="C150" s="320">
        <v>142179.313647</v>
      </c>
      <c r="D150" s="320">
        <v>185324.61250000002</v>
      </c>
    </row>
    <row r="151" spans="1:4" x14ac:dyDescent="0.2">
      <c r="A151" s="69">
        <v>9003410102</v>
      </c>
      <c r="B151" s="320">
        <v>3</v>
      </c>
      <c r="C151" s="320">
        <v>55618.113642000004</v>
      </c>
      <c r="D151" s="320">
        <v>48723.574999999997</v>
      </c>
    </row>
    <row r="152" spans="1:4" x14ac:dyDescent="0.2">
      <c r="A152" s="69">
        <v>9003415300</v>
      </c>
      <c r="B152" s="320">
        <v>1</v>
      </c>
      <c r="C152" s="320">
        <v>34706.565852</v>
      </c>
      <c r="D152" s="320">
        <v>2206.41</v>
      </c>
    </row>
    <row r="153" spans="1:4" x14ac:dyDescent="0.2">
      <c r="A153" s="69">
        <v>9003415400</v>
      </c>
      <c r="B153" s="320">
        <v>1</v>
      </c>
      <c r="C153" s="320">
        <v>36396.730649999998</v>
      </c>
      <c r="D153" s="320">
        <v>19289.93</v>
      </c>
    </row>
    <row r="154" spans="1:4" x14ac:dyDescent="0.2">
      <c r="A154" s="69">
        <v>9003415500</v>
      </c>
      <c r="B154" s="320">
        <v>1</v>
      </c>
      <c r="C154" s="320">
        <v>17052.525588</v>
      </c>
      <c r="D154" s="320">
        <v>10952.64</v>
      </c>
    </row>
    <row r="155" spans="1:4" x14ac:dyDescent="0.2">
      <c r="A155" s="69">
        <v>9003415600</v>
      </c>
      <c r="B155" s="320">
        <v>1</v>
      </c>
      <c r="C155" s="320">
        <v>22214.865330000001</v>
      </c>
      <c r="D155" s="320">
        <v>3054.59</v>
      </c>
    </row>
    <row r="156" spans="1:4" x14ac:dyDescent="0.2">
      <c r="A156" s="69">
        <v>9003415700</v>
      </c>
      <c r="B156" s="320">
        <v>1</v>
      </c>
      <c r="C156" s="320">
        <v>20887.716570000001</v>
      </c>
      <c r="D156" s="320">
        <v>10488.74</v>
      </c>
    </row>
    <row r="157" spans="1:4" x14ac:dyDescent="0.2">
      <c r="A157" s="69">
        <v>9003415800</v>
      </c>
      <c r="B157" s="320">
        <v>1</v>
      </c>
      <c r="C157" s="320">
        <v>20079.381293999999</v>
      </c>
      <c r="D157" s="320">
        <v>1997.13</v>
      </c>
    </row>
    <row r="158" spans="1:4" x14ac:dyDescent="0.2">
      <c r="A158" s="69">
        <v>9003416000</v>
      </c>
      <c r="B158" s="320">
        <v>1</v>
      </c>
      <c r="C158" s="320">
        <v>592170.316017</v>
      </c>
      <c r="D158" s="320">
        <v>809198.66</v>
      </c>
    </row>
    <row r="159" spans="1:4" x14ac:dyDescent="0.2">
      <c r="A159" s="69">
        <v>9003416100</v>
      </c>
      <c r="B159" s="320">
        <v>1</v>
      </c>
      <c r="C159" s="320">
        <v>25248.313020000001</v>
      </c>
      <c r="D159" s="320">
        <v>3994.08</v>
      </c>
    </row>
    <row r="160" spans="1:4" x14ac:dyDescent="0.2">
      <c r="A160" s="69">
        <v>9003416200</v>
      </c>
      <c r="B160" s="320">
        <v>1</v>
      </c>
      <c r="C160" s="320">
        <v>14203.77903</v>
      </c>
      <c r="D160" s="320">
        <v>58443.83</v>
      </c>
    </row>
    <row r="161" spans="1:4" x14ac:dyDescent="0.2">
      <c r="A161" s="69">
        <v>9003416300</v>
      </c>
      <c r="B161" s="320">
        <v>2</v>
      </c>
      <c r="C161" s="320">
        <v>27979.687680000003</v>
      </c>
      <c r="D161" s="320">
        <v>46194.68</v>
      </c>
    </row>
    <row r="162" spans="1:4" x14ac:dyDescent="0.2">
      <c r="A162" s="69">
        <v>9003416400</v>
      </c>
      <c r="B162" s="320">
        <v>1</v>
      </c>
      <c r="C162" s="320">
        <v>32528.084190000001</v>
      </c>
      <c r="D162" s="320">
        <v>23132.205000000002</v>
      </c>
    </row>
    <row r="163" spans="1:4" x14ac:dyDescent="0.2">
      <c r="A163" s="69">
        <v>9003416500</v>
      </c>
      <c r="B163" s="320">
        <v>1</v>
      </c>
      <c r="C163" s="320">
        <v>35883.861929999999</v>
      </c>
      <c r="D163" s="320">
        <v>26308.99</v>
      </c>
    </row>
    <row r="164" spans="1:4" x14ac:dyDescent="0.2">
      <c r="A164" s="69">
        <v>9003416600</v>
      </c>
      <c r="B164" s="320">
        <v>1</v>
      </c>
      <c r="C164" s="320">
        <v>12673.578036000001</v>
      </c>
      <c r="D164" s="320">
        <v>2013.92</v>
      </c>
    </row>
    <row r="165" spans="1:4" x14ac:dyDescent="0.2">
      <c r="A165" s="69">
        <v>9003416700</v>
      </c>
      <c r="B165" s="320">
        <v>1</v>
      </c>
      <c r="C165" s="320">
        <v>47838.015330000002</v>
      </c>
      <c r="D165" s="320">
        <v>66527.149999999994</v>
      </c>
    </row>
    <row r="166" spans="1:4" x14ac:dyDescent="0.2">
      <c r="A166" s="69">
        <v>9003416800</v>
      </c>
      <c r="B166" s="320">
        <v>1</v>
      </c>
      <c r="C166" s="320">
        <v>21761.188259999999</v>
      </c>
      <c r="D166" s="320">
        <v>5165.95</v>
      </c>
    </row>
    <row r="167" spans="1:4" x14ac:dyDescent="0.2">
      <c r="A167" s="69">
        <v>9003417100</v>
      </c>
      <c r="B167" s="320">
        <v>1</v>
      </c>
      <c r="C167" s="320">
        <v>10309.16649</v>
      </c>
      <c r="D167" s="320">
        <v>168.27</v>
      </c>
    </row>
    <row r="168" spans="1:4" x14ac:dyDescent="0.2">
      <c r="A168" s="69">
        <v>9003417300</v>
      </c>
      <c r="B168" s="320">
        <v>1</v>
      </c>
      <c r="C168" s="320">
        <v>179.28960000000001</v>
      </c>
      <c r="D168" s="320">
        <v>0</v>
      </c>
    </row>
    <row r="169" spans="1:4" x14ac:dyDescent="0.2">
      <c r="A169" s="69">
        <v>9003417400</v>
      </c>
      <c r="B169" s="320">
        <v>1</v>
      </c>
      <c r="C169" s="320">
        <v>24457.49712</v>
      </c>
      <c r="D169" s="320">
        <v>29821.86</v>
      </c>
    </row>
    <row r="170" spans="1:4" x14ac:dyDescent="0.2">
      <c r="A170" s="69">
        <v>9003417500</v>
      </c>
      <c r="B170" s="320">
        <v>1</v>
      </c>
      <c r="C170" s="320">
        <v>35198.103360000001</v>
      </c>
      <c r="D170" s="320">
        <v>24683.34</v>
      </c>
    </row>
    <row r="171" spans="1:4" x14ac:dyDescent="0.2">
      <c r="A171" s="69">
        <v>9003420400</v>
      </c>
      <c r="B171" s="320">
        <v>1</v>
      </c>
      <c r="C171" s="320">
        <v>35687.456258999999</v>
      </c>
      <c r="D171" s="320">
        <v>40212.58</v>
      </c>
    </row>
    <row r="172" spans="1:4" x14ac:dyDescent="0.2">
      <c r="A172" s="69">
        <v>9003420500</v>
      </c>
      <c r="B172" s="320">
        <v>2</v>
      </c>
      <c r="C172" s="320">
        <v>56612.831855999997</v>
      </c>
      <c r="D172" s="320">
        <v>124645.66</v>
      </c>
    </row>
    <row r="173" spans="1:4" x14ac:dyDescent="0.2">
      <c r="A173" s="69">
        <v>9003420600</v>
      </c>
      <c r="B173" s="320">
        <v>2</v>
      </c>
      <c r="C173" s="320">
        <v>596177.96166599996</v>
      </c>
      <c r="D173" s="320">
        <v>580180.6</v>
      </c>
    </row>
    <row r="174" spans="1:4" x14ac:dyDescent="0.2">
      <c r="A174" s="69">
        <v>9003420700</v>
      </c>
      <c r="B174" s="320">
        <v>1</v>
      </c>
      <c r="C174" s="320">
        <v>40227.401234999998</v>
      </c>
      <c r="D174" s="320">
        <v>42437.39</v>
      </c>
    </row>
    <row r="175" spans="1:4" x14ac:dyDescent="0.2">
      <c r="A175" s="69">
        <v>9003430100</v>
      </c>
      <c r="B175" s="320">
        <v>1</v>
      </c>
      <c r="C175" s="320">
        <v>38355.52749</v>
      </c>
      <c r="D175" s="320">
        <v>48697.254999999997</v>
      </c>
    </row>
    <row r="176" spans="1:4" x14ac:dyDescent="0.2">
      <c r="A176" s="69">
        <v>9003430201</v>
      </c>
      <c r="B176" s="320">
        <v>1</v>
      </c>
      <c r="C176" s="320">
        <v>39128.653032000002</v>
      </c>
      <c r="D176" s="320">
        <v>22102.639999999999</v>
      </c>
    </row>
    <row r="177" spans="1:4" x14ac:dyDescent="0.2">
      <c r="A177" s="69">
        <v>9003430202</v>
      </c>
      <c r="B177" s="320">
        <v>1</v>
      </c>
      <c r="C177" s="320">
        <v>57801.578898</v>
      </c>
      <c r="D177" s="320">
        <v>57740.36</v>
      </c>
    </row>
    <row r="178" spans="1:4" x14ac:dyDescent="0.2">
      <c r="A178" s="69">
        <v>9003430203</v>
      </c>
      <c r="B178" s="320">
        <v>1</v>
      </c>
      <c r="C178" s="320">
        <v>43923.895385999997</v>
      </c>
      <c r="D178" s="320">
        <v>47251.26</v>
      </c>
    </row>
    <row r="179" spans="1:4" x14ac:dyDescent="0.2">
      <c r="A179" s="69">
        <v>9003430301</v>
      </c>
      <c r="B179" s="320">
        <v>2</v>
      </c>
      <c r="C179" s="320">
        <v>46096.730777999997</v>
      </c>
      <c r="D179" s="320">
        <v>51035.354999999996</v>
      </c>
    </row>
    <row r="180" spans="1:4" x14ac:dyDescent="0.2">
      <c r="A180" s="69">
        <v>9003430302</v>
      </c>
      <c r="B180" s="320">
        <v>1</v>
      </c>
      <c r="C180" s="320">
        <v>31374.76713</v>
      </c>
      <c r="D180" s="320">
        <v>20294.47</v>
      </c>
    </row>
    <row r="181" spans="1:4" x14ac:dyDescent="0.2">
      <c r="A181" s="69">
        <v>9003430400</v>
      </c>
      <c r="B181" s="320">
        <v>1</v>
      </c>
      <c r="C181" s="320">
        <v>52394.084777999997</v>
      </c>
      <c r="D181" s="320">
        <v>35424.68</v>
      </c>
    </row>
    <row r="182" spans="1:4" x14ac:dyDescent="0.2">
      <c r="A182" s="69">
        <v>9003430500</v>
      </c>
      <c r="B182" s="320">
        <v>1</v>
      </c>
      <c r="C182" s="320">
        <v>553707.48959400004</v>
      </c>
      <c r="D182" s="320">
        <v>692777.26249999995</v>
      </c>
    </row>
    <row r="183" spans="1:4" x14ac:dyDescent="0.2">
      <c r="A183" s="69">
        <v>9003430601</v>
      </c>
      <c r="B183" s="320">
        <v>2</v>
      </c>
      <c r="C183" s="320">
        <v>69153.136667999992</v>
      </c>
      <c r="D183" s="320">
        <v>79299.41</v>
      </c>
    </row>
    <row r="184" spans="1:4" x14ac:dyDescent="0.2">
      <c r="A184" s="69">
        <v>9003430602</v>
      </c>
      <c r="B184" s="320">
        <v>1</v>
      </c>
      <c r="C184" s="320">
        <v>39495.103199999998</v>
      </c>
      <c r="D184" s="320">
        <v>30148.89</v>
      </c>
    </row>
    <row r="185" spans="1:4" x14ac:dyDescent="0.2">
      <c r="A185" s="69">
        <v>9003460100</v>
      </c>
      <c r="B185" s="320">
        <v>3</v>
      </c>
      <c r="C185" s="320">
        <v>35351.427845999999</v>
      </c>
      <c r="D185" s="320">
        <v>77123.25</v>
      </c>
    </row>
    <row r="186" spans="1:4" x14ac:dyDescent="0.2">
      <c r="A186" s="69">
        <v>9003460202</v>
      </c>
      <c r="B186" s="320">
        <v>2</v>
      </c>
      <c r="C186" s="320">
        <v>55266.706991999999</v>
      </c>
      <c r="D186" s="320">
        <v>36132.935000000005</v>
      </c>
    </row>
    <row r="187" spans="1:4" x14ac:dyDescent="0.2">
      <c r="A187" s="69">
        <v>9003460203</v>
      </c>
      <c r="B187" s="320">
        <v>1</v>
      </c>
      <c r="C187" s="320">
        <v>58971.537239999998</v>
      </c>
      <c r="D187" s="320">
        <v>25225.73</v>
      </c>
    </row>
    <row r="188" spans="1:4" x14ac:dyDescent="0.2">
      <c r="A188" s="69">
        <v>9003460204</v>
      </c>
      <c r="B188" s="320">
        <v>1</v>
      </c>
      <c r="C188" s="320">
        <v>63185.050047000004</v>
      </c>
      <c r="D188" s="320">
        <v>66048.755000000005</v>
      </c>
    </row>
    <row r="189" spans="1:4" x14ac:dyDescent="0.2">
      <c r="A189" s="69">
        <v>9003460301</v>
      </c>
      <c r="B189" s="320">
        <v>1</v>
      </c>
      <c r="C189" s="320">
        <v>51069.916127999997</v>
      </c>
      <c r="D189" s="320">
        <v>114046.76</v>
      </c>
    </row>
    <row r="190" spans="1:4" x14ac:dyDescent="0.2">
      <c r="A190" s="69">
        <v>9003460302</v>
      </c>
      <c r="B190" s="320">
        <v>3</v>
      </c>
      <c r="C190" s="320">
        <v>38423.042678999998</v>
      </c>
      <c r="D190" s="320">
        <v>27330.294999999998</v>
      </c>
    </row>
    <row r="191" spans="1:4" x14ac:dyDescent="0.2">
      <c r="A191" s="69">
        <v>9003462101</v>
      </c>
      <c r="B191" s="320">
        <v>1</v>
      </c>
      <c r="C191" s="320">
        <v>306754.268415</v>
      </c>
      <c r="D191" s="320">
        <v>432157.93000000005</v>
      </c>
    </row>
    <row r="192" spans="1:4" x14ac:dyDescent="0.2">
      <c r="A192" s="69">
        <v>9003462102</v>
      </c>
      <c r="B192" s="320">
        <v>1</v>
      </c>
      <c r="C192" s="320">
        <v>57179.861297999996</v>
      </c>
      <c r="D192" s="320">
        <v>49088.42</v>
      </c>
    </row>
    <row r="193" spans="1:4" x14ac:dyDescent="0.2">
      <c r="A193" s="69">
        <v>9003462201</v>
      </c>
      <c r="B193" s="320">
        <v>1</v>
      </c>
      <c r="C193" s="320">
        <v>67397.061690000002</v>
      </c>
      <c r="D193" s="320">
        <v>81553.58</v>
      </c>
    </row>
    <row r="194" spans="1:4" x14ac:dyDescent="0.2">
      <c r="A194" s="69">
        <v>9003462202</v>
      </c>
      <c r="B194" s="320">
        <v>1</v>
      </c>
      <c r="C194" s="320">
        <v>43185.953495999995</v>
      </c>
      <c r="D194" s="320">
        <v>22208.27</v>
      </c>
    </row>
    <row r="195" spans="1:4" x14ac:dyDescent="0.2">
      <c r="A195" s="69">
        <v>9003464101</v>
      </c>
      <c r="B195" s="320">
        <v>2</v>
      </c>
      <c r="C195" s="320">
        <v>190129.31252699997</v>
      </c>
      <c r="D195" s="320">
        <v>321986.15499999997</v>
      </c>
    </row>
    <row r="196" spans="1:4" x14ac:dyDescent="0.2">
      <c r="A196" s="69">
        <v>9003464102</v>
      </c>
      <c r="B196" s="320">
        <v>1</v>
      </c>
      <c r="C196" s="320">
        <v>55597.683707999997</v>
      </c>
      <c r="D196" s="320">
        <v>44726.03</v>
      </c>
    </row>
    <row r="197" spans="1:4" x14ac:dyDescent="0.2">
      <c r="A197" s="69">
        <v>9003466101</v>
      </c>
      <c r="B197" s="320">
        <v>1</v>
      </c>
      <c r="C197" s="320">
        <v>53075.812230000003</v>
      </c>
      <c r="D197" s="320">
        <v>51010.19</v>
      </c>
    </row>
    <row r="198" spans="1:4" x14ac:dyDescent="0.2">
      <c r="A198" s="69">
        <v>9003466102</v>
      </c>
      <c r="B198" s="320">
        <v>2</v>
      </c>
      <c r="C198" s="320">
        <v>62092.943577000005</v>
      </c>
      <c r="D198" s="320">
        <v>57366.044999999998</v>
      </c>
    </row>
    <row r="199" spans="1:4" x14ac:dyDescent="0.2">
      <c r="A199" s="69">
        <v>9003466201</v>
      </c>
      <c r="B199" s="320">
        <v>1</v>
      </c>
      <c r="C199" s="320">
        <v>280582.85690399999</v>
      </c>
      <c r="D199" s="320">
        <v>352706.30000000005</v>
      </c>
    </row>
    <row r="200" spans="1:4" x14ac:dyDescent="0.2">
      <c r="A200" s="69">
        <v>9003466202</v>
      </c>
      <c r="B200" s="320">
        <v>2</v>
      </c>
      <c r="C200" s="320">
        <v>57970.770900000003</v>
      </c>
      <c r="D200" s="320">
        <v>75848.67</v>
      </c>
    </row>
    <row r="201" spans="1:4" x14ac:dyDescent="0.2">
      <c r="A201" s="69">
        <v>9003466300</v>
      </c>
      <c r="B201" s="320">
        <v>1</v>
      </c>
      <c r="C201" s="320">
        <v>58728.268977</v>
      </c>
      <c r="D201" s="320">
        <v>86922.46</v>
      </c>
    </row>
    <row r="202" spans="1:4" x14ac:dyDescent="0.2">
      <c r="A202" s="69">
        <v>9003466400</v>
      </c>
      <c r="B202" s="320">
        <v>1</v>
      </c>
      <c r="C202" s="320">
        <v>34736.427810000001</v>
      </c>
      <c r="D202" s="320">
        <v>91814.76</v>
      </c>
    </row>
    <row r="203" spans="1:4" x14ac:dyDescent="0.2">
      <c r="A203" s="69">
        <v>9003468101</v>
      </c>
      <c r="B203" s="320">
        <v>1</v>
      </c>
      <c r="C203" s="320">
        <v>189905.61397500001</v>
      </c>
      <c r="D203" s="320">
        <v>237700.845</v>
      </c>
    </row>
    <row r="204" spans="1:4" x14ac:dyDescent="0.2">
      <c r="A204" s="69">
        <v>9003468102</v>
      </c>
      <c r="B204" s="320">
        <v>1</v>
      </c>
      <c r="C204" s="320">
        <v>47838.119175</v>
      </c>
      <c r="D204" s="320">
        <v>48002.415000000001</v>
      </c>
    </row>
    <row r="205" spans="1:4" x14ac:dyDescent="0.2">
      <c r="A205" s="69">
        <v>9003470100</v>
      </c>
      <c r="B205" s="320">
        <v>4</v>
      </c>
      <c r="C205" s="320">
        <v>144065.34991800002</v>
      </c>
      <c r="D205" s="320">
        <v>297592.44</v>
      </c>
    </row>
    <row r="206" spans="1:4" x14ac:dyDescent="0.2">
      <c r="A206" s="69">
        <v>9003471100</v>
      </c>
      <c r="B206" s="320">
        <v>2</v>
      </c>
      <c r="C206" s="320">
        <v>27410.056800000002</v>
      </c>
      <c r="D206" s="320">
        <v>90283.66</v>
      </c>
    </row>
    <row r="207" spans="1:4" x14ac:dyDescent="0.2">
      <c r="A207" s="69">
        <v>9003471200</v>
      </c>
      <c r="B207" s="320">
        <v>1</v>
      </c>
      <c r="C207" s="320">
        <v>23472.959097000003</v>
      </c>
      <c r="D207" s="320">
        <v>38140.480000000003</v>
      </c>
    </row>
    <row r="208" spans="1:4" x14ac:dyDescent="0.2">
      <c r="A208" s="69">
        <v>9003471300</v>
      </c>
      <c r="B208" s="320">
        <v>1</v>
      </c>
      <c r="C208" s="320">
        <v>330688.61519400001</v>
      </c>
      <c r="D208" s="320">
        <v>765798.11499999999</v>
      </c>
    </row>
    <row r="209" spans="1:4" x14ac:dyDescent="0.2">
      <c r="A209" s="69">
        <v>9003471400</v>
      </c>
      <c r="B209" s="320">
        <v>2</v>
      </c>
      <c r="C209" s="320">
        <v>75515.784540000008</v>
      </c>
      <c r="D209" s="320">
        <v>85384.09</v>
      </c>
    </row>
    <row r="210" spans="1:4" x14ac:dyDescent="0.2">
      <c r="A210" s="69">
        <v>9003471500</v>
      </c>
      <c r="B210" s="320">
        <v>1</v>
      </c>
      <c r="C210" s="320">
        <v>31899.162162000004</v>
      </c>
      <c r="D210" s="320">
        <v>80541.53</v>
      </c>
    </row>
    <row r="211" spans="1:4" x14ac:dyDescent="0.2">
      <c r="A211" s="69">
        <v>9003473100</v>
      </c>
      <c r="B211" s="320">
        <v>2</v>
      </c>
      <c r="C211" s="320">
        <v>60496.769130000001</v>
      </c>
      <c r="D211" s="320">
        <v>127983.35</v>
      </c>
    </row>
    <row r="212" spans="1:4" x14ac:dyDescent="0.2">
      <c r="A212" s="69">
        <v>9003473400</v>
      </c>
      <c r="B212" s="320">
        <v>1</v>
      </c>
      <c r="C212" s="320">
        <v>20071.610789999999</v>
      </c>
      <c r="D212" s="320">
        <v>21364.74</v>
      </c>
    </row>
    <row r="213" spans="1:4" x14ac:dyDescent="0.2">
      <c r="A213" s="69">
        <v>9003473501</v>
      </c>
      <c r="B213" s="320">
        <v>2</v>
      </c>
      <c r="C213" s="320">
        <v>50042.958630000001</v>
      </c>
      <c r="D213" s="320">
        <v>28077</v>
      </c>
    </row>
    <row r="214" spans="1:4" x14ac:dyDescent="0.2">
      <c r="A214" s="69">
        <v>9003473502</v>
      </c>
      <c r="B214" s="320">
        <v>1</v>
      </c>
      <c r="C214" s="320">
        <v>32310.085521000001</v>
      </c>
      <c r="D214" s="320">
        <v>52284.84</v>
      </c>
    </row>
    <row r="215" spans="1:4" x14ac:dyDescent="0.2">
      <c r="A215" s="69">
        <v>9003473601</v>
      </c>
      <c r="B215" s="320">
        <v>1</v>
      </c>
      <c r="C215" s="320">
        <v>320343.85643400002</v>
      </c>
      <c r="D215" s="320">
        <v>583112.92000000004</v>
      </c>
    </row>
    <row r="216" spans="1:4" x14ac:dyDescent="0.2">
      <c r="A216" s="69">
        <v>9003473602</v>
      </c>
      <c r="B216" s="320">
        <v>1</v>
      </c>
      <c r="C216" s="320">
        <v>21608.422122000004</v>
      </c>
      <c r="D216" s="320">
        <v>32396.705000000002</v>
      </c>
    </row>
    <row r="217" spans="1:4" x14ac:dyDescent="0.2">
      <c r="A217" s="69">
        <v>9003473700</v>
      </c>
      <c r="B217" s="320">
        <v>1</v>
      </c>
      <c r="C217" s="320">
        <v>49874.666940000003</v>
      </c>
      <c r="D217" s="320">
        <v>103144.505</v>
      </c>
    </row>
    <row r="218" spans="1:4" x14ac:dyDescent="0.2">
      <c r="A218" s="69">
        <v>9003473800</v>
      </c>
      <c r="B218" s="320">
        <v>1</v>
      </c>
      <c r="C218" s="320">
        <v>14993.566140000001</v>
      </c>
      <c r="D218" s="320">
        <v>4319.22</v>
      </c>
    </row>
    <row r="219" spans="1:4" x14ac:dyDescent="0.2">
      <c r="A219" s="69">
        <v>9003476100</v>
      </c>
      <c r="B219" s="320">
        <v>1</v>
      </c>
      <c r="C219" s="320">
        <v>202207.63943099999</v>
      </c>
      <c r="D219" s="320">
        <v>300592.18</v>
      </c>
    </row>
    <row r="220" spans="1:4" x14ac:dyDescent="0.2">
      <c r="A220" s="69">
        <v>9003476200</v>
      </c>
      <c r="B220" s="320">
        <v>1</v>
      </c>
      <c r="C220" s="320">
        <v>24917.057130000001</v>
      </c>
      <c r="D220" s="320">
        <v>12391.18</v>
      </c>
    </row>
    <row r="221" spans="1:4" x14ac:dyDescent="0.2">
      <c r="A221" s="69">
        <v>9003476300</v>
      </c>
      <c r="B221" s="320">
        <v>1</v>
      </c>
      <c r="C221" s="320">
        <v>51116.455110000003</v>
      </c>
      <c r="D221" s="320">
        <v>114017.03</v>
      </c>
    </row>
    <row r="222" spans="1:4" x14ac:dyDescent="0.2">
      <c r="A222" s="69">
        <v>9003477101</v>
      </c>
      <c r="B222" s="320">
        <v>2</v>
      </c>
      <c r="C222" s="320">
        <v>54629.545467000004</v>
      </c>
      <c r="D222" s="320">
        <v>55086.004999999997</v>
      </c>
    </row>
    <row r="223" spans="1:4" x14ac:dyDescent="0.2">
      <c r="A223" s="69">
        <v>9003477102</v>
      </c>
      <c r="B223" s="320">
        <v>1</v>
      </c>
      <c r="C223" s="320">
        <v>679952.50427999999</v>
      </c>
      <c r="D223" s="320">
        <v>285063.66500000004</v>
      </c>
    </row>
    <row r="224" spans="1:4" x14ac:dyDescent="0.2">
      <c r="A224" s="69">
        <v>9003477200</v>
      </c>
      <c r="B224" s="320">
        <v>1</v>
      </c>
      <c r="C224" s="320">
        <v>38110.940637</v>
      </c>
      <c r="D224" s="320">
        <v>49642.815000000002</v>
      </c>
    </row>
    <row r="225" spans="1:4" x14ac:dyDescent="0.2">
      <c r="A225" s="69">
        <v>9003480300</v>
      </c>
      <c r="B225" s="320">
        <v>1</v>
      </c>
      <c r="C225" s="320">
        <v>21248.164980000001</v>
      </c>
      <c r="D225" s="320">
        <v>25401.64</v>
      </c>
    </row>
    <row r="226" spans="1:4" x14ac:dyDescent="0.2">
      <c r="A226" s="69">
        <v>9003480400</v>
      </c>
      <c r="B226" s="320">
        <v>1</v>
      </c>
      <c r="C226" s="320">
        <v>33116.427456000005</v>
      </c>
      <c r="D226" s="320">
        <v>30927.685000000001</v>
      </c>
    </row>
    <row r="227" spans="1:4" x14ac:dyDescent="0.2">
      <c r="A227" s="69">
        <v>9003480500</v>
      </c>
      <c r="B227" s="320">
        <v>1</v>
      </c>
      <c r="C227" s="320">
        <v>31011.767513999999</v>
      </c>
      <c r="D227" s="320">
        <v>25227.03</v>
      </c>
    </row>
    <row r="228" spans="1:4" x14ac:dyDescent="0.2">
      <c r="A228" s="69">
        <v>9003480600</v>
      </c>
      <c r="B228" s="320">
        <v>1</v>
      </c>
      <c r="C228" s="320">
        <v>29461.850460000001</v>
      </c>
      <c r="D228" s="320">
        <v>7427.78</v>
      </c>
    </row>
    <row r="229" spans="1:4" x14ac:dyDescent="0.2">
      <c r="A229" s="69">
        <v>9003480700</v>
      </c>
      <c r="B229" s="320">
        <v>1</v>
      </c>
      <c r="C229" s="320">
        <v>17377.392354</v>
      </c>
      <c r="D229" s="320">
        <v>13716.63</v>
      </c>
    </row>
    <row r="230" spans="1:4" x14ac:dyDescent="0.2">
      <c r="A230" s="69">
        <v>9003480800</v>
      </c>
      <c r="B230" s="320">
        <v>1</v>
      </c>
      <c r="C230" s="320">
        <v>47043.970575000007</v>
      </c>
      <c r="D230" s="320">
        <v>47701.66</v>
      </c>
    </row>
    <row r="231" spans="1:4" x14ac:dyDescent="0.2">
      <c r="A231" s="69">
        <v>9003480900</v>
      </c>
      <c r="B231" s="320">
        <v>1</v>
      </c>
      <c r="C231" s="320">
        <v>20318.598152999999</v>
      </c>
      <c r="D231" s="320">
        <v>56771.1</v>
      </c>
    </row>
    <row r="232" spans="1:4" x14ac:dyDescent="0.2">
      <c r="A232" s="69">
        <v>9003481000</v>
      </c>
      <c r="B232" s="320">
        <v>1</v>
      </c>
      <c r="C232" s="320">
        <v>38592.376199999999</v>
      </c>
      <c r="D232" s="320">
        <v>23707.200000000001</v>
      </c>
    </row>
    <row r="233" spans="1:4" x14ac:dyDescent="0.2">
      <c r="A233" s="69">
        <v>9003481100</v>
      </c>
      <c r="B233" s="320">
        <v>1</v>
      </c>
      <c r="C233" s="320">
        <v>38324.079360000003</v>
      </c>
      <c r="D233" s="320">
        <v>36395.019999999997</v>
      </c>
    </row>
    <row r="234" spans="1:4" x14ac:dyDescent="0.2">
      <c r="A234" s="69">
        <v>9003481200</v>
      </c>
      <c r="B234" s="320">
        <v>1</v>
      </c>
      <c r="C234" s="320">
        <v>36800.439921000005</v>
      </c>
      <c r="D234" s="320">
        <v>31198.084999999999</v>
      </c>
    </row>
    <row r="235" spans="1:4" x14ac:dyDescent="0.2">
      <c r="A235" s="69">
        <v>9003481300</v>
      </c>
      <c r="B235" s="320">
        <v>1</v>
      </c>
      <c r="C235" s="320">
        <v>29139.315618000001</v>
      </c>
      <c r="D235" s="320">
        <v>35687.379999999997</v>
      </c>
    </row>
    <row r="236" spans="1:4" x14ac:dyDescent="0.2">
      <c r="A236" s="69">
        <v>9003484100</v>
      </c>
      <c r="B236" s="320">
        <v>1</v>
      </c>
      <c r="C236" s="320">
        <v>167458.565715</v>
      </c>
      <c r="D236" s="320">
        <v>332774.05499999999</v>
      </c>
    </row>
    <row r="237" spans="1:4" x14ac:dyDescent="0.2">
      <c r="A237" s="69">
        <v>9003484200</v>
      </c>
      <c r="B237" s="320">
        <v>3</v>
      </c>
      <c r="C237" s="320">
        <v>55900.547409000006</v>
      </c>
      <c r="D237" s="320">
        <v>38078.410000000003</v>
      </c>
    </row>
    <row r="238" spans="1:4" x14ac:dyDescent="0.2">
      <c r="A238" s="69">
        <v>9003487100</v>
      </c>
      <c r="B238" s="320">
        <v>2</v>
      </c>
      <c r="C238" s="320">
        <v>74827.948587000006</v>
      </c>
      <c r="D238" s="320">
        <v>51062.555</v>
      </c>
    </row>
    <row r="239" spans="1:4" x14ac:dyDescent="0.2">
      <c r="A239" s="69">
        <v>9003487201</v>
      </c>
      <c r="B239" s="320">
        <v>2</v>
      </c>
      <c r="C239" s="320">
        <v>48003.37038</v>
      </c>
      <c r="D239" s="320">
        <v>31134.45</v>
      </c>
    </row>
    <row r="240" spans="1:4" x14ac:dyDescent="0.2">
      <c r="A240" s="69">
        <v>9003487202</v>
      </c>
      <c r="B240" s="320">
        <v>2</v>
      </c>
      <c r="C240" s="320">
        <v>37388.844528000001</v>
      </c>
      <c r="D240" s="320">
        <v>23059.34</v>
      </c>
    </row>
    <row r="241" spans="1:4" x14ac:dyDescent="0.2">
      <c r="A241" s="69">
        <v>9003487300</v>
      </c>
      <c r="B241" s="320">
        <v>1</v>
      </c>
      <c r="C241" s="320">
        <v>313085.84972699999</v>
      </c>
      <c r="D241" s="320">
        <v>342219.70199999999</v>
      </c>
    </row>
    <row r="242" spans="1:4" x14ac:dyDescent="0.2">
      <c r="A242" s="69">
        <v>9003487400</v>
      </c>
      <c r="B242" s="320">
        <v>1</v>
      </c>
      <c r="C242" s="320">
        <v>19669.320090000001</v>
      </c>
      <c r="D242" s="320">
        <v>7819.69</v>
      </c>
    </row>
    <row r="243" spans="1:4" x14ac:dyDescent="0.2">
      <c r="A243" s="69">
        <v>9003487500</v>
      </c>
      <c r="B243" s="320">
        <v>2</v>
      </c>
      <c r="C243" s="320">
        <v>78287.341419000004</v>
      </c>
      <c r="D243" s="320">
        <v>44735.17</v>
      </c>
    </row>
    <row r="244" spans="1:4" x14ac:dyDescent="0.2">
      <c r="A244" s="69">
        <v>9003490100</v>
      </c>
      <c r="B244" s="320">
        <v>1</v>
      </c>
      <c r="C244" s="320">
        <v>46378.276790999997</v>
      </c>
      <c r="D244" s="320">
        <v>72265.899999999994</v>
      </c>
    </row>
    <row r="245" spans="1:4" x14ac:dyDescent="0.2">
      <c r="A245" s="69">
        <v>9003490302</v>
      </c>
      <c r="B245" s="320">
        <v>2</v>
      </c>
      <c r="C245" s="320">
        <v>295429.10466300003</v>
      </c>
      <c r="D245" s="320">
        <v>261765.49249999999</v>
      </c>
    </row>
    <row r="246" spans="1:4" x14ac:dyDescent="0.2">
      <c r="A246" s="69">
        <v>9003492100</v>
      </c>
      <c r="B246" s="320">
        <v>1</v>
      </c>
      <c r="C246" s="320">
        <v>35513.312540999999</v>
      </c>
      <c r="D246" s="320">
        <v>10410.450000000001</v>
      </c>
    </row>
    <row r="247" spans="1:4" x14ac:dyDescent="0.2">
      <c r="A247" s="69">
        <v>9003492200</v>
      </c>
      <c r="B247" s="320">
        <v>1</v>
      </c>
      <c r="C247" s="320">
        <v>37924.348559999999</v>
      </c>
      <c r="D247" s="320">
        <v>33134.660000000003</v>
      </c>
    </row>
    <row r="248" spans="1:4" x14ac:dyDescent="0.2">
      <c r="A248" s="69">
        <v>9003492300</v>
      </c>
      <c r="B248" s="320">
        <v>1</v>
      </c>
      <c r="C248" s="320">
        <v>50552.514452999996</v>
      </c>
      <c r="D248" s="320">
        <v>21693.439999999999</v>
      </c>
    </row>
    <row r="249" spans="1:4" x14ac:dyDescent="0.2">
      <c r="A249" s="69">
        <v>9003492400</v>
      </c>
      <c r="B249" s="320">
        <v>1</v>
      </c>
      <c r="C249" s="320">
        <v>270067.70975100005</v>
      </c>
      <c r="D249" s="320">
        <v>364013.26500000001</v>
      </c>
    </row>
    <row r="250" spans="1:4" x14ac:dyDescent="0.2">
      <c r="A250" s="69">
        <v>9003492500</v>
      </c>
      <c r="B250" s="320">
        <v>1</v>
      </c>
      <c r="C250" s="320">
        <v>37870.569890999999</v>
      </c>
      <c r="D250" s="320">
        <v>11815.06</v>
      </c>
    </row>
    <row r="251" spans="1:4" x14ac:dyDescent="0.2">
      <c r="A251" s="69">
        <v>9003492600</v>
      </c>
      <c r="B251" s="320">
        <v>3</v>
      </c>
      <c r="C251" s="320">
        <v>76941.165840000001</v>
      </c>
      <c r="D251" s="320">
        <v>39052.839999999997</v>
      </c>
    </row>
    <row r="252" spans="1:4" x14ac:dyDescent="0.2">
      <c r="A252" s="69">
        <v>9003494100</v>
      </c>
      <c r="B252" s="320">
        <v>2</v>
      </c>
      <c r="C252" s="320">
        <v>54340.162296000002</v>
      </c>
      <c r="D252" s="320">
        <v>26281.79</v>
      </c>
    </row>
    <row r="253" spans="1:4" x14ac:dyDescent="0.2">
      <c r="A253" s="69">
        <v>9003494201</v>
      </c>
      <c r="B253" s="320">
        <v>1</v>
      </c>
      <c r="C253" s="320">
        <v>368955.24122100003</v>
      </c>
      <c r="D253" s="320">
        <v>355482.61249999999</v>
      </c>
    </row>
    <row r="254" spans="1:4" x14ac:dyDescent="0.2">
      <c r="A254" s="69">
        <v>9003494202</v>
      </c>
      <c r="B254" s="320">
        <v>1</v>
      </c>
      <c r="C254" s="320">
        <v>27760.286862000001</v>
      </c>
      <c r="D254" s="320">
        <v>9235.1200000000008</v>
      </c>
    </row>
    <row r="255" spans="1:4" x14ac:dyDescent="0.2">
      <c r="A255" s="69">
        <v>9003494300</v>
      </c>
      <c r="B255" s="320">
        <v>2</v>
      </c>
      <c r="C255" s="320">
        <v>38683.633737000004</v>
      </c>
      <c r="D255" s="320">
        <v>29848</v>
      </c>
    </row>
    <row r="256" spans="1:4" x14ac:dyDescent="0.2">
      <c r="A256" s="69">
        <v>9003494400</v>
      </c>
      <c r="B256" s="320">
        <v>1</v>
      </c>
      <c r="C256" s="320">
        <v>48752.206817999999</v>
      </c>
      <c r="D256" s="320">
        <v>81805.820000000007</v>
      </c>
    </row>
    <row r="257" spans="1:4" x14ac:dyDescent="0.2">
      <c r="A257" s="69">
        <v>9003494500</v>
      </c>
      <c r="B257" s="320">
        <v>1</v>
      </c>
      <c r="C257" s="320">
        <v>39434.960039999998</v>
      </c>
      <c r="D257" s="320">
        <v>23408.66</v>
      </c>
    </row>
    <row r="258" spans="1:4" x14ac:dyDescent="0.2">
      <c r="A258" s="69">
        <v>9003494600</v>
      </c>
      <c r="B258" s="320">
        <v>1</v>
      </c>
      <c r="C258" s="320">
        <v>32479.668270000002</v>
      </c>
      <c r="D258" s="320">
        <v>30047.54</v>
      </c>
    </row>
    <row r="259" spans="1:4" x14ac:dyDescent="0.2">
      <c r="A259" s="69">
        <v>9003496100</v>
      </c>
      <c r="B259" s="320">
        <v>1</v>
      </c>
      <c r="C259" s="320">
        <v>16448.888610000002</v>
      </c>
      <c r="D259" s="320">
        <v>6266.33</v>
      </c>
    </row>
    <row r="260" spans="1:4" x14ac:dyDescent="0.2">
      <c r="A260" s="69">
        <v>9003496200</v>
      </c>
      <c r="B260" s="320">
        <v>2</v>
      </c>
      <c r="C260" s="320">
        <v>42196.593201000003</v>
      </c>
      <c r="D260" s="320">
        <v>23069.759999999998</v>
      </c>
    </row>
    <row r="261" spans="1:4" x14ac:dyDescent="0.2">
      <c r="A261" s="69">
        <v>9003496300</v>
      </c>
      <c r="B261" s="320">
        <v>1</v>
      </c>
      <c r="C261" s="320">
        <v>33541.533627000004</v>
      </c>
      <c r="D261" s="320">
        <v>42797.17</v>
      </c>
    </row>
    <row r="262" spans="1:4" x14ac:dyDescent="0.2">
      <c r="A262" s="69">
        <v>9003496400</v>
      </c>
      <c r="B262" s="320">
        <v>1</v>
      </c>
      <c r="C262" s="320">
        <v>30594.441989999999</v>
      </c>
      <c r="D262" s="320">
        <v>14597.38</v>
      </c>
    </row>
    <row r="263" spans="1:4" x14ac:dyDescent="0.2">
      <c r="A263" s="69">
        <v>9003496500</v>
      </c>
      <c r="B263" s="320">
        <v>1</v>
      </c>
      <c r="C263" s="320">
        <v>25890.069807000003</v>
      </c>
      <c r="D263" s="320">
        <v>21906.12</v>
      </c>
    </row>
    <row r="264" spans="1:4" x14ac:dyDescent="0.2">
      <c r="A264" s="69">
        <v>9003496600</v>
      </c>
      <c r="B264" s="320">
        <v>1</v>
      </c>
      <c r="C264" s="320">
        <v>34384.151760000001</v>
      </c>
      <c r="D264" s="320">
        <v>27790.895</v>
      </c>
    </row>
    <row r="265" spans="1:4" x14ac:dyDescent="0.2">
      <c r="A265" s="69">
        <v>9003496700</v>
      </c>
      <c r="B265" s="320">
        <v>1</v>
      </c>
      <c r="C265" s="320">
        <v>27724.629870000001</v>
      </c>
      <c r="D265" s="320">
        <v>8293.83</v>
      </c>
    </row>
    <row r="266" spans="1:4" x14ac:dyDescent="0.2">
      <c r="A266" s="69">
        <v>9003496800</v>
      </c>
      <c r="B266" s="320">
        <v>1</v>
      </c>
      <c r="C266" s="320">
        <v>25846.706549999999</v>
      </c>
      <c r="D266" s="320">
        <v>15979.65</v>
      </c>
    </row>
    <row r="267" spans="1:4" x14ac:dyDescent="0.2">
      <c r="A267" s="69">
        <v>9003496900</v>
      </c>
      <c r="B267" s="320">
        <v>1</v>
      </c>
      <c r="C267" s="320">
        <v>42917.689982999997</v>
      </c>
      <c r="D267" s="320">
        <v>23923.57</v>
      </c>
    </row>
    <row r="268" spans="1:4" x14ac:dyDescent="0.2">
      <c r="A268" s="69">
        <v>9003497000</v>
      </c>
      <c r="B268" s="320">
        <v>1</v>
      </c>
      <c r="C268" s="320">
        <v>45619.848939000003</v>
      </c>
      <c r="D268" s="320">
        <v>29069.134999999998</v>
      </c>
    </row>
    <row r="269" spans="1:4" x14ac:dyDescent="0.2">
      <c r="A269" s="69">
        <v>9003497100</v>
      </c>
      <c r="B269" s="320">
        <v>1</v>
      </c>
      <c r="C269" s="320">
        <v>28096.74756</v>
      </c>
      <c r="D269" s="320">
        <v>9294.2900000000009</v>
      </c>
    </row>
    <row r="270" spans="1:4" x14ac:dyDescent="0.2">
      <c r="A270" s="69">
        <v>9003497200</v>
      </c>
      <c r="B270" s="320">
        <v>1</v>
      </c>
      <c r="C270" s="320">
        <v>630909.85072500003</v>
      </c>
      <c r="D270" s="320">
        <v>690809.96500000008</v>
      </c>
    </row>
    <row r="271" spans="1:4" x14ac:dyDescent="0.2">
      <c r="A271" s="69">
        <v>9003497300</v>
      </c>
      <c r="B271" s="320">
        <v>1</v>
      </c>
      <c r="C271" s="320">
        <v>48008.189754000006</v>
      </c>
      <c r="D271" s="320">
        <v>48414.97</v>
      </c>
    </row>
    <row r="272" spans="1:4" x14ac:dyDescent="0.2">
      <c r="A272" s="69">
        <v>9003497400</v>
      </c>
      <c r="B272" s="320">
        <v>1</v>
      </c>
      <c r="C272" s="320">
        <v>45826.131959999999</v>
      </c>
      <c r="D272" s="320">
        <v>47578.44</v>
      </c>
    </row>
    <row r="273" spans="1:4" x14ac:dyDescent="0.2">
      <c r="A273" s="69">
        <v>9003497500</v>
      </c>
      <c r="B273" s="320">
        <v>1</v>
      </c>
      <c r="C273" s="320">
        <v>43312.493699999999</v>
      </c>
      <c r="D273" s="320">
        <v>40365.855000000003</v>
      </c>
    </row>
    <row r="274" spans="1:4" x14ac:dyDescent="0.2">
      <c r="A274" s="69">
        <v>9003497600</v>
      </c>
      <c r="B274" s="320">
        <v>1</v>
      </c>
      <c r="C274" s="320">
        <v>21331.970310000001</v>
      </c>
      <c r="D274" s="320">
        <v>10221.24</v>
      </c>
    </row>
    <row r="275" spans="1:4" x14ac:dyDescent="0.2">
      <c r="A275" s="69">
        <v>9003497700</v>
      </c>
      <c r="B275" s="320">
        <v>1</v>
      </c>
      <c r="C275" s="320">
        <v>68225.623556999999</v>
      </c>
      <c r="D275" s="320">
        <v>33866.21</v>
      </c>
    </row>
    <row r="276" spans="1:4" x14ac:dyDescent="0.2">
      <c r="A276" s="69">
        <v>9003500100</v>
      </c>
      <c r="B276" s="320">
        <v>1</v>
      </c>
      <c r="C276" s="320">
        <v>16225.699140000001</v>
      </c>
      <c r="D276" s="320">
        <v>3414.78</v>
      </c>
    </row>
    <row r="277" spans="1:4" x14ac:dyDescent="0.2">
      <c r="A277" s="69">
        <v>9003500200</v>
      </c>
      <c r="B277" s="320">
        <v>1</v>
      </c>
      <c r="C277" s="320">
        <v>9887.69103</v>
      </c>
      <c r="D277" s="320">
        <v>1933.42</v>
      </c>
    </row>
    <row r="278" spans="1:4" x14ac:dyDescent="0.2">
      <c r="A278" s="69">
        <v>9003500300</v>
      </c>
      <c r="B278" s="320">
        <v>1</v>
      </c>
      <c r="C278" s="320">
        <v>11628.97848</v>
      </c>
      <c r="D278" s="320">
        <v>250.27</v>
      </c>
    </row>
    <row r="279" spans="1:4" x14ac:dyDescent="0.2">
      <c r="A279" s="69">
        <v>9003500400</v>
      </c>
      <c r="B279" s="320">
        <v>1</v>
      </c>
      <c r="C279" s="320">
        <v>11627.871443999999</v>
      </c>
      <c r="D279" s="320">
        <v>530.79999999999995</v>
      </c>
    </row>
    <row r="280" spans="1:4" x14ac:dyDescent="0.2">
      <c r="A280" s="69">
        <v>9003500500</v>
      </c>
      <c r="B280" s="320">
        <v>1</v>
      </c>
      <c r="C280" s="320">
        <v>6738.7821899999999</v>
      </c>
      <c r="D280" s="320">
        <v>231</v>
      </c>
    </row>
    <row r="281" spans="1:4" x14ac:dyDescent="0.2">
      <c r="A281" s="69">
        <v>9003500900</v>
      </c>
      <c r="B281" s="320">
        <v>1</v>
      </c>
      <c r="C281" s="320">
        <v>1124688.102951</v>
      </c>
      <c r="D281" s="320">
        <v>2335528.6349999998</v>
      </c>
    </row>
    <row r="282" spans="1:4" x14ac:dyDescent="0.2">
      <c r="A282" s="69">
        <v>9003501200</v>
      </c>
      <c r="B282" s="320">
        <v>1</v>
      </c>
      <c r="C282" s="320">
        <v>14103.97674</v>
      </c>
      <c r="D282" s="320">
        <v>1903.16</v>
      </c>
    </row>
    <row r="283" spans="1:4" x14ac:dyDescent="0.2">
      <c r="A283" s="69">
        <v>9003501300</v>
      </c>
      <c r="B283" s="320">
        <v>1</v>
      </c>
      <c r="C283" s="320">
        <v>8398.3899930000007</v>
      </c>
      <c r="D283" s="320">
        <v>15374.87</v>
      </c>
    </row>
    <row r="284" spans="1:4" x14ac:dyDescent="0.2">
      <c r="A284" s="69">
        <v>9003501400</v>
      </c>
      <c r="B284" s="320">
        <v>1</v>
      </c>
      <c r="C284" s="320">
        <v>17261.758290000002</v>
      </c>
      <c r="D284" s="320">
        <v>6238.03</v>
      </c>
    </row>
    <row r="285" spans="1:4" x14ac:dyDescent="0.2">
      <c r="A285" s="69">
        <v>9003501500</v>
      </c>
      <c r="B285" s="320">
        <v>1</v>
      </c>
      <c r="C285" s="320">
        <v>21551.207391</v>
      </c>
      <c r="D285" s="320">
        <v>2502.5</v>
      </c>
    </row>
    <row r="286" spans="1:4" x14ac:dyDescent="0.2">
      <c r="A286" s="69">
        <v>9003501700</v>
      </c>
      <c r="B286" s="320">
        <v>1</v>
      </c>
      <c r="C286" s="320">
        <v>7227.5298900000007</v>
      </c>
      <c r="D286" s="320">
        <v>125.51</v>
      </c>
    </row>
    <row r="287" spans="1:4" x14ac:dyDescent="0.2">
      <c r="A287" s="69">
        <v>9003501800</v>
      </c>
      <c r="B287" s="320">
        <v>1</v>
      </c>
      <c r="C287" s="320">
        <v>12538.790123999999</v>
      </c>
      <c r="D287" s="320">
        <v>24086.51</v>
      </c>
    </row>
    <row r="288" spans="1:4" x14ac:dyDescent="0.2">
      <c r="A288" s="69">
        <v>9003502100</v>
      </c>
      <c r="B288" s="320">
        <v>1</v>
      </c>
      <c r="C288" s="320">
        <v>10140.710580000001</v>
      </c>
      <c r="D288" s="320">
        <v>196.43</v>
      </c>
    </row>
    <row r="289" spans="1:4" x14ac:dyDescent="0.2">
      <c r="A289" s="69">
        <v>9003502300</v>
      </c>
      <c r="B289" s="320">
        <v>1</v>
      </c>
      <c r="C289" s="320">
        <v>34379.988299999997</v>
      </c>
      <c r="D289" s="320">
        <v>13878.08</v>
      </c>
    </row>
    <row r="290" spans="1:4" x14ac:dyDescent="0.2">
      <c r="A290" s="69">
        <v>9003502400</v>
      </c>
      <c r="B290" s="320">
        <v>1</v>
      </c>
      <c r="C290" s="320">
        <v>38627.038211999999</v>
      </c>
      <c r="D290" s="320">
        <v>4868.3599999999997</v>
      </c>
    </row>
    <row r="291" spans="1:4" x14ac:dyDescent="0.2">
      <c r="A291" s="69">
        <v>9003502500</v>
      </c>
      <c r="B291" s="320">
        <v>1</v>
      </c>
      <c r="C291" s="320">
        <v>10825.247160000001</v>
      </c>
      <c r="D291" s="320">
        <v>1648.5</v>
      </c>
    </row>
    <row r="292" spans="1:4" x14ac:dyDescent="0.2">
      <c r="A292" s="69">
        <v>9003502600</v>
      </c>
      <c r="B292" s="320">
        <v>1</v>
      </c>
      <c r="C292" s="320">
        <v>20582.632034999999</v>
      </c>
      <c r="D292" s="320">
        <v>27258.65</v>
      </c>
    </row>
    <row r="293" spans="1:4" x14ac:dyDescent="0.2">
      <c r="A293" s="69">
        <v>9003502700</v>
      </c>
      <c r="B293" s="320">
        <v>1</v>
      </c>
      <c r="C293" s="320">
        <v>19065.961320000002</v>
      </c>
      <c r="D293" s="320">
        <v>2277.9899999999998</v>
      </c>
    </row>
    <row r="294" spans="1:4" x14ac:dyDescent="0.2">
      <c r="A294" s="69">
        <v>9003502800</v>
      </c>
      <c r="B294" s="320">
        <v>1</v>
      </c>
      <c r="C294" s="320">
        <v>21049.97076</v>
      </c>
      <c r="D294" s="320">
        <v>1798.66</v>
      </c>
    </row>
    <row r="295" spans="1:4" x14ac:dyDescent="0.2">
      <c r="A295" s="69">
        <v>9003502900</v>
      </c>
      <c r="B295" s="320">
        <v>1</v>
      </c>
      <c r="C295" s="320">
        <v>12910.225335000001</v>
      </c>
      <c r="D295" s="320">
        <v>296.17</v>
      </c>
    </row>
    <row r="296" spans="1:4" x14ac:dyDescent="0.2">
      <c r="A296" s="69">
        <v>9003503000</v>
      </c>
      <c r="B296" s="320">
        <v>1</v>
      </c>
      <c r="C296" s="320">
        <v>17912.302778999998</v>
      </c>
      <c r="D296" s="320">
        <v>159.18</v>
      </c>
    </row>
    <row r="297" spans="1:4" x14ac:dyDescent="0.2">
      <c r="A297" s="69">
        <v>9003503100</v>
      </c>
      <c r="B297" s="320">
        <v>1</v>
      </c>
      <c r="C297" s="320">
        <v>21726.811217999999</v>
      </c>
      <c r="D297" s="320">
        <v>1722.11</v>
      </c>
    </row>
    <row r="298" spans="1:4" x14ac:dyDescent="0.2">
      <c r="A298" s="69">
        <v>9003503300</v>
      </c>
      <c r="B298" s="320">
        <v>1</v>
      </c>
      <c r="C298" s="320">
        <v>15415.710555</v>
      </c>
      <c r="D298" s="320">
        <v>358.51</v>
      </c>
    </row>
    <row r="299" spans="1:4" x14ac:dyDescent="0.2">
      <c r="A299" s="69">
        <v>9003503500</v>
      </c>
      <c r="B299" s="320">
        <v>1</v>
      </c>
      <c r="C299" s="320">
        <v>9440.2446600000003</v>
      </c>
      <c r="D299" s="320">
        <v>6189.88</v>
      </c>
    </row>
    <row r="300" spans="1:4" x14ac:dyDescent="0.2">
      <c r="A300" s="69">
        <v>9003503700</v>
      </c>
      <c r="B300" s="320">
        <v>1</v>
      </c>
      <c r="C300" s="320">
        <v>21963.401040000001</v>
      </c>
      <c r="D300" s="320">
        <v>3479.46</v>
      </c>
    </row>
    <row r="301" spans="1:4" x14ac:dyDescent="0.2">
      <c r="A301" s="69">
        <v>9003503800</v>
      </c>
      <c r="B301" s="320">
        <v>1</v>
      </c>
      <c r="C301" s="320">
        <v>3741.4397159999999</v>
      </c>
      <c r="D301" s="320">
        <v>1283.46</v>
      </c>
    </row>
    <row r="302" spans="1:4" x14ac:dyDescent="0.2">
      <c r="A302" s="69">
        <v>9003503900</v>
      </c>
      <c r="B302" s="320">
        <v>2</v>
      </c>
      <c r="C302" s="320">
        <v>35355.43578</v>
      </c>
      <c r="D302" s="320">
        <v>43001.09</v>
      </c>
    </row>
    <row r="303" spans="1:4" x14ac:dyDescent="0.2">
      <c r="A303" s="69">
        <v>9003504000</v>
      </c>
      <c r="B303" s="320">
        <v>1</v>
      </c>
      <c r="C303" s="320">
        <v>21857.042024999999</v>
      </c>
      <c r="D303" s="320">
        <v>15681.03</v>
      </c>
    </row>
    <row r="304" spans="1:4" x14ac:dyDescent="0.2">
      <c r="A304" s="69">
        <v>9003504100</v>
      </c>
      <c r="B304" s="320">
        <v>1</v>
      </c>
      <c r="C304" s="320">
        <v>8361.1019099999994</v>
      </c>
      <c r="D304" s="320">
        <v>946.23</v>
      </c>
    </row>
    <row r="305" spans="1:4" x14ac:dyDescent="0.2">
      <c r="A305" s="69">
        <v>9003504200</v>
      </c>
      <c r="B305" s="320">
        <v>1</v>
      </c>
      <c r="C305" s="320">
        <v>27450.560697000001</v>
      </c>
      <c r="D305" s="320">
        <v>4524.21</v>
      </c>
    </row>
    <row r="306" spans="1:4" x14ac:dyDescent="0.2">
      <c r="A306" s="69">
        <v>9003504300</v>
      </c>
      <c r="B306" s="320">
        <v>1</v>
      </c>
      <c r="C306" s="320">
        <v>13611.832101000002</v>
      </c>
      <c r="D306" s="320">
        <v>3193.16</v>
      </c>
    </row>
    <row r="307" spans="1:4" x14ac:dyDescent="0.2">
      <c r="A307" s="69">
        <v>9003504500</v>
      </c>
      <c r="B307" s="320">
        <v>1</v>
      </c>
      <c r="C307" s="320">
        <v>21935.32908</v>
      </c>
      <c r="D307" s="320">
        <v>9635.0300000000007</v>
      </c>
    </row>
    <row r="308" spans="1:4" x14ac:dyDescent="0.2">
      <c r="A308" s="69">
        <v>9003504800</v>
      </c>
      <c r="B308" s="320">
        <v>1</v>
      </c>
      <c r="C308" s="320">
        <v>34630.234464000001</v>
      </c>
      <c r="D308" s="320">
        <v>73478.880000000005</v>
      </c>
    </row>
    <row r="309" spans="1:4" x14ac:dyDescent="0.2">
      <c r="A309" s="69">
        <v>9003504900</v>
      </c>
      <c r="B309" s="320">
        <v>1</v>
      </c>
      <c r="C309" s="320">
        <v>25292.758679999999</v>
      </c>
      <c r="D309" s="320">
        <v>13193.14</v>
      </c>
    </row>
    <row r="310" spans="1:4" x14ac:dyDescent="0.2">
      <c r="A310" s="69">
        <v>9003510100</v>
      </c>
      <c r="B310" s="320">
        <v>1</v>
      </c>
      <c r="C310" s="320">
        <v>17095.802388</v>
      </c>
      <c r="D310" s="320">
        <v>7398.88</v>
      </c>
    </row>
    <row r="311" spans="1:4" x14ac:dyDescent="0.2">
      <c r="A311" s="69">
        <v>9003510200</v>
      </c>
      <c r="B311" s="320">
        <v>1</v>
      </c>
      <c r="C311" s="320">
        <v>14390.598600000001</v>
      </c>
      <c r="D311" s="320">
        <v>14628.72</v>
      </c>
    </row>
    <row r="312" spans="1:4" x14ac:dyDescent="0.2">
      <c r="A312" s="69">
        <v>9003510300</v>
      </c>
      <c r="B312" s="320">
        <v>1</v>
      </c>
      <c r="C312" s="320">
        <v>27406.101030000002</v>
      </c>
      <c r="D312" s="320">
        <v>19640.63</v>
      </c>
    </row>
    <row r="313" spans="1:4" x14ac:dyDescent="0.2">
      <c r="A313" s="69">
        <v>9003510400</v>
      </c>
      <c r="B313" s="320">
        <v>1</v>
      </c>
      <c r="C313" s="320">
        <v>34942.397363999997</v>
      </c>
      <c r="D313" s="320">
        <v>8252.76</v>
      </c>
    </row>
    <row r="314" spans="1:4" x14ac:dyDescent="0.2">
      <c r="A314" s="69">
        <v>9003510500</v>
      </c>
      <c r="B314" s="320">
        <v>1</v>
      </c>
      <c r="C314" s="320">
        <v>28201.181820000002</v>
      </c>
      <c r="D314" s="320">
        <v>11501.27</v>
      </c>
    </row>
    <row r="315" spans="1:4" x14ac:dyDescent="0.2">
      <c r="A315" s="69">
        <v>9003510600</v>
      </c>
      <c r="B315" s="320">
        <v>1</v>
      </c>
      <c r="C315" s="320">
        <v>35289.634758</v>
      </c>
      <c r="D315" s="320">
        <v>47826.95</v>
      </c>
    </row>
    <row r="316" spans="1:4" x14ac:dyDescent="0.2">
      <c r="A316" s="69">
        <v>9003510700</v>
      </c>
      <c r="B316" s="320">
        <v>2</v>
      </c>
      <c r="C316" s="320">
        <v>38206.779911999998</v>
      </c>
      <c r="D316" s="320">
        <v>42930.395000000004</v>
      </c>
    </row>
    <row r="317" spans="1:4" x14ac:dyDescent="0.2">
      <c r="A317" s="69">
        <v>9003510800</v>
      </c>
      <c r="B317" s="320">
        <v>1</v>
      </c>
      <c r="C317" s="320">
        <v>22984.757669999999</v>
      </c>
      <c r="D317" s="320">
        <v>35333.4</v>
      </c>
    </row>
    <row r="318" spans="1:4" x14ac:dyDescent="0.2">
      <c r="A318" s="69">
        <v>9003510900</v>
      </c>
      <c r="B318" s="320">
        <v>1</v>
      </c>
      <c r="C318" s="320">
        <v>33499.131540000002</v>
      </c>
      <c r="D318" s="320">
        <v>46176.364999999998</v>
      </c>
    </row>
    <row r="319" spans="1:4" x14ac:dyDescent="0.2">
      <c r="A319" s="69">
        <v>9003511000</v>
      </c>
      <c r="B319" s="320">
        <v>1</v>
      </c>
      <c r="C319" s="320">
        <v>31599.164100000002</v>
      </c>
      <c r="D319" s="320">
        <v>44515.13</v>
      </c>
    </row>
    <row r="320" spans="1:4" x14ac:dyDescent="0.2">
      <c r="A320" s="69">
        <v>9003511100</v>
      </c>
      <c r="B320" s="320">
        <v>1</v>
      </c>
      <c r="C320" s="320">
        <v>464189.15348400001</v>
      </c>
      <c r="D320" s="320">
        <v>847519.3</v>
      </c>
    </row>
    <row r="321" spans="1:4" x14ac:dyDescent="0.2">
      <c r="A321" s="69">
        <v>9003511200</v>
      </c>
      <c r="B321" s="320">
        <v>1</v>
      </c>
      <c r="C321" s="320">
        <v>21825.690494999999</v>
      </c>
      <c r="D321" s="320">
        <v>6911.54</v>
      </c>
    </row>
    <row r="322" spans="1:4" x14ac:dyDescent="0.2">
      <c r="A322" s="69">
        <v>9003511300</v>
      </c>
      <c r="B322" s="320">
        <v>1</v>
      </c>
      <c r="C322" s="320">
        <v>22506.48141</v>
      </c>
      <c r="D322" s="320">
        <v>32046.06</v>
      </c>
    </row>
    <row r="323" spans="1:4" x14ac:dyDescent="0.2">
      <c r="A323" s="69">
        <v>9003511400</v>
      </c>
      <c r="B323" s="320">
        <v>1</v>
      </c>
      <c r="C323" s="320">
        <v>20366.008949999999</v>
      </c>
      <c r="D323" s="320">
        <v>28760.78</v>
      </c>
    </row>
    <row r="324" spans="1:4" x14ac:dyDescent="0.2">
      <c r="A324" s="69">
        <v>9003514101</v>
      </c>
      <c r="B324" s="320">
        <v>2</v>
      </c>
      <c r="C324" s="320">
        <v>32540.941650000001</v>
      </c>
      <c r="D324" s="320">
        <v>25696.22</v>
      </c>
    </row>
    <row r="325" spans="1:4" x14ac:dyDescent="0.2">
      <c r="A325" s="69">
        <v>9003514102</v>
      </c>
      <c r="B325" s="320">
        <v>3</v>
      </c>
      <c r="C325" s="320">
        <v>46656.237977999997</v>
      </c>
      <c r="D325" s="320">
        <v>13789.99</v>
      </c>
    </row>
    <row r="326" spans="1:4" x14ac:dyDescent="0.2">
      <c r="A326" s="69">
        <v>9003514200</v>
      </c>
      <c r="B326" s="320">
        <v>1</v>
      </c>
      <c r="C326" s="320">
        <v>28184.568069000001</v>
      </c>
      <c r="D326" s="320">
        <v>35847.35</v>
      </c>
    </row>
    <row r="327" spans="1:4" x14ac:dyDescent="0.2">
      <c r="A327" s="69">
        <v>9003514300</v>
      </c>
      <c r="B327" s="320">
        <v>1</v>
      </c>
      <c r="C327" s="320">
        <v>36217.866090000003</v>
      </c>
      <c r="D327" s="320">
        <v>45252.57</v>
      </c>
    </row>
    <row r="328" spans="1:4" x14ac:dyDescent="0.2">
      <c r="A328" s="69">
        <v>9003514400</v>
      </c>
      <c r="B328" s="320">
        <v>1</v>
      </c>
      <c r="C328" s="320">
        <v>35376.295101000003</v>
      </c>
      <c r="D328" s="320">
        <v>20562.77</v>
      </c>
    </row>
    <row r="329" spans="1:4" x14ac:dyDescent="0.2">
      <c r="A329" s="69">
        <v>9003514500</v>
      </c>
      <c r="B329" s="320">
        <v>1</v>
      </c>
      <c r="C329" s="320">
        <v>37316.888637000004</v>
      </c>
      <c r="D329" s="320">
        <v>23776.12</v>
      </c>
    </row>
    <row r="330" spans="1:4" x14ac:dyDescent="0.2">
      <c r="A330" s="69">
        <v>9003514600</v>
      </c>
      <c r="B330" s="320">
        <v>1</v>
      </c>
      <c r="C330" s="320">
        <v>686762.95304400008</v>
      </c>
      <c r="D330" s="320">
        <v>842774.30750000011</v>
      </c>
    </row>
    <row r="331" spans="1:4" x14ac:dyDescent="0.2">
      <c r="A331" s="69">
        <v>9003514700</v>
      </c>
      <c r="B331" s="320">
        <v>1</v>
      </c>
      <c r="C331" s="320">
        <v>34941.534725999998</v>
      </c>
      <c r="D331" s="320">
        <v>16209.24</v>
      </c>
    </row>
    <row r="332" spans="1:4" x14ac:dyDescent="0.2">
      <c r="A332" s="69">
        <v>9003514800</v>
      </c>
      <c r="B332" s="320">
        <v>1</v>
      </c>
      <c r="C332" s="320">
        <v>23920.869630000001</v>
      </c>
      <c r="D332" s="320">
        <v>20062.86</v>
      </c>
    </row>
    <row r="333" spans="1:4" x14ac:dyDescent="0.2">
      <c r="A333" s="69">
        <v>9003514900</v>
      </c>
      <c r="B333" s="320">
        <v>2</v>
      </c>
      <c r="C333" s="320">
        <v>28304.790150000001</v>
      </c>
      <c r="D333" s="320">
        <v>69864.054999999993</v>
      </c>
    </row>
    <row r="334" spans="1:4" x14ac:dyDescent="0.2">
      <c r="A334" s="69">
        <v>9003515000</v>
      </c>
      <c r="B334" s="320">
        <v>1</v>
      </c>
      <c r="C334" s="320">
        <v>32106.172097999999</v>
      </c>
      <c r="D334" s="320">
        <v>38085.629999999997</v>
      </c>
    </row>
    <row r="335" spans="1:4" x14ac:dyDescent="0.2">
      <c r="A335" s="69">
        <v>9003515101</v>
      </c>
      <c r="B335" s="320">
        <v>1</v>
      </c>
      <c r="C335" s="320">
        <v>22073.529870000002</v>
      </c>
      <c r="D335" s="320">
        <v>16215.91</v>
      </c>
    </row>
    <row r="336" spans="1:4" x14ac:dyDescent="0.2">
      <c r="A336" s="69">
        <v>9003515102</v>
      </c>
      <c r="B336" s="320">
        <v>1</v>
      </c>
      <c r="C336" s="320">
        <v>46546.763129999999</v>
      </c>
      <c r="D336" s="320">
        <v>49224.54</v>
      </c>
    </row>
    <row r="337" spans="1:4" x14ac:dyDescent="0.2">
      <c r="A337" s="69">
        <v>9003515200</v>
      </c>
      <c r="B337" s="320">
        <v>1</v>
      </c>
      <c r="C337" s="320">
        <v>38220.302463</v>
      </c>
      <c r="D337" s="320">
        <v>27624.65</v>
      </c>
    </row>
    <row r="338" spans="1:4" x14ac:dyDescent="0.2">
      <c r="A338" s="69">
        <v>9003520100</v>
      </c>
      <c r="B338" s="320">
        <v>2</v>
      </c>
      <c r="C338" s="320">
        <v>58528.809780000003</v>
      </c>
      <c r="D338" s="320">
        <v>55232.22</v>
      </c>
    </row>
    <row r="339" spans="1:4" x14ac:dyDescent="0.2">
      <c r="A339" s="69">
        <v>9003520201</v>
      </c>
      <c r="B339" s="320">
        <v>1</v>
      </c>
      <c r="C339" s="320">
        <v>50053.257156</v>
      </c>
      <c r="D339" s="320">
        <v>32587.47</v>
      </c>
    </row>
    <row r="340" spans="1:4" x14ac:dyDescent="0.2">
      <c r="A340" s="69">
        <v>9003520202</v>
      </c>
      <c r="B340" s="320">
        <v>1</v>
      </c>
      <c r="C340" s="320">
        <v>54415.591440000004</v>
      </c>
      <c r="D340" s="320">
        <v>34077.245000000003</v>
      </c>
    </row>
    <row r="341" spans="1:4" x14ac:dyDescent="0.2">
      <c r="A341" s="69">
        <v>9003520301</v>
      </c>
      <c r="B341" s="320">
        <v>1</v>
      </c>
      <c r="C341" s="320">
        <v>54077.215164000001</v>
      </c>
      <c r="D341" s="320">
        <v>53736.13</v>
      </c>
    </row>
    <row r="342" spans="1:4" x14ac:dyDescent="0.2">
      <c r="A342" s="69">
        <v>9003520302</v>
      </c>
      <c r="B342" s="320">
        <v>1</v>
      </c>
      <c r="C342" s="320">
        <v>35292.892110000001</v>
      </c>
      <c r="D342" s="320">
        <v>16508.41</v>
      </c>
    </row>
    <row r="343" spans="1:4" x14ac:dyDescent="0.2">
      <c r="A343" s="69">
        <v>9003520400</v>
      </c>
      <c r="B343" s="320">
        <v>1</v>
      </c>
      <c r="C343" s="320">
        <v>459297.76032</v>
      </c>
      <c r="D343" s="320">
        <v>465446.95</v>
      </c>
    </row>
    <row r="344" spans="1:4" x14ac:dyDescent="0.2">
      <c r="A344" s="69">
        <v>9003520501</v>
      </c>
      <c r="B344" s="320">
        <v>1</v>
      </c>
      <c r="C344" s="320">
        <v>59047.810185000002</v>
      </c>
      <c r="D344" s="320">
        <v>23370.735000000001</v>
      </c>
    </row>
    <row r="345" spans="1:4" x14ac:dyDescent="0.2">
      <c r="A345" s="69">
        <v>9003524100</v>
      </c>
      <c r="B345" s="320">
        <v>1</v>
      </c>
      <c r="C345" s="320">
        <v>130081.90003200001</v>
      </c>
      <c r="D345" s="320">
        <v>162480.505</v>
      </c>
    </row>
    <row r="346" spans="1:4" x14ac:dyDescent="0.2">
      <c r="A346" s="69">
        <v>9003524200</v>
      </c>
      <c r="B346" s="320">
        <v>1</v>
      </c>
      <c r="C346" s="320">
        <v>57713.538140999997</v>
      </c>
      <c r="D346" s="320">
        <v>31825.62</v>
      </c>
    </row>
    <row r="347" spans="1:4" x14ac:dyDescent="0.2">
      <c r="A347" s="69">
        <v>9003524300</v>
      </c>
      <c r="B347" s="320">
        <v>1</v>
      </c>
      <c r="C347" s="320">
        <v>457203.40228500002</v>
      </c>
      <c r="D347" s="320">
        <v>666890.85</v>
      </c>
    </row>
    <row r="348" spans="1:4" x14ac:dyDescent="0.2">
      <c r="A348" s="69">
        <v>9003524400</v>
      </c>
      <c r="B348" s="320">
        <v>2</v>
      </c>
      <c r="C348" s="320">
        <v>22395.623250000001</v>
      </c>
      <c r="D348" s="320">
        <v>2969.41</v>
      </c>
    </row>
    <row r="349" spans="1:4" x14ac:dyDescent="0.2">
      <c r="A349" s="69">
        <v>9003524501</v>
      </c>
      <c r="B349" s="320">
        <v>1</v>
      </c>
      <c r="C349" s="320">
        <v>14079.380448</v>
      </c>
      <c r="D349" s="320">
        <v>3308.66</v>
      </c>
    </row>
    <row r="350" spans="1:4" x14ac:dyDescent="0.2">
      <c r="A350" s="69">
        <v>9003524502</v>
      </c>
      <c r="B350" s="320">
        <v>1</v>
      </c>
      <c r="C350" s="320">
        <v>22402.98417</v>
      </c>
      <c r="D350" s="320">
        <v>7336.67</v>
      </c>
    </row>
    <row r="351" spans="1:4" x14ac:dyDescent="0.2">
      <c r="A351" s="69">
        <v>9003524600</v>
      </c>
      <c r="B351" s="320">
        <v>1</v>
      </c>
      <c r="C351" s="320">
        <v>16407.574722000001</v>
      </c>
      <c r="D351" s="320">
        <v>3823.23</v>
      </c>
    </row>
    <row r="352" spans="1:4" x14ac:dyDescent="0.2">
      <c r="A352" s="69">
        <v>9003524700</v>
      </c>
      <c r="B352" s="320">
        <v>1</v>
      </c>
      <c r="C352" s="320">
        <v>21960.522359999999</v>
      </c>
      <c r="D352" s="320">
        <v>29626.66</v>
      </c>
    </row>
    <row r="353" spans="1:4" x14ac:dyDescent="0.2">
      <c r="A353" s="69">
        <v>9005250100</v>
      </c>
      <c r="B353" s="320">
        <v>1</v>
      </c>
      <c r="C353" s="320">
        <v>58345.983171</v>
      </c>
      <c r="D353" s="320">
        <v>106635.035</v>
      </c>
    </row>
    <row r="354" spans="1:4" x14ac:dyDescent="0.2">
      <c r="A354" s="69">
        <v>9005253100</v>
      </c>
      <c r="B354" s="320">
        <v>1</v>
      </c>
      <c r="C354" s="320">
        <v>57364.048035</v>
      </c>
      <c r="D354" s="320">
        <v>42343.54</v>
      </c>
    </row>
    <row r="355" spans="1:4" x14ac:dyDescent="0.2">
      <c r="A355" s="69">
        <v>9005253200</v>
      </c>
      <c r="B355" s="320">
        <v>2</v>
      </c>
      <c r="C355" s="320">
        <v>90727.861329000007</v>
      </c>
      <c r="D355" s="320">
        <v>60325.279999999999</v>
      </c>
    </row>
    <row r="356" spans="1:4" x14ac:dyDescent="0.2">
      <c r="A356" s="69">
        <v>9005253300</v>
      </c>
      <c r="B356" s="320">
        <v>1</v>
      </c>
      <c r="C356" s="320">
        <v>28366.010399999999</v>
      </c>
      <c r="D356" s="320">
        <v>15122.88</v>
      </c>
    </row>
    <row r="357" spans="1:4" x14ac:dyDescent="0.2">
      <c r="A357" s="69">
        <v>9005253400</v>
      </c>
      <c r="B357" s="320">
        <v>3</v>
      </c>
      <c r="C357" s="320">
        <v>421778.71734600002</v>
      </c>
      <c r="D357" s="320">
        <v>504207.10499999998</v>
      </c>
    </row>
    <row r="358" spans="1:4" x14ac:dyDescent="0.2">
      <c r="A358" s="69">
        <v>9005253500</v>
      </c>
      <c r="B358" s="320">
        <v>3</v>
      </c>
      <c r="C358" s="320">
        <v>84622.418684999997</v>
      </c>
      <c r="D358" s="320">
        <v>126853.9</v>
      </c>
    </row>
    <row r="359" spans="1:4" x14ac:dyDescent="0.2">
      <c r="A359" s="69">
        <v>9005253600</v>
      </c>
      <c r="B359" s="320">
        <v>1</v>
      </c>
      <c r="C359" s="320">
        <v>30267.038507999998</v>
      </c>
      <c r="D359" s="320">
        <v>37997.32</v>
      </c>
    </row>
    <row r="360" spans="1:4" x14ac:dyDescent="0.2">
      <c r="A360" s="69">
        <v>9005260200</v>
      </c>
      <c r="B360" s="320">
        <v>2</v>
      </c>
      <c r="C360" s="320">
        <v>90899.115741000001</v>
      </c>
      <c r="D360" s="320">
        <v>149057.72500000001</v>
      </c>
    </row>
    <row r="361" spans="1:4" x14ac:dyDescent="0.2">
      <c r="A361" s="69">
        <v>9005261100</v>
      </c>
      <c r="B361" s="320">
        <v>1</v>
      </c>
      <c r="C361" s="320">
        <v>149224.667529</v>
      </c>
      <c r="D361" s="320">
        <v>90519.815000000002</v>
      </c>
    </row>
    <row r="362" spans="1:4" x14ac:dyDescent="0.2">
      <c r="A362" s="69">
        <v>9005262100</v>
      </c>
      <c r="B362" s="320">
        <v>3</v>
      </c>
      <c r="C362" s="320">
        <v>99119.727440999995</v>
      </c>
      <c r="D362" s="320">
        <v>55892.807500000003</v>
      </c>
    </row>
    <row r="363" spans="1:4" x14ac:dyDescent="0.2">
      <c r="A363" s="69">
        <v>9005263200</v>
      </c>
      <c r="B363" s="320">
        <v>2</v>
      </c>
      <c r="C363" s="320">
        <v>50927.001258000004</v>
      </c>
      <c r="D363" s="320">
        <v>50967.03</v>
      </c>
    </row>
    <row r="364" spans="1:4" x14ac:dyDescent="0.2">
      <c r="A364" s="69">
        <v>9005265100</v>
      </c>
      <c r="B364" s="320">
        <v>3</v>
      </c>
      <c r="C364" s="320">
        <v>26727.317946000003</v>
      </c>
      <c r="D364" s="320">
        <v>54379.39</v>
      </c>
    </row>
    <row r="365" spans="1:4" x14ac:dyDescent="0.2">
      <c r="A365" s="69">
        <v>9005266100</v>
      </c>
      <c r="B365" s="320">
        <v>3</v>
      </c>
      <c r="C365" s="320">
        <v>129692.38709699998</v>
      </c>
      <c r="D365" s="320">
        <v>160736.25</v>
      </c>
    </row>
    <row r="366" spans="1:4" x14ac:dyDescent="0.2">
      <c r="A366" s="69">
        <v>9005267100</v>
      </c>
      <c r="B366" s="320">
        <v>3</v>
      </c>
      <c r="C366" s="320">
        <v>180662.46326099997</v>
      </c>
      <c r="D366" s="320">
        <v>91424.709999999992</v>
      </c>
    </row>
    <row r="367" spans="1:4" x14ac:dyDescent="0.2">
      <c r="A367" s="69">
        <v>9005268100</v>
      </c>
      <c r="B367" s="320">
        <v>2</v>
      </c>
      <c r="C367" s="320">
        <v>84798.790482000011</v>
      </c>
      <c r="D367" s="320">
        <v>115922.63499999999</v>
      </c>
    </row>
    <row r="368" spans="1:4" x14ac:dyDescent="0.2">
      <c r="A368" s="69">
        <v>9005290100</v>
      </c>
      <c r="B368" s="320">
        <v>2</v>
      </c>
      <c r="C368" s="320">
        <v>69525.313284000003</v>
      </c>
      <c r="D368" s="320">
        <v>149693.33499999999</v>
      </c>
    </row>
    <row r="369" spans="1:4" x14ac:dyDescent="0.2">
      <c r="A369" s="69">
        <v>9005293100</v>
      </c>
      <c r="B369" s="320">
        <v>2</v>
      </c>
      <c r="C369" s="320">
        <v>37799.43993</v>
      </c>
      <c r="D369" s="320">
        <v>77714.039999999994</v>
      </c>
    </row>
    <row r="370" spans="1:4" x14ac:dyDescent="0.2">
      <c r="A370" s="69">
        <v>9005296100</v>
      </c>
      <c r="B370" s="320">
        <v>3</v>
      </c>
      <c r="C370" s="320">
        <v>87804.234314999994</v>
      </c>
      <c r="D370" s="320">
        <v>214841.785</v>
      </c>
    </row>
    <row r="371" spans="1:4" x14ac:dyDescent="0.2">
      <c r="A371" s="69">
        <v>9005298300</v>
      </c>
      <c r="B371" s="320">
        <v>1</v>
      </c>
      <c r="C371" s="320">
        <v>78619.591805999997</v>
      </c>
      <c r="D371" s="320">
        <v>130502.37</v>
      </c>
    </row>
    <row r="372" spans="1:4" x14ac:dyDescent="0.2">
      <c r="A372" s="69">
        <v>9005298400</v>
      </c>
      <c r="B372" s="320">
        <v>1</v>
      </c>
      <c r="C372" s="320">
        <v>38389.077636000002</v>
      </c>
      <c r="D372" s="320">
        <v>18386.88</v>
      </c>
    </row>
    <row r="373" spans="1:4" x14ac:dyDescent="0.2">
      <c r="A373" s="69">
        <v>9005300100</v>
      </c>
      <c r="B373" s="320">
        <v>2</v>
      </c>
      <c r="C373" s="320">
        <v>40653.661293000005</v>
      </c>
      <c r="D373" s="320">
        <v>38307.86</v>
      </c>
    </row>
    <row r="374" spans="1:4" x14ac:dyDescent="0.2">
      <c r="A374" s="69">
        <v>9005300400</v>
      </c>
      <c r="B374" s="320">
        <v>1</v>
      </c>
      <c r="C374" s="320">
        <v>27728.253336000002</v>
      </c>
      <c r="D374" s="320">
        <v>33987.58</v>
      </c>
    </row>
    <row r="375" spans="1:4" x14ac:dyDescent="0.2">
      <c r="A375" s="69">
        <v>9005300500</v>
      </c>
      <c r="B375" s="320">
        <v>2</v>
      </c>
      <c r="C375" s="320">
        <v>175853.62977</v>
      </c>
      <c r="D375" s="320">
        <v>355793.44500000001</v>
      </c>
    </row>
    <row r="376" spans="1:4" x14ac:dyDescent="0.2">
      <c r="A376" s="69">
        <v>9005303100</v>
      </c>
      <c r="B376" s="320">
        <v>3</v>
      </c>
      <c r="C376" s="320">
        <v>59578.514163</v>
      </c>
      <c r="D376" s="320">
        <v>138104.68</v>
      </c>
    </row>
    <row r="377" spans="1:4" x14ac:dyDescent="0.2">
      <c r="A377" s="69">
        <v>9005306100</v>
      </c>
      <c r="B377" s="320">
        <v>1</v>
      </c>
      <c r="C377" s="320">
        <v>141521.92166699999</v>
      </c>
      <c r="D377" s="320">
        <v>211576.22500000001</v>
      </c>
    </row>
    <row r="378" spans="1:4" x14ac:dyDescent="0.2">
      <c r="A378" s="69">
        <v>9005310100</v>
      </c>
      <c r="B378" s="320">
        <v>1</v>
      </c>
      <c r="C378" s="320">
        <v>46978.149267000001</v>
      </c>
      <c r="D378" s="320">
        <v>56563.3</v>
      </c>
    </row>
    <row r="379" spans="1:4" x14ac:dyDescent="0.2">
      <c r="A379" s="69">
        <v>9005310200</v>
      </c>
      <c r="B379" s="320">
        <v>1</v>
      </c>
      <c r="C379" s="320">
        <v>20265.39039</v>
      </c>
      <c r="D379" s="320">
        <v>5612.24</v>
      </c>
    </row>
    <row r="380" spans="1:4" x14ac:dyDescent="0.2">
      <c r="A380" s="69">
        <v>9005310300</v>
      </c>
      <c r="B380" s="320">
        <v>1</v>
      </c>
      <c r="C380" s="320">
        <v>15107.104950000001</v>
      </c>
      <c r="D380" s="320">
        <v>14784.33</v>
      </c>
    </row>
    <row r="381" spans="1:4" x14ac:dyDescent="0.2">
      <c r="A381" s="69">
        <v>9005310400</v>
      </c>
      <c r="B381" s="320">
        <v>2</v>
      </c>
      <c r="C381" s="320">
        <v>28774.019819999998</v>
      </c>
      <c r="D381" s="320">
        <v>28110.3</v>
      </c>
    </row>
    <row r="382" spans="1:4" x14ac:dyDescent="0.2">
      <c r="A382" s="69">
        <v>9005310500</v>
      </c>
      <c r="B382" s="320">
        <v>1</v>
      </c>
      <c r="C382" s="320">
        <v>20394.061107000001</v>
      </c>
      <c r="D382" s="320">
        <v>45042.37</v>
      </c>
    </row>
    <row r="383" spans="1:4" x14ac:dyDescent="0.2">
      <c r="A383" s="69">
        <v>9005310601</v>
      </c>
      <c r="B383" s="320">
        <v>1</v>
      </c>
      <c r="C383" s="320">
        <v>35280.058799999999</v>
      </c>
      <c r="D383" s="320">
        <v>18001.21</v>
      </c>
    </row>
    <row r="384" spans="1:4" x14ac:dyDescent="0.2">
      <c r="A384" s="69">
        <v>9005310602</v>
      </c>
      <c r="B384" s="320">
        <v>1</v>
      </c>
      <c r="C384" s="320">
        <v>43225.474488</v>
      </c>
      <c r="D384" s="320">
        <v>22009.26</v>
      </c>
    </row>
    <row r="385" spans="1:4" x14ac:dyDescent="0.2">
      <c r="A385" s="69">
        <v>9005310700</v>
      </c>
      <c r="B385" s="320">
        <v>2</v>
      </c>
      <c r="C385" s="320">
        <v>446062.044666</v>
      </c>
      <c r="D385" s="320">
        <v>841677.91399999999</v>
      </c>
    </row>
    <row r="386" spans="1:4" x14ac:dyDescent="0.2">
      <c r="A386" s="69">
        <v>9005310801</v>
      </c>
      <c r="B386" s="320">
        <v>1</v>
      </c>
      <c r="C386" s="320">
        <v>22948.7307</v>
      </c>
      <c r="D386" s="320">
        <v>24077.17</v>
      </c>
    </row>
    <row r="387" spans="1:4" x14ac:dyDescent="0.2">
      <c r="A387" s="69">
        <v>9005310803</v>
      </c>
      <c r="B387" s="320">
        <v>1</v>
      </c>
      <c r="C387" s="320">
        <v>43171.448040000003</v>
      </c>
      <c r="D387" s="320">
        <v>32602.01</v>
      </c>
    </row>
    <row r="388" spans="1:4" x14ac:dyDescent="0.2">
      <c r="A388" s="69">
        <v>9005310804</v>
      </c>
      <c r="B388" s="320">
        <v>1</v>
      </c>
      <c r="C388" s="320">
        <v>24409.89747</v>
      </c>
      <c r="D388" s="320">
        <v>24823.07</v>
      </c>
    </row>
    <row r="389" spans="1:4" x14ac:dyDescent="0.2">
      <c r="A389" s="69">
        <v>9005320100</v>
      </c>
      <c r="B389" s="320">
        <v>3</v>
      </c>
      <c r="C389" s="320">
        <v>179984.50417500001</v>
      </c>
      <c r="D389" s="320">
        <v>165704.77000000002</v>
      </c>
    </row>
    <row r="390" spans="1:4" x14ac:dyDescent="0.2">
      <c r="A390" s="69">
        <v>9005320200</v>
      </c>
      <c r="B390" s="320">
        <v>2</v>
      </c>
      <c r="C390" s="320">
        <v>47194.666574999996</v>
      </c>
      <c r="D390" s="320">
        <v>27253.485000000001</v>
      </c>
    </row>
    <row r="391" spans="1:4" x14ac:dyDescent="0.2">
      <c r="A391" s="69">
        <v>9005342100</v>
      </c>
      <c r="B391" s="320">
        <v>2</v>
      </c>
      <c r="C391" s="320">
        <v>86233.897470000011</v>
      </c>
      <c r="D391" s="320">
        <v>143409.255</v>
      </c>
    </row>
    <row r="392" spans="1:4" x14ac:dyDescent="0.2">
      <c r="A392" s="69">
        <v>9005349100</v>
      </c>
      <c r="B392" s="320">
        <v>2</v>
      </c>
      <c r="C392" s="320">
        <v>58867.717839000004</v>
      </c>
      <c r="D392" s="320">
        <v>79376.61</v>
      </c>
    </row>
    <row r="393" spans="1:4" x14ac:dyDescent="0.2">
      <c r="A393" s="69">
        <v>9005349200</v>
      </c>
      <c r="B393" s="320">
        <v>3</v>
      </c>
      <c r="C393" s="320">
        <v>124187.92976099999</v>
      </c>
      <c r="D393" s="320">
        <v>150807.21</v>
      </c>
    </row>
    <row r="394" spans="1:4" x14ac:dyDescent="0.2">
      <c r="A394" s="69">
        <v>9005360100</v>
      </c>
      <c r="B394" s="320">
        <v>1</v>
      </c>
      <c r="C394" s="320">
        <v>62129.850572999996</v>
      </c>
      <c r="D394" s="320">
        <v>40450.42</v>
      </c>
    </row>
    <row r="395" spans="1:4" x14ac:dyDescent="0.2">
      <c r="A395" s="69">
        <v>9005360200</v>
      </c>
      <c r="B395" s="320">
        <v>1</v>
      </c>
      <c r="C395" s="320">
        <v>99607.674809999997</v>
      </c>
      <c r="D395" s="320">
        <v>147997.88</v>
      </c>
    </row>
    <row r="396" spans="1:4" x14ac:dyDescent="0.2">
      <c r="A396" s="69">
        <v>9005360300</v>
      </c>
      <c r="B396" s="320">
        <v>1</v>
      </c>
      <c r="C396" s="320">
        <v>33231.462599999999</v>
      </c>
      <c r="D396" s="320">
        <v>78957.36</v>
      </c>
    </row>
    <row r="397" spans="1:4" x14ac:dyDescent="0.2">
      <c r="A397" s="69">
        <v>9005360400</v>
      </c>
      <c r="B397" s="320">
        <v>1</v>
      </c>
      <c r="C397" s="320">
        <v>286625.22216300003</v>
      </c>
      <c r="D397" s="320">
        <v>464900.45</v>
      </c>
    </row>
    <row r="398" spans="1:4" x14ac:dyDescent="0.2">
      <c r="A398" s="69">
        <v>9005362101</v>
      </c>
      <c r="B398" s="320">
        <v>1</v>
      </c>
      <c r="C398" s="320">
        <v>181420.263213</v>
      </c>
      <c r="D398" s="320">
        <v>354615.005</v>
      </c>
    </row>
    <row r="399" spans="1:4" x14ac:dyDescent="0.2">
      <c r="A399" s="69">
        <v>9005362102</v>
      </c>
      <c r="B399" s="320">
        <v>4</v>
      </c>
      <c r="C399" s="320">
        <v>86046.293508000002</v>
      </c>
      <c r="D399" s="320">
        <v>106338.13</v>
      </c>
    </row>
    <row r="400" spans="1:4" x14ac:dyDescent="0.2">
      <c r="A400" s="69">
        <v>9005425300</v>
      </c>
      <c r="B400" s="320">
        <v>2</v>
      </c>
      <c r="C400" s="320">
        <v>161353.42929299999</v>
      </c>
      <c r="D400" s="320">
        <v>188385.17</v>
      </c>
    </row>
    <row r="401" spans="1:4" x14ac:dyDescent="0.2">
      <c r="A401" s="69">
        <v>9005425400</v>
      </c>
      <c r="B401" s="320">
        <v>2</v>
      </c>
      <c r="C401" s="320">
        <v>61168.838996999999</v>
      </c>
      <c r="D401" s="320">
        <v>43027.99</v>
      </c>
    </row>
    <row r="402" spans="1:4" x14ac:dyDescent="0.2">
      <c r="A402" s="69">
        <v>9005425500</v>
      </c>
      <c r="B402" s="320">
        <v>1</v>
      </c>
      <c r="C402" s="320">
        <v>33257.810250000002</v>
      </c>
      <c r="D402" s="320">
        <v>14886.14</v>
      </c>
    </row>
    <row r="403" spans="1:4" x14ac:dyDescent="0.2">
      <c r="A403" s="69">
        <v>9005425600</v>
      </c>
      <c r="B403" s="320">
        <v>2</v>
      </c>
      <c r="C403" s="320">
        <v>78719.346762000001</v>
      </c>
      <c r="D403" s="320">
        <v>50963.8</v>
      </c>
    </row>
    <row r="404" spans="1:4" x14ac:dyDescent="0.2">
      <c r="A404" s="69">
        <v>9007541100</v>
      </c>
      <c r="B404" s="320">
        <v>1</v>
      </c>
      <c r="C404" s="320">
        <v>17456.552190000002</v>
      </c>
      <c r="D404" s="320">
        <v>7949.75</v>
      </c>
    </row>
    <row r="405" spans="1:4" x14ac:dyDescent="0.2">
      <c r="A405" s="69">
        <v>9007541200</v>
      </c>
      <c r="B405" s="320">
        <v>1</v>
      </c>
      <c r="C405" s="320">
        <v>541181.67816300003</v>
      </c>
      <c r="D405" s="320">
        <v>919453.81</v>
      </c>
    </row>
    <row r="406" spans="1:4" x14ac:dyDescent="0.2">
      <c r="A406" s="69">
        <v>9007541300</v>
      </c>
      <c r="B406" s="320">
        <v>1</v>
      </c>
      <c r="C406" s="320">
        <v>58781.915787000005</v>
      </c>
      <c r="D406" s="320">
        <v>27035.33</v>
      </c>
    </row>
    <row r="407" spans="1:4" x14ac:dyDescent="0.2">
      <c r="A407" s="69">
        <v>9007541401</v>
      </c>
      <c r="B407" s="320">
        <v>1</v>
      </c>
      <c r="C407" s="320">
        <v>41031.149460000001</v>
      </c>
      <c r="D407" s="320">
        <v>31435.66</v>
      </c>
    </row>
    <row r="408" spans="1:4" x14ac:dyDescent="0.2">
      <c r="A408" s="69">
        <v>9007541402</v>
      </c>
      <c r="B408" s="320">
        <v>1</v>
      </c>
      <c r="C408" s="320">
        <v>68751.666584999999</v>
      </c>
      <c r="D408" s="320">
        <v>61000.464999999997</v>
      </c>
    </row>
    <row r="409" spans="1:4" x14ac:dyDescent="0.2">
      <c r="A409" s="69">
        <v>9007541500</v>
      </c>
      <c r="B409" s="320">
        <v>1</v>
      </c>
      <c r="C409" s="320">
        <v>11640.71538</v>
      </c>
      <c r="D409" s="320">
        <v>12899.83</v>
      </c>
    </row>
    <row r="410" spans="1:4" x14ac:dyDescent="0.2">
      <c r="A410" s="69">
        <v>9007541600</v>
      </c>
      <c r="B410" s="320">
        <v>1</v>
      </c>
      <c r="C410" s="320">
        <v>9056.5750590000007</v>
      </c>
      <c r="D410" s="320">
        <v>18187.349999999999</v>
      </c>
    </row>
    <row r="411" spans="1:4" x14ac:dyDescent="0.2">
      <c r="A411" s="69">
        <v>9007541700</v>
      </c>
      <c r="B411" s="320">
        <v>1</v>
      </c>
      <c r="C411" s="320">
        <v>18898.997879999999</v>
      </c>
      <c r="D411" s="320">
        <v>22573.97</v>
      </c>
    </row>
    <row r="412" spans="1:4" x14ac:dyDescent="0.2">
      <c r="A412" s="69">
        <v>9007542000</v>
      </c>
      <c r="B412" s="320">
        <v>1</v>
      </c>
      <c r="C412" s="320">
        <v>40445.808039000003</v>
      </c>
      <c r="D412" s="320">
        <v>81596.81</v>
      </c>
    </row>
    <row r="413" spans="1:4" x14ac:dyDescent="0.2">
      <c r="A413" s="69">
        <v>9007542100</v>
      </c>
      <c r="B413" s="320">
        <v>1</v>
      </c>
      <c r="C413" s="320">
        <v>31992.364740000001</v>
      </c>
      <c r="D413" s="320">
        <v>30547.095000000001</v>
      </c>
    </row>
    <row r="414" spans="1:4" x14ac:dyDescent="0.2">
      <c r="A414" s="69">
        <v>9007542200</v>
      </c>
      <c r="B414" s="320">
        <v>1</v>
      </c>
      <c r="C414" s="320">
        <v>25187.537130000001</v>
      </c>
      <c r="D414" s="320">
        <v>47414.02</v>
      </c>
    </row>
    <row r="415" spans="1:4" x14ac:dyDescent="0.2">
      <c r="A415" s="69">
        <v>9007550100</v>
      </c>
      <c r="B415" s="320">
        <v>1</v>
      </c>
      <c r="C415" s="320">
        <v>177936.05867100001</v>
      </c>
      <c r="D415" s="320">
        <v>237534.215</v>
      </c>
    </row>
    <row r="416" spans="1:4" x14ac:dyDescent="0.2">
      <c r="A416" s="69">
        <v>9007550201</v>
      </c>
      <c r="B416" s="320">
        <v>2</v>
      </c>
      <c r="C416" s="320">
        <v>45143.193627000001</v>
      </c>
      <c r="D416" s="320">
        <v>34895.760000000002</v>
      </c>
    </row>
    <row r="417" spans="1:4" x14ac:dyDescent="0.2">
      <c r="A417" s="69">
        <v>9007550202</v>
      </c>
      <c r="B417" s="320">
        <v>1</v>
      </c>
      <c r="C417" s="320">
        <v>43204.613235000004</v>
      </c>
      <c r="D417" s="320">
        <v>34676.71</v>
      </c>
    </row>
    <row r="418" spans="1:4" x14ac:dyDescent="0.2">
      <c r="A418" s="69">
        <v>9007560100</v>
      </c>
      <c r="B418" s="320">
        <v>2</v>
      </c>
      <c r="C418" s="320">
        <v>71632.389675000013</v>
      </c>
      <c r="D418" s="320">
        <v>80971.360000000001</v>
      </c>
    </row>
    <row r="419" spans="1:4" x14ac:dyDescent="0.2">
      <c r="A419" s="69">
        <v>9007560200</v>
      </c>
      <c r="B419" s="320">
        <v>1</v>
      </c>
      <c r="C419" s="320">
        <v>138603.56852999999</v>
      </c>
      <c r="D419" s="320">
        <v>281638.04499999998</v>
      </c>
    </row>
    <row r="420" spans="1:4" x14ac:dyDescent="0.2">
      <c r="A420" s="69">
        <v>9007570100</v>
      </c>
      <c r="B420" s="320">
        <v>1</v>
      </c>
      <c r="C420" s="320">
        <v>58215.299310000002</v>
      </c>
      <c r="D420" s="320">
        <v>45411.05</v>
      </c>
    </row>
    <row r="421" spans="1:4" x14ac:dyDescent="0.2">
      <c r="A421" s="69">
        <v>9007570200</v>
      </c>
      <c r="B421" s="320">
        <v>1</v>
      </c>
      <c r="C421" s="320">
        <v>219920.56125900001</v>
      </c>
      <c r="D421" s="320">
        <v>213411.22500000001</v>
      </c>
    </row>
    <row r="422" spans="1:4" x14ac:dyDescent="0.2">
      <c r="A422" s="69">
        <v>9007570300</v>
      </c>
      <c r="B422" s="320">
        <v>1</v>
      </c>
      <c r="C422" s="320">
        <v>69745.22898</v>
      </c>
      <c r="D422" s="320">
        <v>69480.884999999995</v>
      </c>
    </row>
    <row r="423" spans="1:4" x14ac:dyDescent="0.2">
      <c r="A423" s="69">
        <v>9007580100</v>
      </c>
      <c r="B423" s="320">
        <v>2</v>
      </c>
      <c r="C423" s="320">
        <v>87204.969935999994</v>
      </c>
      <c r="D423" s="320">
        <v>161949.14799999999</v>
      </c>
    </row>
    <row r="424" spans="1:4" x14ac:dyDescent="0.2">
      <c r="A424" s="69">
        <v>9007585100</v>
      </c>
      <c r="B424" s="320">
        <v>2</v>
      </c>
      <c r="C424" s="320">
        <v>156587.12685</v>
      </c>
      <c r="D424" s="320">
        <v>195258.505</v>
      </c>
    </row>
    <row r="425" spans="1:4" x14ac:dyDescent="0.2">
      <c r="A425" s="69">
        <v>9007590100</v>
      </c>
      <c r="B425" s="320">
        <v>3</v>
      </c>
      <c r="C425" s="320">
        <v>173388.00750599999</v>
      </c>
      <c r="D425" s="320">
        <v>223609.76499999998</v>
      </c>
    </row>
    <row r="426" spans="1:4" x14ac:dyDescent="0.2">
      <c r="A426" s="69">
        <v>9007595101</v>
      </c>
      <c r="B426" s="320">
        <v>3</v>
      </c>
      <c r="C426" s="320">
        <v>110375.05857000001</v>
      </c>
      <c r="D426" s="320">
        <v>154432.51</v>
      </c>
    </row>
    <row r="427" spans="1:4" x14ac:dyDescent="0.2">
      <c r="A427" s="69">
        <v>9007595102</v>
      </c>
      <c r="B427" s="320">
        <v>1</v>
      </c>
      <c r="C427" s="320">
        <v>79929.454962000003</v>
      </c>
      <c r="D427" s="320">
        <v>78324.72</v>
      </c>
    </row>
    <row r="428" spans="1:4" x14ac:dyDescent="0.2">
      <c r="A428" s="69">
        <v>9007600100</v>
      </c>
      <c r="B428" s="320">
        <v>1</v>
      </c>
      <c r="C428" s="320">
        <v>104591.609325</v>
      </c>
      <c r="D428" s="320">
        <v>248913.94500000001</v>
      </c>
    </row>
    <row r="429" spans="1:4" x14ac:dyDescent="0.2">
      <c r="A429" s="69">
        <v>9007610100</v>
      </c>
      <c r="B429" s="320">
        <v>1</v>
      </c>
      <c r="C429" s="320">
        <v>27433.380870000001</v>
      </c>
      <c r="D429" s="320">
        <v>12373.37</v>
      </c>
    </row>
    <row r="430" spans="1:4" x14ac:dyDescent="0.2">
      <c r="A430" s="69">
        <v>9007610200</v>
      </c>
      <c r="B430" s="320">
        <v>1</v>
      </c>
      <c r="C430" s="320">
        <v>213135.38208900002</v>
      </c>
      <c r="D430" s="320">
        <v>245039.39500000002</v>
      </c>
    </row>
    <row r="431" spans="1:4" x14ac:dyDescent="0.2">
      <c r="A431" s="69">
        <v>9007610300</v>
      </c>
      <c r="B431" s="320">
        <v>1</v>
      </c>
      <c r="C431" s="320">
        <v>49179.506775000002</v>
      </c>
      <c r="D431" s="320">
        <v>18393.43</v>
      </c>
    </row>
    <row r="432" spans="1:4" x14ac:dyDescent="0.2">
      <c r="A432" s="69">
        <v>9007610400</v>
      </c>
      <c r="B432" s="320">
        <v>1</v>
      </c>
      <c r="C432" s="320">
        <v>39809.13048</v>
      </c>
      <c r="D432" s="320">
        <v>34100.764999999999</v>
      </c>
    </row>
    <row r="433" spans="1:4" x14ac:dyDescent="0.2">
      <c r="A433" s="69">
        <v>9007620100</v>
      </c>
      <c r="B433" s="320">
        <v>1</v>
      </c>
      <c r="C433" s="320">
        <v>114732.387042</v>
      </c>
      <c r="D433" s="320">
        <v>90516.819999999992</v>
      </c>
    </row>
    <row r="434" spans="1:4" x14ac:dyDescent="0.2">
      <c r="A434" s="69">
        <v>9007630100</v>
      </c>
      <c r="B434" s="320">
        <v>1</v>
      </c>
      <c r="C434" s="320">
        <v>202175.40014700001</v>
      </c>
      <c r="D434" s="320">
        <v>210298.77</v>
      </c>
    </row>
    <row r="435" spans="1:4" x14ac:dyDescent="0.2">
      <c r="A435" s="69">
        <v>9007640100</v>
      </c>
      <c r="B435" s="320">
        <v>1</v>
      </c>
      <c r="C435" s="320">
        <v>142457.52454499999</v>
      </c>
      <c r="D435" s="320">
        <v>142546.16500000001</v>
      </c>
    </row>
    <row r="436" spans="1:4" x14ac:dyDescent="0.2">
      <c r="A436" s="69">
        <v>9007670100</v>
      </c>
      <c r="B436" s="320">
        <v>2</v>
      </c>
      <c r="C436" s="320">
        <v>72908.546675999998</v>
      </c>
      <c r="D436" s="320">
        <v>85663.29</v>
      </c>
    </row>
    <row r="437" spans="1:4" x14ac:dyDescent="0.2">
      <c r="A437" s="69">
        <v>9007670200</v>
      </c>
      <c r="B437" s="320">
        <v>1</v>
      </c>
      <c r="C437" s="320">
        <v>288477.86139899999</v>
      </c>
      <c r="D437" s="320">
        <v>353029.97249999997</v>
      </c>
    </row>
    <row r="438" spans="1:4" x14ac:dyDescent="0.2">
      <c r="A438" s="69">
        <v>9007680100</v>
      </c>
      <c r="B438" s="320">
        <v>1</v>
      </c>
      <c r="C438" s="320">
        <v>208709.18312999999</v>
      </c>
      <c r="D438" s="320">
        <v>226416.56</v>
      </c>
    </row>
    <row r="439" spans="1:4" x14ac:dyDescent="0.2">
      <c r="A439" s="69">
        <v>9007680200</v>
      </c>
      <c r="B439" s="320">
        <v>1</v>
      </c>
      <c r="C439" s="320">
        <v>64438.705044000002</v>
      </c>
      <c r="D439" s="320">
        <v>86356.485000000001</v>
      </c>
    </row>
    <row r="440" spans="1:4" x14ac:dyDescent="0.2">
      <c r="A440" s="69">
        <v>9009120200</v>
      </c>
      <c r="B440" s="320">
        <v>1</v>
      </c>
      <c r="C440" s="320">
        <v>82.235579999999999</v>
      </c>
      <c r="D440" s="320">
        <v>0</v>
      </c>
    </row>
    <row r="441" spans="1:4" x14ac:dyDescent="0.2">
      <c r="A441" s="69">
        <v>9009125300</v>
      </c>
      <c r="B441" s="320">
        <v>1</v>
      </c>
      <c r="C441" s="320">
        <v>35.635739999999998</v>
      </c>
      <c r="D441" s="320">
        <v>0</v>
      </c>
    </row>
    <row r="442" spans="1:4" x14ac:dyDescent="0.2">
      <c r="A442" s="69">
        <v>9009125400</v>
      </c>
      <c r="B442" s="320">
        <v>1</v>
      </c>
      <c r="C442" s="320">
        <v>673.70771999999999</v>
      </c>
      <c r="D442" s="320">
        <v>2816.59</v>
      </c>
    </row>
    <row r="443" spans="1:4" x14ac:dyDescent="0.2">
      <c r="A443" s="69">
        <v>9009130101</v>
      </c>
      <c r="B443" s="320">
        <v>2</v>
      </c>
      <c r="C443" s="320">
        <v>197919.97260000001</v>
      </c>
      <c r="D443" s="320">
        <v>589813.6</v>
      </c>
    </row>
    <row r="444" spans="1:4" x14ac:dyDescent="0.2">
      <c r="A444" s="69">
        <v>9009130102</v>
      </c>
      <c r="B444" s="320">
        <v>1</v>
      </c>
      <c r="C444" s="320">
        <v>31390.566060000001</v>
      </c>
      <c r="D444" s="320">
        <v>13943.8</v>
      </c>
    </row>
    <row r="445" spans="1:4" x14ac:dyDescent="0.2">
      <c r="A445" s="69">
        <v>9009130200</v>
      </c>
      <c r="B445" s="320">
        <v>1</v>
      </c>
      <c r="C445" s="320">
        <v>94043.91231900001</v>
      </c>
      <c r="D445" s="320">
        <v>140529.685</v>
      </c>
    </row>
    <row r="446" spans="1:4" x14ac:dyDescent="0.2">
      <c r="A446" s="69">
        <v>9009161100</v>
      </c>
      <c r="B446" s="320">
        <v>1</v>
      </c>
      <c r="C446" s="320">
        <v>116033.70979200001</v>
      </c>
      <c r="D446" s="320">
        <v>229057.21</v>
      </c>
    </row>
    <row r="447" spans="1:4" x14ac:dyDescent="0.2">
      <c r="A447" s="69">
        <v>9009166002</v>
      </c>
      <c r="B447" s="320">
        <v>1</v>
      </c>
      <c r="C447" s="320">
        <v>442.79991000000001</v>
      </c>
      <c r="D447" s="320">
        <v>4194.04</v>
      </c>
    </row>
    <row r="448" spans="1:4" x14ac:dyDescent="0.2">
      <c r="A448" s="69">
        <v>9009170100</v>
      </c>
      <c r="B448" s="320">
        <v>1</v>
      </c>
      <c r="C448" s="320">
        <v>9277.4982930000006</v>
      </c>
      <c r="D448" s="320">
        <v>31913.22</v>
      </c>
    </row>
    <row r="449" spans="1:4" x14ac:dyDescent="0.2">
      <c r="A449" s="69">
        <v>9009170200</v>
      </c>
      <c r="B449" s="320">
        <v>1</v>
      </c>
      <c r="C449" s="320">
        <v>15074.91783</v>
      </c>
      <c r="D449" s="320">
        <v>1626.05</v>
      </c>
    </row>
    <row r="450" spans="1:4" x14ac:dyDescent="0.2">
      <c r="A450" s="69">
        <v>9009170300</v>
      </c>
      <c r="B450" s="320">
        <v>1</v>
      </c>
      <c r="C450" s="320">
        <v>554662.59504600009</v>
      </c>
      <c r="D450" s="320">
        <v>1964962.9850000001</v>
      </c>
    </row>
    <row r="451" spans="1:4" x14ac:dyDescent="0.2">
      <c r="A451" s="69">
        <v>9009170400</v>
      </c>
      <c r="B451" s="320">
        <v>1</v>
      </c>
      <c r="C451" s="320">
        <v>14155.31481</v>
      </c>
      <c r="D451" s="320">
        <v>12605.815000000001</v>
      </c>
    </row>
    <row r="452" spans="1:4" x14ac:dyDescent="0.2">
      <c r="A452" s="69">
        <v>9009170500</v>
      </c>
      <c r="B452" s="320">
        <v>1</v>
      </c>
      <c r="C452" s="320">
        <v>58910.374949999998</v>
      </c>
      <c r="D452" s="320">
        <v>46542.74</v>
      </c>
    </row>
    <row r="453" spans="1:4" x14ac:dyDescent="0.2">
      <c r="A453" s="69">
        <v>9009170600</v>
      </c>
      <c r="B453" s="320">
        <v>1</v>
      </c>
      <c r="C453" s="320">
        <v>23264.283777000001</v>
      </c>
      <c r="D453" s="320">
        <v>21061.64</v>
      </c>
    </row>
    <row r="454" spans="1:4" x14ac:dyDescent="0.2">
      <c r="A454" s="69">
        <v>9009170700</v>
      </c>
      <c r="B454" s="320">
        <v>1</v>
      </c>
      <c r="C454" s="320">
        <v>26249.035889999999</v>
      </c>
      <c r="D454" s="320">
        <v>50720.35</v>
      </c>
    </row>
    <row r="455" spans="1:4" x14ac:dyDescent="0.2">
      <c r="A455" s="69">
        <v>9009170800</v>
      </c>
      <c r="B455" s="320">
        <v>1</v>
      </c>
      <c r="C455" s="320">
        <v>47934.481539000008</v>
      </c>
      <c r="D455" s="320">
        <v>48846.66</v>
      </c>
    </row>
    <row r="456" spans="1:4" x14ac:dyDescent="0.2">
      <c r="A456" s="69">
        <v>9009170900</v>
      </c>
      <c r="B456" s="320">
        <v>1</v>
      </c>
      <c r="C456" s="320">
        <v>15120.592242000001</v>
      </c>
      <c r="D456" s="320">
        <v>2055.25</v>
      </c>
    </row>
    <row r="457" spans="1:4" x14ac:dyDescent="0.2">
      <c r="A457" s="69">
        <v>9009171000</v>
      </c>
      <c r="B457" s="320">
        <v>1</v>
      </c>
      <c r="C457" s="320">
        <v>13033.566629999999</v>
      </c>
      <c r="D457" s="320">
        <v>7563.94</v>
      </c>
    </row>
    <row r="458" spans="1:4" x14ac:dyDescent="0.2">
      <c r="A458" s="69">
        <v>9009171100</v>
      </c>
      <c r="B458" s="320">
        <v>1</v>
      </c>
      <c r="C458" s="320">
        <v>51168.232227</v>
      </c>
      <c r="D458" s="320">
        <v>34564.959999999999</v>
      </c>
    </row>
    <row r="459" spans="1:4" x14ac:dyDescent="0.2">
      <c r="A459" s="69">
        <v>9009171200</v>
      </c>
      <c r="B459" s="320">
        <v>1</v>
      </c>
      <c r="C459" s="320">
        <v>84688.161746999991</v>
      </c>
      <c r="D459" s="320">
        <v>63184.09</v>
      </c>
    </row>
    <row r="460" spans="1:4" x14ac:dyDescent="0.2">
      <c r="A460" s="69">
        <v>9009171300</v>
      </c>
      <c r="B460" s="320">
        <v>1</v>
      </c>
      <c r="C460" s="320">
        <v>39506.035422000008</v>
      </c>
      <c r="D460" s="320">
        <v>11381.8</v>
      </c>
    </row>
    <row r="461" spans="1:4" x14ac:dyDescent="0.2">
      <c r="A461" s="69">
        <v>9009171400</v>
      </c>
      <c r="B461" s="320">
        <v>1</v>
      </c>
      <c r="C461" s="320">
        <v>14420.26929</v>
      </c>
      <c r="D461" s="320">
        <v>3120.11</v>
      </c>
    </row>
    <row r="462" spans="1:4" x14ac:dyDescent="0.2">
      <c r="A462" s="69">
        <v>9009171500</v>
      </c>
      <c r="B462" s="320">
        <v>1</v>
      </c>
      <c r="C462" s="320">
        <v>23159.824883999998</v>
      </c>
      <c r="D462" s="320">
        <v>13515.42</v>
      </c>
    </row>
    <row r="463" spans="1:4" x14ac:dyDescent="0.2">
      <c r="A463" s="69">
        <v>9009171600</v>
      </c>
      <c r="B463" s="320">
        <v>2</v>
      </c>
      <c r="C463" s="320">
        <v>44101.366974000004</v>
      </c>
      <c r="D463" s="320">
        <v>77607.740000000005</v>
      </c>
    </row>
    <row r="464" spans="1:4" x14ac:dyDescent="0.2">
      <c r="A464" s="69">
        <v>9009171700</v>
      </c>
      <c r="B464" s="320">
        <v>1</v>
      </c>
      <c r="C464" s="320">
        <v>42546.562925999999</v>
      </c>
      <c r="D464" s="320">
        <v>99008.975000000006</v>
      </c>
    </row>
    <row r="465" spans="1:4" x14ac:dyDescent="0.2">
      <c r="A465" s="69">
        <v>9009175400</v>
      </c>
      <c r="B465" s="320">
        <v>1</v>
      </c>
      <c r="C465" s="320">
        <v>1.1157300000000001</v>
      </c>
      <c r="D465" s="320">
        <v>0</v>
      </c>
    </row>
    <row r="466" spans="1:4" x14ac:dyDescent="0.2">
      <c r="A466" s="69">
        <v>9009175700</v>
      </c>
      <c r="B466" s="320">
        <v>1</v>
      </c>
      <c r="C466" s="320">
        <v>163.49549999999999</v>
      </c>
      <c r="D466" s="320">
        <v>0</v>
      </c>
    </row>
    <row r="467" spans="1:4" x14ac:dyDescent="0.2">
      <c r="A467" s="69">
        <v>9009184100</v>
      </c>
      <c r="B467" s="320">
        <v>1</v>
      </c>
      <c r="C467" s="320">
        <v>60128.009255999998</v>
      </c>
      <c r="D467" s="320">
        <v>29403.87</v>
      </c>
    </row>
    <row r="468" spans="1:4" x14ac:dyDescent="0.2">
      <c r="A468" s="69">
        <v>9009184200</v>
      </c>
      <c r="B468" s="320">
        <v>1</v>
      </c>
      <c r="C468" s="320">
        <v>38564.253042000004</v>
      </c>
      <c r="D468" s="320">
        <v>15235.69</v>
      </c>
    </row>
    <row r="469" spans="1:4" x14ac:dyDescent="0.2">
      <c r="A469" s="69">
        <v>9009184300</v>
      </c>
      <c r="B469" s="320">
        <v>1</v>
      </c>
      <c r="C469" s="320">
        <v>409181.73200100003</v>
      </c>
      <c r="D469" s="320">
        <v>444481.36900000001</v>
      </c>
    </row>
    <row r="470" spans="1:4" x14ac:dyDescent="0.2">
      <c r="A470" s="69">
        <v>9009184400</v>
      </c>
      <c r="B470" s="320">
        <v>1</v>
      </c>
      <c r="C470" s="320">
        <v>44264.012394000005</v>
      </c>
      <c r="D470" s="320">
        <v>43856.26</v>
      </c>
    </row>
    <row r="471" spans="1:4" x14ac:dyDescent="0.2">
      <c r="A471" s="69">
        <v>9009184500</v>
      </c>
      <c r="B471" s="320">
        <v>1</v>
      </c>
      <c r="C471" s="320">
        <v>31520.662110000001</v>
      </c>
      <c r="D471" s="320">
        <v>49876.23</v>
      </c>
    </row>
    <row r="472" spans="1:4" x14ac:dyDescent="0.2">
      <c r="A472" s="69">
        <v>9009184600</v>
      </c>
      <c r="B472" s="320">
        <v>1</v>
      </c>
      <c r="C472" s="320">
        <v>44300.319987000003</v>
      </c>
      <c r="D472" s="320">
        <v>58365.85</v>
      </c>
    </row>
    <row r="473" spans="1:4" x14ac:dyDescent="0.2">
      <c r="A473" s="69">
        <v>9009184700</v>
      </c>
      <c r="B473" s="320">
        <v>1</v>
      </c>
      <c r="C473" s="320">
        <v>68776.826054999998</v>
      </c>
      <c r="D473" s="320">
        <v>92814.97</v>
      </c>
    </row>
    <row r="474" spans="1:4" x14ac:dyDescent="0.2">
      <c r="A474" s="69">
        <v>9009190100</v>
      </c>
      <c r="B474" s="320">
        <v>1</v>
      </c>
      <c r="C474" s="320">
        <v>43672.442204999999</v>
      </c>
      <c r="D474" s="320">
        <v>43882.18</v>
      </c>
    </row>
    <row r="475" spans="1:4" x14ac:dyDescent="0.2">
      <c r="A475" s="69">
        <v>9009190200</v>
      </c>
      <c r="B475" s="320">
        <v>1</v>
      </c>
      <c r="C475" s="320">
        <v>59868.95607</v>
      </c>
      <c r="D475" s="320">
        <v>57093.065000000002</v>
      </c>
    </row>
    <row r="476" spans="1:4" x14ac:dyDescent="0.2">
      <c r="A476" s="69">
        <v>9009190301</v>
      </c>
      <c r="B476" s="320">
        <v>2</v>
      </c>
      <c r="C476" s="320">
        <v>343800.854796</v>
      </c>
      <c r="D476" s="320">
        <v>615962.19849999994</v>
      </c>
    </row>
    <row r="477" spans="1:4" x14ac:dyDescent="0.2">
      <c r="A477" s="69">
        <v>9009190302</v>
      </c>
      <c r="B477" s="320">
        <v>1</v>
      </c>
      <c r="C477" s="320">
        <v>67232.588115000006</v>
      </c>
      <c r="D477" s="320">
        <v>57196.65</v>
      </c>
    </row>
    <row r="478" spans="1:4" x14ac:dyDescent="0.2">
      <c r="A478" s="69">
        <v>9009190303</v>
      </c>
      <c r="B478" s="320">
        <v>2</v>
      </c>
      <c r="C478" s="320">
        <v>47064.797535000005</v>
      </c>
      <c r="D478" s="320">
        <v>51159.535000000003</v>
      </c>
    </row>
    <row r="479" spans="1:4" x14ac:dyDescent="0.2">
      <c r="A479" s="69">
        <v>9009194100</v>
      </c>
      <c r="B479" s="320">
        <v>1</v>
      </c>
      <c r="C479" s="320">
        <v>87333.434411999988</v>
      </c>
      <c r="D479" s="320">
        <v>91269.014999999999</v>
      </c>
    </row>
    <row r="480" spans="1:4" x14ac:dyDescent="0.2">
      <c r="A480" s="69">
        <v>9009194201</v>
      </c>
      <c r="B480" s="320">
        <v>2</v>
      </c>
      <c r="C480" s="320">
        <v>108492.06858000001</v>
      </c>
      <c r="D480" s="320">
        <v>307628.49</v>
      </c>
    </row>
    <row r="481" spans="1:4" x14ac:dyDescent="0.2">
      <c r="A481" s="69">
        <v>9009194202</v>
      </c>
      <c r="B481" s="320">
        <v>1</v>
      </c>
      <c r="C481" s="320">
        <v>282884.73347400001</v>
      </c>
      <c r="D481" s="320">
        <v>362528.66500000004</v>
      </c>
    </row>
    <row r="482" spans="1:4" x14ac:dyDescent="0.2">
      <c r="A482" s="69">
        <v>9009341100</v>
      </c>
      <c r="B482" s="320">
        <v>1</v>
      </c>
      <c r="C482" s="320">
        <v>115551.63232199999</v>
      </c>
      <c r="D482" s="320">
        <v>100105.77500000001</v>
      </c>
    </row>
    <row r="483" spans="1:4" x14ac:dyDescent="0.2">
      <c r="A483" s="69">
        <v>9009343101</v>
      </c>
      <c r="B483" s="320">
        <v>3</v>
      </c>
      <c r="C483" s="320">
        <v>49228.709985000001</v>
      </c>
      <c r="D483" s="320">
        <v>26251.73</v>
      </c>
    </row>
    <row r="484" spans="1:4" x14ac:dyDescent="0.2">
      <c r="A484" s="69">
        <v>9009343102</v>
      </c>
      <c r="B484" s="320">
        <v>1</v>
      </c>
      <c r="C484" s="320">
        <v>47515.263620999998</v>
      </c>
      <c r="D484" s="320">
        <v>122001.39</v>
      </c>
    </row>
    <row r="485" spans="1:4" x14ac:dyDescent="0.2">
      <c r="A485" s="69">
        <v>9009343200</v>
      </c>
      <c r="B485" s="320">
        <v>1</v>
      </c>
      <c r="C485" s="320">
        <v>74003.539070999992</v>
      </c>
      <c r="D485" s="320">
        <v>123688.34</v>
      </c>
    </row>
    <row r="486" spans="1:4" x14ac:dyDescent="0.2">
      <c r="A486" s="69">
        <v>9009343300</v>
      </c>
      <c r="B486" s="320">
        <v>1</v>
      </c>
      <c r="C486" s="320">
        <v>356082.07357800001</v>
      </c>
      <c r="D486" s="320">
        <v>654286.9850000001</v>
      </c>
    </row>
    <row r="487" spans="1:4" x14ac:dyDescent="0.2">
      <c r="A487" s="69">
        <v>9009343400</v>
      </c>
      <c r="B487" s="320">
        <v>1</v>
      </c>
      <c r="C487" s="320">
        <v>82388.866811999993</v>
      </c>
      <c r="D487" s="320">
        <v>95688.06</v>
      </c>
    </row>
    <row r="488" spans="1:4" x14ac:dyDescent="0.2">
      <c r="A488" s="69">
        <v>9009344100</v>
      </c>
      <c r="B488" s="320">
        <v>2</v>
      </c>
      <c r="C488" s="320">
        <v>150948.12600000002</v>
      </c>
      <c r="D488" s="320">
        <v>220800.05000000002</v>
      </c>
    </row>
    <row r="489" spans="1:4" x14ac:dyDescent="0.2">
      <c r="A489" s="69">
        <v>9009344200</v>
      </c>
      <c r="B489" s="320">
        <v>2</v>
      </c>
      <c r="C489" s="320">
        <v>40466.810811000003</v>
      </c>
      <c r="D489" s="320">
        <v>29287.23</v>
      </c>
    </row>
    <row r="490" spans="1:4" x14ac:dyDescent="0.2">
      <c r="A490" s="69">
        <v>9009345100</v>
      </c>
      <c r="B490" s="320">
        <v>2</v>
      </c>
      <c r="C490" s="320">
        <v>64532.629224000004</v>
      </c>
      <c r="D490" s="320">
        <v>160576.60999999999</v>
      </c>
    </row>
    <row r="491" spans="1:4" x14ac:dyDescent="0.2">
      <c r="A491" s="69">
        <v>9009345201</v>
      </c>
      <c r="B491" s="320">
        <v>1</v>
      </c>
      <c r="C491" s="320">
        <v>69056.199533999999</v>
      </c>
      <c r="D491" s="320">
        <v>71999.360000000001</v>
      </c>
    </row>
    <row r="492" spans="1:4" x14ac:dyDescent="0.2">
      <c r="A492" s="69">
        <v>9009345202</v>
      </c>
      <c r="B492" s="320">
        <v>1</v>
      </c>
      <c r="C492" s="320">
        <v>43859.273849999998</v>
      </c>
      <c r="D492" s="320">
        <v>63201.919999999998</v>
      </c>
    </row>
    <row r="493" spans="1:4" x14ac:dyDescent="0.2">
      <c r="A493" s="69">
        <v>9009345300</v>
      </c>
      <c r="B493" s="320">
        <v>1</v>
      </c>
      <c r="C493" s="320">
        <v>55053.966744000005</v>
      </c>
      <c r="D493" s="320">
        <v>48254.63</v>
      </c>
    </row>
    <row r="494" spans="1:4" x14ac:dyDescent="0.2">
      <c r="A494" s="69">
        <v>9009345400</v>
      </c>
      <c r="B494" s="320">
        <v>2</v>
      </c>
      <c r="C494" s="320">
        <v>345300.61906200001</v>
      </c>
      <c r="D494" s="320">
        <v>708676.80499999993</v>
      </c>
    </row>
    <row r="495" spans="1:4" x14ac:dyDescent="0.2">
      <c r="A495" s="69">
        <v>9009346101</v>
      </c>
      <c r="B495" s="320">
        <v>1</v>
      </c>
      <c r="C495" s="320">
        <v>214189.401594</v>
      </c>
      <c r="D495" s="320">
        <v>263859.86</v>
      </c>
    </row>
    <row r="496" spans="1:4" x14ac:dyDescent="0.2">
      <c r="A496" s="69">
        <v>9009346102</v>
      </c>
      <c r="B496" s="320">
        <v>2</v>
      </c>
      <c r="C496" s="320">
        <v>79182.714744000012</v>
      </c>
      <c r="D496" s="320">
        <v>127516.02</v>
      </c>
    </row>
    <row r="497" spans="1:4" x14ac:dyDescent="0.2">
      <c r="A497" s="69">
        <v>9009347100</v>
      </c>
      <c r="B497" s="320">
        <v>3</v>
      </c>
      <c r="C497" s="320">
        <v>155992.67846400003</v>
      </c>
      <c r="D497" s="320">
        <v>260405.435</v>
      </c>
    </row>
    <row r="498" spans="1:4" x14ac:dyDescent="0.2">
      <c r="A498" s="69">
        <v>9009347200</v>
      </c>
      <c r="B498" s="320">
        <v>2</v>
      </c>
      <c r="C498" s="320">
        <v>42142.417505999998</v>
      </c>
      <c r="D498" s="320">
        <v>57228.44</v>
      </c>
    </row>
    <row r="499" spans="1:4" x14ac:dyDescent="0.2">
      <c r="A499" s="69">
        <v>9009348111</v>
      </c>
      <c r="B499" s="320">
        <v>1</v>
      </c>
      <c r="C499" s="320">
        <v>31605.300132000004</v>
      </c>
      <c r="D499" s="320">
        <v>27002.14</v>
      </c>
    </row>
    <row r="500" spans="1:4" x14ac:dyDescent="0.2">
      <c r="A500" s="69">
        <v>9009348122</v>
      </c>
      <c r="B500" s="320">
        <v>1</v>
      </c>
      <c r="C500" s="320">
        <v>56275.587249000004</v>
      </c>
      <c r="D500" s="320">
        <v>92272.05</v>
      </c>
    </row>
    <row r="501" spans="1:4" x14ac:dyDescent="0.2">
      <c r="A501" s="69">
        <v>9009348123</v>
      </c>
      <c r="B501" s="320">
        <v>1</v>
      </c>
      <c r="C501" s="320">
        <v>72691.761786000003</v>
      </c>
      <c r="D501" s="320">
        <v>95618.54</v>
      </c>
    </row>
    <row r="502" spans="1:4" x14ac:dyDescent="0.2">
      <c r="A502" s="69">
        <v>9009348124</v>
      </c>
      <c r="B502" s="320">
        <v>1</v>
      </c>
      <c r="C502" s="320">
        <v>326091.980025</v>
      </c>
      <c r="D502" s="320">
        <v>441295.10750000004</v>
      </c>
    </row>
    <row r="503" spans="1:4" x14ac:dyDescent="0.2">
      <c r="A503" s="69">
        <v>9009348125</v>
      </c>
      <c r="B503" s="320">
        <v>1</v>
      </c>
      <c r="C503" s="320">
        <v>75114.846239999999</v>
      </c>
      <c r="D503" s="320">
        <v>21603.38</v>
      </c>
    </row>
    <row r="504" spans="1:4" x14ac:dyDescent="0.2">
      <c r="A504" s="69">
        <v>9009350100</v>
      </c>
      <c r="B504" s="320">
        <v>1</v>
      </c>
      <c r="C504" s="320">
        <v>23434.522440000001</v>
      </c>
      <c r="D504" s="320">
        <v>12399.57</v>
      </c>
    </row>
    <row r="505" spans="1:4" x14ac:dyDescent="0.2">
      <c r="A505" s="69">
        <v>9009350200</v>
      </c>
      <c r="B505" s="320">
        <v>1</v>
      </c>
      <c r="C505" s="320">
        <v>28879.834493999999</v>
      </c>
      <c r="D505" s="320">
        <v>13582.24</v>
      </c>
    </row>
    <row r="506" spans="1:4" x14ac:dyDescent="0.2">
      <c r="A506" s="69">
        <v>9009350300</v>
      </c>
      <c r="B506" s="320">
        <v>1</v>
      </c>
      <c r="C506" s="320">
        <v>17128.156626</v>
      </c>
      <c r="D506" s="320">
        <v>5358.74</v>
      </c>
    </row>
    <row r="507" spans="1:4" x14ac:dyDescent="0.2">
      <c r="A507" s="69">
        <v>9009350400</v>
      </c>
      <c r="B507" s="320">
        <v>1</v>
      </c>
      <c r="C507" s="320">
        <v>23221.326240000002</v>
      </c>
      <c r="D507" s="320">
        <v>2982.93</v>
      </c>
    </row>
    <row r="508" spans="1:4" x14ac:dyDescent="0.2">
      <c r="A508" s="69">
        <v>9009350500</v>
      </c>
      <c r="B508" s="320">
        <v>1</v>
      </c>
      <c r="C508" s="320">
        <v>20038.37556</v>
      </c>
      <c r="D508" s="320">
        <v>6947.96</v>
      </c>
    </row>
    <row r="509" spans="1:4" x14ac:dyDescent="0.2">
      <c r="A509" s="69">
        <v>9009350800</v>
      </c>
      <c r="B509" s="320">
        <v>1</v>
      </c>
      <c r="C509" s="320">
        <v>43880.282900999999</v>
      </c>
      <c r="D509" s="320">
        <v>89050.46</v>
      </c>
    </row>
    <row r="510" spans="1:4" x14ac:dyDescent="0.2">
      <c r="A510" s="69">
        <v>9009350900</v>
      </c>
      <c r="B510" s="320">
        <v>1</v>
      </c>
      <c r="C510" s="320">
        <v>16708.066409999999</v>
      </c>
      <c r="D510" s="320">
        <v>20847.330000000002</v>
      </c>
    </row>
    <row r="511" spans="1:4" x14ac:dyDescent="0.2">
      <c r="A511" s="69">
        <v>9009351000</v>
      </c>
      <c r="B511" s="320">
        <v>1</v>
      </c>
      <c r="C511" s="320">
        <v>36690.453576</v>
      </c>
      <c r="D511" s="320">
        <v>163625.94</v>
      </c>
    </row>
    <row r="512" spans="1:4" x14ac:dyDescent="0.2">
      <c r="A512" s="69">
        <v>9009351100</v>
      </c>
      <c r="B512" s="320">
        <v>1</v>
      </c>
      <c r="C512" s="320">
        <v>46283.665784999997</v>
      </c>
      <c r="D512" s="320">
        <v>43075.85</v>
      </c>
    </row>
    <row r="513" spans="1:4" x14ac:dyDescent="0.2">
      <c r="A513" s="69">
        <v>9009351200</v>
      </c>
      <c r="B513" s="320">
        <v>1</v>
      </c>
      <c r="C513" s="320">
        <v>33114.572736000002</v>
      </c>
      <c r="D513" s="320">
        <v>29954.27</v>
      </c>
    </row>
    <row r="514" spans="1:4" x14ac:dyDescent="0.2">
      <c r="A514" s="69">
        <v>9009351300</v>
      </c>
      <c r="B514" s="320">
        <v>1</v>
      </c>
      <c r="C514" s="320">
        <v>42691.258617</v>
      </c>
      <c r="D514" s="320">
        <v>28562.37</v>
      </c>
    </row>
    <row r="515" spans="1:4" x14ac:dyDescent="0.2">
      <c r="A515" s="69">
        <v>9009351400</v>
      </c>
      <c r="B515" s="320">
        <v>1</v>
      </c>
      <c r="C515" s="320">
        <v>31006.797927000003</v>
      </c>
      <c r="D515" s="320">
        <v>18242.98</v>
      </c>
    </row>
    <row r="516" spans="1:4" x14ac:dyDescent="0.2">
      <c r="A516" s="69">
        <v>9009351500</v>
      </c>
      <c r="B516" s="320">
        <v>1</v>
      </c>
      <c r="C516" s="320">
        <v>1190353.5333270002</v>
      </c>
      <c r="D516" s="320">
        <v>2379026.9295000001</v>
      </c>
    </row>
    <row r="517" spans="1:4" x14ac:dyDescent="0.2">
      <c r="A517" s="69">
        <v>9009351601</v>
      </c>
      <c r="B517" s="320">
        <v>1</v>
      </c>
      <c r="C517" s="320">
        <v>30895.346160000001</v>
      </c>
      <c r="D517" s="320">
        <v>118713.64</v>
      </c>
    </row>
    <row r="518" spans="1:4" x14ac:dyDescent="0.2">
      <c r="A518" s="69">
        <v>9009351602</v>
      </c>
      <c r="B518" s="320">
        <v>1</v>
      </c>
      <c r="C518" s="320">
        <v>74318.513030999995</v>
      </c>
      <c r="D518" s="320">
        <v>162698.62</v>
      </c>
    </row>
    <row r="519" spans="1:4" x14ac:dyDescent="0.2">
      <c r="A519" s="69">
        <v>9009351700</v>
      </c>
      <c r="B519" s="320">
        <v>1</v>
      </c>
      <c r="C519" s="320">
        <v>23698.46745</v>
      </c>
      <c r="D519" s="320">
        <v>33062.53</v>
      </c>
    </row>
    <row r="520" spans="1:4" x14ac:dyDescent="0.2">
      <c r="A520" s="69">
        <v>9009351800</v>
      </c>
      <c r="B520" s="320">
        <v>1</v>
      </c>
      <c r="C520" s="320">
        <v>43962.579339000004</v>
      </c>
      <c r="D520" s="320">
        <v>32703.31</v>
      </c>
    </row>
    <row r="521" spans="1:4" x14ac:dyDescent="0.2">
      <c r="A521" s="69">
        <v>9009351900</v>
      </c>
      <c r="B521" s="320">
        <v>1</v>
      </c>
      <c r="C521" s="320">
        <v>25884.690636000003</v>
      </c>
      <c r="D521" s="320">
        <v>43030.07</v>
      </c>
    </row>
    <row r="522" spans="1:4" x14ac:dyDescent="0.2">
      <c r="A522" s="69">
        <v>9009352000</v>
      </c>
      <c r="B522" s="320">
        <v>1</v>
      </c>
      <c r="C522" s="320">
        <v>48736.955610000005</v>
      </c>
      <c r="D522" s="320">
        <v>38986.54</v>
      </c>
    </row>
    <row r="523" spans="1:4" x14ac:dyDescent="0.2">
      <c r="A523" s="69">
        <v>9009352100</v>
      </c>
      <c r="B523" s="320">
        <v>2</v>
      </c>
      <c r="C523" s="320">
        <v>38465.477610000002</v>
      </c>
      <c r="D523" s="320">
        <v>48254.43</v>
      </c>
    </row>
    <row r="524" spans="1:4" x14ac:dyDescent="0.2">
      <c r="A524" s="69">
        <v>9009352200</v>
      </c>
      <c r="B524" s="320">
        <v>1</v>
      </c>
      <c r="C524" s="320">
        <v>19370.41071</v>
      </c>
      <c r="D524" s="320">
        <v>5523.22</v>
      </c>
    </row>
    <row r="525" spans="1:4" x14ac:dyDescent="0.2">
      <c r="A525" s="69">
        <v>9009352300</v>
      </c>
      <c r="B525" s="320">
        <v>1</v>
      </c>
      <c r="C525" s="320">
        <v>22892.527854</v>
      </c>
      <c r="D525" s="320">
        <v>24175.97</v>
      </c>
    </row>
    <row r="526" spans="1:4" x14ac:dyDescent="0.2">
      <c r="A526" s="69">
        <v>9009352400</v>
      </c>
      <c r="B526" s="320">
        <v>1</v>
      </c>
      <c r="C526" s="320">
        <v>38637.741974999997</v>
      </c>
      <c r="D526" s="320">
        <v>72312.13</v>
      </c>
    </row>
    <row r="527" spans="1:4" x14ac:dyDescent="0.2">
      <c r="A527" s="69">
        <v>9009352500</v>
      </c>
      <c r="B527" s="320">
        <v>1</v>
      </c>
      <c r="C527" s="320">
        <v>38768.454333000001</v>
      </c>
      <c r="D527" s="320">
        <v>72973.83</v>
      </c>
    </row>
    <row r="528" spans="1:4" x14ac:dyDescent="0.2">
      <c r="A528" s="69">
        <v>9009352600</v>
      </c>
      <c r="B528" s="320">
        <v>2</v>
      </c>
      <c r="C528" s="320">
        <v>57611.452709999998</v>
      </c>
      <c r="D528" s="320">
        <v>54329.26</v>
      </c>
    </row>
    <row r="529" spans="1:4" x14ac:dyDescent="0.2">
      <c r="A529" s="69">
        <v>9009352701</v>
      </c>
      <c r="B529" s="320">
        <v>2</v>
      </c>
      <c r="C529" s="320">
        <v>24045.254204999997</v>
      </c>
      <c r="D529" s="320">
        <v>3889.29</v>
      </c>
    </row>
    <row r="530" spans="1:4" x14ac:dyDescent="0.2">
      <c r="A530" s="69">
        <v>9009352702</v>
      </c>
      <c r="B530" s="320">
        <v>1</v>
      </c>
      <c r="C530" s="320">
        <v>65231.542299000008</v>
      </c>
      <c r="D530" s="320">
        <v>139502.82</v>
      </c>
    </row>
    <row r="531" spans="1:4" x14ac:dyDescent="0.2">
      <c r="A531" s="69">
        <v>9009352800</v>
      </c>
      <c r="B531" s="320">
        <v>2</v>
      </c>
      <c r="C531" s="320">
        <v>57924.682557000007</v>
      </c>
      <c r="D531" s="320">
        <v>109880.56999999999</v>
      </c>
    </row>
    <row r="532" spans="1:4" x14ac:dyDescent="0.2">
      <c r="A532" s="69">
        <v>9009361100</v>
      </c>
      <c r="B532" s="320">
        <v>2</v>
      </c>
      <c r="C532" s="320">
        <v>84082.174974000009</v>
      </c>
      <c r="D532" s="320">
        <v>159721.81</v>
      </c>
    </row>
    <row r="533" spans="1:4" x14ac:dyDescent="0.2">
      <c r="A533" s="69">
        <v>9009361200</v>
      </c>
      <c r="B533" s="320">
        <v>1</v>
      </c>
      <c r="C533" s="320">
        <v>208704.33670800002</v>
      </c>
      <c r="D533" s="320">
        <v>356149.29250000004</v>
      </c>
    </row>
    <row r="534" spans="1:4" x14ac:dyDescent="0.2">
      <c r="A534" s="69">
        <v>9009361300</v>
      </c>
      <c r="B534" s="320">
        <v>1</v>
      </c>
      <c r="C534" s="320">
        <v>50841.12096</v>
      </c>
      <c r="D534" s="320">
        <v>60562.62</v>
      </c>
    </row>
    <row r="535" spans="1:4" x14ac:dyDescent="0.2">
      <c r="A535" s="69">
        <v>9011650100</v>
      </c>
      <c r="B535" s="320">
        <v>2</v>
      </c>
      <c r="C535" s="320">
        <v>76142.922365999999</v>
      </c>
      <c r="D535" s="320">
        <v>69975.38</v>
      </c>
    </row>
    <row r="536" spans="1:4" x14ac:dyDescent="0.2">
      <c r="A536" s="69">
        <v>9011660101</v>
      </c>
      <c r="B536" s="320">
        <v>1</v>
      </c>
      <c r="C536" s="320">
        <v>169714.71715800001</v>
      </c>
      <c r="D536" s="320">
        <v>327026.23499999999</v>
      </c>
    </row>
    <row r="537" spans="1:4" x14ac:dyDescent="0.2">
      <c r="A537" s="69">
        <v>9011660102</v>
      </c>
      <c r="B537" s="320">
        <v>1</v>
      </c>
      <c r="C537" s="320">
        <v>68340.617645999999</v>
      </c>
      <c r="D537" s="320">
        <v>140152.995</v>
      </c>
    </row>
    <row r="538" spans="1:4" x14ac:dyDescent="0.2">
      <c r="A538" s="69">
        <v>9011690300</v>
      </c>
      <c r="B538" s="320">
        <v>2</v>
      </c>
      <c r="C538" s="320">
        <v>48006.170814000005</v>
      </c>
      <c r="D538" s="320">
        <v>44484.18</v>
      </c>
    </row>
    <row r="539" spans="1:4" x14ac:dyDescent="0.2">
      <c r="A539" s="69">
        <v>9011690400</v>
      </c>
      <c r="B539" s="320">
        <v>1</v>
      </c>
      <c r="C539" s="320">
        <v>22508.728326</v>
      </c>
      <c r="D539" s="320">
        <v>34880.410000000003</v>
      </c>
    </row>
    <row r="540" spans="1:4" x14ac:dyDescent="0.2">
      <c r="A540" s="69">
        <v>9011690500</v>
      </c>
      <c r="B540" s="320">
        <v>1</v>
      </c>
      <c r="C540" s="320">
        <v>317172.80301000003</v>
      </c>
      <c r="D540" s="320">
        <v>939003.77500000002</v>
      </c>
    </row>
    <row r="541" spans="1:4" x14ac:dyDescent="0.2">
      <c r="A541" s="69">
        <v>9011690700</v>
      </c>
      <c r="B541" s="320">
        <v>1</v>
      </c>
      <c r="C541" s="320">
        <v>9356.9851199999994</v>
      </c>
      <c r="D541" s="320">
        <v>3385.37</v>
      </c>
    </row>
    <row r="542" spans="1:4" x14ac:dyDescent="0.2">
      <c r="A542" s="69">
        <v>9011690800</v>
      </c>
      <c r="B542" s="320">
        <v>1</v>
      </c>
      <c r="C542" s="320">
        <v>25667.32518</v>
      </c>
      <c r="D542" s="320">
        <v>15165.95</v>
      </c>
    </row>
    <row r="543" spans="1:4" x14ac:dyDescent="0.2">
      <c r="A543" s="69">
        <v>9011690900</v>
      </c>
      <c r="B543" s="320">
        <v>1</v>
      </c>
      <c r="C543" s="320">
        <v>46706.904677999999</v>
      </c>
      <c r="D543" s="320">
        <v>43727.93</v>
      </c>
    </row>
    <row r="544" spans="1:4" x14ac:dyDescent="0.2">
      <c r="A544" s="69">
        <v>9011693300</v>
      </c>
      <c r="B544" s="320">
        <v>1</v>
      </c>
      <c r="C544" s="320">
        <v>327100.77140999999</v>
      </c>
      <c r="D544" s="320">
        <v>414869.36</v>
      </c>
    </row>
    <row r="545" spans="1:4" x14ac:dyDescent="0.2">
      <c r="A545" s="69">
        <v>9011693400</v>
      </c>
      <c r="B545" s="320">
        <v>2</v>
      </c>
      <c r="C545" s="320">
        <v>45381.327117000001</v>
      </c>
      <c r="D545" s="320">
        <v>38042.25</v>
      </c>
    </row>
    <row r="546" spans="1:4" x14ac:dyDescent="0.2">
      <c r="A546" s="69">
        <v>9011693500</v>
      </c>
      <c r="B546" s="320">
        <v>1</v>
      </c>
      <c r="C546" s="320">
        <v>48281.161550999997</v>
      </c>
      <c r="D546" s="320">
        <v>80646.14</v>
      </c>
    </row>
    <row r="547" spans="1:4" x14ac:dyDescent="0.2">
      <c r="A547" s="69">
        <v>9011693600</v>
      </c>
      <c r="B547" s="320">
        <v>2</v>
      </c>
      <c r="C547" s="320">
        <v>31063.025889</v>
      </c>
      <c r="D547" s="320">
        <v>87213.33</v>
      </c>
    </row>
    <row r="548" spans="1:4" x14ac:dyDescent="0.2">
      <c r="A548" s="69">
        <v>9011693700</v>
      </c>
      <c r="B548" s="320">
        <v>1</v>
      </c>
      <c r="C548" s="320">
        <v>38782.259439000001</v>
      </c>
      <c r="D548" s="320">
        <v>54294.33</v>
      </c>
    </row>
    <row r="549" spans="1:4" x14ac:dyDescent="0.2">
      <c r="A549" s="69">
        <v>9011695201</v>
      </c>
      <c r="B549" s="320">
        <v>1</v>
      </c>
      <c r="C549" s="320">
        <v>59043.172419000002</v>
      </c>
      <c r="D549" s="320">
        <v>70029.63</v>
      </c>
    </row>
    <row r="550" spans="1:4" x14ac:dyDescent="0.2">
      <c r="A550" s="69">
        <v>9011695202</v>
      </c>
      <c r="B550" s="320">
        <v>2</v>
      </c>
      <c r="C550" s="320">
        <v>214138.24996199997</v>
      </c>
      <c r="D550" s="320">
        <v>248100.07</v>
      </c>
    </row>
    <row r="551" spans="1:4" x14ac:dyDescent="0.2">
      <c r="A551" s="69">
        <v>9011700100</v>
      </c>
      <c r="B551" s="320">
        <v>1</v>
      </c>
      <c r="C551" s="320">
        <v>109280.15504699999</v>
      </c>
      <c r="D551" s="320">
        <v>86808.464999999997</v>
      </c>
    </row>
    <row r="552" spans="1:4" x14ac:dyDescent="0.2">
      <c r="A552" s="69">
        <v>9011701100</v>
      </c>
      <c r="B552" s="320">
        <v>1</v>
      </c>
      <c r="C552" s="320">
        <v>97629.566181000002</v>
      </c>
      <c r="D552" s="320">
        <v>89949.494999999995</v>
      </c>
    </row>
    <row r="553" spans="1:4" x14ac:dyDescent="0.2">
      <c r="A553" s="69">
        <v>9011701200</v>
      </c>
      <c r="B553" s="320">
        <v>1</v>
      </c>
      <c r="C553" s="320">
        <v>211283.46493800002</v>
      </c>
      <c r="D553" s="320">
        <v>230318.37599999999</v>
      </c>
    </row>
    <row r="554" spans="1:4" x14ac:dyDescent="0.2">
      <c r="A554" s="69">
        <v>9011702100</v>
      </c>
      <c r="B554" s="320">
        <v>2</v>
      </c>
      <c r="C554" s="320">
        <v>847.96929</v>
      </c>
      <c r="D554" s="320">
        <v>123169.66</v>
      </c>
    </row>
    <row r="555" spans="1:4" x14ac:dyDescent="0.2">
      <c r="A555" s="69">
        <v>9011702400</v>
      </c>
      <c r="B555" s="320">
        <v>1</v>
      </c>
      <c r="C555" s="320">
        <v>98.039339999999996</v>
      </c>
      <c r="D555" s="320">
        <v>0</v>
      </c>
    </row>
    <row r="556" spans="1:4" x14ac:dyDescent="0.2">
      <c r="A556" s="69">
        <v>9011702600</v>
      </c>
      <c r="B556" s="320">
        <v>1</v>
      </c>
      <c r="C556" s="320">
        <v>24.04374</v>
      </c>
      <c r="D556" s="320">
        <v>0</v>
      </c>
    </row>
    <row r="557" spans="1:4" x14ac:dyDescent="0.2">
      <c r="A557" s="69">
        <v>9011702700</v>
      </c>
      <c r="B557" s="320">
        <v>1</v>
      </c>
      <c r="C557" s="320">
        <v>1837.5686700000001</v>
      </c>
      <c r="D557" s="320">
        <v>660.59</v>
      </c>
    </row>
    <row r="558" spans="1:4" x14ac:dyDescent="0.2">
      <c r="A558" s="69">
        <v>9011702800</v>
      </c>
      <c r="B558" s="320">
        <v>2</v>
      </c>
      <c r="C558" s="320">
        <v>119200.58333400001</v>
      </c>
      <c r="D558" s="320">
        <v>296364.79749999999</v>
      </c>
    </row>
    <row r="559" spans="1:4" x14ac:dyDescent="0.2">
      <c r="A559" s="69">
        <v>9011702900</v>
      </c>
      <c r="B559" s="320">
        <v>1</v>
      </c>
      <c r="C559" s="320">
        <v>20660.035200000002</v>
      </c>
      <c r="D559" s="320">
        <v>13564.31</v>
      </c>
    </row>
    <row r="560" spans="1:4" x14ac:dyDescent="0.2">
      <c r="A560" s="69">
        <v>9011703000</v>
      </c>
      <c r="B560" s="320">
        <v>2</v>
      </c>
      <c r="C560" s="320">
        <v>463.95048000000003</v>
      </c>
      <c r="D560" s="320">
        <v>0</v>
      </c>
    </row>
    <row r="561" spans="1:4" x14ac:dyDescent="0.2">
      <c r="A561" s="69">
        <v>9011705101</v>
      </c>
      <c r="B561" s="320">
        <v>1</v>
      </c>
      <c r="C561" s="320">
        <v>47347.379099999998</v>
      </c>
      <c r="D561" s="320">
        <v>23702.744999999999</v>
      </c>
    </row>
    <row r="562" spans="1:4" x14ac:dyDescent="0.2">
      <c r="A562" s="69">
        <v>9011705102</v>
      </c>
      <c r="B562" s="320">
        <v>1</v>
      </c>
      <c r="C562" s="320">
        <v>40340.074026000002</v>
      </c>
      <c r="D562" s="320">
        <v>35105.31</v>
      </c>
    </row>
    <row r="563" spans="1:4" x14ac:dyDescent="0.2">
      <c r="A563" s="69">
        <v>9011705200</v>
      </c>
      <c r="B563" s="320">
        <v>1</v>
      </c>
      <c r="C563" s="320">
        <v>59627.732829000008</v>
      </c>
      <c r="D563" s="320">
        <v>43198.025000000001</v>
      </c>
    </row>
    <row r="564" spans="1:4" x14ac:dyDescent="0.2">
      <c r="A564" s="69">
        <v>9011705300</v>
      </c>
      <c r="B564" s="320">
        <v>1</v>
      </c>
      <c r="C564" s="320">
        <v>6979.192059</v>
      </c>
      <c r="D564" s="320">
        <v>1213.375</v>
      </c>
    </row>
    <row r="565" spans="1:4" x14ac:dyDescent="0.2">
      <c r="A565" s="69">
        <v>9011705400</v>
      </c>
      <c r="B565" s="320">
        <v>1</v>
      </c>
      <c r="C565" s="320">
        <v>27787.212180000002</v>
      </c>
      <c r="D565" s="320">
        <v>18165.86</v>
      </c>
    </row>
    <row r="566" spans="1:4" x14ac:dyDescent="0.2">
      <c r="A566" s="69">
        <v>9011707100</v>
      </c>
      <c r="B566" s="320">
        <v>2</v>
      </c>
      <c r="C566" s="320">
        <v>127127.674485</v>
      </c>
      <c r="D566" s="320">
        <v>192845.1525</v>
      </c>
    </row>
    <row r="567" spans="1:4" x14ac:dyDescent="0.2">
      <c r="A567" s="69">
        <v>9011708100</v>
      </c>
      <c r="B567" s="320">
        <v>2</v>
      </c>
      <c r="C567" s="320">
        <v>60839.916962999996</v>
      </c>
      <c r="D567" s="320">
        <v>129827.41500000001</v>
      </c>
    </row>
    <row r="568" spans="1:4" x14ac:dyDescent="0.2">
      <c r="A568" s="69">
        <v>9011709100</v>
      </c>
      <c r="B568" s="320">
        <v>3</v>
      </c>
      <c r="C568" s="320">
        <v>124107.391443</v>
      </c>
      <c r="D568" s="320">
        <v>531035.54</v>
      </c>
    </row>
    <row r="569" spans="1:4" x14ac:dyDescent="0.2">
      <c r="A569" s="69">
        <v>9011709200</v>
      </c>
      <c r="B569" s="320">
        <v>1</v>
      </c>
      <c r="C569" s="320">
        <v>14157.543372</v>
      </c>
      <c r="D569" s="320">
        <v>7324.16</v>
      </c>
    </row>
    <row r="570" spans="1:4" x14ac:dyDescent="0.2">
      <c r="A570" s="69">
        <v>9011710100</v>
      </c>
      <c r="B570" s="320">
        <v>1</v>
      </c>
      <c r="C570" s="320">
        <v>87253.835529000004</v>
      </c>
      <c r="D570" s="320">
        <v>96316.425000000003</v>
      </c>
    </row>
    <row r="571" spans="1:4" x14ac:dyDescent="0.2">
      <c r="A571" s="69">
        <v>9011711100</v>
      </c>
      <c r="B571" s="320">
        <v>1</v>
      </c>
      <c r="C571" s="320">
        <v>59092.732082999995</v>
      </c>
      <c r="D571" s="320">
        <v>58782.494999999995</v>
      </c>
    </row>
    <row r="572" spans="1:4" x14ac:dyDescent="0.2">
      <c r="A572" s="69">
        <v>9011712100</v>
      </c>
      <c r="B572" s="320">
        <v>2</v>
      </c>
      <c r="C572" s="320">
        <v>58204.723058999996</v>
      </c>
      <c r="D572" s="320">
        <v>73407.00499999999</v>
      </c>
    </row>
    <row r="573" spans="1:4" x14ac:dyDescent="0.2">
      <c r="A573" s="69">
        <v>9011714101</v>
      </c>
      <c r="B573" s="320">
        <v>1</v>
      </c>
      <c r="C573" s="320">
        <v>187257.26025300001</v>
      </c>
      <c r="D573" s="320">
        <v>487518.09250000003</v>
      </c>
    </row>
    <row r="574" spans="1:4" x14ac:dyDescent="0.2">
      <c r="A574" s="69">
        <v>9011714103</v>
      </c>
      <c r="B574" s="320">
        <v>1</v>
      </c>
      <c r="C574" s="320">
        <v>79994.61166200001</v>
      </c>
      <c r="D574" s="320">
        <v>58887.1</v>
      </c>
    </row>
    <row r="575" spans="1:4" x14ac:dyDescent="0.2">
      <c r="A575" s="69">
        <v>9011714104</v>
      </c>
      <c r="B575" s="320">
        <v>3</v>
      </c>
      <c r="C575" s="320">
        <v>58988.978370000004</v>
      </c>
      <c r="D575" s="320">
        <v>57872.66</v>
      </c>
    </row>
    <row r="576" spans="1:4" x14ac:dyDescent="0.2">
      <c r="A576" s="69">
        <v>9011715100</v>
      </c>
      <c r="B576" s="320">
        <v>3</v>
      </c>
      <c r="C576" s="320">
        <v>98096.257203000001</v>
      </c>
      <c r="D576" s="320">
        <v>143501.97</v>
      </c>
    </row>
    <row r="577" spans="1:4" x14ac:dyDescent="0.2">
      <c r="A577" s="69">
        <v>9011716101</v>
      </c>
      <c r="B577" s="320">
        <v>1</v>
      </c>
      <c r="C577" s="320">
        <v>54338.724405000001</v>
      </c>
      <c r="D577" s="320">
        <v>52694.9</v>
      </c>
    </row>
    <row r="578" spans="1:4" x14ac:dyDescent="0.2">
      <c r="A578" s="69">
        <v>9011716102</v>
      </c>
      <c r="B578" s="320">
        <v>2</v>
      </c>
      <c r="C578" s="320">
        <v>285527.62446600001</v>
      </c>
      <c r="D578" s="320">
        <v>347532.89999999997</v>
      </c>
    </row>
    <row r="579" spans="1:4" x14ac:dyDescent="0.2">
      <c r="A579" s="69">
        <v>9011870100</v>
      </c>
      <c r="B579" s="320">
        <v>3</v>
      </c>
      <c r="C579" s="320">
        <v>59689.485827999997</v>
      </c>
      <c r="D579" s="320">
        <v>109243.23</v>
      </c>
    </row>
    <row r="580" spans="1:4" x14ac:dyDescent="0.2">
      <c r="A580" s="69">
        <v>9011870300</v>
      </c>
      <c r="B580" s="320">
        <v>1</v>
      </c>
      <c r="C580" s="320">
        <v>22642.012176</v>
      </c>
      <c r="D580" s="320">
        <v>984.16</v>
      </c>
    </row>
    <row r="581" spans="1:4" x14ac:dyDescent="0.2">
      <c r="A581" s="69">
        <v>9011870501</v>
      </c>
      <c r="B581" s="320">
        <v>1</v>
      </c>
      <c r="C581" s="320">
        <v>44781.189474000006</v>
      </c>
      <c r="D581" s="320">
        <v>40865.480000000003</v>
      </c>
    </row>
    <row r="582" spans="1:4" x14ac:dyDescent="0.2">
      <c r="A582" s="69">
        <v>9011870502</v>
      </c>
      <c r="B582" s="320">
        <v>2</v>
      </c>
      <c r="C582" s="320">
        <v>22969.971591000001</v>
      </c>
      <c r="D582" s="320">
        <v>12080.57</v>
      </c>
    </row>
    <row r="583" spans="1:4" x14ac:dyDescent="0.2">
      <c r="A583" s="69">
        <v>9011870701</v>
      </c>
      <c r="B583" s="320">
        <v>1</v>
      </c>
      <c r="C583" s="320">
        <v>28822.556489999999</v>
      </c>
      <c r="D583" s="320">
        <v>27715.48</v>
      </c>
    </row>
    <row r="584" spans="1:4" x14ac:dyDescent="0.2">
      <c r="A584" s="69">
        <v>9011870703</v>
      </c>
      <c r="B584" s="320">
        <v>1</v>
      </c>
      <c r="C584" s="320">
        <v>24819.650519999999</v>
      </c>
      <c r="D584" s="320">
        <v>27992.54</v>
      </c>
    </row>
    <row r="585" spans="1:4" x14ac:dyDescent="0.2">
      <c r="A585" s="69">
        <v>9011870704</v>
      </c>
      <c r="B585" s="320">
        <v>1</v>
      </c>
      <c r="C585" s="320">
        <v>64201.490702999996</v>
      </c>
      <c r="D585" s="320">
        <v>98140.645000000004</v>
      </c>
    </row>
    <row r="586" spans="1:4" x14ac:dyDescent="0.2">
      <c r="A586" s="69">
        <v>9011980000</v>
      </c>
      <c r="B586" s="320">
        <v>1</v>
      </c>
      <c r="C586" s="320">
        <v>102.87417000000001</v>
      </c>
      <c r="D586" s="320">
        <v>0</v>
      </c>
    </row>
    <row r="587" spans="1:4" x14ac:dyDescent="0.2">
      <c r="A587" s="69">
        <v>9013526101</v>
      </c>
      <c r="B587" s="320">
        <v>3</v>
      </c>
      <c r="C587" s="320">
        <v>28467.598824000001</v>
      </c>
      <c r="D587" s="320">
        <v>33265.18</v>
      </c>
    </row>
    <row r="588" spans="1:4" x14ac:dyDescent="0.2">
      <c r="A588" s="69">
        <v>9013526102</v>
      </c>
      <c r="B588" s="320">
        <v>2</v>
      </c>
      <c r="C588" s="320">
        <v>153914.06236499999</v>
      </c>
      <c r="D588" s="320">
        <v>209915.63999999998</v>
      </c>
    </row>
    <row r="589" spans="1:4" x14ac:dyDescent="0.2">
      <c r="A589" s="69">
        <v>9013528100</v>
      </c>
      <c r="B589" s="320">
        <v>2</v>
      </c>
      <c r="C589" s="320">
        <v>64368.184628999996</v>
      </c>
      <c r="D589" s="320">
        <v>88733.099999999991</v>
      </c>
    </row>
    <row r="590" spans="1:4" x14ac:dyDescent="0.2">
      <c r="A590" s="69">
        <v>9013529100</v>
      </c>
      <c r="B590" s="320">
        <v>2</v>
      </c>
      <c r="C590" s="320">
        <v>105133.16486400002</v>
      </c>
      <c r="D590" s="320">
        <v>196685.52000000002</v>
      </c>
    </row>
    <row r="591" spans="1:4" x14ac:dyDescent="0.2">
      <c r="A591" s="69">
        <v>9013530100</v>
      </c>
      <c r="B591" s="320">
        <v>1</v>
      </c>
      <c r="C591" s="320">
        <v>19799.478930000001</v>
      </c>
      <c r="D591" s="320">
        <v>13785.48</v>
      </c>
    </row>
    <row r="592" spans="1:4" x14ac:dyDescent="0.2">
      <c r="A592" s="69">
        <v>9013530200</v>
      </c>
      <c r="B592" s="320">
        <v>1</v>
      </c>
      <c r="C592" s="320">
        <v>44244.281844000005</v>
      </c>
      <c r="D592" s="320">
        <v>41263.214999999997</v>
      </c>
    </row>
    <row r="593" spans="1:4" x14ac:dyDescent="0.2">
      <c r="A593" s="69">
        <v>9013530301</v>
      </c>
      <c r="B593" s="320">
        <v>1</v>
      </c>
      <c r="C593" s="320">
        <v>42821.970492</v>
      </c>
      <c r="D593" s="320">
        <v>20861.705000000002</v>
      </c>
    </row>
    <row r="594" spans="1:4" x14ac:dyDescent="0.2">
      <c r="A594" s="69">
        <v>9013530302</v>
      </c>
      <c r="B594" s="320">
        <v>1</v>
      </c>
      <c r="C594" s="320">
        <v>352011.71472599998</v>
      </c>
      <c r="D594" s="320">
        <v>619875.90500000003</v>
      </c>
    </row>
    <row r="595" spans="1:4" x14ac:dyDescent="0.2">
      <c r="A595" s="69">
        <v>9013530400</v>
      </c>
      <c r="B595" s="320">
        <v>1</v>
      </c>
      <c r="C595" s="320">
        <v>36310.123437000002</v>
      </c>
      <c r="D595" s="320">
        <v>23887.19</v>
      </c>
    </row>
    <row r="596" spans="1:4" x14ac:dyDescent="0.2">
      <c r="A596" s="69">
        <v>9013530500</v>
      </c>
      <c r="B596" s="320">
        <v>1</v>
      </c>
      <c r="C596" s="320">
        <v>37242.180612000004</v>
      </c>
      <c r="D596" s="320">
        <v>48754.07</v>
      </c>
    </row>
    <row r="597" spans="1:4" x14ac:dyDescent="0.2">
      <c r="A597" s="69">
        <v>9013530600</v>
      </c>
      <c r="B597" s="320">
        <v>3</v>
      </c>
      <c r="C597" s="320">
        <v>31446.626904000001</v>
      </c>
      <c r="D597" s="320">
        <v>25947.4</v>
      </c>
    </row>
    <row r="598" spans="1:4" x14ac:dyDescent="0.2">
      <c r="A598" s="69">
        <v>9013533101</v>
      </c>
      <c r="B598" s="320">
        <v>1</v>
      </c>
      <c r="C598" s="320">
        <v>203245.89236699999</v>
      </c>
      <c r="D598" s="320">
        <v>498449.17499999999</v>
      </c>
    </row>
    <row r="599" spans="1:4" x14ac:dyDescent="0.2">
      <c r="A599" s="69">
        <v>9013533102</v>
      </c>
      <c r="B599" s="320">
        <v>1</v>
      </c>
      <c r="C599" s="320">
        <v>61303.583922000005</v>
      </c>
      <c r="D599" s="320">
        <v>57496.474999999999</v>
      </c>
    </row>
    <row r="600" spans="1:4" x14ac:dyDescent="0.2">
      <c r="A600" s="69">
        <v>9013535100</v>
      </c>
      <c r="B600" s="320">
        <v>2</v>
      </c>
      <c r="C600" s="320">
        <v>243880.06364400001</v>
      </c>
      <c r="D600" s="320">
        <v>283785.53999999998</v>
      </c>
    </row>
    <row r="601" spans="1:4" x14ac:dyDescent="0.2">
      <c r="A601" s="69">
        <v>9013535200</v>
      </c>
      <c r="B601" s="320">
        <v>2</v>
      </c>
      <c r="C601" s="320">
        <v>74349.359825999985</v>
      </c>
      <c r="D601" s="320">
        <v>93393.26</v>
      </c>
    </row>
    <row r="602" spans="1:4" x14ac:dyDescent="0.2">
      <c r="A602" s="69">
        <v>9013538201</v>
      </c>
      <c r="B602" s="320">
        <v>2</v>
      </c>
      <c r="C602" s="320">
        <v>126881.222286</v>
      </c>
      <c r="D602" s="320">
        <v>183814.755</v>
      </c>
    </row>
    <row r="603" spans="1:4" x14ac:dyDescent="0.2">
      <c r="A603" s="69">
        <v>9013538202</v>
      </c>
      <c r="B603" s="320">
        <v>2</v>
      </c>
      <c r="C603" s="320">
        <v>51244.991069999996</v>
      </c>
      <c r="D603" s="320">
        <v>44366.26</v>
      </c>
    </row>
    <row r="604" spans="1:4" x14ac:dyDescent="0.2">
      <c r="A604" s="69">
        <v>9013840100</v>
      </c>
      <c r="B604" s="320">
        <v>3</v>
      </c>
      <c r="C604" s="320">
        <v>112692.713301</v>
      </c>
      <c r="D604" s="320">
        <v>400873.005</v>
      </c>
    </row>
    <row r="605" spans="1:4" x14ac:dyDescent="0.2">
      <c r="A605" s="69">
        <v>9013850100</v>
      </c>
      <c r="B605" s="320">
        <v>1</v>
      </c>
      <c r="C605" s="320">
        <v>69517.807463999998</v>
      </c>
      <c r="D605" s="320">
        <v>47972.65</v>
      </c>
    </row>
    <row r="606" spans="1:4" x14ac:dyDescent="0.2">
      <c r="A606" s="69">
        <v>9013850200</v>
      </c>
      <c r="B606" s="320">
        <v>2</v>
      </c>
      <c r="C606" s="320">
        <v>174188.29551899998</v>
      </c>
      <c r="D606" s="320">
        <v>252068.94750000001</v>
      </c>
    </row>
    <row r="607" spans="1:4" x14ac:dyDescent="0.2">
      <c r="A607" s="69">
        <v>9013860100</v>
      </c>
      <c r="B607" s="320">
        <v>2</v>
      </c>
      <c r="C607" s="320">
        <v>109170.391365</v>
      </c>
      <c r="D607" s="320">
        <v>150720.28</v>
      </c>
    </row>
    <row r="608" spans="1:4" x14ac:dyDescent="0.2">
      <c r="A608" s="69">
        <v>9013881100</v>
      </c>
      <c r="B608" s="320">
        <v>1</v>
      </c>
      <c r="C608" s="320">
        <v>209626.19340599998</v>
      </c>
      <c r="D608" s="320">
        <v>169468.68000000002</v>
      </c>
    </row>
    <row r="609" spans="1:4" x14ac:dyDescent="0.2">
      <c r="A609" s="69">
        <v>9013881200</v>
      </c>
      <c r="B609" s="320">
        <v>1</v>
      </c>
      <c r="C609" s="320">
        <v>3676.7988599999999</v>
      </c>
      <c r="D609" s="320">
        <v>253.52</v>
      </c>
    </row>
    <row r="610" spans="1:4" x14ac:dyDescent="0.2">
      <c r="A610" s="69">
        <v>9013881300</v>
      </c>
      <c r="B610" s="320">
        <v>1</v>
      </c>
      <c r="C610" s="320">
        <v>32856.351276000001</v>
      </c>
      <c r="D610" s="320">
        <v>14461.415000000001</v>
      </c>
    </row>
    <row r="611" spans="1:4" x14ac:dyDescent="0.2">
      <c r="A611" s="69">
        <v>9013881500</v>
      </c>
      <c r="B611" s="320">
        <v>2</v>
      </c>
      <c r="C611" s="320">
        <v>54878.248445999998</v>
      </c>
      <c r="D611" s="320">
        <v>106014.70499999999</v>
      </c>
    </row>
    <row r="612" spans="1:4" x14ac:dyDescent="0.2">
      <c r="A612" s="69">
        <v>9013890100</v>
      </c>
      <c r="B612" s="320">
        <v>2</v>
      </c>
      <c r="C612" s="320">
        <v>46113.975810000004</v>
      </c>
      <c r="D612" s="320">
        <v>12627.035</v>
      </c>
    </row>
    <row r="613" spans="1:4" x14ac:dyDescent="0.2">
      <c r="A613" s="69">
        <v>9013890201</v>
      </c>
      <c r="B613" s="320">
        <v>3</v>
      </c>
      <c r="C613" s="320">
        <v>50406.931007999992</v>
      </c>
      <c r="D613" s="320">
        <v>57194.75</v>
      </c>
    </row>
    <row r="614" spans="1:4" x14ac:dyDescent="0.2">
      <c r="A614" s="69">
        <v>9013890202</v>
      </c>
      <c r="B614" s="320">
        <v>3</v>
      </c>
      <c r="C614" s="320">
        <v>211566.07644899999</v>
      </c>
      <c r="D614" s="320">
        <v>160191.41</v>
      </c>
    </row>
    <row r="615" spans="1:4" x14ac:dyDescent="0.2">
      <c r="A615" s="69">
        <v>9015800300</v>
      </c>
      <c r="B615" s="320">
        <v>1</v>
      </c>
      <c r="C615" s="320">
        <v>26256.757611000001</v>
      </c>
      <c r="D615" s="320">
        <v>42645.85</v>
      </c>
    </row>
    <row r="616" spans="1:4" x14ac:dyDescent="0.2">
      <c r="A616" s="69">
        <v>9015800400</v>
      </c>
      <c r="B616" s="320">
        <v>1</v>
      </c>
      <c r="C616" s="320">
        <v>35383.881098999998</v>
      </c>
      <c r="D616" s="320">
        <v>24489.759999999998</v>
      </c>
    </row>
    <row r="617" spans="1:4" x14ac:dyDescent="0.2">
      <c r="A617" s="69">
        <v>9015800500</v>
      </c>
      <c r="B617" s="320">
        <v>1</v>
      </c>
      <c r="C617" s="320">
        <v>65345.950509000002</v>
      </c>
      <c r="D617" s="320">
        <v>69607.570000000007</v>
      </c>
    </row>
    <row r="618" spans="1:4" x14ac:dyDescent="0.2">
      <c r="A618" s="69">
        <v>9015800600</v>
      </c>
      <c r="B618" s="320">
        <v>1</v>
      </c>
      <c r="C618" s="320">
        <v>270036.75814499997</v>
      </c>
      <c r="D618" s="320">
        <v>253806.65000000002</v>
      </c>
    </row>
    <row r="619" spans="1:4" x14ac:dyDescent="0.2">
      <c r="A619" s="69">
        <v>9015800700</v>
      </c>
      <c r="B619" s="320">
        <v>1</v>
      </c>
      <c r="C619" s="320">
        <v>22710.111795000001</v>
      </c>
      <c r="D619" s="320">
        <v>5531.64</v>
      </c>
    </row>
    <row r="620" spans="1:4" x14ac:dyDescent="0.2">
      <c r="A620" s="69">
        <v>9015815000</v>
      </c>
      <c r="B620" s="320">
        <v>3</v>
      </c>
      <c r="C620" s="320">
        <v>48193.788783000004</v>
      </c>
      <c r="D620" s="320">
        <v>75067.97</v>
      </c>
    </row>
    <row r="621" spans="1:4" x14ac:dyDescent="0.2">
      <c r="A621" s="69">
        <v>9015820000</v>
      </c>
      <c r="B621" s="320">
        <v>1</v>
      </c>
      <c r="C621" s="320">
        <v>7196.0315280000032</v>
      </c>
      <c r="D621" s="320">
        <v>33583.324999999997</v>
      </c>
    </row>
    <row r="622" spans="1:4" x14ac:dyDescent="0.2">
      <c r="A622" s="69">
        <v>9015825000</v>
      </c>
      <c r="B622" s="320">
        <v>3</v>
      </c>
      <c r="C622" s="320">
        <v>29578.416713999999</v>
      </c>
      <c r="D622" s="320">
        <v>27036.080000000002</v>
      </c>
    </row>
    <row r="623" spans="1:4" x14ac:dyDescent="0.2">
      <c r="A623" s="69">
        <v>9015830100</v>
      </c>
      <c r="B623" s="320">
        <v>2</v>
      </c>
      <c r="C623" s="320">
        <v>95376.106980000011</v>
      </c>
      <c r="D623" s="320">
        <v>102956.12000000001</v>
      </c>
    </row>
    <row r="624" spans="1:4" x14ac:dyDescent="0.2">
      <c r="A624" s="69">
        <v>9015900100</v>
      </c>
      <c r="B624" s="320">
        <v>1</v>
      </c>
      <c r="C624" s="320">
        <v>66740.186520000003</v>
      </c>
      <c r="D624" s="320">
        <v>40704.925000000003</v>
      </c>
    </row>
    <row r="625" spans="1:4" x14ac:dyDescent="0.2">
      <c r="A625" s="69">
        <v>9015900200</v>
      </c>
      <c r="B625" s="320">
        <v>2</v>
      </c>
      <c r="C625" s="320">
        <v>102366.494496</v>
      </c>
      <c r="D625" s="320">
        <v>167583.07499999998</v>
      </c>
    </row>
    <row r="626" spans="1:4" x14ac:dyDescent="0.2">
      <c r="A626" s="69">
        <v>9015901100</v>
      </c>
      <c r="B626" s="320">
        <v>4</v>
      </c>
      <c r="C626" s="320">
        <v>174152.86553700001</v>
      </c>
      <c r="D626" s="320">
        <v>201551.43500000003</v>
      </c>
    </row>
    <row r="627" spans="1:4" x14ac:dyDescent="0.2">
      <c r="A627" s="69">
        <v>9015902200</v>
      </c>
      <c r="B627" s="320">
        <v>3</v>
      </c>
      <c r="C627" s="320">
        <v>37234.636635000003</v>
      </c>
      <c r="D627" s="320">
        <v>29236.965</v>
      </c>
    </row>
    <row r="628" spans="1:4" x14ac:dyDescent="0.2">
      <c r="A628" s="69">
        <v>9015902500</v>
      </c>
      <c r="B628" s="320">
        <v>3</v>
      </c>
      <c r="C628" s="320">
        <v>89128.601961000008</v>
      </c>
      <c r="D628" s="320">
        <v>110610.52500000001</v>
      </c>
    </row>
    <row r="629" spans="1:4" x14ac:dyDescent="0.2">
      <c r="A629" s="69">
        <v>9015903100</v>
      </c>
      <c r="B629" s="320">
        <v>1</v>
      </c>
      <c r="C629" s="320">
        <v>188004.95149800001</v>
      </c>
      <c r="D629" s="320">
        <v>155918.16</v>
      </c>
    </row>
    <row r="630" spans="1:4" x14ac:dyDescent="0.2">
      <c r="A630" s="69">
        <v>9015903200</v>
      </c>
      <c r="B630" s="320">
        <v>1</v>
      </c>
      <c r="C630" s="320">
        <v>25402.228214999999</v>
      </c>
      <c r="D630" s="320">
        <v>16329.46</v>
      </c>
    </row>
    <row r="631" spans="1:4" x14ac:dyDescent="0.2">
      <c r="A631" s="69">
        <v>9015904100</v>
      </c>
      <c r="B631" s="320">
        <v>1</v>
      </c>
      <c r="C631" s="320">
        <v>87179.223620999997</v>
      </c>
      <c r="D631" s="320">
        <v>126251.705</v>
      </c>
    </row>
    <row r="632" spans="1:4" x14ac:dyDescent="0.2">
      <c r="A632" s="69">
        <v>9015904400</v>
      </c>
      <c r="B632" s="320">
        <v>1</v>
      </c>
      <c r="C632" s="320">
        <v>209768.796741</v>
      </c>
      <c r="D632" s="320">
        <v>451334.16799999995</v>
      </c>
    </row>
    <row r="633" spans="1:4" x14ac:dyDescent="0.2">
      <c r="A633" s="69">
        <v>9015904500</v>
      </c>
      <c r="B633" s="320">
        <v>1</v>
      </c>
      <c r="C633" s="320">
        <v>61979.582511000001</v>
      </c>
      <c r="D633" s="320">
        <v>145968.62</v>
      </c>
    </row>
    <row r="634" spans="1:4" x14ac:dyDescent="0.2">
      <c r="A634" s="69">
        <v>9015905100</v>
      </c>
      <c r="B634" s="320">
        <v>2</v>
      </c>
      <c r="C634" s="320">
        <v>155475.86363399998</v>
      </c>
      <c r="D634" s="320">
        <v>184544.5625</v>
      </c>
    </row>
    <row r="635" spans="1:4" x14ac:dyDescent="0.2">
      <c r="A635" s="69">
        <v>9015906100</v>
      </c>
      <c r="B635" s="320">
        <v>2</v>
      </c>
      <c r="C635" s="320">
        <v>99798.570416999981</v>
      </c>
      <c r="D635" s="320">
        <v>129662.44500000001</v>
      </c>
    </row>
    <row r="636" spans="1:4" x14ac:dyDescent="0.2">
      <c r="A636" s="69">
        <v>9015907100</v>
      </c>
      <c r="B636" s="320">
        <v>2</v>
      </c>
      <c r="C636" s="320">
        <v>183489.788286</v>
      </c>
      <c r="D636" s="320">
        <v>328050.31</v>
      </c>
    </row>
    <row r="637" spans="1:4" x14ac:dyDescent="0.2">
      <c r="A637" s="69">
        <v>9015907200</v>
      </c>
      <c r="B637" s="320">
        <v>3</v>
      </c>
      <c r="C637" s="320">
        <v>54510.23335799999</v>
      </c>
      <c r="D637" s="320">
        <v>85890.21</v>
      </c>
    </row>
    <row r="638" spans="1:4" x14ac:dyDescent="0.2">
      <c r="A638" s="69">
        <v>9015907300</v>
      </c>
      <c r="B638" s="320">
        <v>1</v>
      </c>
      <c r="C638" s="320">
        <v>60815.317773000002</v>
      </c>
      <c r="D638" s="320">
        <v>69144.09</v>
      </c>
    </row>
    <row r="639" spans="1:4" x14ac:dyDescent="0.2">
      <c r="A639" s="69">
        <v>9015908100</v>
      </c>
      <c r="B639" s="320">
        <v>2</v>
      </c>
      <c r="C639" s="320">
        <v>72769.704462000009</v>
      </c>
      <c r="D639" s="320">
        <v>79388.34</v>
      </c>
    </row>
    <row r="640" spans="1:4" x14ac:dyDescent="0.2">
      <c r="A640" s="69" t="s">
        <v>2709</v>
      </c>
      <c r="B640" s="320">
        <v>72</v>
      </c>
      <c r="C640" s="320">
        <v>58471010.013801031</v>
      </c>
      <c r="D640" s="320">
        <v>80858628.885499969</v>
      </c>
    </row>
    <row r="641" spans="1:4" x14ac:dyDescent="0.2">
      <c r="A641" s="69">
        <v>9011870200</v>
      </c>
      <c r="B641" s="320">
        <v>1</v>
      </c>
      <c r="C641" s="320">
        <v>369948.19165499997</v>
      </c>
      <c r="D641" s="320">
        <v>446534.24</v>
      </c>
    </row>
    <row r="642" spans="1:4" x14ac:dyDescent="0.2">
      <c r="A642" s="69">
        <v>9003415900</v>
      </c>
      <c r="B642" s="320">
        <v>1</v>
      </c>
      <c r="C642" s="320">
        <v>8739.4213199999995</v>
      </c>
      <c r="D642" s="320">
        <v>583.76</v>
      </c>
    </row>
    <row r="643" spans="1:4" x14ac:dyDescent="0.2">
      <c r="A643" s="69">
        <v>9003417200</v>
      </c>
      <c r="B643" s="320">
        <v>1</v>
      </c>
      <c r="C643" s="320">
        <v>13168.471428000001</v>
      </c>
      <c r="D643" s="320">
        <v>7213.15</v>
      </c>
    </row>
    <row r="644" spans="1:4" x14ac:dyDescent="0.2">
      <c r="A644" s="69" t="s">
        <v>951</v>
      </c>
      <c r="B644" s="320" t="e">
        <v>#N/A</v>
      </c>
      <c r="C644" s="320">
        <v>116942020.02760205</v>
      </c>
      <c r="D644" s="320">
        <v>161717257.771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41A9-99DD-4FB1-9844-C1EDDBA14169}">
  <sheetPr>
    <tabColor theme="6" tint="0.59999389629810485"/>
    <pageSetUpPr fitToPage="1"/>
  </sheetPr>
  <dimension ref="A1:S942"/>
  <sheetViews>
    <sheetView zoomScale="90" zoomScaleNormal="90" workbookViewId="0">
      <pane ySplit="5" topLeftCell="A6" activePane="bottomLeft" state="frozen"/>
      <selection pane="bottomLeft" sqref="A1:O1048576"/>
    </sheetView>
  </sheetViews>
  <sheetFormatPr baseColWidth="10" defaultColWidth="8.83203125" defaultRowHeight="15" x14ac:dyDescent="0.2"/>
  <cols>
    <col min="1" max="1" width="16.5" customWidth="1"/>
    <col min="2" max="2" width="19.1640625" bestFit="1" customWidth="1"/>
    <col min="3" max="3" width="20" customWidth="1"/>
    <col min="4" max="4" width="20.6640625" style="27" customWidth="1"/>
    <col min="5" max="5" width="20.6640625" style="26" customWidth="1"/>
    <col min="6" max="6" width="20.6640625" style="27" customWidth="1"/>
    <col min="7" max="7" width="20.6640625" style="26" customWidth="1"/>
    <col min="8" max="8" width="20.6640625" style="25" customWidth="1"/>
    <col min="9" max="9" width="20.6640625" style="20" customWidth="1"/>
    <col min="10" max="10" width="20.6640625" customWidth="1"/>
    <col min="11" max="11" width="20.6640625" style="20" customWidth="1"/>
    <col min="12" max="12" width="20.6640625" customWidth="1"/>
    <col min="13" max="13" width="20.6640625" style="20" customWidth="1"/>
    <col min="14" max="14" width="20.6640625" customWidth="1"/>
    <col min="15" max="15" width="20.6640625" style="20" customWidth="1"/>
    <col min="16" max="16" width="20.5" customWidth="1"/>
    <col min="17" max="18" width="14.1640625" customWidth="1"/>
    <col min="19" max="19" width="12.6640625" customWidth="1"/>
  </cols>
  <sheetData>
    <row r="1" spans="1:19" ht="15" customHeight="1" x14ac:dyDescent="0.2">
      <c r="A1" s="261" t="s">
        <v>2710</v>
      </c>
      <c r="B1" s="262"/>
      <c r="C1" s="262"/>
      <c r="D1" s="262"/>
      <c r="E1" s="262"/>
      <c r="F1" s="262"/>
      <c r="G1" s="262"/>
      <c r="H1" s="262"/>
      <c r="I1" s="262"/>
      <c r="J1" s="262"/>
      <c r="K1" s="262"/>
      <c r="L1" s="262"/>
      <c r="M1" s="262"/>
      <c r="N1" s="262"/>
      <c r="O1" s="263"/>
    </row>
    <row r="2" spans="1:19" ht="15.75" customHeight="1" thickBot="1" x14ac:dyDescent="0.25">
      <c r="A2" s="264"/>
      <c r="B2" s="265"/>
      <c r="C2" s="265"/>
      <c r="D2" s="265"/>
      <c r="E2" s="265"/>
      <c r="F2" s="265"/>
      <c r="G2" s="265"/>
      <c r="H2" s="265"/>
      <c r="I2" s="265"/>
      <c r="J2" s="265"/>
      <c r="K2" s="265"/>
      <c r="L2" s="265"/>
      <c r="M2" s="265"/>
      <c r="N2" s="265"/>
      <c r="O2" s="266"/>
    </row>
    <row r="3" spans="1:19" ht="17" thickBot="1" x14ac:dyDescent="0.25">
      <c r="A3" s="274" t="s">
        <v>3883</v>
      </c>
      <c r="B3" s="275"/>
      <c r="C3" s="275"/>
      <c r="D3" s="258" t="s">
        <v>2697</v>
      </c>
      <c r="E3" s="259"/>
      <c r="F3" s="259"/>
      <c r="G3" s="259"/>
      <c r="H3" s="259"/>
      <c r="I3" s="259"/>
      <c r="J3" s="259"/>
      <c r="K3" s="259"/>
      <c r="L3" s="259"/>
      <c r="M3" s="259"/>
      <c r="N3" s="259"/>
      <c r="O3" s="260"/>
    </row>
    <row r="4" spans="1:19" x14ac:dyDescent="0.2">
      <c r="A4" s="276"/>
      <c r="B4" s="277"/>
      <c r="C4" s="278"/>
      <c r="D4" s="270" t="s">
        <v>2699</v>
      </c>
      <c r="E4" s="271"/>
      <c r="F4" s="271"/>
      <c r="G4" s="271"/>
      <c r="H4" s="272" t="s">
        <v>2700</v>
      </c>
      <c r="I4" s="273"/>
      <c r="J4" s="273"/>
      <c r="K4" s="273"/>
      <c r="L4" s="267" t="s">
        <v>2701</v>
      </c>
      <c r="M4" s="268"/>
      <c r="N4" s="268"/>
      <c r="O4" s="269"/>
    </row>
    <row r="5" spans="1:19" ht="74.25" customHeight="1" x14ac:dyDescent="0.2">
      <c r="A5" s="145" t="s">
        <v>2712</v>
      </c>
      <c r="B5" s="227" t="s">
        <v>2711</v>
      </c>
      <c r="C5" s="146" t="s">
        <v>2713</v>
      </c>
      <c r="D5" s="166" t="s">
        <v>2714</v>
      </c>
      <c r="E5" s="167" t="s">
        <v>2715</v>
      </c>
      <c r="F5" s="166" t="s">
        <v>2716</v>
      </c>
      <c r="G5" s="167" t="s">
        <v>2717</v>
      </c>
      <c r="H5" s="126" t="s">
        <v>2718</v>
      </c>
      <c r="I5" s="168" t="s">
        <v>2719</v>
      </c>
      <c r="J5" s="126" t="s">
        <v>2720</v>
      </c>
      <c r="K5" s="168" t="s">
        <v>2721</v>
      </c>
      <c r="L5" s="126" t="s">
        <v>2722</v>
      </c>
      <c r="M5" s="168" t="s">
        <v>2723</v>
      </c>
      <c r="N5" s="126" t="s">
        <v>2724</v>
      </c>
      <c r="O5" s="168" t="s">
        <v>2725</v>
      </c>
      <c r="P5" s="47" t="s">
        <v>2726</v>
      </c>
      <c r="Q5" s="47" t="s">
        <v>2727</v>
      </c>
      <c r="R5" s="63" t="s">
        <v>2728</v>
      </c>
      <c r="S5" s="63" t="s">
        <v>2729</v>
      </c>
    </row>
    <row r="6" spans="1:19" x14ac:dyDescent="0.2">
      <c r="A6" t="s">
        <v>2730</v>
      </c>
      <c r="B6" s="169">
        <v>9013528100</v>
      </c>
      <c r="C6" t="s">
        <v>944</v>
      </c>
      <c r="D6" s="170">
        <f>[1]!Table3[[#This Row],[Residential CLM $ Collected]]+[1]!Table3[[#This Row],[C&amp;I CLM $ Collected]]</f>
        <v>64257.906068999997</v>
      </c>
      <c r="E6" s="28">
        <f>[1]!Table3[[#This Row],[CLM $ Collected ]]/'[1]1.) CLM Reference'!$B$4</f>
        <v>6.9176028030691714E-4</v>
      </c>
      <c r="F6" s="170">
        <f>[1]!Table3[[#This Row],[Residential Incentive Disbursements]]+[1]!Table3[[#This Row],[C&amp;I Incentive Disbursements]]</f>
        <v>88733.099999999991</v>
      </c>
      <c r="G6" s="28">
        <f>[1]!Table3[[#This Row],[Incentive Disbursements]]/'[1]1.) CLM Reference'!$B$5</f>
        <v>7.1245060227502542E-4</v>
      </c>
      <c r="H6" s="228">
        <v>55790.391530999994</v>
      </c>
      <c r="I6" s="28">
        <f>[1]!Table3[[#This Row],[Residential CLM $ Collected]]/'[1]1.) CLM Reference'!$B$4</f>
        <v>6.006043340795375E-4</v>
      </c>
      <c r="J6" s="229">
        <v>85449.9</v>
      </c>
      <c r="K6" s="28">
        <f>[1]!Table3[[#This Row],[Residential Incentive Disbursements]]/'[1]1.) CLM Reference'!$B$5</f>
        <v>6.8608932539650593E-4</v>
      </c>
      <c r="L6" s="229">
        <v>8467.5145380000013</v>
      </c>
      <c r="M6" s="28">
        <f>[1]!Table3[[#This Row],[C&amp;I CLM $ Collected]]/'[1]1.) CLM Reference'!$B$4</f>
        <v>9.1155946227379657E-5</v>
      </c>
      <c r="N6" s="229">
        <v>3283.2</v>
      </c>
      <c r="O6" s="28">
        <f>[1]!Table3[[#This Row],[C&amp;I Incentive Disbursements]]/'[1]1.) CLM Reference'!$B$5</f>
        <v>2.6361276878519556E-5</v>
      </c>
      <c r="Q6">
        <f>VLOOKUP(Table3[[#This Row],[Census Tract]],'Population and Diversity Data'!$B$2:$K$823,10,FALSE)</f>
        <v>1</v>
      </c>
      <c r="R6" t="str">
        <f>VLOOKUP(Table3[[#This Row],[Census Tract]],'ES Energy Burden'!$B$2:$E$914,4,FALSE)</f>
        <v>No</v>
      </c>
    </row>
    <row r="7" spans="1:19" x14ac:dyDescent="0.2">
      <c r="A7" t="s">
        <v>2730</v>
      </c>
      <c r="B7" s="169">
        <v>9013529100</v>
      </c>
      <c r="C7" t="s">
        <v>944</v>
      </c>
      <c r="D7" s="170">
        <f>[1]!Table3[[#This Row],[Residential CLM $ Collected]]+[1]!Table3[[#This Row],[C&amp;I CLM $ Collected]]</f>
        <v>575.90988000000004</v>
      </c>
      <c r="E7" s="28">
        <f>[1]!Table3[[#This Row],[CLM $ Collected ]]/'[1]1.) CLM Reference'!$B$4</f>
        <v>6.1998842538151033E-6</v>
      </c>
      <c r="F7" s="170">
        <f>[1]!Table3[[#This Row],[Residential Incentive Disbursements]]+[1]!Table3[[#This Row],[C&amp;I Incentive Disbursements]]</f>
        <v>0</v>
      </c>
      <c r="G7" s="28">
        <f>[1]!Table3[[#This Row],[Incentive Disbursements]]/'[1]1.) CLM Reference'!$B$5</f>
        <v>0</v>
      </c>
      <c r="H7" s="228">
        <v>575.90988000000004</v>
      </c>
      <c r="I7" s="28">
        <f>[1]!Table3[[#This Row],[Residential CLM $ Collected]]/'[1]1.) CLM Reference'!$B$4</f>
        <v>6.1998842538151033E-6</v>
      </c>
      <c r="J7" s="229">
        <v>0</v>
      </c>
      <c r="K7" s="28">
        <f>[1]!Table3[[#This Row],[Residential Incentive Disbursements]]/'[1]1.) CLM Reference'!$B$5</f>
        <v>0</v>
      </c>
      <c r="L7" s="229">
        <v>0</v>
      </c>
      <c r="M7" s="28">
        <f>[1]!Table3[[#This Row],[C&amp;I CLM $ Collected]]/'[1]1.) CLM Reference'!$B$4</f>
        <v>0</v>
      </c>
      <c r="N7" s="229">
        <v>0</v>
      </c>
      <c r="O7" s="28">
        <f>[1]!Table3[[#This Row],[C&amp;I Incentive Disbursements]]/'[1]1.) CLM Reference'!$B$5</f>
        <v>0</v>
      </c>
      <c r="Q7">
        <f>VLOOKUP(Table3[[#This Row],[Census Tract]],'Population and Diversity Data'!$B$2:$K$823,10,FALSE)</f>
        <v>2</v>
      </c>
      <c r="R7" t="str">
        <f>VLOOKUP(Table3[[#This Row],[Census Tract]],'ES Energy Burden'!$B$2:$E$914,4,FALSE)</f>
        <v>No</v>
      </c>
    </row>
    <row r="8" spans="1:19" x14ac:dyDescent="0.2">
      <c r="A8" t="s">
        <v>2731</v>
      </c>
      <c r="B8" s="169">
        <v>9015830100</v>
      </c>
      <c r="C8" t="s">
        <v>944</v>
      </c>
      <c r="D8" s="170">
        <f>[1]!Table3[[#This Row],[Residential CLM $ Collected]]+[1]!Table3[[#This Row],[C&amp;I CLM $ Collected]]</f>
        <v>95083.326870000004</v>
      </c>
      <c r="E8" s="28">
        <f>[1]!Table3[[#This Row],[CLM $ Collected ]]/'[1]1.) CLM Reference'!$B$4</f>
        <v>1.0236074106970824E-3</v>
      </c>
      <c r="F8" s="170">
        <f>[1]!Table3[[#This Row],[Residential Incentive Disbursements]]+[1]!Table3[[#This Row],[C&amp;I Incentive Disbursements]]</f>
        <v>102956.12000000001</v>
      </c>
      <c r="G8" s="28">
        <f>[1]!Table3[[#This Row],[Incentive Disbursements]]/'[1]1.) CLM Reference'!$B$5</f>
        <v>8.2664924027110297E-4</v>
      </c>
      <c r="H8" s="228">
        <v>73987.89615</v>
      </c>
      <c r="I8" s="28">
        <f>[1]!Table3[[#This Row],[Residential CLM $ Collected]]/'[1]1.) CLM Reference'!$B$4</f>
        <v>7.9650724574006633E-4</v>
      </c>
      <c r="J8" s="229">
        <v>77087.600000000006</v>
      </c>
      <c r="K8" s="28">
        <f>[1]!Table3[[#This Row],[Residential Incentive Disbursements]]/'[1]1.) CLM Reference'!$B$5</f>
        <v>6.1894723668998674E-4</v>
      </c>
      <c r="L8" s="229">
        <v>21095.43072</v>
      </c>
      <c r="M8" s="28">
        <f>[1]!Table3[[#This Row],[C&amp;I CLM $ Collected]]/'[1]1.) CLM Reference'!$B$4</f>
        <v>2.2710016495701619E-4</v>
      </c>
      <c r="N8" s="229">
        <v>25868.52</v>
      </c>
      <c r="O8" s="28">
        <f>[1]!Table3[[#This Row],[C&amp;I Incentive Disbursements]]/'[1]1.) CLM Reference'!$B$5</f>
        <v>2.0770200358111621E-4</v>
      </c>
      <c r="Q8">
        <f>VLOOKUP(Table3[[#This Row],[Census Tract]],'Population and Diversity Data'!$B$2:$K$823,10,FALSE)</f>
        <v>4</v>
      </c>
      <c r="R8" t="str">
        <f>VLOOKUP(Table3[[#This Row],[Census Tract]],'ES Energy Burden'!$B$2:$E$914,4,FALSE)</f>
        <v>No</v>
      </c>
    </row>
    <row r="9" spans="1:19" x14ac:dyDescent="0.2">
      <c r="A9" t="s">
        <v>2731</v>
      </c>
      <c r="B9" s="169">
        <v>9015902200</v>
      </c>
      <c r="C9" t="s">
        <v>944</v>
      </c>
      <c r="D9" s="170">
        <f>[1]!Table3[[#This Row],[Residential CLM $ Collected]]+[1]!Table3[[#This Row],[C&amp;I CLM $ Collected]]</f>
        <v>945.84441000000004</v>
      </c>
      <c r="E9" s="28">
        <f>[1]!Table3[[#This Row],[CLM $ Collected ]]/'[1]1.) CLM Reference'!$B$4</f>
        <v>1.0182367185848655E-5</v>
      </c>
      <c r="F9" s="170">
        <f>[1]!Table3[[#This Row],[Residential Incentive Disbursements]]+[1]!Table3[[#This Row],[C&amp;I Incentive Disbursements]]</f>
        <v>0</v>
      </c>
      <c r="G9" s="28">
        <f>[1]!Table3[[#This Row],[Incentive Disbursements]]/'[1]1.) CLM Reference'!$B$5</f>
        <v>0</v>
      </c>
      <c r="H9" s="228">
        <v>945.84441000000004</v>
      </c>
      <c r="I9" s="28">
        <f>[1]!Table3[[#This Row],[Residential CLM $ Collected]]/'[1]1.) CLM Reference'!$B$4</f>
        <v>1.0182367185848655E-5</v>
      </c>
      <c r="J9" s="229">
        <v>0</v>
      </c>
      <c r="K9" s="28">
        <f>[1]!Table3[[#This Row],[Residential Incentive Disbursements]]/'[1]1.) CLM Reference'!$B$5</f>
        <v>0</v>
      </c>
      <c r="L9" s="229">
        <v>0</v>
      </c>
      <c r="M9" s="28">
        <f>[1]!Table3[[#This Row],[C&amp;I CLM $ Collected]]/'[1]1.) CLM Reference'!$B$4</f>
        <v>0</v>
      </c>
      <c r="N9" s="229">
        <v>0</v>
      </c>
      <c r="O9" s="28">
        <f>[1]!Table3[[#This Row],[C&amp;I Incentive Disbursements]]/'[1]1.) CLM Reference'!$B$5</f>
        <v>0</v>
      </c>
      <c r="Q9">
        <f>VLOOKUP(Table3[[#This Row],[Census Tract]],'Population and Diversity Data'!$B$2:$K$823,10,FALSE)</f>
        <v>2</v>
      </c>
      <c r="R9" t="str">
        <f>VLOOKUP(Table3[[#This Row],[Census Tract]],'ES Energy Burden'!$B$2:$E$914,4,FALSE)</f>
        <v>No</v>
      </c>
    </row>
    <row r="10" spans="1:19" x14ac:dyDescent="0.2">
      <c r="A10" t="s">
        <v>2732</v>
      </c>
      <c r="B10" s="169">
        <v>9003460302</v>
      </c>
      <c r="C10" t="s">
        <v>944</v>
      </c>
      <c r="D10" s="170">
        <f>[1]!Table3[[#This Row],[Residential CLM $ Collected]]+[1]!Table3[[#This Row],[C&amp;I CLM $ Collected]]</f>
        <v>776.70747000000006</v>
      </c>
      <c r="E10" s="28">
        <f>[1]!Table3[[#This Row],[CLM $ Collected ]]/'[1]1.) CLM Reference'!$B$4</f>
        <v>8.3615450616571589E-6</v>
      </c>
      <c r="F10" s="170">
        <f>[1]!Table3[[#This Row],[Residential Incentive Disbursements]]+[1]!Table3[[#This Row],[C&amp;I Incentive Disbursements]]</f>
        <v>0</v>
      </c>
      <c r="G10" s="28">
        <f>[1]!Table3[[#This Row],[Incentive Disbursements]]/'[1]1.) CLM Reference'!$B$5</f>
        <v>0</v>
      </c>
      <c r="H10" s="228">
        <v>776.70747000000006</v>
      </c>
      <c r="I10" s="28">
        <f>[1]!Table3[[#This Row],[Residential CLM $ Collected]]/'[1]1.) CLM Reference'!$B$4</f>
        <v>8.3615450616571589E-6</v>
      </c>
      <c r="J10" s="229">
        <v>0</v>
      </c>
      <c r="K10" s="28">
        <f>[1]!Table3[[#This Row],[Residential Incentive Disbursements]]/'[1]1.) CLM Reference'!$B$5</f>
        <v>0</v>
      </c>
      <c r="L10" s="229">
        <v>0</v>
      </c>
      <c r="M10" s="28">
        <f>[1]!Table3[[#This Row],[C&amp;I CLM $ Collected]]/'[1]1.) CLM Reference'!$B$4</f>
        <v>0</v>
      </c>
      <c r="N10" s="229">
        <v>0</v>
      </c>
      <c r="O10" s="28">
        <f>[1]!Table3[[#This Row],[C&amp;I Incentive Disbursements]]/'[1]1.) CLM Reference'!$B$5</f>
        <v>0</v>
      </c>
      <c r="Q10">
        <f>VLOOKUP(Table3[[#This Row],[Census Tract]],'Population and Diversity Data'!$B$2:$K$823,10,FALSE)</f>
        <v>3</v>
      </c>
      <c r="R10" t="str">
        <f>VLOOKUP(Table3[[#This Row],[Census Tract]],'ES Energy Burden'!$B$2:$E$914,4,FALSE)</f>
        <v>No</v>
      </c>
    </row>
    <row r="11" spans="1:19" x14ac:dyDescent="0.2">
      <c r="A11" t="s">
        <v>2732</v>
      </c>
      <c r="B11" s="169">
        <v>9003462101</v>
      </c>
      <c r="C11" t="s">
        <v>944</v>
      </c>
      <c r="D11" s="170">
        <f>[1]!Table3[[#This Row],[Residential CLM $ Collected]]+[1]!Table3[[#This Row],[C&amp;I CLM $ Collected]]</f>
        <v>306754.268415</v>
      </c>
      <c r="E11" s="28">
        <f>[1]!Table3[[#This Row],[CLM $ Collected ]]/'[1]1.) CLM Reference'!$B$4</f>
        <v>3.302323895774683E-3</v>
      </c>
      <c r="F11" s="170">
        <f>[1]!Table3[[#This Row],[Residential Incentive Disbursements]]+[1]!Table3[[#This Row],[C&amp;I Incentive Disbursements]]</f>
        <v>432157.93000000005</v>
      </c>
      <c r="G11" s="28">
        <f>[1]!Table3[[#This Row],[Incentive Disbursements]]/'[1]1.) CLM Reference'!$B$5</f>
        <v>3.4698571052564193E-3</v>
      </c>
      <c r="H11" s="228">
        <v>196817.73810300001</v>
      </c>
      <c r="I11" s="28">
        <f>[1]!Table3[[#This Row],[Residential CLM $ Collected]]/'[1]1.) CLM Reference'!$B$4</f>
        <v>2.1188162205800229E-3</v>
      </c>
      <c r="J11" s="229">
        <v>375422.65</v>
      </c>
      <c r="K11" s="28">
        <f>[1]!Table3[[#This Row],[Residential Incentive Disbursements]]/'[1]1.) CLM Reference'!$B$5</f>
        <v>3.0143215226357033E-3</v>
      </c>
      <c r="L11" s="229">
        <v>109936.53031199999</v>
      </c>
      <c r="M11" s="28">
        <f>[1]!Table3[[#This Row],[C&amp;I CLM $ Collected]]/'[1]1.) CLM Reference'!$B$4</f>
        <v>1.1835076751946598E-3</v>
      </c>
      <c r="N11" s="229">
        <v>56735.28</v>
      </c>
      <c r="O11" s="28">
        <f>[1]!Table3[[#This Row],[C&amp;I Incentive Disbursements]]/'[1]1.) CLM Reference'!$B$5</f>
        <v>4.5553558262071547E-4</v>
      </c>
      <c r="Q11">
        <f>VLOOKUP(Table3[[#This Row],[Census Tract]],'Population and Diversity Data'!$B$2:$K$823,10,FALSE)</f>
        <v>4</v>
      </c>
      <c r="R11" t="str">
        <f>VLOOKUP(Table3[[#This Row],[Census Tract]],'ES Energy Burden'!$B$2:$E$914,4,FALSE)</f>
        <v>No</v>
      </c>
    </row>
    <row r="12" spans="1:19" x14ac:dyDescent="0.2">
      <c r="A12" t="s">
        <v>2732</v>
      </c>
      <c r="B12" s="169">
        <v>9003462102</v>
      </c>
      <c r="C12" t="s">
        <v>944</v>
      </c>
      <c r="D12" s="170">
        <f>[1]!Table3[[#This Row],[Residential CLM $ Collected]]+[1]!Table3[[#This Row],[C&amp;I CLM $ Collected]]</f>
        <v>57179.861297999996</v>
      </c>
      <c r="E12" s="28">
        <f>[1]!Table3[[#This Row],[CLM $ Collected ]]/'[1]1.) CLM Reference'!$B$4</f>
        <v>6.1556249338316923E-4</v>
      </c>
      <c r="F12" s="170">
        <f>[1]!Table3[[#This Row],[Residential Incentive Disbursements]]+[1]!Table3[[#This Row],[C&amp;I Incentive Disbursements]]</f>
        <v>49088.42</v>
      </c>
      <c r="G12" s="28">
        <f>[1]!Table3[[#This Row],[Incentive Disbursements]]/'[1]1.) CLM Reference'!$B$5</f>
        <v>3.9413786280124784E-4</v>
      </c>
      <c r="H12" s="228">
        <v>57179.861297999996</v>
      </c>
      <c r="I12" s="28">
        <f>[1]!Table3[[#This Row],[Residential CLM $ Collected]]/'[1]1.) CLM Reference'!$B$4</f>
        <v>6.1556249338316923E-4</v>
      </c>
      <c r="J12" s="229">
        <v>49088.42</v>
      </c>
      <c r="K12" s="28">
        <f>[1]!Table3[[#This Row],[Residential Incentive Disbursements]]/'[1]1.) CLM Reference'!$B$5</f>
        <v>3.9413786280124784E-4</v>
      </c>
      <c r="L12" s="229">
        <v>0</v>
      </c>
      <c r="M12" s="28">
        <f>[1]!Table3[[#This Row],[C&amp;I CLM $ Collected]]/'[1]1.) CLM Reference'!$B$4</f>
        <v>0</v>
      </c>
      <c r="N12" s="229">
        <v>0</v>
      </c>
      <c r="O12" s="28">
        <f>[1]!Table3[[#This Row],[C&amp;I Incentive Disbursements]]/'[1]1.) CLM Reference'!$B$5</f>
        <v>0</v>
      </c>
      <c r="Q12">
        <f>VLOOKUP(Table3[[#This Row],[Census Tract]],'Population and Diversity Data'!$B$2:$K$823,10,FALSE)</f>
        <v>4</v>
      </c>
      <c r="R12" t="str">
        <f>VLOOKUP(Table3[[#This Row],[Census Tract]],'ES Energy Burden'!$B$2:$E$914,4,FALSE)</f>
        <v>No</v>
      </c>
    </row>
    <row r="13" spans="1:19" x14ac:dyDescent="0.2">
      <c r="A13" t="s">
        <v>2732</v>
      </c>
      <c r="B13" s="169">
        <v>9003462201</v>
      </c>
      <c r="C13" t="s">
        <v>944</v>
      </c>
      <c r="D13" s="170">
        <f>[1]!Table3[[#This Row],[Residential CLM $ Collected]]+[1]!Table3[[#This Row],[C&amp;I CLM $ Collected]]</f>
        <v>67397.061690000002</v>
      </c>
      <c r="E13" s="28">
        <f>[1]!Table3[[#This Row],[CLM $ Collected ]]/'[1]1.) CLM Reference'!$B$4</f>
        <v>7.2555445918940677E-4</v>
      </c>
      <c r="F13" s="170">
        <f>[1]!Table3[[#This Row],[Residential Incentive Disbursements]]+[1]!Table3[[#This Row],[C&amp;I Incentive Disbursements]]</f>
        <v>81553.58</v>
      </c>
      <c r="G13" s="28">
        <f>[1]!Table3[[#This Row],[Incentive Disbursements]]/'[1]1.) CLM Reference'!$B$5</f>
        <v>6.5480522137381062E-4</v>
      </c>
      <c r="H13" s="228">
        <v>67397.061690000002</v>
      </c>
      <c r="I13" s="28">
        <f>[1]!Table3[[#This Row],[Residential CLM $ Collected]]/'[1]1.) CLM Reference'!$B$4</f>
        <v>7.2555445918940677E-4</v>
      </c>
      <c r="J13" s="229">
        <v>81553.58</v>
      </c>
      <c r="K13" s="28">
        <f>[1]!Table3[[#This Row],[Residential Incentive Disbursements]]/'[1]1.) CLM Reference'!$B$5</f>
        <v>6.5480522137381062E-4</v>
      </c>
      <c r="L13" s="229">
        <v>0</v>
      </c>
      <c r="M13" s="28">
        <f>[1]!Table3[[#This Row],[C&amp;I CLM $ Collected]]/'[1]1.) CLM Reference'!$B$4</f>
        <v>0</v>
      </c>
      <c r="N13" s="229">
        <v>0</v>
      </c>
      <c r="O13" s="28">
        <f>[1]!Table3[[#This Row],[C&amp;I Incentive Disbursements]]/'[1]1.) CLM Reference'!$B$5</f>
        <v>0</v>
      </c>
      <c r="Q13">
        <f>VLOOKUP(Table3[[#This Row],[Census Tract]],'Population and Diversity Data'!$B$2:$K$823,10,FALSE)</f>
        <v>4</v>
      </c>
      <c r="R13" t="str">
        <f>VLOOKUP(Table3[[#This Row],[Census Tract]],'ES Energy Burden'!$B$2:$E$914,4,FALSE)</f>
        <v>No</v>
      </c>
    </row>
    <row r="14" spans="1:19" x14ac:dyDescent="0.2">
      <c r="A14" t="s">
        <v>2732</v>
      </c>
      <c r="B14" s="169">
        <v>9003462202</v>
      </c>
      <c r="C14" t="s">
        <v>944</v>
      </c>
      <c r="D14" s="170">
        <f>[1]!Table3[[#This Row],[Residential CLM $ Collected]]+[1]!Table3[[#This Row],[C&amp;I CLM $ Collected]]</f>
        <v>43185.953495999995</v>
      </c>
      <c r="E14" s="28">
        <f>[1]!Table3[[#This Row],[CLM $ Collected ]]/'[1]1.) CLM Reference'!$B$4</f>
        <v>4.6491286634263272E-4</v>
      </c>
      <c r="F14" s="170">
        <f>[1]!Table3[[#This Row],[Residential Incentive Disbursements]]+[1]!Table3[[#This Row],[C&amp;I Incentive Disbursements]]</f>
        <v>22208.27</v>
      </c>
      <c r="G14" s="28">
        <f>[1]!Table3[[#This Row],[Incentive Disbursements]]/'[1]1.) CLM Reference'!$B$5</f>
        <v>1.7831333895678594E-4</v>
      </c>
      <c r="H14" s="228">
        <v>43185.953495999995</v>
      </c>
      <c r="I14" s="28">
        <f>[1]!Table3[[#This Row],[Residential CLM $ Collected]]/'[1]1.) CLM Reference'!$B$4</f>
        <v>4.6491286634263272E-4</v>
      </c>
      <c r="J14" s="229">
        <v>22208.27</v>
      </c>
      <c r="K14" s="28">
        <f>[1]!Table3[[#This Row],[Residential Incentive Disbursements]]/'[1]1.) CLM Reference'!$B$5</f>
        <v>1.7831333895678594E-4</v>
      </c>
      <c r="L14" s="229">
        <v>0</v>
      </c>
      <c r="M14" s="28">
        <f>[1]!Table3[[#This Row],[C&amp;I CLM $ Collected]]/'[1]1.) CLM Reference'!$B$4</f>
        <v>0</v>
      </c>
      <c r="N14" s="229">
        <v>0</v>
      </c>
      <c r="O14" s="28">
        <f>[1]!Table3[[#This Row],[C&amp;I Incentive Disbursements]]/'[1]1.) CLM Reference'!$B$5</f>
        <v>0</v>
      </c>
      <c r="Q14">
        <f>VLOOKUP(Table3[[#This Row],[Census Tract]],'Population and Diversity Data'!$B$2:$K$823,10,FALSE)</f>
        <v>5</v>
      </c>
      <c r="R14" t="str">
        <f>VLOOKUP(Table3[[#This Row],[Census Tract]],'ES Energy Burden'!$B$2:$E$914,4,FALSE)</f>
        <v>No</v>
      </c>
    </row>
    <row r="15" spans="1:19" x14ac:dyDescent="0.2">
      <c r="A15" t="s">
        <v>2733</v>
      </c>
      <c r="B15" s="169">
        <v>9003330100</v>
      </c>
      <c r="C15" t="s">
        <v>944</v>
      </c>
      <c r="D15" s="170">
        <f>[1]!Table3[[#This Row],[Residential CLM $ Collected]]+[1]!Table3[[#This Row],[C&amp;I CLM $ Collected]]</f>
        <v>720.82581899999991</v>
      </c>
      <c r="E15" s="28">
        <f>[1]!Table3[[#This Row],[CLM $ Collected ]]/'[1]1.) CLM Reference'!$B$4</f>
        <v>7.7599582854204117E-6</v>
      </c>
      <c r="F15" s="170">
        <f>[1]!Table3[[#This Row],[Residential Incentive Disbursements]]+[1]!Table3[[#This Row],[C&amp;I Incentive Disbursements]]</f>
        <v>2097.5</v>
      </c>
      <c r="G15" s="28">
        <f>[1]!Table3[[#This Row],[Incentive Disbursements]]/'[1]1.) CLM Reference'!$B$5</f>
        <v>1.6841123980474772E-5</v>
      </c>
      <c r="H15" s="228">
        <v>720.82581899999991</v>
      </c>
      <c r="I15" s="28">
        <f>[1]!Table3[[#This Row],[Residential CLM $ Collected]]/'[1]1.) CLM Reference'!$B$4</f>
        <v>7.7599582854204117E-6</v>
      </c>
      <c r="J15" s="229">
        <v>2097.5</v>
      </c>
      <c r="K15" s="28">
        <f>[1]!Table3[[#This Row],[Residential Incentive Disbursements]]/'[1]1.) CLM Reference'!$B$5</f>
        <v>1.6841123980474772E-5</v>
      </c>
      <c r="L15" s="229">
        <v>0</v>
      </c>
      <c r="M15" s="28">
        <f>[1]!Table3[[#This Row],[C&amp;I CLM $ Collected]]/'[1]1.) CLM Reference'!$B$4</f>
        <v>0</v>
      </c>
      <c r="N15" s="229">
        <v>0</v>
      </c>
      <c r="O15" s="28">
        <f>[1]!Table3[[#This Row],[C&amp;I Incentive Disbursements]]/'[1]1.) CLM Reference'!$B$5</f>
        <v>0</v>
      </c>
      <c r="Q15">
        <f>VLOOKUP(Table3[[#This Row],[Census Tract]],'Population and Diversity Data'!$B$2:$K$823,10,FALSE)</f>
        <v>3</v>
      </c>
      <c r="R15" t="str">
        <f>VLOOKUP(Table3[[#This Row],[Census Tract]],'ES Energy Burden'!$B$2:$E$914,4,FALSE)</f>
        <v>No</v>
      </c>
    </row>
    <row r="16" spans="1:19" x14ac:dyDescent="0.2">
      <c r="A16" t="s">
        <v>2733</v>
      </c>
      <c r="B16" s="169">
        <v>9005290100</v>
      </c>
      <c r="C16" t="s">
        <v>944</v>
      </c>
      <c r="D16" s="170">
        <f>[1]!Table3[[#This Row],[Residential CLM $ Collected]]+[1]!Table3[[#This Row],[C&amp;I CLM $ Collected]]</f>
        <v>68706.256374000004</v>
      </c>
      <c r="E16" s="28">
        <f>[1]!Table3[[#This Row],[CLM $ Collected ]]/'[1]1.) CLM Reference'!$B$4</f>
        <v>7.3964842734030917E-4</v>
      </c>
      <c r="F16" s="170">
        <f>[1]!Table3[[#This Row],[Residential Incentive Disbursements]]+[1]!Table3[[#This Row],[C&amp;I Incentive Disbursements]]</f>
        <v>110838.13499999999</v>
      </c>
      <c r="G16" s="28">
        <f>[1]!Table3[[#This Row],[Incentive Disbursements]]/'[1]1.) CLM Reference'!$B$5</f>
        <v>8.8993505282460071E-4</v>
      </c>
      <c r="H16" s="228">
        <v>61177.339314000004</v>
      </c>
      <c r="I16" s="28">
        <f>[1]!Table3[[#This Row],[Residential CLM $ Collected]]/'[1]1.) CLM Reference'!$B$4</f>
        <v>6.5859683237796214E-4</v>
      </c>
      <c r="J16" s="229">
        <v>70016.994999999995</v>
      </c>
      <c r="K16" s="28">
        <f>[1]!Table3[[#This Row],[Residential Incentive Disbursements]]/'[1]1.) CLM Reference'!$B$5</f>
        <v>5.6217634971884726E-4</v>
      </c>
      <c r="L16" s="229">
        <v>7528.9170599999998</v>
      </c>
      <c r="M16" s="28">
        <f>[1]!Table3[[#This Row],[C&amp;I CLM $ Collected]]/'[1]1.) CLM Reference'!$B$4</f>
        <v>8.1051594962347056E-5</v>
      </c>
      <c r="N16" s="229">
        <v>40821.14</v>
      </c>
      <c r="O16" s="28">
        <f>[1]!Table3[[#This Row],[C&amp;I Incentive Disbursements]]/'[1]1.) CLM Reference'!$B$5</f>
        <v>3.2775870310575351E-4</v>
      </c>
      <c r="Q16">
        <f>VLOOKUP(Table3[[#This Row],[Census Tract]],'Population and Diversity Data'!$B$2:$K$823,10,FALSE)</f>
        <v>2</v>
      </c>
      <c r="R16" t="str">
        <f>VLOOKUP(Table3[[#This Row],[Census Tract]],'ES Energy Burden'!$B$2:$E$914,4,FALSE)</f>
        <v>No</v>
      </c>
    </row>
    <row r="17" spans="1:18" x14ac:dyDescent="0.2">
      <c r="A17" t="s">
        <v>2733</v>
      </c>
      <c r="B17" s="169">
        <v>9005320100</v>
      </c>
      <c r="C17" t="s">
        <v>944</v>
      </c>
      <c r="D17" s="170">
        <f>[1]!Table3[[#This Row],[Residential CLM $ Collected]]+[1]!Table3[[#This Row],[C&amp;I CLM $ Collected]]</f>
        <v>76.685910000000007</v>
      </c>
      <c r="E17" s="28">
        <f>[1]!Table3[[#This Row],[CLM $ Collected ]]/'[1]1.) CLM Reference'!$B$4</f>
        <v>8.2555236923263442E-7</v>
      </c>
      <c r="F17" s="170">
        <f>[1]!Table3[[#This Row],[Residential Incentive Disbursements]]+[1]!Table3[[#This Row],[C&amp;I Incentive Disbursements]]</f>
        <v>0</v>
      </c>
      <c r="G17" s="28">
        <f>[1]!Table3[[#This Row],[Incentive Disbursements]]/'[1]1.) CLM Reference'!$B$5</f>
        <v>0</v>
      </c>
      <c r="H17" s="228">
        <v>76.685910000000007</v>
      </c>
      <c r="I17" s="28">
        <f>[1]!Table3[[#This Row],[Residential CLM $ Collected]]/'[1]1.) CLM Reference'!$B$4</f>
        <v>8.2555236923263442E-7</v>
      </c>
      <c r="J17" s="229">
        <v>0</v>
      </c>
      <c r="K17" s="28">
        <f>[1]!Table3[[#This Row],[Residential Incentive Disbursements]]/'[1]1.) CLM Reference'!$B$5</f>
        <v>0</v>
      </c>
      <c r="L17" s="229">
        <v>0</v>
      </c>
      <c r="M17" s="28">
        <f>[1]!Table3[[#This Row],[C&amp;I CLM $ Collected]]/'[1]1.) CLM Reference'!$B$4</f>
        <v>0</v>
      </c>
      <c r="N17" s="229">
        <v>0</v>
      </c>
      <c r="O17" s="28">
        <f>[1]!Table3[[#This Row],[C&amp;I Incentive Disbursements]]/'[1]1.) CLM Reference'!$B$5</f>
        <v>0</v>
      </c>
      <c r="Q17">
        <f>VLOOKUP(Table3[[#This Row],[Census Tract]],'Population and Diversity Data'!$B$2:$K$823,10,FALSE)</f>
        <v>1</v>
      </c>
      <c r="R17" t="str">
        <f>VLOOKUP(Table3[[#This Row],[Census Tract]],'ES Energy Burden'!$B$2:$E$914,4,FALSE)</f>
        <v>No</v>
      </c>
    </row>
    <row r="18" spans="1:18" x14ac:dyDescent="0.2">
      <c r="A18" t="s">
        <v>2734</v>
      </c>
      <c r="B18" s="169">
        <v>9009130101</v>
      </c>
      <c r="C18" t="s">
        <v>944</v>
      </c>
      <c r="D18" s="170">
        <f>[1]!Table3[[#This Row],[Residential CLM $ Collected]]+[1]!Table3[[#This Row],[C&amp;I CLM $ Collected]]</f>
        <v>193.32075</v>
      </c>
      <c r="E18" s="28">
        <f>[1]!Table3[[#This Row],[CLM $ Collected ]]/'[1]1.) CLM Reference'!$B$4</f>
        <v>2.0811698418174836E-6</v>
      </c>
      <c r="F18" s="170">
        <f>[1]!Table3[[#This Row],[Residential Incentive Disbursements]]+[1]!Table3[[#This Row],[C&amp;I Incentive Disbursements]]</f>
        <v>0</v>
      </c>
      <c r="G18" s="28">
        <f>[1]!Table3[[#This Row],[Incentive Disbursements]]/'[1]1.) CLM Reference'!$B$5</f>
        <v>0</v>
      </c>
      <c r="H18" s="228">
        <v>193.32075</v>
      </c>
      <c r="I18" s="28">
        <f>[1]!Table3[[#This Row],[Residential CLM $ Collected]]/'[1]1.) CLM Reference'!$B$4</f>
        <v>2.0811698418174836E-6</v>
      </c>
      <c r="J18" s="229">
        <v>0</v>
      </c>
      <c r="K18" s="28">
        <f>[1]!Table3[[#This Row],[Residential Incentive Disbursements]]/'[1]1.) CLM Reference'!$B$5</f>
        <v>0</v>
      </c>
      <c r="L18" s="229">
        <v>0</v>
      </c>
      <c r="M18" s="28">
        <f>[1]!Table3[[#This Row],[C&amp;I CLM $ Collected]]/'[1]1.) CLM Reference'!$B$4</f>
        <v>0</v>
      </c>
      <c r="N18" s="229">
        <v>0</v>
      </c>
      <c r="O18" s="28">
        <f>[1]!Table3[[#This Row],[C&amp;I Incentive Disbursements]]/'[1]1.) CLM Reference'!$B$5</f>
        <v>0</v>
      </c>
      <c r="Q18">
        <f>VLOOKUP(Table3[[#This Row],[Census Tract]],'Population and Diversity Data'!$B$2:$K$823,10,FALSE)</f>
        <v>2</v>
      </c>
      <c r="R18" t="str">
        <f>VLOOKUP(Table3[[#This Row],[Census Tract]],'ES Energy Burden'!$B$2:$E$914,4,FALSE)</f>
        <v>No</v>
      </c>
    </row>
    <row r="19" spans="1:18" x14ac:dyDescent="0.2">
      <c r="A19" t="s">
        <v>2734</v>
      </c>
      <c r="B19" s="169">
        <v>9009341100</v>
      </c>
      <c r="C19" t="s">
        <v>944</v>
      </c>
      <c r="D19" s="170">
        <f>[1]!Table3[[#This Row],[Residential CLM $ Collected]]+[1]!Table3[[#This Row],[C&amp;I CLM $ Collected]]</f>
        <v>115551.63232199999</v>
      </c>
      <c r="E19" s="28">
        <f>[1]!Table3[[#This Row],[CLM $ Collected ]]/'[1]1.) CLM Reference'!$B$4</f>
        <v>1.2439563386823648E-3</v>
      </c>
      <c r="F19" s="170">
        <f>[1]!Table3[[#This Row],[Residential Incentive Disbursements]]+[1]!Table3[[#This Row],[C&amp;I Incentive Disbursements]]</f>
        <v>100105.77500000001</v>
      </c>
      <c r="G19" s="28">
        <f>[1]!Table3[[#This Row],[Incentive Disbursements]]/'[1]1.) CLM Reference'!$B$5</f>
        <v>8.0376341737140033E-4</v>
      </c>
      <c r="H19" s="228">
        <v>96034.123961999998</v>
      </c>
      <c r="I19" s="28">
        <f>[1]!Table3[[#This Row],[Residential CLM $ Collected]]/'[1]1.) CLM Reference'!$B$4</f>
        <v>1.0338430953484102E-3</v>
      </c>
      <c r="J19" s="229">
        <v>92090.695000000007</v>
      </c>
      <c r="K19" s="28">
        <f>[1]!Table3[[#This Row],[Residential Incentive Disbursements]]/'[1]1.) CLM Reference'!$B$5</f>
        <v>7.3940920712423758E-4</v>
      </c>
      <c r="L19" s="229">
        <v>19517.50836</v>
      </c>
      <c r="M19" s="28">
        <f>[1]!Table3[[#This Row],[C&amp;I CLM $ Collected]]/'[1]1.) CLM Reference'!$B$4</f>
        <v>2.1011324333395466E-4</v>
      </c>
      <c r="N19" s="229">
        <v>8015.08</v>
      </c>
      <c r="O19" s="28">
        <f>[1]!Table3[[#This Row],[C&amp;I Incentive Disbursements]]/'[1]1.) CLM Reference'!$B$5</f>
        <v>6.4354210247162685E-5</v>
      </c>
      <c r="Q19">
        <f>VLOOKUP(Table3[[#This Row],[Census Tract]],'Population and Diversity Data'!$B$2:$K$823,10,FALSE)</f>
        <v>1</v>
      </c>
      <c r="R19" t="str">
        <f>VLOOKUP(Table3[[#This Row],[Census Tract]],'ES Energy Burden'!$B$2:$E$914,4,FALSE)</f>
        <v>No</v>
      </c>
    </row>
    <row r="20" spans="1:18" x14ac:dyDescent="0.2">
      <c r="A20" t="s">
        <v>2735</v>
      </c>
      <c r="B20" s="169">
        <v>9003400100</v>
      </c>
      <c r="C20" t="s">
        <v>944</v>
      </c>
      <c r="D20" s="170">
        <f>[1]!Table3[[#This Row],[Residential CLM $ Collected]]+[1]!Table3[[#This Row],[C&amp;I CLM $ Collected]]</f>
        <v>80702.211974999998</v>
      </c>
      <c r="E20" s="28">
        <f>[1]!Table3[[#This Row],[CLM $ Collected ]]/'[1]1.) CLM Reference'!$B$4</f>
        <v>8.6878935515371104E-4</v>
      </c>
      <c r="F20" s="170">
        <f>[1]!Table3[[#This Row],[Residential Incentive Disbursements]]+[1]!Table3[[#This Row],[C&amp;I Incentive Disbursements]]</f>
        <v>9430995.9049999993</v>
      </c>
      <c r="G20" s="28">
        <f>[1]!Table3[[#This Row],[Incentive Disbursements]]/'[1]1.) CLM Reference'!$B$5</f>
        <v>7.5722799187344397E-2</v>
      </c>
      <c r="H20" s="228">
        <v>80702.211974999998</v>
      </c>
      <c r="I20" s="28">
        <f>[1]!Table3[[#This Row],[Residential CLM $ Collected]]/'[1]1.) CLM Reference'!$B$4</f>
        <v>8.6878935515371104E-4</v>
      </c>
      <c r="J20" s="229">
        <v>9430995.9049999993</v>
      </c>
      <c r="K20" s="28">
        <f>[1]!Table3[[#This Row],[Residential Incentive Disbursements]]/'[1]1.) CLM Reference'!$B$5</f>
        <v>7.5722799187344397E-2</v>
      </c>
      <c r="L20" s="229">
        <v>0</v>
      </c>
      <c r="M20" s="28">
        <f>[1]!Table3[[#This Row],[C&amp;I CLM $ Collected]]/'[1]1.) CLM Reference'!$B$4</f>
        <v>0</v>
      </c>
      <c r="N20" s="229">
        <v>0</v>
      </c>
      <c r="O20" s="28">
        <f>[1]!Table3[[#This Row],[C&amp;I Incentive Disbursements]]/'[1]1.) CLM Reference'!$B$5</f>
        <v>0</v>
      </c>
      <c r="Q20">
        <f>VLOOKUP(Table3[[#This Row],[Census Tract]],'Population and Diversity Data'!$B$2:$K$823,10,FALSE)</f>
        <v>2</v>
      </c>
      <c r="R20" t="str">
        <f>VLOOKUP(Table3[[#This Row],[Census Tract]],'ES Energy Burden'!$B$2:$E$914,4,FALSE)</f>
        <v>No</v>
      </c>
    </row>
    <row r="21" spans="1:18" x14ac:dyDescent="0.2">
      <c r="A21" t="s">
        <v>2735</v>
      </c>
      <c r="B21" s="169">
        <v>9003400200</v>
      </c>
      <c r="C21" t="s">
        <v>944</v>
      </c>
      <c r="D21" s="170">
        <f>[1]!Table3[[#This Row],[Residential CLM $ Collected]]+[1]!Table3[[#This Row],[C&amp;I CLM $ Collected]]</f>
        <v>303085.70663700002</v>
      </c>
      <c r="E21" s="28">
        <f>[1]!Table3[[#This Row],[CLM $ Collected ]]/'[1]1.) CLM Reference'!$B$4</f>
        <v>3.2628304625285471E-3</v>
      </c>
      <c r="F21" s="170">
        <f>[1]!Table3[[#This Row],[Residential Incentive Disbursements]]+[1]!Table3[[#This Row],[C&amp;I Incentive Disbursements]]</f>
        <v>297680.61499999999</v>
      </c>
      <c r="G21" s="28">
        <f>[1]!Table3[[#This Row],[Incentive Disbursements]]/'[1]1.) CLM Reference'!$B$5</f>
        <v>2.3901197348266882E-3</v>
      </c>
      <c r="H21" s="228">
        <v>160942.59528900002</v>
      </c>
      <c r="I21" s="28">
        <f>[1]!Table3[[#This Row],[Residential CLM $ Collected]]/'[1]1.) CLM Reference'!$B$4</f>
        <v>1.7326069528454833E-3</v>
      </c>
      <c r="J21" s="229">
        <v>200501.44500000001</v>
      </c>
      <c r="K21" s="28">
        <f>[1]!Table3[[#This Row],[Residential Incentive Disbursements]]/'[1]1.) CLM Reference'!$B$5</f>
        <v>1.6098544426742997E-3</v>
      </c>
      <c r="L21" s="229">
        <v>142143.11134800001</v>
      </c>
      <c r="M21" s="28">
        <f>[1]!Table3[[#This Row],[C&amp;I CLM $ Collected]]/'[1]1.) CLM Reference'!$B$4</f>
        <v>1.5302235096830638E-3</v>
      </c>
      <c r="N21" s="229">
        <v>97179.17</v>
      </c>
      <c r="O21" s="28">
        <f>[1]!Table3[[#This Row],[C&amp;I Incentive Disbursements]]/'[1]1.) CLM Reference'!$B$5</f>
        <v>7.8026529215238837E-4</v>
      </c>
      <c r="Q21">
        <f>VLOOKUP(Table3[[#This Row],[Census Tract]],'Population and Diversity Data'!$B$2:$K$823,10,FALSE)</f>
        <v>2</v>
      </c>
      <c r="R21" t="str">
        <f>VLOOKUP(Table3[[#This Row],[Census Tract]],'ES Energy Burden'!$B$2:$E$914,4,FALSE)</f>
        <v>No</v>
      </c>
    </row>
    <row r="22" spans="1:18" x14ac:dyDescent="0.2">
      <c r="A22" t="s">
        <v>2735</v>
      </c>
      <c r="B22" s="169">
        <v>9003400300</v>
      </c>
      <c r="C22" t="s">
        <v>944</v>
      </c>
      <c r="D22" s="170">
        <f>[1]!Table3[[#This Row],[Residential CLM $ Collected]]+[1]!Table3[[#This Row],[C&amp;I CLM $ Collected]]</f>
        <v>72218.16</v>
      </c>
      <c r="E22" s="28">
        <f>[1]!Table3[[#This Row],[CLM $ Collected ]]/'[1]1.) CLM Reference'!$B$4</f>
        <v>7.774553772605876E-4</v>
      </c>
      <c r="F22" s="170">
        <f>[1]!Table3[[#This Row],[Residential Incentive Disbursements]]+[1]!Table3[[#This Row],[C&amp;I Incentive Disbursements]]</f>
        <v>55554.89</v>
      </c>
      <c r="G22" s="28">
        <f>[1]!Table3[[#This Row],[Incentive Disbursements]]/'[1]1.) CLM Reference'!$B$5</f>
        <v>4.4605806446323628E-4</v>
      </c>
      <c r="H22" s="228">
        <v>72218.16</v>
      </c>
      <c r="I22" s="28">
        <f>[1]!Table3[[#This Row],[Residential CLM $ Collected]]/'[1]1.) CLM Reference'!$B$4</f>
        <v>7.774553772605876E-4</v>
      </c>
      <c r="J22" s="229">
        <v>55554.89</v>
      </c>
      <c r="K22" s="28">
        <f>[1]!Table3[[#This Row],[Residential Incentive Disbursements]]/'[1]1.) CLM Reference'!$B$5</f>
        <v>4.4605806446323628E-4</v>
      </c>
      <c r="L22" s="229">
        <v>0</v>
      </c>
      <c r="M22" s="28">
        <f>[1]!Table3[[#This Row],[C&amp;I CLM $ Collected]]/'[1]1.) CLM Reference'!$B$4</f>
        <v>0</v>
      </c>
      <c r="N22" s="229">
        <v>0</v>
      </c>
      <c r="O22" s="28">
        <f>[1]!Table3[[#This Row],[C&amp;I Incentive Disbursements]]/'[1]1.) CLM Reference'!$B$5</f>
        <v>0</v>
      </c>
      <c r="Q22">
        <f>VLOOKUP(Table3[[#This Row],[Census Tract]],'Population and Diversity Data'!$B$2:$K$823,10,FALSE)</f>
        <v>2</v>
      </c>
      <c r="R22" t="str">
        <f>VLOOKUP(Table3[[#This Row],[Census Tract]],'ES Energy Burden'!$B$2:$E$914,4,FALSE)</f>
        <v>No</v>
      </c>
    </row>
    <row r="23" spans="1:18" x14ac:dyDescent="0.2">
      <c r="A23" t="s">
        <v>2735</v>
      </c>
      <c r="B23" s="169">
        <v>9003490302</v>
      </c>
      <c r="C23" t="s">
        <v>944</v>
      </c>
      <c r="D23" s="170">
        <f>[1]!Table3[[#This Row],[Residential CLM $ Collected]]+[1]!Table3[[#This Row],[C&amp;I CLM $ Collected]]</f>
        <v>27.2895</v>
      </c>
      <c r="E23" s="28">
        <f>[1]!Table3[[#This Row],[CLM $ Collected ]]/'[1]1.) CLM Reference'!$B$4</f>
        <v>2.9378162664006955E-7</v>
      </c>
      <c r="F23" s="170">
        <f>[1]!Table3[[#This Row],[Residential Incentive Disbursements]]+[1]!Table3[[#This Row],[C&amp;I Incentive Disbursements]]</f>
        <v>0</v>
      </c>
      <c r="G23" s="28">
        <f>[1]!Table3[[#This Row],[Incentive Disbursements]]/'[1]1.) CLM Reference'!$B$5</f>
        <v>0</v>
      </c>
      <c r="H23" s="228">
        <v>27.2895</v>
      </c>
      <c r="I23" s="28">
        <f>[1]!Table3[[#This Row],[Residential CLM $ Collected]]/'[1]1.) CLM Reference'!$B$4</f>
        <v>2.9378162664006955E-7</v>
      </c>
      <c r="J23" s="229">
        <v>0</v>
      </c>
      <c r="K23" s="28">
        <f>[1]!Table3[[#This Row],[Residential Incentive Disbursements]]/'[1]1.) CLM Reference'!$B$5</f>
        <v>0</v>
      </c>
      <c r="L23" s="229">
        <v>0</v>
      </c>
      <c r="M23" s="28">
        <f>[1]!Table3[[#This Row],[C&amp;I CLM $ Collected]]/'[1]1.) CLM Reference'!$B$4</f>
        <v>0</v>
      </c>
      <c r="N23" s="229">
        <v>0</v>
      </c>
      <c r="O23" s="28">
        <f>[1]!Table3[[#This Row],[C&amp;I Incentive Disbursements]]/'[1]1.) CLM Reference'!$B$5</f>
        <v>0</v>
      </c>
      <c r="Q23">
        <f>VLOOKUP(Table3[[#This Row],[Census Tract]],'Population and Diversity Data'!$B$2:$K$823,10,FALSE)</f>
        <v>5</v>
      </c>
      <c r="R23" t="str">
        <f>VLOOKUP(Table3[[#This Row],[Census Tract]],'ES Energy Burden'!$B$2:$E$914,4,FALSE)</f>
        <v>No</v>
      </c>
    </row>
    <row r="24" spans="1:18" x14ac:dyDescent="0.2">
      <c r="A24" t="s">
        <v>2735</v>
      </c>
      <c r="B24" s="169">
        <v>9009171600</v>
      </c>
      <c r="C24" t="s">
        <v>944</v>
      </c>
      <c r="D24" s="170">
        <f>[1]!Table3[[#This Row],[Residential CLM $ Collected]]+[1]!Table3[[#This Row],[C&amp;I CLM $ Collected]]</f>
        <v>100.06311000000001</v>
      </c>
      <c r="E24" s="28">
        <f>[1]!Table3[[#This Row],[CLM $ Collected ]]/'[1]1.) CLM Reference'!$B$4</f>
        <v>1.0772166299296143E-6</v>
      </c>
      <c r="F24" s="170">
        <f>[1]!Table3[[#This Row],[Residential Incentive Disbursements]]+[1]!Table3[[#This Row],[C&amp;I Incentive Disbursements]]</f>
        <v>0</v>
      </c>
      <c r="G24" s="28">
        <f>[1]!Table3[[#This Row],[Incentive Disbursements]]/'[1]1.) CLM Reference'!$B$5</f>
        <v>0</v>
      </c>
      <c r="H24" s="228">
        <v>100.06311000000001</v>
      </c>
      <c r="I24" s="28">
        <f>[1]!Table3[[#This Row],[Residential CLM $ Collected]]/'[1]1.) CLM Reference'!$B$4</f>
        <v>1.0772166299296143E-6</v>
      </c>
      <c r="J24" s="229">
        <v>0</v>
      </c>
      <c r="K24" s="28">
        <f>[1]!Table3[[#This Row],[Residential Incentive Disbursements]]/'[1]1.) CLM Reference'!$B$5</f>
        <v>0</v>
      </c>
      <c r="L24" s="229">
        <v>0</v>
      </c>
      <c r="M24" s="28">
        <f>[1]!Table3[[#This Row],[C&amp;I CLM $ Collected]]/'[1]1.) CLM Reference'!$B$4</f>
        <v>0</v>
      </c>
      <c r="N24" s="229">
        <v>0</v>
      </c>
      <c r="O24" s="28">
        <f>[1]!Table3[[#This Row],[C&amp;I Incentive Disbursements]]/'[1]1.) CLM Reference'!$B$5</f>
        <v>0</v>
      </c>
      <c r="Q24">
        <f>VLOOKUP(Table3[[#This Row],[Census Tract]],'Population and Diversity Data'!$B$2:$K$823,10,FALSE)</f>
        <v>3</v>
      </c>
      <c r="R24" t="str">
        <f>VLOOKUP(Table3[[#This Row],[Census Tract]],'ES Energy Burden'!$B$2:$E$914,4,FALSE)</f>
        <v>No</v>
      </c>
    </row>
    <row r="25" spans="1:18" x14ac:dyDescent="0.2">
      <c r="A25" t="s">
        <v>2736</v>
      </c>
      <c r="B25" s="169">
        <v>9009161100</v>
      </c>
      <c r="C25" t="s">
        <v>944</v>
      </c>
      <c r="D25" s="170">
        <f>[1]!Table3[[#This Row],[Residential CLM $ Collected]]+[1]!Table3[[#This Row],[C&amp;I CLM $ Collected]]</f>
        <v>116033.70979200001</v>
      </c>
      <c r="E25" s="28">
        <f>[1]!Table3[[#This Row],[CLM $ Collected ]]/'[1]1.) CLM Reference'!$B$4</f>
        <v>1.2491460821112709E-3</v>
      </c>
      <c r="F25" s="170">
        <f>[1]!Table3[[#This Row],[Residential Incentive Disbursements]]+[1]!Table3[[#This Row],[C&amp;I Incentive Disbursements]]</f>
        <v>229057.21</v>
      </c>
      <c r="G25" s="28">
        <f>[1]!Table3[[#This Row],[Incentive Disbursements]]/'[1]1.) CLM Reference'!$B$5</f>
        <v>1.839132716201023E-3</v>
      </c>
      <c r="H25" s="228">
        <v>99671.70515400001</v>
      </c>
      <c r="I25" s="28">
        <f>[1]!Table3[[#This Row],[Residential CLM $ Collected]]/'[1]1.) CLM Reference'!$B$4</f>
        <v>1.0730030110530249E-3</v>
      </c>
      <c r="J25" s="229">
        <v>212578.21</v>
      </c>
      <c r="K25" s="28">
        <f>[1]!Table3[[#This Row],[Residential Incentive Disbursements]]/'[1]1.) CLM Reference'!$B$5</f>
        <v>1.7068204959034097E-3</v>
      </c>
      <c r="L25" s="229">
        <v>16362.004638</v>
      </c>
      <c r="M25" s="28">
        <f>[1]!Table3[[#This Row],[C&amp;I CLM $ Collected]]/'[1]1.) CLM Reference'!$B$4</f>
        <v>1.7614307105824593E-4</v>
      </c>
      <c r="N25" s="229">
        <v>16479</v>
      </c>
      <c r="O25" s="28">
        <f>[1]!Table3[[#This Row],[C&amp;I Incentive Disbursements]]/'[1]1.) CLM Reference'!$B$5</f>
        <v>1.3231222029761323E-4</v>
      </c>
      <c r="Q25">
        <f>VLOOKUP(Table3[[#This Row],[Census Tract]],'Population and Diversity Data'!$B$2:$K$823,10,FALSE)</f>
        <v>4</v>
      </c>
      <c r="R25" t="str">
        <f>VLOOKUP(Table3[[#This Row],[Census Tract]],'ES Energy Burden'!$B$2:$E$914,4,FALSE)</f>
        <v>No</v>
      </c>
    </row>
    <row r="26" spans="1:18" x14ac:dyDescent="0.2">
      <c r="A26" t="s">
        <v>2737</v>
      </c>
      <c r="B26" s="169">
        <v>9001200100</v>
      </c>
      <c r="C26" t="s">
        <v>944</v>
      </c>
      <c r="D26" s="170">
        <f>[1]!Table3[[#This Row],[Residential CLM $ Collected]]+[1]!Table3[[#This Row],[C&amp;I CLM $ Collected]]</f>
        <v>248449.77397800001</v>
      </c>
      <c r="E26" s="28">
        <f>[1]!Table3[[#This Row],[CLM $ Collected ]]/'[1]1.) CLM Reference'!$B$4</f>
        <v>2.6746543079797895E-3</v>
      </c>
      <c r="F26" s="170">
        <f>[1]!Table3[[#This Row],[Residential Incentive Disbursements]]+[1]!Table3[[#This Row],[C&amp;I Incentive Disbursements]]</f>
        <v>188091.53</v>
      </c>
      <c r="G26" s="28">
        <f>[1]!Table3[[#This Row],[Incentive Disbursements]]/'[1]1.) CLM Reference'!$B$5</f>
        <v>1.5102134810046199E-3</v>
      </c>
      <c r="H26" s="228">
        <v>152692.95190800002</v>
      </c>
      <c r="I26" s="28">
        <f>[1]!Table3[[#This Row],[Residential CLM $ Collected]]/'[1]1.) CLM Reference'!$B$4</f>
        <v>1.6437964707307262E-3</v>
      </c>
      <c r="J26" s="229">
        <v>126364.43</v>
      </c>
      <c r="K26" s="28">
        <f>[1]!Table3[[#This Row],[Residential Incentive Disbursements]]/'[1]1.) CLM Reference'!$B$5</f>
        <v>1.0145978700128848E-3</v>
      </c>
      <c r="L26" s="229">
        <v>95756.822069999995</v>
      </c>
      <c r="M26" s="28">
        <f>[1]!Table3[[#This Row],[C&amp;I CLM $ Collected]]/'[1]1.) CLM Reference'!$B$4</f>
        <v>1.0308578372490631E-3</v>
      </c>
      <c r="N26" s="229">
        <v>61727.1</v>
      </c>
      <c r="O26" s="28">
        <f>[1]!Table3[[#This Row],[C&amp;I Incentive Disbursements]]/'[1]1.) CLM Reference'!$B$5</f>
        <v>4.956156109917351E-4</v>
      </c>
      <c r="Q26">
        <f>VLOOKUP(Table3[[#This Row],[Census Tract]],'Population and Diversity Data'!$B$2:$K$823,10,FALSE)</f>
        <v>4</v>
      </c>
      <c r="R26" t="str">
        <f>VLOOKUP(Table3[[#This Row],[Census Tract]],'ES Energy Burden'!$B$2:$E$914,4,FALSE)</f>
        <v>No</v>
      </c>
    </row>
    <row r="27" spans="1:18" x14ac:dyDescent="0.2">
      <c r="A27" t="s">
        <v>2737</v>
      </c>
      <c r="B27" s="169">
        <v>9001200200</v>
      </c>
      <c r="C27" t="s">
        <v>944</v>
      </c>
      <c r="D27" s="170">
        <f>[1]!Table3[[#This Row],[Residential CLM $ Collected]]+[1]!Table3[[#This Row],[C&amp;I CLM $ Collected]]</f>
        <v>67328.306639999995</v>
      </c>
      <c r="E27" s="28">
        <f>[1]!Table3[[#This Row],[CLM $ Collected ]]/'[1]1.) CLM Reference'!$B$4</f>
        <v>7.2481428548051786E-4</v>
      </c>
      <c r="F27" s="170">
        <f>[1]!Table3[[#This Row],[Residential Incentive Disbursements]]+[1]!Table3[[#This Row],[C&amp;I Incentive Disbursements]]</f>
        <v>118956.015</v>
      </c>
      <c r="G27" s="28">
        <f>[1]!Table3[[#This Row],[Incentive Disbursements]]/'[1]1.) CLM Reference'!$B$5</f>
        <v>9.5511465880248714E-4</v>
      </c>
      <c r="H27" s="228">
        <v>67328.166570000001</v>
      </c>
      <c r="I27" s="28">
        <f>[1]!Table3[[#This Row],[Residential CLM $ Collected]]/'[1]1.) CLM Reference'!$B$4</f>
        <v>7.2481277757482367E-4</v>
      </c>
      <c r="J27" s="229">
        <v>118956.015</v>
      </c>
      <c r="K27" s="28">
        <f>[1]!Table3[[#This Row],[Residential Incentive Disbursements]]/'[1]1.) CLM Reference'!$B$5</f>
        <v>9.5511465880248714E-4</v>
      </c>
      <c r="L27" s="229">
        <v>0.14007</v>
      </c>
      <c r="M27" s="28">
        <f>[1]!Table3[[#This Row],[C&amp;I CLM $ Collected]]/'[1]1.) CLM Reference'!$B$4</f>
        <v>1.507905694258764E-9</v>
      </c>
      <c r="N27" s="229">
        <v>0</v>
      </c>
      <c r="O27" s="28">
        <f>[1]!Table3[[#This Row],[C&amp;I Incentive Disbursements]]/'[1]1.) CLM Reference'!$B$5</f>
        <v>0</v>
      </c>
      <c r="Q27">
        <f>VLOOKUP(Table3[[#This Row],[Census Tract]],'Population and Diversity Data'!$B$2:$K$823,10,FALSE)</f>
        <v>4</v>
      </c>
      <c r="R27" t="str">
        <f>VLOOKUP(Table3[[#This Row],[Census Tract]],'ES Energy Burden'!$B$2:$E$914,4,FALSE)</f>
        <v>No</v>
      </c>
    </row>
    <row r="28" spans="1:18" x14ac:dyDescent="0.2">
      <c r="A28" t="s">
        <v>2737</v>
      </c>
      <c r="B28" s="169">
        <v>9001200301</v>
      </c>
      <c r="C28" t="s">
        <v>944</v>
      </c>
      <c r="D28" s="170">
        <f>[1]!Table3[[#This Row],[Residential CLM $ Collected]]+[1]!Table3[[#This Row],[C&amp;I CLM $ Collected]]</f>
        <v>56111.637729000002</v>
      </c>
      <c r="E28" s="28">
        <f>[1]!Table3[[#This Row],[CLM $ Collected ]]/'[1]1.) CLM Reference'!$B$4</f>
        <v>6.0406266899224674E-4</v>
      </c>
      <c r="F28" s="170">
        <f>[1]!Table3[[#This Row],[Residential Incentive Disbursements]]+[1]!Table3[[#This Row],[C&amp;I Incentive Disbursements]]</f>
        <v>37650.06</v>
      </c>
      <c r="G28" s="28">
        <f>[1]!Table3[[#This Row],[Incentive Disbursements]]/'[1]1.) CLM Reference'!$B$5</f>
        <v>3.0229765355533445E-4</v>
      </c>
      <c r="H28" s="228">
        <v>56111.637729000002</v>
      </c>
      <c r="I28" s="28">
        <f>[1]!Table3[[#This Row],[Residential CLM $ Collected]]/'[1]1.) CLM Reference'!$B$4</f>
        <v>6.0406266899224674E-4</v>
      </c>
      <c r="J28" s="229">
        <v>37650.06</v>
      </c>
      <c r="K28" s="28">
        <f>[1]!Table3[[#This Row],[Residential Incentive Disbursements]]/'[1]1.) CLM Reference'!$B$5</f>
        <v>3.0229765355533445E-4</v>
      </c>
      <c r="L28" s="229">
        <v>0</v>
      </c>
      <c r="M28" s="28">
        <f>[1]!Table3[[#This Row],[C&amp;I CLM $ Collected]]/'[1]1.) CLM Reference'!$B$4</f>
        <v>0</v>
      </c>
      <c r="N28" s="229">
        <v>0</v>
      </c>
      <c r="O28" s="28">
        <f>[1]!Table3[[#This Row],[C&amp;I Incentive Disbursements]]/'[1]1.) CLM Reference'!$B$5</f>
        <v>0</v>
      </c>
      <c r="Q28">
        <f>VLOOKUP(Table3[[#This Row],[Census Tract]],'Population and Diversity Data'!$B$2:$K$823,10,FALSE)</f>
        <v>4</v>
      </c>
      <c r="R28" t="str">
        <f>VLOOKUP(Table3[[#This Row],[Census Tract]],'ES Energy Burden'!$B$2:$E$914,4,FALSE)</f>
        <v>No</v>
      </c>
    </row>
    <row r="29" spans="1:18" x14ac:dyDescent="0.2">
      <c r="A29" t="s">
        <v>2737</v>
      </c>
      <c r="B29" s="169">
        <v>9001200302</v>
      </c>
      <c r="C29" t="s">
        <v>944</v>
      </c>
      <c r="D29" s="170">
        <f>[1]!Table3[[#This Row],[Residential CLM $ Collected]]+[1]!Table3[[#This Row],[C&amp;I CLM $ Collected]]</f>
        <v>68489.328032999998</v>
      </c>
      <c r="E29" s="28">
        <f>[1]!Table3[[#This Row],[CLM $ Collected ]]/'[1]1.) CLM Reference'!$B$4</f>
        <v>7.3731311299291133E-4</v>
      </c>
      <c r="F29" s="170">
        <f>[1]!Table3[[#This Row],[Residential Incentive Disbursements]]+[1]!Table3[[#This Row],[C&amp;I Incentive Disbursements]]</f>
        <v>68432.675000000003</v>
      </c>
      <c r="G29" s="28">
        <f>[1]!Table3[[#This Row],[Incentive Disbursements]]/'[1]1.) CLM Reference'!$B$5</f>
        <v>5.4945562049608411E-4</v>
      </c>
      <c r="H29" s="228">
        <v>68489.328032999998</v>
      </c>
      <c r="I29" s="28">
        <f>[1]!Table3[[#This Row],[Residential CLM $ Collected]]/'[1]1.) CLM Reference'!$B$4</f>
        <v>7.3731311299291133E-4</v>
      </c>
      <c r="J29" s="229">
        <v>68432.675000000003</v>
      </c>
      <c r="K29" s="28">
        <f>[1]!Table3[[#This Row],[Residential Incentive Disbursements]]/'[1]1.) CLM Reference'!$B$5</f>
        <v>5.4945562049608411E-4</v>
      </c>
      <c r="L29" s="229">
        <v>0</v>
      </c>
      <c r="M29" s="28">
        <f>[1]!Table3[[#This Row],[C&amp;I CLM $ Collected]]/'[1]1.) CLM Reference'!$B$4</f>
        <v>0</v>
      </c>
      <c r="N29" s="229">
        <v>0</v>
      </c>
      <c r="O29" s="28">
        <f>[1]!Table3[[#This Row],[C&amp;I Incentive Disbursements]]/'[1]1.) CLM Reference'!$B$5</f>
        <v>0</v>
      </c>
      <c r="Q29">
        <f>VLOOKUP(Table3[[#This Row],[Census Tract]],'Population and Diversity Data'!$B$2:$K$823,10,FALSE)</f>
        <v>1</v>
      </c>
      <c r="R29" t="str">
        <f>VLOOKUP(Table3[[#This Row],[Census Tract]],'ES Energy Burden'!$B$2:$E$914,4,FALSE)</f>
        <v>No</v>
      </c>
    </row>
    <row r="30" spans="1:18" x14ac:dyDescent="0.2">
      <c r="A30" t="s">
        <v>2737</v>
      </c>
      <c r="B30" s="169">
        <v>9001205300</v>
      </c>
      <c r="C30" t="s">
        <v>944</v>
      </c>
      <c r="D30" s="170">
        <f>[1]!Table3[[#This Row],[Residential CLM $ Collected]]+[1]!Table3[[#This Row],[C&amp;I CLM $ Collected]]</f>
        <v>198.07347000000001</v>
      </c>
      <c r="E30" s="28">
        <f>[1]!Table3[[#This Row],[CLM $ Collected ]]/'[1]1.) CLM Reference'!$B$4</f>
        <v>2.132334641926126E-6</v>
      </c>
      <c r="F30" s="170">
        <f>[1]!Table3[[#This Row],[Residential Incentive Disbursements]]+[1]!Table3[[#This Row],[C&amp;I Incentive Disbursements]]</f>
        <v>0</v>
      </c>
      <c r="G30" s="28">
        <f>[1]!Table3[[#This Row],[Incentive Disbursements]]/'[1]1.) CLM Reference'!$B$5</f>
        <v>0</v>
      </c>
      <c r="H30" s="228">
        <v>198.07347000000001</v>
      </c>
      <c r="I30" s="28">
        <f>[1]!Table3[[#This Row],[Residential CLM $ Collected]]/'[1]1.) CLM Reference'!$B$4</f>
        <v>2.132334641926126E-6</v>
      </c>
      <c r="J30" s="229">
        <v>0</v>
      </c>
      <c r="K30" s="28">
        <f>[1]!Table3[[#This Row],[Residential Incentive Disbursements]]/'[1]1.) CLM Reference'!$B$5</f>
        <v>0</v>
      </c>
      <c r="L30" s="229">
        <v>0</v>
      </c>
      <c r="M30" s="28">
        <f>[1]!Table3[[#This Row],[C&amp;I CLM $ Collected]]/'[1]1.) CLM Reference'!$B$4</f>
        <v>0</v>
      </c>
      <c r="N30" s="229">
        <v>0</v>
      </c>
      <c r="O30" s="28">
        <f>[1]!Table3[[#This Row],[C&amp;I Incentive Disbursements]]/'[1]1.) CLM Reference'!$B$5</f>
        <v>0</v>
      </c>
      <c r="Q30">
        <f>VLOOKUP(Table3[[#This Row],[Census Tract]],'Population and Diversity Data'!$B$2:$K$823,10,FALSE)</f>
        <v>4</v>
      </c>
      <c r="R30" t="str">
        <f>VLOOKUP(Table3[[#This Row],[Census Tract]],'ES Energy Burden'!$B$2:$E$914,4,FALSE)</f>
        <v>No</v>
      </c>
    </row>
    <row r="31" spans="1:18" x14ac:dyDescent="0.2">
      <c r="A31" t="s">
        <v>2737</v>
      </c>
      <c r="B31" s="169">
        <v>9001210500</v>
      </c>
      <c r="C31" t="s">
        <v>944</v>
      </c>
      <c r="D31" s="170">
        <f>[1]!Table3[[#This Row],[Residential CLM $ Collected]]+[1]!Table3[[#This Row],[C&amp;I CLM $ Collected]]</f>
        <v>160.04204999999999</v>
      </c>
      <c r="E31" s="28">
        <f>[1]!Table3[[#This Row],[CLM $ Collected ]]/'[1]1.) CLM Reference'!$B$4</f>
        <v>1.7229122475608325E-6</v>
      </c>
      <c r="F31" s="170">
        <f>[1]!Table3[[#This Row],[Residential Incentive Disbursements]]+[1]!Table3[[#This Row],[C&amp;I Incentive Disbursements]]</f>
        <v>0</v>
      </c>
      <c r="G31" s="28">
        <f>[1]!Table3[[#This Row],[Incentive Disbursements]]/'[1]1.) CLM Reference'!$B$5</f>
        <v>0</v>
      </c>
      <c r="H31" s="228">
        <v>160.04204999999999</v>
      </c>
      <c r="I31" s="28">
        <f>[1]!Table3[[#This Row],[Residential CLM $ Collected]]/'[1]1.) CLM Reference'!$B$4</f>
        <v>1.7229122475608325E-6</v>
      </c>
      <c r="J31" s="229">
        <v>0</v>
      </c>
      <c r="K31" s="28">
        <f>[1]!Table3[[#This Row],[Residential Incentive Disbursements]]/'[1]1.) CLM Reference'!$B$5</f>
        <v>0</v>
      </c>
      <c r="L31" s="229">
        <v>0</v>
      </c>
      <c r="M31" s="28">
        <f>[1]!Table3[[#This Row],[C&amp;I CLM $ Collected]]/'[1]1.) CLM Reference'!$B$4</f>
        <v>0</v>
      </c>
      <c r="N31" s="229">
        <v>0</v>
      </c>
      <c r="O31" s="28">
        <f>[1]!Table3[[#This Row],[C&amp;I Incentive Disbursements]]/'[1]1.) CLM Reference'!$B$5</f>
        <v>0</v>
      </c>
      <c r="Q31">
        <f>VLOOKUP(Table3[[#This Row],[Census Tract]],'Population and Diversity Data'!$B$2:$K$823,10,FALSE)</f>
        <v>4</v>
      </c>
      <c r="R31" t="str">
        <f>VLOOKUP(Table3[[#This Row],[Census Tract]],'ES Energy Burden'!$B$2:$E$914,4,FALSE)</f>
        <v>No</v>
      </c>
    </row>
    <row r="32" spans="1:18" x14ac:dyDescent="0.2">
      <c r="A32" t="s">
        <v>2737</v>
      </c>
      <c r="B32" s="169">
        <v>9001230400</v>
      </c>
      <c r="C32" t="s">
        <v>944</v>
      </c>
      <c r="D32" s="170">
        <f>[1]!Table3[[#This Row],[Residential CLM $ Collected]]+[1]!Table3[[#This Row],[C&amp;I CLM $ Collected]]</f>
        <v>583.73931000000005</v>
      </c>
      <c r="E32" s="28">
        <f>[1]!Table3[[#This Row],[CLM $ Collected ]]/'[1]1.) CLM Reference'!$B$4</f>
        <v>6.2841709824493602E-6</v>
      </c>
      <c r="F32" s="170">
        <f>[1]!Table3[[#This Row],[Residential Incentive Disbursements]]+[1]!Table3[[#This Row],[C&amp;I Incentive Disbursements]]</f>
        <v>4290.7</v>
      </c>
      <c r="G32" s="28">
        <f>[1]!Table3[[#This Row],[Incentive Disbursements]]/'[1]1.) CLM Reference'!$B$5</f>
        <v>3.4450636788092062E-5</v>
      </c>
      <c r="H32" s="228">
        <v>583.73931000000005</v>
      </c>
      <c r="I32" s="28">
        <f>[1]!Table3[[#This Row],[Residential CLM $ Collected]]/'[1]1.) CLM Reference'!$B$4</f>
        <v>6.2841709824493602E-6</v>
      </c>
      <c r="J32" s="229">
        <v>4290.7</v>
      </c>
      <c r="K32" s="28">
        <f>[1]!Table3[[#This Row],[Residential Incentive Disbursements]]/'[1]1.) CLM Reference'!$B$5</f>
        <v>3.4450636788092062E-5</v>
      </c>
      <c r="L32" s="229">
        <v>0</v>
      </c>
      <c r="M32" s="28">
        <f>[1]!Table3[[#This Row],[C&amp;I CLM $ Collected]]/'[1]1.) CLM Reference'!$B$4</f>
        <v>0</v>
      </c>
      <c r="N32" s="229">
        <v>0</v>
      </c>
      <c r="O32" s="28">
        <f>[1]!Table3[[#This Row],[C&amp;I Incentive Disbursements]]/'[1]1.) CLM Reference'!$B$5</f>
        <v>0</v>
      </c>
      <c r="Q32">
        <f>VLOOKUP(Table3[[#This Row],[Census Tract]],'Population and Diversity Data'!$B$2:$K$823,10,FALSE)</f>
        <v>2</v>
      </c>
      <c r="R32" t="str">
        <f>VLOOKUP(Table3[[#This Row],[Census Tract]],'ES Energy Burden'!$B$2:$E$914,4,FALSE)</f>
        <v>No</v>
      </c>
    </row>
    <row r="33" spans="1:18" x14ac:dyDescent="0.2">
      <c r="A33" t="s">
        <v>2738</v>
      </c>
      <c r="B33" s="169">
        <v>9005303100</v>
      </c>
      <c r="C33" t="s">
        <v>944</v>
      </c>
      <c r="D33" s="170">
        <f>[1]!Table3[[#This Row],[Residential CLM $ Collected]]+[1]!Table3[[#This Row],[C&amp;I CLM $ Collected]]</f>
        <v>40.784520000000001</v>
      </c>
      <c r="E33" s="28">
        <f>[1]!Table3[[#This Row],[CLM $ Collected ]]/'[1]1.) CLM Reference'!$B$4</f>
        <v>4.3906054076968975E-7</v>
      </c>
      <c r="F33" s="170">
        <f>[1]!Table3[[#This Row],[Residential Incentive Disbursements]]+[1]!Table3[[#This Row],[C&amp;I Incentive Disbursements]]</f>
        <v>105</v>
      </c>
      <c r="G33" s="28">
        <f>[1]!Table3[[#This Row],[Incentive Disbursements]]/'[1]1.) CLM Reference'!$B$5</f>
        <v>8.4305984169242004E-7</v>
      </c>
      <c r="H33" s="228">
        <v>40.784520000000001</v>
      </c>
      <c r="I33" s="28">
        <f>[1]!Table3[[#This Row],[Residential CLM $ Collected]]/'[1]1.) CLM Reference'!$B$4</f>
        <v>4.3906054076968975E-7</v>
      </c>
      <c r="J33" s="229">
        <v>105</v>
      </c>
      <c r="K33" s="28">
        <f>[1]!Table3[[#This Row],[Residential Incentive Disbursements]]/'[1]1.) CLM Reference'!$B$5</f>
        <v>8.4305984169242004E-7</v>
      </c>
      <c r="L33" s="229">
        <v>0</v>
      </c>
      <c r="M33" s="28">
        <f>[1]!Table3[[#This Row],[C&amp;I CLM $ Collected]]/'[1]1.) CLM Reference'!$B$4</f>
        <v>0</v>
      </c>
      <c r="N33" s="229">
        <v>0</v>
      </c>
      <c r="O33" s="28">
        <f>[1]!Table3[[#This Row],[C&amp;I Incentive Disbursements]]/'[1]1.) CLM Reference'!$B$5</f>
        <v>0</v>
      </c>
      <c r="Q33">
        <f>VLOOKUP(Table3[[#This Row],[Census Tract]],'Population and Diversity Data'!$B$2:$K$823,10,FALSE)</f>
        <v>1</v>
      </c>
      <c r="R33" t="str">
        <f>VLOOKUP(Table3[[#This Row],[Census Tract]],'ES Energy Burden'!$B$2:$E$914,4,FALSE)</f>
        <v>No</v>
      </c>
    </row>
    <row r="34" spans="1:18" x14ac:dyDescent="0.2">
      <c r="A34" t="s">
        <v>2738</v>
      </c>
      <c r="B34" s="169">
        <v>9005342100</v>
      </c>
      <c r="C34" t="s">
        <v>944</v>
      </c>
      <c r="D34" s="170">
        <f>[1]!Table3[[#This Row],[Residential CLM $ Collected]]+[1]!Table3[[#This Row],[C&amp;I CLM $ Collected]]</f>
        <v>86168.359200000006</v>
      </c>
      <c r="E34" s="28">
        <f>[1]!Table3[[#This Row],[CLM $ Collected ]]/'[1]1.) CLM Reference'!$B$4</f>
        <v>9.2763446492906811E-4</v>
      </c>
      <c r="F34" s="170">
        <f>[1]!Table3[[#This Row],[Residential Incentive Disbursements]]+[1]!Table3[[#This Row],[C&amp;I Incentive Disbursements]]</f>
        <v>119405.75499999999</v>
      </c>
      <c r="G34" s="28">
        <f>[1]!Table3[[#This Row],[Incentive Disbursements]]/'[1]1.) CLM Reference'!$B$5</f>
        <v>9.5872568483298937E-4</v>
      </c>
      <c r="H34" s="228">
        <v>72527.743197000003</v>
      </c>
      <c r="I34" s="28">
        <f>[1]!Table3[[#This Row],[Residential CLM $ Collected]]/'[1]1.) CLM Reference'!$B$4</f>
        <v>7.8078815562571309E-4</v>
      </c>
      <c r="J34" s="229">
        <v>117297.355</v>
      </c>
      <c r="K34" s="28">
        <f>[1]!Table3[[#This Row],[Residential Incentive Disbursements]]/'[1]1.) CLM Reference'!$B$5</f>
        <v>9.4179704321180563E-4</v>
      </c>
      <c r="L34" s="229">
        <v>13640.616003000001</v>
      </c>
      <c r="M34" s="28">
        <f>[1]!Table3[[#This Row],[C&amp;I CLM $ Collected]]/'[1]1.) CLM Reference'!$B$4</f>
        <v>1.4684630930335491E-4</v>
      </c>
      <c r="N34" s="229">
        <v>2108.4</v>
      </c>
      <c r="O34" s="28">
        <f>[1]!Table3[[#This Row],[C&amp;I Incentive Disbursements]]/'[1]1.) CLM Reference'!$B$5</f>
        <v>1.6928641621183797E-5</v>
      </c>
      <c r="Q34">
        <f>VLOOKUP(Table3[[#This Row],[Census Tract]],'Population and Diversity Data'!$B$2:$K$823,10,FALSE)</f>
        <v>2</v>
      </c>
      <c r="R34" t="str">
        <f>VLOOKUP(Table3[[#This Row],[Census Tract]],'ES Energy Burden'!$B$2:$E$914,4,FALSE)</f>
        <v>No</v>
      </c>
    </row>
    <row r="35" spans="1:18" x14ac:dyDescent="0.2">
      <c r="A35" t="s">
        <v>2738</v>
      </c>
      <c r="B35" s="169">
        <v>9005362102</v>
      </c>
      <c r="C35" t="s">
        <v>944</v>
      </c>
      <c r="D35" s="170">
        <f>[1]!Table3[[#This Row],[Residential CLM $ Collected]]+[1]!Table3[[#This Row],[C&amp;I CLM $ Collected]]</f>
        <v>160.38981000000001</v>
      </c>
      <c r="E35" s="28">
        <f>[1]!Table3[[#This Row],[CLM $ Collected ]]/'[1]1.) CLM Reference'!$B$4</f>
        <v>1.7266560134224407E-6</v>
      </c>
      <c r="F35" s="170">
        <f>[1]!Table3[[#This Row],[Residential Incentive Disbursements]]+[1]!Table3[[#This Row],[C&amp;I Incentive Disbursements]]</f>
        <v>0</v>
      </c>
      <c r="G35" s="28">
        <f>[1]!Table3[[#This Row],[Incentive Disbursements]]/'[1]1.) CLM Reference'!$B$5</f>
        <v>0</v>
      </c>
      <c r="H35" s="228">
        <v>160.38981000000001</v>
      </c>
      <c r="I35" s="28">
        <f>[1]!Table3[[#This Row],[Residential CLM $ Collected]]/'[1]1.) CLM Reference'!$B$4</f>
        <v>1.7266560134224407E-6</v>
      </c>
      <c r="J35" s="229">
        <v>0</v>
      </c>
      <c r="K35" s="28">
        <f>[1]!Table3[[#This Row],[Residential Incentive Disbursements]]/'[1]1.) CLM Reference'!$B$5</f>
        <v>0</v>
      </c>
      <c r="L35" s="229">
        <v>0</v>
      </c>
      <c r="M35" s="28">
        <f>[1]!Table3[[#This Row],[C&amp;I CLM $ Collected]]/'[1]1.) CLM Reference'!$B$4</f>
        <v>0</v>
      </c>
      <c r="N35" s="229">
        <v>0</v>
      </c>
      <c r="O35" s="28">
        <f>[1]!Table3[[#This Row],[C&amp;I Incentive Disbursements]]/'[1]1.) CLM Reference'!$B$5</f>
        <v>0</v>
      </c>
      <c r="Q35">
        <f>VLOOKUP(Table3[[#This Row],[Census Tract]],'Population and Diversity Data'!$B$2:$K$823,10,FALSE)</f>
        <v>1</v>
      </c>
      <c r="R35" t="str">
        <f>VLOOKUP(Table3[[#This Row],[Census Tract]],'ES Energy Burden'!$B$2:$E$914,4,FALSE)</f>
        <v>No</v>
      </c>
    </row>
    <row r="36" spans="1:18" x14ac:dyDescent="0.2">
      <c r="A36" t="s">
        <v>2739</v>
      </c>
      <c r="B36" s="169">
        <v>9003471100</v>
      </c>
      <c r="C36" t="s">
        <v>936</v>
      </c>
      <c r="D36" s="170">
        <f>[1]!Table3[[#This Row],[Residential CLM $ Collected]]+[1]!Table3[[#This Row],[C&amp;I CLM $ Collected]]</f>
        <v>27394.344810000002</v>
      </c>
      <c r="E36" s="28">
        <f>[1]!Table3[[#This Row],[CLM $ Collected ]]/'[1]1.) CLM Reference'!$B$4</f>
        <v>2.9491032005059628E-4</v>
      </c>
      <c r="F36" s="170">
        <f>[1]!Table3[[#This Row],[Residential Incentive Disbursements]]+[1]!Table3[[#This Row],[C&amp;I Incentive Disbursements]]</f>
        <v>90283.66</v>
      </c>
      <c r="G36" s="28">
        <f>[1]!Table3[[#This Row],[Incentive Disbursements]]/'[1]1.) CLM Reference'!$B$5</f>
        <v>7.2490026768583129E-4</v>
      </c>
      <c r="H36" s="228">
        <v>27394.344810000002</v>
      </c>
      <c r="I36" s="28">
        <f>[1]!Table3[[#This Row],[Residential CLM $ Collected]]/'[1]1.) CLM Reference'!$B$4</f>
        <v>2.9491032005059628E-4</v>
      </c>
      <c r="J36" s="229">
        <v>90283.66</v>
      </c>
      <c r="K36" s="28">
        <f>[1]!Table3[[#This Row],[Residential Incentive Disbursements]]/'[1]1.) CLM Reference'!$B$5</f>
        <v>7.2490026768583129E-4</v>
      </c>
      <c r="L36" s="229">
        <v>0</v>
      </c>
      <c r="M36" s="28">
        <f>[1]!Table3[[#This Row],[C&amp;I CLM $ Collected]]/'[1]1.) CLM Reference'!$B$4</f>
        <v>0</v>
      </c>
      <c r="N36" s="229">
        <v>0</v>
      </c>
      <c r="O36" s="28">
        <f>[1]!Table3[[#This Row],[C&amp;I Incentive Disbursements]]/'[1]1.) CLM Reference'!$B$5</f>
        <v>0</v>
      </c>
      <c r="Q36">
        <f>VLOOKUP(Table3[[#This Row],[Census Tract]],'Population and Diversity Data'!$B$2:$K$823,10,FALSE)</f>
        <v>3</v>
      </c>
      <c r="R36" t="str">
        <f>VLOOKUP(Table3[[#This Row],[Census Tract]],'ES Energy Burden'!$B$2:$E$914,4,FALSE)</f>
        <v>No</v>
      </c>
    </row>
    <row r="37" spans="1:18" x14ac:dyDescent="0.2">
      <c r="A37" t="s">
        <v>2739</v>
      </c>
      <c r="B37" s="169">
        <v>9003471200</v>
      </c>
      <c r="C37" t="s">
        <v>936</v>
      </c>
      <c r="D37" s="170">
        <f>[1]!Table3[[#This Row],[Residential CLM $ Collected]]+[1]!Table3[[#This Row],[C&amp;I CLM $ Collected]]</f>
        <v>23472.959097000003</v>
      </c>
      <c r="E37" s="28">
        <f>[1]!Table3[[#This Row],[CLM $ Collected ]]/'[1]1.) CLM Reference'!$B$4</f>
        <v>2.5269514302469738E-4</v>
      </c>
      <c r="F37" s="170">
        <f>[1]!Table3[[#This Row],[Residential Incentive Disbursements]]+[1]!Table3[[#This Row],[C&amp;I Incentive Disbursements]]</f>
        <v>38140.480000000003</v>
      </c>
      <c r="G37" s="28">
        <f>[1]!Table3[[#This Row],[Incentive Disbursements]]/'[1]1.) CLM Reference'!$B$5</f>
        <v>3.0623530505593253E-4</v>
      </c>
      <c r="H37" s="228">
        <v>23472.959097000003</v>
      </c>
      <c r="I37" s="28">
        <f>[1]!Table3[[#This Row],[Residential CLM $ Collected]]/'[1]1.) CLM Reference'!$B$4</f>
        <v>2.5269514302469738E-4</v>
      </c>
      <c r="J37" s="229">
        <v>38140.480000000003</v>
      </c>
      <c r="K37" s="28">
        <f>[1]!Table3[[#This Row],[Residential Incentive Disbursements]]/'[1]1.) CLM Reference'!$B$5</f>
        <v>3.0623530505593253E-4</v>
      </c>
      <c r="L37" s="229">
        <v>0</v>
      </c>
      <c r="M37" s="28">
        <f>[1]!Table3[[#This Row],[C&amp;I CLM $ Collected]]/'[1]1.) CLM Reference'!$B$4</f>
        <v>0</v>
      </c>
      <c r="N37" s="229">
        <v>0</v>
      </c>
      <c r="O37" s="28">
        <f>[1]!Table3[[#This Row],[C&amp;I Incentive Disbursements]]/'[1]1.) CLM Reference'!$B$5</f>
        <v>0</v>
      </c>
      <c r="Q37">
        <f>VLOOKUP(Table3[[#This Row],[Census Tract]],'Population and Diversity Data'!$B$2:$K$823,10,FALSE)</f>
        <v>1</v>
      </c>
      <c r="R37" t="str">
        <f>VLOOKUP(Table3[[#This Row],[Census Tract]],'ES Energy Burden'!$B$2:$E$914,4,FALSE)</f>
        <v>No</v>
      </c>
    </row>
    <row r="38" spans="1:18" x14ac:dyDescent="0.2">
      <c r="A38" t="s">
        <v>2739</v>
      </c>
      <c r="B38" s="169">
        <v>9003471300</v>
      </c>
      <c r="C38" t="s">
        <v>944</v>
      </c>
      <c r="D38" s="170">
        <f>[1]!Table3[[#This Row],[Residential CLM $ Collected]]+[1]!Table3[[#This Row],[C&amp;I CLM $ Collected]]</f>
        <v>330688.61519400001</v>
      </c>
      <c r="E38" s="28">
        <f>[1]!Table3[[#This Row],[CLM $ Collected ]]/'[1]1.) CLM Reference'!$B$4</f>
        <v>3.5599860489582196E-3</v>
      </c>
      <c r="F38" s="170">
        <f>[1]!Table3[[#This Row],[Residential Incentive Disbursements]]+[1]!Table3[[#This Row],[C&amp;I Incentive Disbursements]]</f>
        <v>765798.11499999999</v>
      </c>
      <c r="G38" s="28">
        <f>[1]!Table3[[#This Row],[Incentive Disbursements]]/'[1]1.) CLM Reference'!$B$5</f>
        <v>6.1487013104786067E-3</v>
      </c>
      <c r="H38" s="228">
        <v>158814.70256400001</v>
      </c>
      <c r="I38" s="28">
        <f>[1]!Table3[[#This Row],[Residential CLM $ Collected]]/'[1]1.) CLM Reference'!$B$4</f>
        <v>1.709699395504159E-3</v>
      </c>
      <c r="J38" s="229">
        <v>444467.91499999998</v>
      </c>
      <c r="K38" s="28">
        <f>[1]!Table3[[#This Row],[Residential Incentive Disbursements]]/'[1]1.) CLM Reference'!$B$5</f>
        <v>3.5686957148310479E-3</v>
      </c>
      <c r="L38" s="229">
        <v>171873.91263000001</v>
      </c>
      <c r="M38" s="28">
        <f>[1]!Table3[[#This Row],[C&amp;I CLM $ Collected]]/'[1]1.) CLM Reference'!$B$4</f>
        <v>1.8502866534540609E-3</v>
      </c>
      <c r="N38" s="229">
        <v>321330.2</v>
      </c>
      <c r="O38" s="28">
        <f>[1]!Table3[[#This Row],[C&amp;I Incentive Disbursements]]/'[1]1.) CLM Reference'!$B$5</f>
        <v>2.5800055956475589E-3</v>
      </c>
      <c r="Q38">
        <f>VLOOKUP(Table3[[#This Row],[Census Tract]],'Population and Diversity Data'!$B$2:$K$823,10,FALSE)</f>
        <v>1</v>
      </c>
      <c r="R38" t="str">
        <f>VLOOKUP(Table3[[#This Row],[Census Tract]],'ES Energy Burden'!$B$2:$E$914,4,FALSE)</f>
        <v>No</v>
      </c>
    </row>
    <row r="39" spans="1:18" x14ac:dyDescent="0.2">
      <c r="A39" t="s">
        <v>2739</v>
      </c>
      <c r="B39" s="169">
        <v>9003471400</v>
      </c>
      <c r="C39" t="s">
        <v>944</v>
      </c>
      <c r="D39" s="170">
        <f>[1]!Table3[[#This Row],[Residential CLM $ Collected]]+[1]!Table3[[#This Row],[C&amp;I CLM $ Collected]]</f>
        <v>75290.469870000001</v>
      </c>
      <c r="E39" s="28">
        <f>[1]!Table3[[#This Row],[CLM $ Collected ]]/'[1]1.) CLM Reference'!$B$4</f>
        <v>8.105299367487035E-4</v>
      </c>
      <c r="F39" s="170">
        <f>[1]!Table3[[#This Row],[Residential Incentive Disbursements]]+[1]!Table3[[#This Row],[C&amp;I Incentive Disbursements]]</f>
        <v>85384.09</v>
      </c>
      <c r="G39" s="28">
        <f>[1]!Table3[[#This Row],[Incentive Disbursements]]/'[1]1.) CLM Reference'!$B$5</f>
        <v>6.8556092760429848E-4</v>
      </c>
      <c r="H39" s="228">
        <v>75290.469870000001</v>
      </c>
      <c r="I39" s="28">
        <f>[1]!Table3[[#This Row],[Residential CLM $ Collected]]/'[1]1.) CLM Reference'!$B$4</f>
        <v>8.105299367487035E-4</v>
      </c>
      <c r="J39" s="229">
        <v>85384.09</v>
      </c>
      <c r="K39" s="28">
        <f>[1]!Table3[[#This Row],[Residential Incentive Disbursements]]/'[1]1.) CLM Reference'!$B$5</f>
        <v>6.8556092760429848E-4</v>
      </c>
      <c r="L39" s="229">
        <v>0</v>
      </c>
      <c r="M39" s="28">
        <f>[1]!Table3[[#This Row],[C&amp;I CLM $ Collected]]/'[1]1.) CLM Reference'!$B$4</f>
        <v>0</v>
      </c>
      <c r="N39" s="229">
        <v>0</v>
      </c>
      <c r="O39" s="28">
        <f>[1]!Table3[[#This Row],[C&amp;I Incentive Disbursements]]/'[1]1.) CLM Reference'!$B$5</f>
        <v>0</v>
      </c>
      <c r="Q39">
        <f>VLOOKUP(Table3[[#This Row],[Census Tract]],'Population and Diversity Data'!$B$2:$K$823,10,FALSE)</f>
        <v>2</v>
      </c>
      <c r="R39" t="str">
        <f>VLOOKUP(Table3[[#This Row],[Census Tract]],'ES Energy Burden'!$B$2:$E$914,4,FALSE)</f>
        <v>No</v>
      </c>
    </row>
    <row r="40" spans="1:18" x14ac:dyDescent="0.2">
      <c r="A40" t="s">
        <v>2739</v>
      </c>
      <c r="B40" s="169">
        <v>9003471500</v>
      </c>
      <c r="C40" t="s">
        <v>944</v>
      </c>
      <c r="D40" s="170">
        <f>[1]!Table3[[#This Row],[Residential CLM $ Collected]]+[1]!Table3[[#This Row],[C&amp;I CLM $ Collected]]</f>
        <v>31899.162162000004</v>
      </c>
      <c r="E40" s="28">
        <f>[1]!Table3[[#This Row],[CLM $ Collected ]]/'[1]1.) CLM Reference'!$B$4</f>
        <v>3.4340635586609206E-4</v>
      </c>
      <c r="F40" s="170">
        <f>[1]!Table3[[#This Row],[Residential Incentive Disbursements]]+[1]!Table3[[#This Row],[C&amp;I Incentive Disbursements]]</f>
        <v>80541.53</v>
      </c>
      <c r="G40" s="28">
        <f>[1]!Table3[[#This Row],[Incentive Disbursements]]/'[1]1.) CLM Reference'!$B$5</f>
        <v>6.4667932887109815E-4</v>
      </c>
      <c r="H40" s="228">
        <v>31899.162162000004</v>
      </c>
      <c r="I40" s="28">
        <f>[1]!Table3[[#This Row],[Residential CLM $ Collected]]/'[1]1.) CLM Reference'!$B$4</f>
        <v>3.4340635586609206E-4</v>
      </c>
      <c r="J40" s="229">
        <v>80541.53</v>
      </c>
      <c r="K40" s="28">
        <f>[1]!Table3[[#This Row],[Residential Incentive Disbursements]]/'[1]1.) CLM Reference'!$B$5</f>
        <v>6.4667932887109815E-4</v>
      </c>
      <c r="L40" s="229">
        <v>0</v>
      </c>
      <c r="M40" s="28">
        <f>[1]!Table3[[#This Row],[C&amp;I CLM $ Collected]]/'[1]1.) CLM Reference'!$B$4</f>
        <v>0</v>
      </c>
      <c r="N40" s="229">
        <v>0</v>
      </c>
      <c r="O40" s="28">
        <f>[1]!Table3[[#This Row],[C&amp;I Incentive Disbursements]]/'[1]1.) CLM Reference'!$B$5</f>
        <v>0</v>
      </c>
      <c r="Q40">
        <f>VLOOKUP(Table3[[#This Row],[Census Tract]],'Population and Diversity Data'!$B$2:$K$823,10,FALSE)</f>
        <v>3</v>
      </c>
      <c r="R40" t="str">
        <f>VLOOKUP(Table3[[#This Row],[Census Tract]],'ES Energy Burden'!$B$2:$E$914,4,FALSE)</f>
        <v>No</v>
      </c>
    </row>
    <row r="41" spans="1:18" x14ac:dyDescent="0.2">
      <c r="A41" t="s">
        <v>2739</v>
      </c>
      <c r="B41" s="169">
        <v>9003473100</v>
      </c>
      <c r="C41" t="s">
        <v>944</v>
      </c>
      <c r="D41" s="170">
        <f>[1]!Table3[[#This Row],[Residential CLM $ Collected]]+[1]!Table3[[#This Row],[C&amp;I CLM $ Collected]]</f>
        <v>880.42205999999999</v>
      </c>
      <c r="E41" s="28">
        <f>[1]!Table3[[#This Row],[CLM $ Collected ]]/'[1]1.) CLM Reference'!$B$4</f>
        <v>9.478071233133656E-6</v>
      </c>
      <c r="F41" s="170">
        <f>[1]!Table3[[#This Row],[Residential Incentive Disbursements]]+[1]!Table3[[#This Row],[C&amp;I Incentive Disbursements]]</f>
        <v>783.25</v>
      </c>
      <c r="G41" s="28">
        <f>[1]!Table3[[#This Row],[Incentive Disbursements]]/'[1]1.) CLM Reference'!$B$5</f>
        <v>6.2888249619579816E-6</v>
      </c>
      <c r="H41" s="228">
        <v>880.42205999999999</v>
      </c>
      <c r="I41" s="28">
        <f>[1]!Table3[[#This Row],[Residential CLM $ Collected]]/'[1]1.) CLM Reference'!$B$4</f>
        <v>9.478071233133656E-6</v>
      </c>
      <c r="J41" s="229">
        <v>783.25</v>
      </c>
      <c r="K41" s="28">
        <f>[1]!Table3[[#This Row],[Residential Incentive Disbursements]]/'[1]1.) CLM Reference'!$B$5</f>
        <v>6.2888249619579816E-6</v>
      </c>
      <c r="L41" s="229">
        <v>0</v>
      </c>
      <c r="M41" s="28">
        <f>[1]!Table3[[#This Row],[C&amp;I CLM $ Collected]]/'[1]1.) CLM Reference'!$B$4</f>
        <v>0</v>
      </c>
      <c r="N41" s="229">
        <v>0</v>
      </c>
      <c r="O41" s="28">
        <f>[1]!Table3[[#This Row],[C&amp;I Incentive Disbursements]]/'[1]1.) CLM Reference'!$B$5</f>
        <v>0</v>
      </c>
      <c r="Q41">
        <f>VLOOKUP(Table3[[#This Row],[Census Tract]],'Population and Diversity Data'!$B$2:$K$823,10,FALSE)</f>
        <v>1</v>
      </c>
      <c r="R41" t="str">
        <f>VLOOKUP(Table3[[#This Row],[Census Tract]],'ES Energy Burden'!$B$2:$E$914,4,FALSE)</f>
        <v>No</v>
      </c>
    </row>
    <row r="42" spans="1:18" x14ac:dyDescent="0.2">
      <c r="A42" t="s">
        <v>2739</v>
      </c>
      <c r="B42" s="169">
        <v>9003473501</v>
      </c>
      <c r="C42" t="s">
        <v>944</v>
      </c>
      <c r="D42" s="170">
        <f>[1]!Table3[[#This Row],[Residential CLM $ Collected]]+[1]!Table3[[#This Row],[C&amp;I CLM $ Collected]]</f>
        <v>80.110380000000006</v>
      </c>
      <c r="E42" s="28">
        <f>[1]!Table3[[#This Row],[CLM $ Collected ]]/'[1]1.) CLM Reference'!$B$4</f>
        <v>8.6241806361985731E-7</v>
      </c>
      <c r="F42" s="170">
        <f>[1]!Table3[[#This Row],[Residential Incentive Disbursements]]+[1]!Table3[[#This Row],[C&amp;I Incentive Disbursements]]</f>
        <v>0</v>
      </c>
      <c r="G42" s="28">
        <f>[1]!Table3[[#This Row],[Incentive Disbursements]]/'[1]1.) CLM Reference'!$B$5</f>
        <v>0</v>
      </c>
      <c r="H42" s="228">
        <v>80.110380000000006</v>
      </c>
      <c r="I42" s="28">
        <f>[1]!Table3[[#This Row],[Residential CLM $ Collected]]/'[1]1.) CLM Reference'!$B$4</f>
        <v>8.6241806361985731E-7</v>
      </c>
      <c r="J42" s="229">
        <v>0</v>
      </c>
      <c r="K42" s="28">
        <f>[1]!Table3[[#This Row],[Residential Incentive Disbursements]]/'[1]1.) CLM Reference'!$B$5</f>
        <v>0</v>
      </c>
      <c r="L42" s="229">
        <v>0</v>
      </c>
      <c r="M42" s="28">
        <f>[1]!Table3[[#This Row],[C&amp;I CLM $ Collected]]/'[1]1.) CLM Reference'!$B$4</f>
        <v>0</v>
      </c>
      <c r="N42" s="229">
        <v>0</v>
      </c>
      <c r="O42" s="28">
        <f>[1]!Table3[[#This Row],[C&amp;I Incentive Disbursements]]/'[1]1.) CLM Reference'!$B$5</f>
        <v>0</v>
      </c>
      <c r="Q42">
        <f>VLOOKUP(Table3[[#This Row],[Census Tract]],'Population and Diversity Data'!$B$2:$K$823,10,FALSE)</f>
        <v>3</v>
      </c>
      <c r="R42" t="str">
        <f>VLOOKUP(Table3[[#This Row],[Census Tract]],'ES Energy Burden'!$B$2:$E$914,4,FALSE)</f>
        <v>No</v>
      </c>
    </row>
    <row r="43" spans="1:18" x14ac:dyDescent="0.2">
      <c r="A43" t="s">
        <v>2739</v>
      </c>
      <c r="B43" s="169">
        <v>9003503900</v>
      </c>
      <c r="C43" t="s">
        <v>944</v>
      </c>
      <c r="D43" s="170">
        <f>[1]!Table3[[#This Row],[Residential CLM $ Collected]]+[1]!Table3[[#This Row],[C&amp;I CLM $ Collected]]</f>
        <v>116.82804</v>
      </c>
      <c r="E43" s="28">
        <f>[1]!Table3[[#This Row],[CLM $ Collected ]]/'[1]1.) CLM Reference'!$B$4</f>
        <v>1.257697342507965E-6</v>
      </c>
      <c r="F43" s="170">
        <f>[1]!Table3[[#This Row],[Residential Incentive Disbursements]]+[1]!Table3[[#This Row],[C&amp;I Incentive Disbursements]]</f>
        <v>0</v>
      </c>
      <c r="G43" s="28">
        <f>[1]!Table3[[#This Row],[Incentive Disbursements]]/'[1]1.) CLM Reference'!$B$5</f>
        <v>0</v>
      </c>
      <c r="H43" s="228">
        <v>116.82804</v>
      </c>
      <c r="I43" s="28">
        <f>[1]!Table3[[#This Row],[Residential CLM $ Collected]]/'[1]1.) CLM Reference'!$B$4</f>
        <v>1.257697342507965E-6</v>
      </c>
      <c r="J43" s="229">
        <v>0</v>
      </c>
      <c r="K43" s="28">
        <f>[1]!Table3[[#This Row],[Residential Incentive Disbursements]]/'[1]1.) CLM Reference'!$B$5</f>
        <v>0</v>
      </c>
      <c r="L43" s="229">
        <v>0</v>
      </c>
      <c r="M43" s="28">
        <f>[1]!Table3[[#This Row],[C&amp;I CLM $ Collected]]/'[1]1.) CLM Reference'!$B$4</f>
        <v>0</v>
      </c>
      <c r="N43" s="229">
        <v>0</v>
      </c>
      <c r="O43" s="28">
        <f>[1]!Table3[[#This Row],[C&amp;I Incentive Disbursements]]/'[1]1.) CLM Reference'!$B$5</f>
        <v>0</v>
      </c>
      <c r="Q43">
        <f>VLOOKUP(Table3[[#This Row],[Census Tract]],'Population and Diversity Data'!$B$2:$K$823,10,FALSE)</f>
        <v>2</v>
      </c>
      <c r="R43" t="str">
        <f>VLOOKUP(Table3[[#This Row],[Census Tract]],'ES Energy Burden'!$B$2:$E$914,4,FALSE)</f>
        <v>No</v>
      </c>
    </row>
    <row r="44" spans="1:18" x14ac:dyDescent="0.2">
      <c r="A44" t="s">
        <v>2740</v>
      </c>
      <c r="B44" s="169">
        <v>9003514900</v>
      </c>
      <c r="C44" t="s">
        <v>944</v>
      </c>
      <c r="D44" s="170">
        <f>[1]!Table3[[#This Row],[Residential CLM $ Collected]]+[1]!Table3[[#This Row],[C&amp;I CLM $ Collected]]</f>
        <v>11.81901</v>
      </c>
      <c r="E44" s="28">
        <f>[1]!Table3[[#This Row],[CLM $ Collected ]]/'[1]1.) CLM Reference'!$B$4</f>
        <v>1.2723604254659296E-7</v>
      </c>
      <c r="F44" s="170">
        <f>[1]!Table3[[#This Row],[Residential Incentive Disbursements]]+[1]!Table3[[#This Row],[C&amp;I Incentive Disbursements]]</f>
        <v>0</v>
      </c>
      <c r="G44" s="28">
        <f>[1]!Table3[[#This Row],[Incentive Disbursements]]/'[1]1.) CLM Reference'!$B$5</f>
        <v>0</v>
      </c>
      <c r="H44" s="228">
        <v>11.81901</v>
      </c>
      <c r="I44" s="28">
        <f>[1]!Table3[[#This Row],[Residential CLM $ Collected]]/'[1]1.) CLM Reference'!$B$4</f>
        <v>1.2723604254659296E-7</v>
      </c>
      <c r="J44" s="229">
        <v>0</v>
      </c>
      <c r="K44" s="28">
        <f>[1]!Table3[[#This Row],[Residential Incentive Disbursements]]/'[1]1.) CLM Reference'!$B$5</f>
        <v>0</v>
      </c>
      <c r="L44" s="229">
        <v>0</v>
      </c>
      <c r="M44" s="28">
        <f>[1]!Table3[[#This Row],[C&amp;I CLM $ Collected]]/'[1]1.) CLM Reference'!$B$4</f>
        <v>0</v>
      </c>
      <c r="N44" s="229">
        <v>0</v>
      </c>
      <c r="O44" s="28">
        <f>[1]!Table3[[#This Row],[C&amp;I Incentive Disbursements]]/'[1]1.) CLM Reference'!$B$5</f>
        <v>0</v>
      </c>
      <c r="Q44">
        <f>VLOOKUP(Table3[[#This Row],[Census Tract]],'Population and Diversity Data'!$B$2:$K$823,10,FALSE)</f>
        <v>3</v>
      </c>
      <c r="R44" t="str">
        <f>VLOOKUP(Table3[[#This Row],[Census Tract]],'ES Energy Burden'!$B$2:$E$914,4,FALSE)</f>
        <v>No</v>
      </c>
    </row>
    <row r="45" spans="1:18" x14ac:dyDescent="0.2">
      <c r="A45" t="s">
        <v>2740</v>
      </c>
      <c r="B45" s="169">
        <v>9013528100</v>
      </c>
      <c r="C45" t="s">
        <v>944</v>
      </c>
      <c r="D45" s="170">
        <f>[1]!Table3[[#This Row],[Residential CLM $ Collected]]+[1]!Table3[[#This Row],[C&amp;I CLM $ Collected]]</f>
        <v>110.27856</v>
      </c>
      <c r="E45" s="28">
        <f>[1]!Table3[[#This Row],[CLM $ Collected ]]/'[1]1.) CLM Reference'!$B$4</f>
        <v>1.1871897521143483E-6</v>
      </c>
      <c r="F45" s="170">
        <f>[1]!Table3[[#This Row],[Residential Incentive Disbursements]]+[1]!Table3[[#This Row],[C&amp;I Incentive Disbursements]]</f>
        <v>0</v>
      </c>
      <c r="G45" s="28">
        <f>[1]!Table3[[#This Row],[Incentive Disbursements]]/'[1]1.) CLM Reference'!$B$5</f>
        <v>0</v>
      </c>
      <c r="H45" s="228">
        <v>110.27856</v>
      </c>
      <c r="I45" s="28">
        <f>[1]!Table3[[#This Row],[Residential CLM $ Collected]]/'[1]1.) CLM Reference'!$B$4</f>
        <v>1.1871897521143483E-6</v>
      </c>
      <c r="J45" s="229">
        <v>0</v>
      </c>
      <c r="K45" s="28">
        <f>[1]!Table3[[#This Row],[Residential Incentive Disbursements]]/'[1]1.) CLM Reference'!$B$5</f>
        <v>0</v>
      </c>
      <c r="L45" s="229">
        <v>0</v>
      </c>
      <c r="M45" s="28">
        <f>[1]!Table3[[#This Row],[C&amp;I CLM $ Collected]]/'[1]1.) CLM Reference'!$B$4</f>
        <v>0</v>
      </c>
      <c r="N45" s="229">
        <v>0</v>
      </c>
      <c r="O45" s="28">
        <f>[1]!Table3[[#This Row],[C&amp;I Incentive Disbursements]]/'[1]1.) CLM Reference'!$B$5</f>
        <v>0</v>
      </c>
      <c r="Q45">
        <f>VLOOKUP(Table3[[#This Row],[Census Tract]],'Population and Diversity Data'!$B$2:$K$823,10,FALSE)</f>
        <v>1</v>
      </c>
      <c r="R45" t="str">
        <f>VLOOKUP(Table3[[#This Row],[Census Tract]],'ES Energy Burden'!$B$2:$E$914,4,FALSE)</f>
        <v>No</v>
      </c>
    </row>
    <row r="46" spans="1:18" x14ac:dyDescent="0.2">
      <c r="A46" t="s">
        <v>2740</v>
      </c>
      <c r="B46" s="169">
        <v>9013529100</v>
      </c>
      <c r="C46" t="s">
        <v>944</v>
      </c>
      <c r="D46" s="170">
        <f>[1]!Table3[[#This Row],[Residential CLM $ Collected]]+[1]!Table3[[#This Row],[C&amp;I CLM $ Collected]]</f>
        <v>104557.25498400001</v>
      </c>
      <c r="E46" s="28">
        <f>[1]!Table3[[#This Row],[CLM $ Collected ]]/'[1]1.) CLM Reference'!$B$4</f>
        <v>1.1255977737305572E-3</v>
      </c>
      <c r="F46" s="170">
        <f>[1]!Table3[[#This Row],[Residential Incentive Disbursements]]+[1]!Table3[[#This Row],[C&amp;I Incentive Disbursements]]</f>
        <v>196685.52000000002</v>
      </c>
      <c r="G46" s="28">
        <f>[1]!Table3[[#This Row],[Incentive Disbursements]]/'[1]1.) CLM Reference'!$B$5</f>
        <v>1.5792158414703937E-3</v>
      </c>
      <c r="H46" s="228">
        <v>87392.111184000009</v>
      </c>
      <c r="I46" s="28">
        <f>[1]!Table3[[#This Row],[Residential CLM $ Collected]]/'[1]1.) CLM Reference'!$B$4</f>
        <v>9.4080861060647273E-4</v>
      </c>
      <c r="J46" s="229">
        <v>192561.92000000001</v>
      </c>
      <c r="K46" s="28">
        <f>[1]!Table3[[#This Row],[Residential Incentive Disbursements]]/'[1]1.) CLM Reference'!$B$5</f>
        <v>1.5461068742017949E-3</v>
      </c>
      <c r="L46" s="229">
        <v>17165.143800000002</v>
      </c>
      <c r="M46" s="28">
        <f>[1]!Table3[[#This Row],[C&amp;I CLM $ Collected]]/'[1]1.) CLM Reference'!$B$4</f>
        <v>1.8478916312408453E-4</v>
      </c>
      <c r="N46" s="229">
        <v>4123.6000000000004</v>
      </c>
      <c r="O46" s="28">
        <f>[1]!Table3[[#This Row],[C&amp;I Incentive Disbursements]]/'[1]1.) CLM Reference'!$B$5</f>
        <v>3.3108967268598702E-5</v>
      </c>
      <c r="Q46">
        <f>VLOOKUP(Table3[[#This Row],[Census Tract]],'Population and Diversity Data'!$B$2:$K$823,10,FALSE)</f>
        <v>2</v>
      </c>
      <c r="R46" t="str">
        <f>VLOOKUP(Table3[[#This Row],[Census Tract]],'ES Energy Burden'!$B$2:$E$914,4,FALSE)</f>
        <v>No</v>
      </c>
    </row>
    <row r="47" spans="1:18" x14ac:dyDescent="0.2">
      <c r="A47" t="s">
        <v>2740</v>
      </c>
      <c r="B47" s="169">
        <v>9013530600</v>
      </c>
      <c r="C47" t="s">
        <v>944</v>
      </c>
      <c r="D47" s="170">
        <f>[1]!Table3[[#This Row],[Residential CLM $ Collected]]+[1]!Table3[[#This Row],[C&amp;I CLM $ Collected]]</f>
        <v>279.05324999999999</v>
      </c>
      <c r="E47" s="28">
        <f>[1]!Table3[[#This Row],[CLM $ Collected ]]/'[1]1.) CLM Reference'!$B$4</f>
        <v>3.0041121202000032E-6</v>
      </c>
      <c r="F47" s="170">
        <f>[1]!Table3[[#This Row],[Residential Incentive Disbursements]]+[1]!Table3[[#This Row],[C&amp;I Incentive Disbursements]]</f>
        <v>35</v>
      </c>
      <c r="G47" s="28">
        <f>[1]!Table3[[#This Row],[Incentive Disbursements]]/'[1]1.) CLM Reference'!$B$5</f>
        <v>2.8101994723080671E-7</v>
      </c>
      <c r="H47" s="228">
        <v>279.05324999999999</v>
      </c>
      <c r="I47" s="28">
        <f>[1]!Table3[[#This Row],[Residential CLM $ Collected]]/'[1]1.) CLM Reference'!$B$4</f>
        <v>3.0041121202000032E-6</v>
      </c>
      <c r="J47" s="229">
        <v>35</v>
      </c>
      <c r="K47" s="28">
        <f>[1]!Table3[[#This Row],[Residential Incentive Disbursements]]/'[1]1.) CLM Reference'!$B$5</f>
        <v>2.8101994723080671E-7</v>
      </c>
      <c r="L47" s="229">
        <v>0</v>
      </c>
      <c r="M47" s="28">
        <f>[1]!Table3[[#This Row],[C&amp;I CLM $ Collected]]/'[1]1.) CLM Reference'!$B$4</f>
        <v>0</v>
      </c>
      <c r="N47" s="229">
        <v>0</v>
      </c>
      <c r="O47" s="28">
        <f>[1]!Table3[[#This Row],[C&amp;I Incentive Disbursements]]/'[1]1.) CLM Reference'!$B$5</f>
        <v>0</v>
      </c>
      <c r="Q47">
        <f>VLOOKUP(Table3[[#This Row],[Census Tract]],'Population and Diversity Data'!$B$2:$K$823,10,FALSE)</f>
        <v>4</v>
      </c>
      <c r="R47" t="str">
        <f>VLOOKUP(Table3[[#This Row],[Census Tract]],'ES Energy Burden'!$B$2:$E$914,4,FALSE)</f>
        <v>No</v>
      </c>
    </row>
    <row r="48" spans="1:18" x14ac:dyDescent="0.2">
      <c r="A48" t="s">
        <v>2741</v>
      </c>
      <c r="B48" s="169">
        <v>9009184100</v>
      </c>
      <c r="C48" t="s">
        <v>936</v>
      </c>
      <c r="D48" s="170">
        <f>[1]!Table3[[#This Row],[Residential CLM $ Collected]]+[1]!Table3[[#This Row],[C&amp;I CLM $ Collected]]</f>
        <v>60128.009255999998</v>
      </c>
      <c r="E48" s="28">
        <f>[1]!Table3[[#This Row],[CLM $ Collected ]]/'[1]1.) CLM Reference'!$B$4</f>
        <v>6.473004036664958E-4</v>
      </c>
      <c r="F48" s="170">
        <f>[1]!Table3[[#This Row],[Residential Incentive Disbursements]]+[1]!Table3[[#This Row],[C&amp;I Incentive Disbursements]]</f>
        <v>29403.87</v>
      </c>
      <c r="G48" s="28">
        <f>[1]!Table3[[#This Row],[Incentive Disbursements]]/'[1]1.) CLM Reference'!$B$5</f>
        <v>2.3608782845089998E-4</v>
      </c>
      <c r="H48" s="228">
        <v>60128.009255999998</v>
      </c>
      <c r="I48" s="28">
        <f>[1]!Table3[[#This Row],[Residential CLM $ Collected]]/'[1]1.) CLM Reference'!$B$4</f>
        <v>6.473004036664958E-4</v>
      </c>
      <c r="J48" s="229">
        <v>29403.87</v>
      </c>
      <c r="K48" s="28">
        <f>[1]!Table3[[#This Row],[Residential Incentive Disbursements]]/'[1]1.) CLM Reference'!$B$5</f>
        <v>2.3608782845089998E-4</v>
      </c>
      <c r="L48" s="229">
        <v>0</v>
      </c>
      <c r="M48" s="28">
        <f>[1]!Table3[[#This Row],[C&amp;I CLM $ Collected]]/'[1]1.) CLM Reference'!$B$4</f>
        <v>0</v>
      </c>
      <c r="N48" s="229">
        <v>0</v>
      </c>
      <c r="O48" s="28">
        <f>[1]!Table3[[#This Row],[C&amp;I Incentive Disbursements]]/'[1]1.) CLM Reference'!$B$5</f>
        <v>0</v>
      </c>
      <c r="Q48">
        <f>VLOOKUP(Table3[[#This Row],[Census Tract]],'Population and Diversity Data'!$B$2:$K$823,10,FALSE)</f>
        <v>3</v>
      </c>
      <c r="R48" t="str">
        <f>VLOOKUP(Table3[[#This Row],[Census Tract]],'ES Energy Burden'!$B$2:$E$914,4,FALSE)</f>
        <v>No</v>
      </c>
    </row>
    <row r="49" spans="1:18" x14ac:dyDescent="0.2">
      <c r="A49" t="s">
        <v>2741</v>
      </c>
      <c r="B49" s="169">
        <v>9009184200</v>
      </c>
      <c r="C49" t="s">
        <v>944</v>
      </c>
      <c r="D49" s="170">
        <f>[1]!Table3[[#This Row],[Residential CLM $ Collected]]+[1]!Table3[[#This Row],[C&amp;I CLM $ Collected]]</f>
        <v>38564.253042000004</v>
      </c>
      <c r="E49" s="28">
        <f>[1]!Table3[[#This Row],[CLM $ Collected ]]/'[1]1.) CLM Reference'!$B$4</f>
        <v>4.1515854042170104E-4</v>
      </c>
      <c r="F49" s="170">
        <f>[1]!Table3[[#This Row],[Residential Incentive Disbursements]]+[1]!Table3[[#This Row],[C&amp;I Incentive Disbursements]]</f>
        <v>15235.69</v>
      </c>
      <c r="G49" s="28">
        <f>[1]!Table3[[#This Row],[Incentive Disbursements]]/'[1]1.) CLM Reference'!$B$5</f>
        <v>1.2232950856642656E-4</v>
      </c>
      <c r="H49" s="228">
        <v>38564.253042000004</v>
      </c>
      <c r="I49" s="28">
        <f>[1]!Table3[[#This Row],[Residential CLM $ Collected]]/'[1]1.) CLM Reference'!$B$4</f>
        <v>4.1515854042170104E-4</v>
      </c>
      <c r="J49" s="229">
        <v>15235.69</v>
      </c>
      <c r="K49" s="28">
        <f>[1]!Table3[[#This Row],[Residential Incentive Disbursements]]/'[1]1.) CLM Reference'!$B$5</f>
        <v>1.2232950856642656E-4</v>
      </c>
      <c r="L49" s="229">
        <v>0</v>
      </c>
      <c r="M49" s="28">
        <f>[1]!Table3[[#This Row],[C&amp;I CLM $ Collected]]/'[1]1.) CLM Reference'!$B$4</f>
        <v>0</v>
      </c>
      <c r="N49" s="229">
        <v>0</v>
      </c>
      <c r="O49" s="28">
        <f>[1]!Table3[[#This Row],[C&amp;I Incentive Disbursements]]/'[1]1.) CLM Reference'!$B$5</f>
        <v>0</v>
      </c>
      <c r="Q49">
        <f>VLOOKUP(Table3[[#This Row],[Census Tract]],'Population and Diversity Data'!$B$2:$K$823,10,FALSE)</f>
        <v>5</v>
      </c>
      <c r="R49" t="str">
        <f>VLOOKUP(Table3[[#This Row],[Census Tract]],'ES Energy Burden'!$B$2:$E$914,4,FALSE)</f>
        <v>No</v>
      </c>
    </row>
    <row r="50" spans="1:18" x14ac:dyDescent="0.2">
      <c r="A50" t="s">
        <v>2741</v>
      </c>
      <c r="B50" s="169">
        <v>9009184300</v>
      </c>
      <c r="C50" t="s">
        <v>944</v>
      </c>
      <c r="D50" s="170">
        <f>[1]!Table3[[#This Row],[Residential CLM $ Collected]]+[1]!Table3[[#This Row],[C&amp;I CLM $ Collected]]</f>
        <v>409181.73200100003</v>
      </c>
      <c r="E50" s="28">
        <f>[1]!Table3[[#This Row],[CLM $ Collected ]]/'[1]1.) CLM Reference'!$B$4</f>
        <v>4.4049936722422465E-3</v>
      </c>
      <c r="F50" s="170">
        <f>[1]!Table3[[#This Row],[Residential Incentive Disbursements]]+[1]!Table3[[#This Row],[C&amp;I Incentive Disbursements]]</f>
        <v>444481.36900000001</v>
      </c>
      <c r="G50" s="28">
        <f>[1]!Table3[[#This Row],[Incentive Disbursements]]/'[1]1.) CLM Reference'!$B$5</f>
        <v>3.5688037388987635E-3</v>
      </c>
      <c r="H50" s="228">
        <v>189344.66840100003</v>
      </c>
      <c r="I50" s="28">
        <f>[1]!Table3[[#This Row],[Residential CLM $ Collected]]/'[1]1.) CLM Reference'!$B$4</f>
        <v>2.0383658432170017E-3</v>
      </c>
      <c r="J50" s="229">
        <v>272982.57500000001</v>
      </c>
      <c r="K50" s="28">
        <f>[1]!Table3[[#This Row],[Residential Incentive Disbursements]]/'[1]1.) CLM Reference'!$B$5</f>
        <v>2.1918156806122781E-3</v>
      </c>
      <c r="L50" s="229">
        <v>219837.06359999999</v>
      </c>
      <c r="M50" s="28">
        <f>[1]!Table3[[#This Row],[C&amp;I CLM $ Collected]]/'[1]1.) CLM Reference'!$B$4</f>
        <v>2.3666278290252448E-3</v>
      </c>
      <c r="N50" s="229">
        <v>171498.79399999999</v>
      </c>
      <c r="O50" s="28">
        <f>[1]!Table3[[#This Row],[C&amp;I Incentive Disbursements]]/'[1]1.) CLM Reference'!$B$5</f>
        <v>1.3769880582864852E-3</v>
      </c>
      <c r="Q50">
        <f>VLOOKUP(Table3[[#This Row],[Census Tract]],'Population and Diversity Data'!$B$2:$K$823,10,FALSE)</f>
        <v>2</v>
      </c>
      <c r="R50" t="str">
        <f>VLOOKUP(Table3[[#This Row],[Census Tract]],'ES Energy Burden'!$B$2:$E$914,4,FALSE)</f>
        <v>No</v>
      </c>
    </row>
    <row r="51" spans="1:18" x14ac:dyDescent="0.2">
      <c r="A51" t="s">
        <v>2741</v>
      </c>
      <c r="B51" s="169">
        <v>9009184400</v>
      </c>
      <c r="C51" t="s">
        <v>944</v>
      </c>
      <c r="D51" s="170">
        <f>[1]!Table3[[#This Row],[Residential CLM $ Collected]]+[1]!Table3[[#This Row],[C&amp;I CLM $ Collected]]</f>
        <v>44264.012394000005</v>
      </c>
      <c r="E51" s="28">
        <f>[1]!Table3[[#This Row],[CLM $ Collected ]]/'[1]1.) CLM Reference'!$B$4</f>
        <v>4.7651857171166639E-4</v>
      </c>
      <c r="F51" s="170">
        <f>[1]!Table3[[#This Row],[Residential Incentive Disbursements]]+[1]!Table3[[#This Row],[C&amp;I Incentive Disbursements]]</f>
        <v>43856.26</v>
      </c>
      <c r="G51" s="28">
        <f>[1]!Table3[[#This Row],[Incentive Disbursements]]/'[1]1.) CLM Reference'!$B$5</f>
        <v>3.5212811059830113E-4</v>
      </c>
      <c r="H51" s="228">
        <v>44264.012394000005</v>
      </c>
      <c r="I51" s="28">
        <f>[1]!Table3[[#This Row],[Residential CLM $ Collected]]/'[1]1.) CLM Reference'!$B$4</f>
        <v>4.7651857171166639E-4</v>
      </c>
      <c r="J51" s="229">
        <v>43856.26</v>
      </c>
      <c r="K51" s="28">
        <f>[1]!Table3[[#This Row],[Residential Incentive Disbursements]]/'[1]1.) CLM Reference'!$B$5</f>
        <v>3.5212811059830113E-4</v>
      </c>
      <c r="L51" s="229">
        <v>0</v>
      </c>
      <c r="M51" s="28">
        <f>[1]!Table3[[#This Row],[C&amp;I CLM $ Collected]]/'[1]1.) CLM Reference'!$B$4</f>
        <v>0</v>
      </c>
      <c r="N51" s="229">
        <v>0</v>
      </c>
      <c r="O51" s="28">
        <f>[1]!Table3[[#This Row],[C&amp;I Incentive Disbursements]]/'[1]1.) CLM Reference'!$B$5</f>
        <v>0</v>
      </c>
      <c r="Q51">
        <f>VLOOKUP(Table3[[#This Row],[Census Tract]],'Population and Diversity Data'!$B$2:$K$823,10,FALSE)</f>
        <v>1</v>
      </c>
      <c r="R51" t="str">
        <f>VLOOKUP(Table3[[#This Row],[Census Tract]],'ES Energy Burden'!$B$2:$E$914,4,FALSE)</f>
        <v>No</v>
      </c>
    </row>
    <row r="52" spans="1:18" x14ac:dyDescent="0.2">
      <c r="A52" t="s">
        <v>2741</v>
      </c>
      <c r="B52" s="169">
        <v>9009184500</v>
      </c>
      <c r="C52" t="s">
        <v>944</v>
      </c>
      <c r="D52" s="170">
        <f>[1]!Table3[[#This Row],[Residential CLM $ Collected]]+[1]!Table3[[#This Row],[C&amp;I CLM $ Collected]]</f>
        <v>31520.662110000001</v>
      </c>
      <c r="E52" s="28">
        <f>[1]!Table3[[#This Row],[CLM $ Collected ]]/'[1]1.) CLM Reference'!$B$4</f>
        <v>3.3933166190101713E-4</v>
      </c>
      <c r="F52" s="170">
        <f>[1]!Table3[[#This Row],[Residential Incentive Disbursements]]+[1]!Table3[[#This Row],[C&amp;I Incentive Disbursements]]</f>
        <v>49876.23</v>
      </c>
      <c r="G52" s="28">
        <f>[1]!Table3[[#This Row],[Incentive Disbursements]]/'[1]1.) CLM Reference'!$B$5</f>
        <v>4.0046330064775939E-4</v>
      </c>
      <c r="H52" s="228">
        <v>31520.662110000001</v>
      </c>
      <c r="I52" s="28">
        <f>[1]!Table3[[#This Row],[Residential CLM $ Collected]]/'[1]1.) CLM Reference'!$B$4</f>
        <v>3.3933166190101713E-4</v>
      </c>
      <c r="J52" s="229">
        <v>49876.23</v>
      </c>
      <c r="K52" s="28">
        <f>[1]!Table3[[#This Row],[Residential Incentive Disbursements]]/'[1]1.) CLM Reference'!$B$5</f>
        <v>4.0046330064775939E-4</v>
      </c>
      <c r="L52" s="229">
        <v>0</v>
      </c>
      <c r="M52" s="28">
        <f>[1]!Table3[[#This Row],[C&amp;I CLM $ Collected]]/'[1]1.) CLM Reference'!$B$4</f>
        <v>0</v>
      </c>
      <c r="N52" s="229">
        <v>0</v>
      </c>
      <c r="O52" s="28">
        <f>[1]!Table3[[#This Row],[C&amp;I Incentive Disbursements]]/'[1]1.) CLM Reference'!$B$5</f>
        <v>0</v>
      </c>
      <c r="Q52">
        <f>VLOOKUP(Table3[[#This Row],[Census Tract]],'Population and Diversity Data'!$B$2:$K$823,10,FALSE)</f>
        <v>1</v>
      </c>
      <c r="R52" t="str">
        <f>VLOOKUP(Table3[[#This Row],[Census Tract]],'ES Energy Burden'!$B$2:$E$914,4,FALSE)</f>
        <v>No</v>
      </c>
    </row>
    <row r="53" spans="1:18" x14ac:dyDescent="0.2">
      <c r="A53" t="s">
        <v>2741</v>
      </c>
      <c r="B53" s="169">
        <v>9009184600</v>
      </c>
      <c r="C53" t="s">
        <v>944</v>
      </c>
      <c r="D53" s="170">
        <f>[1]!Table3[[#This Row],[Residential CLM $ Collected]]+[1]!Table3[[#This Row],[C&amp;I CLM $ Collected]]</f>
        <v>44300.319987000003</v>
      </c>
      <c r="E53" s="28">
        <f>[1]!Table3[[#This Row],[CLM $ Collected ]]/'[1]1.) CLM Reference'!$B$4</f>
        <v>4.7690943646664269E-4</v>
      </c>
      <c r="F53" s="170">
        <f>[1]!Table3[[#This Row],[Residential Incentive Disbursements]]+[1]!Table3[[#This Row],[C&amp;I Incentive Disbursements]]</f>
        <v>58365.85</v>
      </c>
      <c r="G53" s="28">
        <f>[1]!Table3[[#This Row],[Incentive Disbursements]]/'[1]1.) CLM Reference'!$B$5</f>
        <v>4.6862765963089081E-4</v>
      </c>
      <c r="H53" s="228">
        <v>44300.319987000003</v>
      </c>
      <c r="I53" s="28">
        <f>[1]!Table3[[#This Row],[Residential CLM $ Collected]]/'[1]1.) CLM Reference'!$B$4</f>
        <v>4.7690943646664269E-4</v>
      </c>
      <c r="J53" s="229">
        <v>58365.85</v>
      </c>
      <c r="K53" s="28">
        <f>[1]!Table3[[#This Row],[Residential Incentive Disbursements]]/'[1]1.) CLM Reference'!$B$5</f>
        <v>4.6862765963089081E-4</v>
      </c>
      <c r="L53" s="229">
        <v>0</v>
      </c>
      <c r="M53" s="28">
        <f>[1]!Table3[[#This Row],[C&amp;I CLM $ Collected]]/'[1]1.) CLM Reference'!$B$4</f>
        <v>0</v>
      </c>
      <c r="N53" s="229">
        <v>0</v>
      </c>
      <c r="O53" s="28">
        <f>[1]!Table3[[#This Row],[C&amp;I Incentive Disbursements]]/'[1]1.) CLM Reference'!$B$5</f>
        <v>0</v>
      </c>
      <c r="Q53">
        <f>VLOOKUP(Table3[[#This Row],[Census Tract]],'Population and Diversity Data'!$B$2:$K$823,10,FALSE)</f>
        <v>1</v>
      </c>
      <c r="R53" t="str">
        <f>VLOOKUP(Table3[[#This Row],[Census Tract]],'ES Energy Burden'!$B$2:$E$914,4,FALSE)</f>
        <v>No</v>
      </c>
    </row>
    <row r="54" spans="1:18" x14ac:dyDescent="0.2">
      <c r="A54" t="s">
        <v>2741</v>
      </c>
      <c r="B54" s="169">
        <v>9009184700</v>
      </c>
      <c r="C54" t="s">
        <v>944</v>
      </c>
      <c r="D54" s="170">
        <f>[1]!Table3[[#This Row],[Residential CLM $ Collected]]+[1]!Table3[[#This Row],[C&amp;I CLM $ Collected]]</f>
        <v>68776.826054999998</v>
      </c>
      <c r="E54" s="28">
        <f>[1]!Table3[[#This Row],[CLM $ Collected ]]/'[1]1.) CLM Reference'!$B$4</f>
        <v>7.4040813622745067E-4</v>
      </c>
      <c r="F54" s="170">
        <f>[1]!Table3[[#This Row],[Residential Incentive Disbursements]]+[1]!Table3[[#This Row],[C&amp;I Incentive Disbursements]]</f>
        <v>92814.97</v>
      </c>
      <c r="G54" s="28">
        <f>[1]!Table3[[#This Row],[Incentive Disbursements]]/'[1]1.) CLM Reference'!$B$5</f>
        <v>7.4522451347511167E-4</v>
      </c>
      <c r="H54" s="228">
        <v>68776.826054999998</v>
      </c>
      <c r="I54" s="28">
        <f>[1]!Table3[[#This Row],[Residential CLM $ Collected]]/'[1]1.) CLM Reference'!$B$4</f>
        <v>7.4040813622745067E-4</v>
      </c>
      <c r="J54" s="229">
        <v>92814.97</v>
      </c>
      <c r="K54" s="28">
        <f>[1]!Table3[[#This Row],[Residential Incentive Disbursements]]/'[1]1.) CLM Reference'!$B$5</f>
        <v>7.4522451347511167E-4</v>
      </c>
      <c r="L54" s="229">
        <v>0</v>
      </c>
      <c r="M54" s="28">
        <f>[1]!Table3[[#This Row],[C&amp;I CLM $ Collected]]/'[1]1.) CLM Reference'!$B$4</f>
        <v>0</v>
      </c>
      <c r="N54" s="229">
        <v>0</v>
      </c>
      <c r="O54" s="28">
        <f>[1]!Table3[[#This Row],[C&amp;I Incentive Disbursements]]/'[1]1.) CLM Reference'!$B$5</f>
        <v>0</v>
      </c>
      <c r="Q54">
        <f>VLOOKUP(Table3[[#This Row],[Census Tract]],'Population and Diversity Data'!$B$2:$K$823,10,FALSE)</f>
        <v>4</v>
      </c>
      <c r="R54" t="str">
        <f>VLOOKUP(Table3[[#This Row],[Census Tract]],'ES Energy Burden'!$B$2:$E$914,4,FALSE)</f>
        <v>No</v>
      </c>
    </row>
    <row r="55" spans="1:18" x14ac:dyDescent="0.2">
      <c r="A55" t="s">
        <v>2742</v>
      </c>
      <c r="B55" s="169">
        <v>9005250100</v>
      </c>
      <c r="C55" t="s">
        <v>944</v>
      </c>
      <c r="D55" s="170">
        <f>[1]!Table3[[#This Row],[Residential CLM $ Collected]]+[1]!Table3[[#This Row],[C&amp;I CLM $ Collected]]</f>
        <v>58345.983171</v>
      </c>
      <c r="E55" s="28">
        <f>[1]!Table3[[#This Row],[CLM $ Collected ]]/'[1]1.) CLM Reference'!$B$4</f>
        <v>6.2811622946153296E-4</v>
      </c>
      <c r="F55" s="170">
        <f>[1]!Table3[[#This Row],[Residential Incentive Disbursements]]+[1]!Table3[[#This Row],[C&amp;I Incentive Disbursements]]</f>
        <v>106635.035</v>
      </c>
      <c r="G55" s="28">
        <f>[1]!Table3[[#This Row],[Incentive Disbursements]]/'[1]1.) CLM Reference'!$B$5</f>
        <v>8.5618776881872072E-4</v>
      </c>
      <c r="H55" s="228">
        <v>53683.671110999996</v>
      </c>
      <c r="I55" s="28">
        <f>[1]!Table3[[#This Row],[Residential CLM $ Collected]]/'[1]1.) CLM Reference'!$B$4</f>
        <v>5.7792470448341264E-4</v>
      </c>
      <c r="J55" s="229">
        <v>79010.035000000003</v>
      </c>
      <c r="K55" s="28">
        <f>[1]!Table3[[#This Row],[Residential Incentive Disbursements]]/'[1]1.) CLM Reference'!$B$5</f>
        <v>6.3438273904011975E-4</v>
      </c>
      <c r="L55" s="229">
        <v>4662.3120600000002</v>
      </c>
      <c r="M55" s="28">
        <f>[1]!Table3[[#This Row],[C&amp;I CLM $ Collected]]/'[1]1.) CLM Reference'!$B$4</f>
        <v>5.0191524978120289E-5</v>
      </c>
      <c r="N55" s="229">
        <v>27625</v>
      </c>
      <c r="O55" s="28">
        <f>[1]!Table3[[#This Row],[C&amp;I Incentive Disbursements]]/'[1]1.) CLM Reference'!$B$5</f>
        <v>2.2180502977860099E-4</v>
      </c>
      <c r="Q55">
        <f>VLOOKUP(Table3[[#This Row],[Census Tract]],'Population and Diversity Data'!$B$2:$K$823,10,FALSE)</f>
        <v>2</v>
      </c>
      <c r="R55" t="str">
        <f>VLOOKUP(Table3[[#This Row],[Census Tract]],'ES Energy Burden'!$B$2:$E$914,4,FALSE)</f>
        <v>No</v>
      </c>
    </row>
    <row r="56" spans="1:18" x14ac:dyDescent="0.2">
      <c r="A56" t="s">
        <v>2742</v>
      </c>
      <c r="B56" s="169">
        <v>9005268100</v>
      </c>
      <c r="C56" t="s">
        <v>944</v>
      </c>
      <c r="D56" s="170">
        <f>[1]!Table3[[#This Row],[Residential CLM $ Collected]]+[1]!Table3[[#This Row],[C&amp;I CLM $ Collected]]</f>
        <v>551.12715000000003</v>
      </c>
      <c r="E56" s="28">
        <f>[1]!Table3[[#This Row],[CLM $ Collected ]]/'[1]1.) CLM Reference'!$B$4</f>
        <v>5.9330889394274575E-6</v>
      </c>
      <c r="F56" s="170">
        <f>[1]!Table3[[#This Row],[Residential Incentive Disbursements]]+[1]!Table3[[#This Row],[C&amp;I Incentive Disbursements]]</f>
        <v>0</v>
      </c>
      <c r="G56" s="28">
        <f>[1]!Table3[[#This Row],[Incentive Disbursements]]/'[1]1.) CLM Reference'!$B$5</f>
        <v>0</v>
      </c>
      <c r="H56" s="228">
        <v>551.12715000000003</v>
      </c>
      <c r="I56" s="28">
        <f>[1]!Table3[[#This Row],[Residential CLM $ Collected]]/'[1]1.) CLM Reference'!$B$4</f>
        <v>5.9330889394274575E-6</v>
      </c>
      <c r="J56" s="229">
        <v>0</v>
      </c>
      <c r="K56" s="28">
        <f>[1]!Table3[[#This Row],[Residential Incentive Disbursements]]/'[1]1.) CLM Reference'!$B$5</f>
        <v>0</v>
      </c>
      <c r="L56" s="229">
        <v>0</v>
      </c>
      <c r="M56" s="28">
        <f>[1]!Table3[[#This Row],[C&amp;I CLM $ Collected]]/'[1]1.) CLM Reference'!$B$4</f>
        <v>0</v>
      </c>
      <c r="N56" s="229">
        <v>0</v>
      </c>
      <c r="O56" s="28">
        <f>[1]!Table3[[#This Row],[C&amp;I Incentive Disbursements]]/'[1]1.) CLM Reference'!$B$5</f>
        <v>0</v>
      </c>
      <c r="Q56">
        <f>VLOOKUP(Table3[[#This Row],[Census Tract]],'Population and Diversity Data'!$B$2:$K$823,10,FALSE)</f>
        <v>1</v>
      </c>
      <c r="R56" t="str">
        <f>VLOOKUP(Table3[[#This Row],[Census Tract]],'ES Energy Burden'!$B$2:$E$914,4,FALSE)</f>
        <v>No</v>
      </c>
    </row>
    <row r="57" spans="1:18" x14ac:dyDescent="0.2">
      <c r="A57" t="s">
        <v>2743</v>
      </c>
      <c r="B57" s="169">
        <v>9003405100</v>
      </c>
      <c r="C57" t="s">
        <v>944</v>
      </c>
      <c r="D57" s="170">
        <f>[1]!Table3[[#This Row],[Residential CLM $ Collected]]+[1]!Table3[[#This Row],[C&amp;I CLM $ Collected]]</f>
        <v>44185.742244000001</v>
      </c>
      <c r="E57" s="28">
        <f>[1]!Table3[[#This Row],[CLM $ Collected ]]/'[1]1.) CLM Reference'!$B$4</f>
        <v>4.7567596440906417E-4</v>
      </c>
      <c r="F57" s="170">
        <f>[1]!Table3[[#This Row],[Residential Incentive Disbursements]]+[1]!Table3[[#This Row],[C&amp;I Incentive Disbursements]]</f>
        <v>15566.26</v>
      </c>
      <c r="G57" s="28">
        <f>[1]!Table3[[#This Row],[Incentive Disbursements]]/'[1]1.) CLM Reference'!$B$5</f>
        <v>1.2498370182231476E-4</v>
      </c>
      <c r="H57" s="228">
        <v>44185.742244000001</v>
      </c>
      <c r="I57" s="28">
        <f>[1]!Table3[[#This Row],[Residential CLM $ Collected]]/'[1]1.) CLM Reference'!$B$4</f>
        <v>4.7567596440906417E-4</v>
      </c>
      <c r="J57" s="229">
        <v>15566.26</v>
      </c>
      <c r="K57" s="28">
        <f>[1]!Table3[[#This Row],[Residential Incentive Disbursements]]/'[1]1.) CLM Reference'!$B$5</f>
        <v>1.2498370182231476E-4</v>
      </c>
      <c r="L57" s="229">
        <v>0</v>
      </c>
      <c r="M57" s="28">
        <f>[1]!Table3[[#This Row],[C&amp;I CLM $ Collected]]/'[1]1.) CLM Reference'!$B$4</f>
        <v>0</v>
      </c>
      <c r="N57" s="229">
        <v>0</v>
      </c>
      <c r="O57" s="28">
        <f>[1]!Table3[[#This Row],[C&amp;I Incentive Disbursements]]/'[1]1.) CLM Reference'!$B$5</f>
        <v>0</v>
      </c>
      <c r="Q57">
        <f>VLOOKUP(Table3[[#This Row],[Census Tract]],'Population and Diversity Data'!$B$2:$K$823,10,FALSE)</f>
        <v>4</v>
      </c>
      <c r="R57" t="str">
        <f>VLOOKUP(Table3[[#This Row],[Census Tract]],'ES Energy Burden'!$B$2:$E$914,4,FALSE)</f>
        <v>No</v>
      </c>
    </row>
    <row r="58" spans="1:18" x14ac:dyDescent="0.2">
      <c r="A58" t="s">
        <v>2743</v>
      </c>
      <c r="B58" s="169">
        <v>9003405200</v>
      </c>
      <c r="C58" t="s">
        <v>944</v>
      </c>
      <c r="D58" s="170">
        <f>[1]!Table3[[#This Row],[Residential CLM $ Collected]]+[1]!Table3[[#This Row],[C&amp;I CLM $ Collected]]</f>
        <v>46721.628450000004</v>
      </c>
      <c r="E58" s="28">
        <f>[1]!Table3[[#This Row],[CLM $ Collected ]]/'[1]1.) CLM Reference'!$B$4</f>
        <v>5.0297572345825144E-4</v>
      </c>
      <c r="F58" s="170">
        <f>[1]!Table3[[#This Row],[Residential Incentive Disbursements]]+[1]!Table3[[#This Row],[C&amp;I Incentive Disbursements]]</f>
        <v>92427.28</v>
      </c>
      <c r="G58" s="28">
        <f>[1]!Table3[[#This Row],[Incentive Disbursements]]/'[1]1.) CLM Reference'!$B$5</f>
        <v>7.4211169566534266E-4</v>
      </c>
      <c r="H58" s="228">
        <v>46721.628450000004</v>
      </c>
      <c r="I58" s="28">
        <f>[1]!Table3[[#This Row],[Residential CLM $ Collected]]/'[1]1.) CLM Reference'!$B$4</f>
        <v>5.0297572345825144E-4</v>
      </c>
      <c r="J58" s="229">
        <v>92427.28</v>
      </c>
      <c r="K58" s="28">
        <f>[1]!Table3[[#This Row],[Residential Incentive Disbursements]]/'[1]1.) CLM Reference'!$B$5</f>
        <v>7.4211169566534266E-4</v>
      </c>
      <c r="L58" s="229">
        <v>0</v>
      </c>
      <c r="M58" s="28">
        <f>[1]!Table3[[#This Row],[C&amp;I CLM $ Collected]]/'[1]1.) CLM Reference'!$B$4</f>
        <v>0</v>
      </c>
      <c r="N58" s="229">
        <v>0</v>
      </c>
      <c r="O58" s="28">
        <f>[1]!Table3[[#This Row],[C&amp;I Incentive Disbursements]]/'[1]1.) CLM Reference'!$B$5</f>
        <v>0</v>
      </c>
      <c r="Q58">
        <f>VLOOKUP(Table3[[#This Row],[Census Tract]],'Population and Diversity Data'!$B$2:$K$823,10,FALSE)</f>
        <v>2</v>
      </c>
      <c r="R58" t="str">
        <f>VLOOKUP(Table3[[#This Row],[Census Tract]],'ES Energy Burden'!$B$2:$E$914,4,FALSE)</f>
        <v>No</v>
      </c>
    </row>
    <row r="59" spans="1:18" x14ac:dyDescent="0.2">
      <c r="A59" t="s">
        <v>2743</v>
      </c>
      <c r="B59" s="169">
        <v>9003405300</v>
      </c>
      <c r="C59" t="s">
        <v>936</v>
      </c>
      <c r="D59" s="170">
        <f>[1]!Table3[[#This Row],[Residential CLM $ Collected]]+[1]!Table3[[#This Row],[C&amp;I CLM $ Collected]]</f>
        <v>60907.212870000003</v>
      </c>
      <c r="E59" s="28">
        <f>[1]!Table3[[#This Row],[CLM $ Collected ]]/'[1]1.) CLM Reference'!$B$4</f>
        <v>6.5568882064755965E-4</v>
      </c>
      <c r="F59" s="170">
        <f>[1]!Table3[[#This Row],[Residential Incentive Disbursements]]+[1]!Table3[[#This Row],[C&amp;I Incentive Disbursements]]</f>
        <v>52851.06</v>
      </c>
      <c r="G59" s="28">
        <f>[1]!Table3[[#This Row],[Incentive Disbursements]]/'[1]1.) CLM Reference'!$B$5</f>
        <v>4.2434863120834851E-4</v>
      </c>
      <c r="H59" s="228">
        <v>60907.212870000003</v>
      </c>
      <c r="I59" s="28">
        <f>[1]!Table3[[#This Row],[Residential CLM $ Collected]]/'[1]1.) CLM Reference'!$B$4</f>
        <v>6.5568882064755965E-4</v>
      </c>
      <c r="J59" s="229">
        <v>52851.06</v>
      </c>
      <c r="K59" s="28">
        <f>[1]!Table3[[#This Row],[Residential Incentive Disbursements]]/'[1]1.) CLM Reference'!$B$5</f>
        <v>4.2434863120834851E-4</v>
      </c>
      <c r="L59" s="229">
        <v>0</v>
      </c>
      <c r="M59" s="28">
        <f>[1]!Table3[[#This Row],[C&amp;I CLM $ Collected]]/'[1]1.) CLM Reference'!$B$4</f>
        <v>0</v>
      </c>
      <c r="N59" s="229">
        <v>0</v>
      </c>
      <c r="O59" s="28">
        <f>[1]!Table3[[#This Row],[C&amp;I Incentive Disbursements]]/'[1]1.) CLM Reference'!$B$5</f>
        <v>0</v>
      </c>
      <c r="Q59">
        <f>VLOOKUP(Table3[[#This Row],[Census Tract]],'Population and Diversity Data'!$B$2:$K$823,10,FALSE)</f>
        <v>3</v>
      </c>
      <c r="R59" t="str">
        <f>VLOOKUP(Table3[[#This Row],[Census Tract]],'ES Energy Burden'!$B$2:$E$914,4,FALSE)</f>
        <v>No</v>
      </c>
    </row>
    <row r="60" spans="1:18" x14ac:dyDescent="0.2">
      <c r="A60" t="s">
        <v>2743</v>
      </c>
      <c r="B60" s="169">
        <v>9003405401</v>
      </c>
      <c r="C60" t="s">
        <v>944</v>
      </c>
      <c r="D60" s="170">
        <f>[1]!Table3[[#This Row],[Residential CLM $ Collected]]+[1]!Table3[[#This Row],[C&amp;I CLM $ Collected]]</f>
        <v>40952.529135000004</v>
      </c>
      <c r="E60" s="28">
        <f>[1]!Table3[[#This Row],[CLM $ Collected ]]/'[1]1.) CLM Reference'!$B$4</f>
        <v>4.408692216532051E-4</v>
      </c>
      <c r="F60" s="170">
        <f>[1]!Table3[[#This Row],[Residential Incentive Disbursements]]+[1]!Table3[[#This Row],[C&amp;I Incentive Disbursements]]</f>
        <v>56769.62</v>
      </c>
      <c r="G60" s="28">
        <f>[1]!Table3[[#This Row],[Incentive Disbursements]]/'[1]1.) CLM Reference'!$B$5</f>
        <v>4.5581130333465571E-4</v>
      </c>
      <c r="H60" s="228">
        <v>40952.529135000004</v>
      </c>
      <c r="I60" s="28">
        <f>[1]!Table3[[#This Row],[Residential CLM $ Collected]]/'[1]1.) CLM Reference'!$B$4</f>
        <v>4.408692216532051E-4</v>
      </c>
      <c r="J60" s="229">
        <v>56769.62</v>
      </c>
      <c r="K60" s="28">
        <f>[1]!Table3[[#This Row],[Residential Incentive Disbursements]]/'[1]1.) CLM Reference'!$B$5</f>
        <v>4.5581130333465571E-4</v>
      </c>
      <c r="L60" s="229">
        <v>0</v>
      </c>
      <c r="M60" s="28">
        <f>[1]!Table3[[#This Row],[C&amp;I CLM $ Collected]]/'[1]1.) CLM Reference'!$B$4</f>
        <v>0</v>
      </c>
      <c r="N60" s="229">
        <v>0</v>
      </c>
      <c r="O60" s="28">
        <f>[1]!Table3[[#This Row],[C&amp;I Incentive Disbursements]]/'[1]1.) CLM Reference'!$B$5</f>
        <v>0</v>
      </c>
      <c r="Q60">
        <f>VLOOKUP(Table3[[#This Row],[Census Tract]],'Population and Diversity Data'!$B$2:$K$823,10,FALSE)</f>
        <v>4</v>
      </c>
      <c r="R60" t="str">
        <f>VLOOKUP(Table3[[#This Row],[Census Tract]],'ES Energy Burden'!$B$2:$E$914,4,FALSE)</f>
        <v>No</v>
      </c>
    </row>
    <row r="61" spans="1:18" x14ac:dyDescent="0.2">
      <c r="A61" t="s">
        <v>2743</v>
      </c>
      <c r="B61" s="169">
        <v>9003405402</v>
      </c>
      <c r="C61" t="s">
        <v>944</v>
      </c>
      <c r="D61" s="170">
        <f>[1]!Table3[[#This Row],[Residential CLM $ Collected]]+[1]!Table3[[#This Row],[C&amp;I CLM $ Collected]]</f>
        <v>46575.665849999998</v>
      </c>
      <c r="E61" s="28">
        <f>[1]!Table3[[#This Row],[CLM $ Collected ]]/'[1]1.) CLM Reference'!$B$4</f>
        <v>5.0140438173133751E-4</v>
      </c>
      <c r="F61" s="170">
        <f>[1]!Table3[[#This Row],[Residential Incentive Disbursements]]+[1]!Table3[[#This Row],[C&amp;I Incentive Disbursements]]</f>
        <v>31981.48</v>
      </c>
      <c r="G61" s="28">
        <f>[1]!Table3[[#This Row],[Incentive Disbursements]]/'[1]1.) CLM Reference'!$B$5</f>
        <v>2.5678382348465998E-4</v>
      </c>
      <c r="H61" s="228">
        <v>46575.665849999998</v>
      </c>
      <c r="I61" s="28">
        <f>[1]!Table3[[#This Row],[Residential CLM $ Collected]]/'[1]1.) CLM Reference'!$B$4</f>
        <v>5.0140438173133751E-4</v>
      </c>
      <c r="J61" s="229">
        <v>31981.48</v>
      </c>
      <c r="K61" s="28">
        <f>[1]!Table3[[#This Row],[Residential Incentive Disbursements]]/'[1]1.) CLM Reference'!$B$5</f>
        <v>2.5678382348465998E-4</v>
      </c>
      <c r="L61" s="229">
        <v>0</v>
      </c>
      <c r="M61" s="28">
        <f>[1]!Table3[[#This Row],[C&amp;I CLM $ Collected]]/'[1]1.) CLM Reference'!$B$4</f>
        <v>0</v>
      </c>
      <c r="N61" s="229">
        <v>0</v>
      </c>
      <c r="O61" s="28">
        <f>[1]!Table3[[#This Row],[C&amp;I Incentive Disbursements]]/'[1]1.) CLM Reference'!$B$5</f>
        <v>0</v>
      </c>
      <c r="Q61">
        <f>VLOOKUP(Table3[[#This Row],[Census Tract]],'Population and Diversity Data'!$B$2:$K$823,10,FALSE)</f>
        <v>5</v>
      </c>
      <c r="R61" t="str">
        <f>VLOOKUP(Table3[[#This Row],[Census Tract]],'ES Energy Burden'!$B$2:$E$914,4,FALSE)</f>
        <v>No</v>
      </c>
    </row>
    <row r="62" spans="1:18" x14ac:dyDescent="0.2">
      <c r="A62" t="s">
        <v>2743</v>
      </c>
      <c r="B62" s="169">
        <v>9003405500</v>
      </c>
      <c r="C62" t="s">
        <v>944</v>
      </c>
      <c r="D62" s="170">
        <f>[1]!Table3[[#This Row],[Residential CLM $ Collected]]+[1]!Table3[[#This Row],[C&amp;I CLM $ Collected]]</f>
        <v>55656.162450000003</v>
      </c>
      <c r="E62" s="28">
        <f>[1]!Table3[[#This Row],[CLM $ Collected ]]/'[1]1.) CLM Reference'!$B$4</f>
        <v>5.9915930805272942E-4</v>
      </c>
      <c r="F62" s="170">
        <f>[1]!Table3[[#This Row],[Residential Incentive Disbursements]]+[1]!Table3[[#This Row],[C&amp;I Incentive Disbursements]]</f>
        <v>36117.394999999997</v>
      </c>
      <c r="G62" s="28">
        <f>[1]!Table3[[#This Row],[Incentive Disbursements]]/'[1]1.) CLM Reference'!$B$5</f>
        <v>2.8999166962897718E-4</v>
      </c>
      <c r="H62" s="228">
        <v>55656.162450000003</v>
      </c>
      <c r="I62" s="28">
        <f>[1]!Table3[[#This Row],[Residential CLM $ Collected]]/'[1]1.) CLM Reference'!$B$4</f>
        <v>5.9915930805272942E-4</v>
      </c>
      <c r="J62" s="229">
        <v>36117.394999999997</v>
      </c>
      <c r="K62" s="28">
        <f>[1]!Table3[[#This Row],[Residential Incentive Disbursements]]/'[1]1.) CLM Reference'!$B$5</f>
        <v>2.8999166962897718E-4</v>
      </c>
      <c r="L62" s="229">
        <v>0</v>
      </c>
      <c r="M62" s="28">
        <f>[1]!Table3[[#This Row],[C&amp;I CLM $ Collected]]/'[1]1.) CLM Reference'!$B$4</f>
        <v>0</v>
      </c>
      <c r="N62" s="229">
        <v>0</v>
      </c>
      <c r="O62" s="28">
        <f>[1]!Table3[[#This Row],[C&amp;I Incentive Disbursements]]/'[1]1.) CLM Reference'!$B$5</f>
        <v>0</v>
      </c>
      <c r="Q62">
        <f>VLOOKUP(Table3[[#This Row],[Census Tract]],'Population and Diversity Data'!$B$2:$K$823,10,FALSE)</f>
        <v>2</v>
      </c>
      <c r="R62" t="str">
        <f>VLOOKUP(Table3[[#This Row],[Census Tract]],'ES Energy Burden'!$B$2:$E$914,4,FALSE)</f>
        <v>No</v>
      </c>
    </row>
    <row r="63" spans="1:18" x14ac:dyDescent="0.2">
      <c r="A63" t="s">
        <v>2743</v>
      </c>
      <c r="B63" s="169">
        <v>9003405600</v>
      </c>
      <c r="C63" t="s">
        <v>944</v>
      </c>
      <c r="D63" s="170">
        <f>[1]!Table3[[#This Row],[Residential CLM $ Collected]]+[1]!Table3[[#This Row],[C&amp;I CLM $ Collected]]</f>
        <v>71352.386847000002</v>
      </c>
      <c r="E63" s="28">
        <f>[1]!Table3[[#This Row],[CLM $ Collected ]]/'[1]1.) CLM Reference'!$B$4</f>
        <v>7.6813500696469941E-4</v>
      </c>
      <c r="F63" s="170">
        <f>[1]!Table3[[#This Row],[Residential Incentive Disbursements]]+[1]!Table3[[#This Row],[C&amp;I Incentive Disbursements]]</f>
        <v>58739.99</v>
      </c>
      <c r="G63" s="28">
        <f>[1]!Table3[[#This Row],[Incentive Disbursements]]/'[1]1.) CLM Reference'!$B$5</f>
        <v>4.7163168257537461E-4</v>
      </c>
      <c r="H63" s="228">
        <v>71352.386847000002</v>
      </c>
      <c r="I63" s="28">
        <f>[1]!Table3[[#This Row],[Residential CLM $ Collected]]/'[1]1.) CLM Reference'!$B$4</f>
        <v>7.6813500696469941E-4</v>
      </c>
      <c r="J63" s="229">
        <v>58739.99</v>
      </c>
      <c r="K63" s="28">
        <f>[1]!Table3[[#This Row],[Residential Incentive Disbursements]]/'[1]1.) CLM Reference'!$B$5</f>
        <v>4.7163168257537461E-4</v>
      </c>
      <c r="L63" s="229">
        <v>0</v>
      </c>
      <c r="M63" s="28">
        <f>[1]!Table3[[#This Row],[C&amp;I CLM $ Collected]]/'[1]1.) CLM Reference'!$B$4</f>
        <v>0</v>
      </c>
      <c r="N63" s="229">
        <v>0</v>
      </c>
      <c r="O63" s="28">
        <f>[1]!Table3[[#This Row],[C&amp;I Incentive Disbursements]]/'[1]1.) CLM Reference'!$B$5</f>
        <v>0</v>
      </c>
      <c r="Q63">
        <f>VLOOKUP(Table3[[#This Row],[Census Tract]],'Population and Diversity Data'!$B$2:$K$823,10,FALSE)</f>
        <v>3</v>
      </c>
      <c r="R63" t="str">
        <f>VLOOKUP(Table3[[#This Row],[Census Tract]],'ES Energy Burden'!$B$2:$E$914,4,FALSE)</f>
        <v>No</v>
      </c>
    </row>
    <row r="64" spans="1:18" x14ac:dyDescent="0.2">
      <c r="A64" t="s">
        <v>2743</v>
      </c>
      <c r="B64" s="169">
        <v>9003405700</v>
      </c>
      <c r="C64" t="s">
        <v>944</v>
      </c>
      <c r="D64" s="170">
        <f>[1]!Table3[[#This Row],[Residential CLM $ Collected]]+[1]!Table3[[#This Row],[C&amp;I CLM $ Collected]]</f>
        <v>19042.999500000002</v>
      </c>
      <c r="E64" s="28">
        <f>[1]!Table3[[#This Row],[CLM $ Collected ]]/'[1]1.) CLM Reference'!$B$4</f>
        <v>2.0500497880928677E-4</v>
      </c>
      <c r="F64" s="170">
        <f>[1]!Table3[[#This Row],[Residential Incentive Disbursements]]+[1]!Table3[[#This Row],[C&amp;I Incentive Disbursements]]</f>
        <v>10392.27</v>
      </c>
      <c r="G64" s="28">
        <f>[1]!Table3[[#This Row],[Incentive Disbursements]]/'[1]1.) CLM Reference'!$B$5</f>
        <v>8.3441004771665582E-5</v>
      </c>
      <c r="H64" s="228">
        <v>19042.999500000002</v>
      </c>
      <c r="I64" s="28">
        <f>[1]!Table3[[#This Row],[Residential CLM $ Collected]]/'[1]1.) CLM Reference'!$B$4</f>
        <v>2.0500497880928677E-4</v>
      </c>
      <c r="J64" s="229">
        <v>10392.27</v>
      </c>
      <c r="K64" s="28">
        <f>[1]!Table3[[#This Row],[Residential Incentive Disbursements]]/'[1]1.) CLM Reference'!$B$5</f>
        <v>8.3441004771665582E-5</v>
      </c>
      <c r="L64" s="229">
        <v>0</v>
      </c>
      <c r="M64" s="28">
        <f>[1]!Table3[[#This Row],[C&amp;I CLM $ Collected]]/'[1]1.) CLM Reference'!$B$4</f>
        <v>0</v>
      </c>
      <c r="N64" s="229">
        <v>0</v>
      </c>
      <c r="O64" s="28">
        <f>[1]!Table3[[#This Row],[C&amp;I Incentive Disbursements]]/'[1]1.) CLM Reference'!$B$5</f>
        <v>0</v>
      </c>
      <c r="Q64">
        <f>VLOOKUP(Table3[[#This Row],[Census Tract]],'Population and Diversity Data'!$B$2:$K$823,10,FALSE)</f>
        <v>3</v>
      </c>
      <c r="R64" t="str">
        <f>VLOOKUP(Table3[[#This Row],[Census Tract]],'ES Energy Burden'!$B$2:$E$914,4,FALSE)</f>
        <v>Yes</v>
      </c>
    </row>
    <row r="65" spans="1:18" x14ac:dyDescent="0.2">
      <c r="A65" t="s">
        <v>2743</v>
      </c>
      <c r="B65" s="169">
        <v>9003405800</v>
      </c>
      <c r="C65" t="s">
        <v>944</v>
      </c>
      <c r="D65" s="170">
        <f>[1]!Table3[[#This Row],[Residential CLM $ Collected]]+[1]!Table3[[#This Row],[C&amp;I CLM $ Collected]]</f>
        <v>94235.151339000004</v>
      </c>
      <c r="E65" s="28">
        <f>[1]!Table3[[#This Row],[CLM $ Collected ]]/'[1]1.) CLM Reference'!$B$4</f>
        <v>1.0144764853531412E-3</v>
      </c>
      <c r="F65" s="170">
        <f>[1]!Table3[[#This Row],[Residential Incentive Disbursements]]+[1]!Table3[[#This Row],[C&amp;I Incentive Disbursements]]</f>
        <v>112987.94</v>
      </c>
      <c r="G65" s="28">
        <f>[1]!Table3[[#This Row],[Incentive Disbursements]]/'[1]1.) CLM Reference'!$B$5</f>
        <v>9.0719614104335872E-4</v>
      </c>
      <c r="H65" s="228">
        <v>94235.151339000004</v>
      </c>
      <c r="I65" s="28">
        <f>[1]!Table3[[#This Row],[Residential CLM $ Collected]]/'[1]1.) CLM Reference'!$B$4</f>
        <v>1.0144764853531412E-3</v>
      </c>
      <c r="J65" s="229">
        <v>112987.94</v>
      </c>
      <c r="K65" s="28">
        <f>[1]!Table3[[#This Row],[Residential Incentive Disbursements]]/'[1]1.) CLM Reference'!$B$5</f>
        <v>9.0719614104335872E-4</v>
      </c>
      <c r="L65" s="229">
        <v>0</v>
      </c>
      <c r="M65" s="28">
        <f>[1]!Table3[[#This Row],[C&amp;I CLM $ Collected]]/'[1]1.) CLM Reference'!$B$4</f>
        <v>0</v>
      </c>
      <c r="N65" s="229">
        <v>0</v>
      </c>
      <c r="O65" s="28">
        <f>[1]!Table3[[#This Row],[C&amp;I Incentive Disbursements]]/'[1]1.) CLM Reference'!$B$5</f>
        <v>0</v>
      </c>
      <c r="Q65">
        <f>VLOOKUP(Table3[[#This Row],[Census Tract]],'Population and Diversity Data'!$B$2:$K$823,10,FALSE)</f>
        <v>2</v>
      </c>
      <c r="R65" t="str">
        <f>VLOOKUP(Table3[[#This Row],[Census Tract]],'ES Energy Burden'!$B$2:$E$914,4,FALSE)</f>
        <v>No</v>
      </c>
    </row>
    <row r="66" spans="1:18" x14ac:dyDescent="0.2">
      <c r="A66" t="s">
        <v>2743</v>
      </c>
      <c r="B66" s="169">
        <v>9003405900</v>
      </c>
      <c r="C66" t="s">
        <v>944</v>
      </c>
      <c r="D66" s="170">
        <f>[1]!Table3[[#This Row],[Residential CLM $ Collected]]+[1]!Table3[[#This Row],[C&amp;I CLM $ Collected]]</f>
        <v>55139.653842</v>
      </c>
      <c r="E66" s="28">
        <f>[1]!Table3[[#This Row],[CLM $ Collected ]]/'[1]1.) CLM Reference'!$B$4</f>
        <v>5.9359890060547537E-4</v>
      </c>
      <c r="F66" s="170">
        <f>[1]!Table3[[#This Row],[Residential Incentive Disbursements]]+[1]!Table3[[#This Row],[C&amp;I Incentive Disbursements]]</f>
        <v>107530.97</v>
      </c>
      <c r="G66" s="28">
        <f>[1]!Table3[[#This Row],[Incentive Disbursements]]/'[1]1.) CLM Reference'!$B$5</f>
        <v>8.6338135757364168E-4</v>
      </c>
      <c r="H66" s="228">
        <v>55139.653842</v>
      </c>
      <c r="I66" s="28">
        <f>[1]!Table3[[#This Row],[Residential CLM $ Collected]]/'[1]1.) CLM Reference'!$B$4</f>
        <v>5.9359890060547537E-4</v>
      </c>
      <c r="J66" s="229">
        <v>107530.97</v>
      </c>
      <c r="K66" s="28">
        <f>[1]!Table3[[#This Row],[Residential Incentive Disbursements]]/'[1]1.) CLM Reference'!$B$5</f>
        <v>8.6338135757364168E-4</v>
      </c>
      <c r="L66" s="229">
        <v>0</v>
      </c>
      <c r="M66" s="28">
        <f>[1]!Table3[[#This Row],[C&amp;I CLM $ Collected]]/'[1]1.) CLM Reference'!$B$4</f>
        <v>0</v>
      </c>
      <c r="N66" s="229">
        <v>0</v>
      </c>
      <c r="O66" s="28">
        <f>[1]!Table3[[#This Row],[C&amp;I Incentive Disbursements]]/'[1]1.) CLM Reference'!$B$5</f>
        <v>0</v>
      </c>
      <c r="Q66">
        <f>VLOOKUP(Table3[[#This Row],[Census Tract]],'Population and Diversity Data'!$B$2:$K$823,10,FALSE)</f>
        <v>1</v>
      </c>
      <c r="R66" t="str">
        <f>VLOOKUP(Table3[[#This Row],[Census Tract]],'ES Energy Burden'!$B$2:$E$914,4,FALSE)</f>
        <v>No</v>
      </c>
    </row>
    <row r="67" spans="1:18" x14ac:dyDescent="0.2">
      <c r="A67" t="s">
        <v>2743</v>
      </c>
      <c r="B67" s="169">
        <v>9003406001</v>
      </c>
      <c r="C67" t="s">
        <v>944</v>
      </c>
      <c r="D67" s="170">
        <f>[1]!Table3[[#This Row],[Residential CLM $ Collected]]+[1]!Table3[[#This Row],[C&amp;I CLM $ Collected]]</f>
        <v>613221.86667000002</v>
      </c>
      <c r="E67" s="28">
        <f>[1]!Table3[[#This Row],[CLM $ Collected ]]/'[1]1.) CLM Reference'!$B$4</f>
        <v>6.6015616805574469E-3</v>
      </c>
      <c r="F67" s="170">
        <f>[1]!Table3[[#This Row],[Residential Incentive Disbursements]]+[1]!Table3[[#This Row],[C&amp;I Incentive Disbursements]]</f>
        <v>1495026.72</v>
      </c>
      <c r="G67" s="28">
        <f>[1]!Table3[[#This Row],[Incentive Disbursements]]/'[1]1.) CLM Reference'!$B$5</f>
        <v>1.2003780856087028E-2</v>
      </c>
      <c r="H67" s="228">
        <v>365004.42197100003</v>
      </c>
      <c r="I67" s="28">
        <f>[1]!Table3[[#This Row],[Residential CLM $ Collected]]/'[1]1.) CLM Reference'!$B$4</f>
        <v>3.9294084837559768E-3</v>
      </c>
      <c r="J67" s="229">
        <v>1099852.73</v>
      </c>
      <c r="K67" s="28">
        <f>[1]!Table3[[#This Row],[Residential Incentive Disbursements]]/'[1]1.) CLM Reference'!$B$5</f>
        <v>8.8308730327502482E-3</v>
      </c>
      <c r="L67" s="229">
        <v>248217.44469899999</v>
      </c>
      <c r="M67" s="28">
        <f>[1]!Table3[[#This Row],[C&amp;I CLM $ Collected]]/'[1]1.) CLM Reference'!$B$4</f>
        <v>2.6721531968014701E-3</v>
      </c>
      <c r="N67" s="229">
        <v>395173.99</v>
      </c>
      <c r="O67" s="28">
        <f>[1]!Table3[[#This Row],[C&amp;I Incentive Disbursements]]/'[1]1.) CLM Reference'!$B$5</f>
        <v>3.1729078233367807E-3</v>
      </c>
      <c r="Q67">
        <f>VLOOKUP(Table3[[#This Row],[Census Tract]],'Population and Diversity Data'!$B$2:$K$823,10,FALSE)</f>
        <v>4</v>
      </c>
      <c r="R67" t="str">
        <f>VLOOKUP(Table3[[#This Row],[Census Tract]],'ES Energy Burden'!$B$2:$E$914,4,FALSE)</f>
        <v>No</v>
      </c>
    </row>
    <row r="68" spans="1:18" x14ac:dyDescent="0.2">
      <c r="A68" t="s">
        <v>2743</v>
      </c>
      <c r="B68" s="169">
        <v>9003406002</v>
      </c>
      <c r="C68" t="s">
        <v>944</v>
      </c>
      <c r="D68" s="170">
        <f>[1]!Table3[[#This Row],[Residential CLM $ Collected]]+[1]!Table3[[#This Row],[C&amp;I CLM $ Collected]]</f>
        <v>56447.842920000003</v>
      </c>
      <c r="E68" s="28">
        <f>[1]!Table3[[#This Row],[CLM $ Collected ]]/'[1]1.) CLM Reference'!$B$4</f>
        <v>6.0768204303342796E-4</v>
      </c>
      <c r="F68" s="170">
        <f>[1]!Table3[[#This Row],[Residential Incentive Disbursements]]+[1]!Table3[[#This Row],[C&amp;I Incentive Disbursements]]</f>
        <v>47458.38</v>
      </c>
      <c r="G68" s="28">
        <f>[1]!Table3[[#This Row],[Incentive Disbursements]]/'[1]1.) CLM Reference'!$B$5</f>
        <v>3.8105004123598773E-4</v>
      </c>
      <c r="H68" s="228">
        <v>56447.842920000003</v>
      </c>
      <c r="I68" s="28">
        <f>[1]!Table3[[#This Row],[Residential CLM $ Collected]]/'[1]1.) CLM Reference'!$B$4</f>
        <v>6.0768204303342796E-4</v>
      </c>
      <c r="J68" s="229">
        <v>47458.38</v>
      </c>
      <c r="K68" s="28">
        <f>[1]!Table3[[#This Row],[Residential Incentive Disbursements]]/'[1]1.) CLM Reference'!$B$5</f>
        <v>3.8105004123598773E-4</v>
      </c>
      <c r="L68" s="229">
        <v>0</v>
      </c>
      <c r="M68" s="28">
        <f>[1]!Table3[[#This Row],[C&amp;I CLM $ Collected]]/'[1]1.) CLM Reference'!$B$4</f>
        <v>0</v>
      </c>
      <c r="N68" s="229">
        <v>0</v>
      </c>
      <c r="O68" s="28">
        <f>[1]!Table3[[#This Row],[C&amp;I Incentive Disbursements]]/'[1]1.) CLM Reference'!$B$5</f>
        <v>0</v>
      </c>
      <c r="Q68">
        <f>VLOOKUP(Table3[[#This Row],[Census Tract]],'Population and Diversity Data'!$B$2:$K$823,10,FALSE)</f>
        <v>2</v>
      </c>
      <c r="R68" t="str">
        <f>VLOOKUP(Table3[[#This Row],[Census Tract]],'ES Energy Burden'!$B$2:$E$914,4,FALSE)</f>
        <v>No</v>
      </c>
    </row>
    <row r="69" spans="1:18" x14ac:dyDescent="0.2">
      <c r="A69" t="s">
        <v>2743</v>
      </c>
      <c r="B69" s="169">
        <v>9003406100</v>
      </c>
      <c r="C69" t="s">
        <v>944</v>
      </c>
      <c r="D69" s="170">
        <f>[1]!Table3[[#This Row],[Residential CLM $ Collected]]+[1]!Table3[[#This Row],[C&amp;I CLM $ Collected]]</f>
        <v>29087.602740000002</v>
      </c>
      <c r="E69" s="28">
        <f>[1]!Table3[[#This Row],[CLM $ Collected ]]/'[1]1.) CLM Reference'!$B$4</f>
        <v>3.1313887202100973E-4</v>
      </c>
      <c r="F69" s="170">
        <f>[1]!Table3[[#This Row],[Residential Incentive Disbursements]]+[1]!Table3[[#This Row],[C&amp;I Incentive Disbursements]]</f>
        <v>26130.1</v>
      </c>
      <c r="G69" s="28">
        <f>[1]!Table3[[#This Row],[Incentive Disbursements]]/'[1]1.) CLM Reference'!$B$5</f>
        <v>2.0980226637530575E-4</v>
      </c>
      <c r="H69" s="228">
        <v>29087.602740000002</v>
      </c>
      <c r="I69" s="28">
        <f>[1]!Table3[[#This Row],[Residential CLM $ Collected]]/'[1]1.) CLM Reference'!$B$4</f>
        <v>3.1313887202100973E-4</v>
      </c>
      <c r="J69" s="229">
        <v>26130.1</v>
      </c>
      <c r="K69" s="28">
        <f>[1]!Table3[[#This Row],[Residential Incentive Disbursements]]/'[1]1.) CLM Reference'!$B$5</f>
        <v>2.0980226637530575E-4</v>
      </c>
      <c r="L69" s="229">
        <v>0</v>
      </c>
      <c r="M69" s="28">
        <f>[1]!Table3[[#This Row],[C&amp;I CLM $ Collected]]/'[1]1.) CLM Reference'!$B$4</f>
        <v>0</v>
      </c>
      <c r="N69" s="229">
        <v>0</v>
      </c>
      <c r="O69" s="28">
        <f>[1]!Table3[[#This Row],[C&amp;I Incentive Disbursements]]/'[1]1.) CLM Reference'!$B$5</f>
        <v>0</v>
      </c>
      <c r="Q69">
        <f>VLOOKUP(Table3[[#This Row],[Census Tract]],'Population and Diversity Data'!$B$2:$K$823,10,FALSE)</f>
        <v>4</v>
      </c>
      <c r="R69" t="str">
        <f>VLOOKUP(Table3[[#This Row],[Census Tract]],'ES Energy Burden'!$B$2:$E$914,4,FALSE)</f>
        <v>No</v>
      </c>
    </row>
    <row r="70" spans="1:18" x14ac:dyDescent="0.2">
      <c r="A70" t="s">
        <v>2743</v>
      </c>
      <c r="B70" s="169">
        <v>9003410101</v>
      </c>
      <c r="C70" t="s">
        <v>944</v>
      </c>
      <c r="D70" s="170">
        <f>[1]!Table3[[#This Row],[Residential CLM $ Collected]]+[1]!Table3[[#This Row],[C&amp;I CLM $ Collected]]</f>
        <v>213.85308000000001</v>
      </c>
      <c r="E70" s="28">
        <f>[1]!Table3[[#This Row],[CLM $ Collected ]]/'[1]1.) CLM Reference'!$B$4</f>
        <v>2.3022080178965877E-6</v>
      </c>
      <c r="F70" s="170">
        <f>[1]!Table3[[#This Row],[Residential Incentive Disbursements]]+[1]!Table3[[#This Row],[C&amp;I Incentive Disbursements]]</f>
        <v>0</v>
      </c>
      <c r="G70" s="28">
        <f>[1]!Table3[[#This Row],[Incentive Disbursements]]/'[1]1.) CLM Reference'!$B$5</f>
        <v>0</v>
      </c>
      <c r="H70" s="228">
        <v>213.85308000000001</v>
      </c>
      <c r="I70" s="28">
        <f>[1]!Table3[[#This Row],[Residential CLM $ Collected]]/'[1]1.) CLM Reference'!$B$4</f>
        <v>2.3022080178965877E-6</v>
      </c>
      <c r="J70" s="229">
        <v>0</v>
      </c>
      <c r="K70" s="28">
        <f>[1]!Table3[[#This Row],[Residential Incentive Disbursements]]/'[1]1.) CLM Reference'!$B$5</f>
        <v>0</v>
      </c>
      <c r="L70" s="229">
        <v>0</v>
      </c>
      <c r="M70" s="28">
        <f>[1]!Table3[[#This Row],[C&amp;I CLM $ Collected]]/'[1]1.) CLM Reference'!$B$4</f>
        <v>0</v>
      </c>
      <c r="N70" s="229">
        <v>0</v>
      </c>
      <c r="O70" s="28">
        <f>[1]!Table3[[#This Row],[C&amp;I Incentive Disbursements]]/'[1]1.) CLM Reference'!$B$5</f>
        <v>0</v>
      </c>
      <c r="Q70">
        <f>VLOOKUP(Table3[[#This Row],[Census Tract]],'Population and Diversity Data'!$B$2:$K$823,10,FALSE)</f>
        <v>1</v>
      </c>
      <c r="R70" t="str">
        <f>VLOOKUP(Table3[[#This Row],[Census Tract]],'ES Energy Burden'!$B$2:$E$914,4,FALSE)</f>
        <v>No</v>
      </c>
    </row>
    <row r="71" spans="1:18" x14ac:dyDescent="0.2">
      <c r="A71" t="s">
        <v>2743</v>
      </c>
      <c r="B71" s="169">
        <v>9003420500</v>
      </c>
      <c r="C71" t="s">
        <v>944</v>
      </c>
      <c r="D71" s="170">
        <f>[1]!Table3[[#This Row],[Residential CLM $ Collected]]+[1]!Table3[[#This Row],[C&amp;I CLM $ Collected]]</f>
        <v>198.69171</v>
      </c>
      <c r="E71" s="28">
        <f>[1]!Table3[[#This Row],[CLM $ Collected ]]/'[1]1.) CLM Reference'!$B$4</f>
        <v>2.1389902256800957E-6</v>
      </c>
      <c r="F71" s="170">
        <f>[1]!Table3[[#This Row],[Residential Incentive Disbursements]]+[1]!Table3[[#This Row],[C&amp;I Incentive Disbursements]]</f>
        <v>0</v>
      </c>
      <c r="G71" s="28">
        <f>[1]!Table3[[#This Row],[Incentive Disbursements]]/'[1]1.) CLM Reference'!$B$5</f>
        <v>0</v>
      </c>
      <c r="H71" s="228">
        <v>198.69171</v>
      </c>
      <c r="I71" s="28">
        <f>[1]!Table3[[#This Row],[Residential CLM $ Collected]]/'[1]1.) CLM Reference'!$B$4</f>
        <v>2.1389902256800957E-6</v>
      </c>
      <c r="J71" s="229">
        <v>0</v>
      </c>
      <c r="K71" s="28">
        <f>[1]!Table3[[#This Row],[Residential Incentive Disbursements]]/'[1]1.) CLM Reference'!$B$5</f>
        <v>0</v>
      </c>
      <c r="L71" s="229">
        <v>0</v>
      </c>
      <c r="M71" s="28">
        <f>[1]!Table3[[#This Row],[C&amp;I CLM $ Collected]]/'[1]1.) CLM Reference'!$B$4</f>
        <v>0</v>
      </c>
      <c r="N71" s="229">
        <v>0</v>
      </c>
      <c r="O71" s="28">
        <f>[1]!Table3[[#This Row],[C&amp;I Incentive Disbursements]]/'[1]1.) CLM Reference'!$B$5</f>
        <v>0</v>
      </c>
      <c r="Q71">
        <f>VLOOKUP(Table3[[#This Row],[Census Tract]],'Population and Diversity Data'!$B$2:$K$823,10,FALSE)</f>
        <v>4</v>
      </c>
      <c r="R71" t="str">
        <f>VLOOKUP(Table3[[#This Row],[Census Tract]],'ES Energy Burden'!$B$2:$E$914,4,FALSE)</f>
        <v>No</v>
      </c>
    </row>
    <row r="72" spans="1:18" x14ac:dyDescent="0.2">
      <c r="A72" t="s">
        <v>2743</v>
      </c>
      <c r="B72" s="169">
        <v>9003430601</v>
      </c>
      <c r="C72" t="s">
        <v>944</v>
      </c>
      <c r="D72" s="170">
        <f>[1]!Table3[[#This Row],[Residential CLM $ Collected]]+[1]!Table3[[#This Row],[C&amp;I CLM $ Collected]]</f>
        <v>596.66922</v>
      </c>
      <c r="E72" s="28">
        <f>[1]!Table3[[#This Row],[CLM $ Collected ]]/'[1]1.) CLM Reference'!$B$4</f>
        <v>6.4233662770538676E-6</v>
      </c>
      <c r="F72" s="170">
        <f>[1]!Table3[[#This Row],[Residential Incentive Disbursements]]+[1]!Table3[[#This Row],[C&amp;I Incentive Disbursements]]</f>
        <v>807.58</v>
      </c>
      <c r="G72" s="28">
        <f>[1]!Table3[[#This Row],[Incentive Disbursements]]/'[1]1.) CLM Reference'!$B$5</f>
        <v>6.4841739709901391E-6</v>
      </c>
      <c r="H72" s="228">
        <v>596.66922</v>
      </c>
      <c r="I72" s="28">
        <f>[1]!Table3[[#This Row],[Residential CLM $ Collected]]/'[1]1.) CLM Reference'!$B$4</f>
        <v>6.4233662770538676E-6</v>
      </c>
      <c r="J72" s="229">
        <v>807.58</v>
      </c>
      <c r="K72" s="28">
        <f>[1]!Table3[[#This Row],[Residential Incentive Disbursements]]/'[1]1.) CLM Reference'!$B$5</f>
        <v>6.4841739709901391E-6</v>
      </c>
      <c r="L72" s="229">
        <v>0</v>
      </c>
      <c r="M72" s="28">
        <f>[1]!Table3[[#This Row],[C&amp;I CLM $ Collected]]/'[1]1.) CLM Reference'!$B$4</f>
        <v>0</v>
      </c>
      <c r="N72" s="229">
        <v>0</v>
      </c>
      <c r="O72" s="28">
        <f>[1]!Table3[[#This Row],[C&amp;I Incentive Disbursements]]/'[1]1.) CLM Reference'!$B$5</f>
        <v>0</v>
      </c>
      <c r="Q72">
        <f>VLOOKUP(Table3[[#This Row],[Census Tract]],'Population and Diversity Data'!$B$2:$K$823,10,FALSE)</f>
        <v>2</v>
      </c>
      <c r="R72" t="str">
        <f>VLOOKUP(Table3[[#This Row],[Census Tract]],'ES Energy Burden'!$B$2:$E$914,4,FALSE)</f>
        <v>No</v>
      </c>
    </row>
    <row r="73" spans="1:18" x14ac:dyDescent="0.2">
      <c r="A73" t="s">
        <v>2743</v>
      </c>
      <c r="B73" s="169">
        <v>9005425400</v>
      </c>
      <c r="C73" t="s">
        <v>944</v>
      </c>
      <c r="D73" s="170">
        <f>[1]!Table3[[#This Row],[Residential CLM $ Collected]]+[1]!Table3[[#This Row],[C&amp;I CLM $ Collected]]</f>
        <v>35.746830000000003</v>
      </c>
      <c r="E73" s="28">
        <f>[1]!Table3[[#This Row],[CLM $ Collected ]]/'[1]1.) CLM Reference'!$B$4</f>
        <v>3.848279325244522E-7</v>
      </c>
      <c r="F73" s="170">
        <f>[1]!Table3[[#This Row],[Residential Incentive Disbursements]]+[1]!Table3[[#This Row],[C&amp;I Incentive Disbursements]]</f>
        <v>0</v>
      </c>
      <c r="G73" s="28">
        <f>[1]!Table3[[#This Row],[Incentive Disbursements]]/'[1]1.) CLM Reference'!$B$5</f>
        <v>0</v>
      </c>
      <c r="H73" s="228">
        <v>35.746830000000003</v>
      </c>
      <c r="I73" s="28">
        <f>[1]!Table3[[#This Row],[Residential CLM $ Collected]]/'[1]1.) CLM Reference'!$B$4</f>
        <v>3.848279325244522E-7</v>
      </c>
      <c r="J73" s="229">
        <v>0</v>
      </c>
      <c r="K73" s="28">
        <f>[1]!Table3[[#This Row],[Residential Incentive Disbursements]]/'[1]1.) CLM Reference'!$B$5</f>
        <v>0</v>
      </c>
      <c r="L73" s="229">
        <v>0</v>
      </c>
      <c r="M73" s="28">
        <f>[1]!Table3[[#This Row],[C&amp;I CLM $ Collected]]/'[1]1.) CLM Reference'!$B$4</f>
        <v>0</v>
      </c>
      <c r="N73" s="229">
        <v>0</v>
      </c>
      <c r="O73" s="28">
        <f>[1]!Table3[[#This Row],[C&amp;I Incentive Disbursements]]/'[1]1.) CLM Reference'!$B$5</f>
        <v>0</v>
      </c>
      <c r="Q73">
        <f>VLOOKUP(Table3[[#This Row],[Census Tract]],'Population and Diversity Data'!$B$2:$K$823,10,FALSE)</f>
        <v>2</v>
      </c>
      <c r="R73" t="str">
        <f>VLOOKUP(Table3[[#This Row],[Census Tract]],'ES Energy Burden'!$B$2:$E$914,4,FALSE)</f>
        <v>No</v>
      </c>
    </row>
    <row r="74" spans="1:18" x14ac:dyDescent="0.2">
      <c r="A74" t="s">
        <v>2744</v>
      </c>
      <c r="B74" s="169">
        <v>9001205100</v>
      </c>
      <c r="C74" t="s">
        <v>944</v>
      </c>
      <c r="D74" s="170">
        <f>[1]!Table3[[#This Row],[Residential CLM $ Collected]]+[1]!Table3[[#This Row],[C&amp;I CLM $ Collected]]</f>
        <v>53352.115277999997</v>
      </c>
      <c r="E74" s="28">
        <f>[1]!Table3[[#This Row],[CLM $ Collected ]]/'[1]1.) CLM Reference'!$B$4</f>
        <v>5.7435538251193112E-4</v>
      </c>
      <c r="F74" s="170">
        <f>[1]!Table3[[#This Row],[Residential Incentive Disbursements]]+[1]!Table3[[#This Row],[C&amp;I Incentive Disbursements]]</f>
        <v>69296.89</v>
      </c>
      <c r="G74" s="28">
        <f>[1]!Table3[[#This Row],[Incentive Disbursements]]/'[1]1.) CLM Reference'!$B$5</f>
        <v>5.5639452488740046E-4</v>
      </c>
      <c r="H74" s="228">
        <v>53352.115277999997</v>
      </c>
      <c r="I74" s="28">
        <f>[1]!Table3[[#This Row],[Residential CLM $ Collected]]/'[1]1.) CLM Reference'!$B$4</f>
        <v>5.7435538251193112E-4</v>
      </c>
      <c r="J74" s="229">
        <v>69296.89</v>
      </c>
      <c r="K74" s="28">
        <f>[1]!Table3[[#This Row],[Residential Incentive Disbursements]]/'[1]1.) CLM Reference'!$B$5</f>
        <v>5.5639452488740046E-4</v>
      </c>
      <c r="L74" s="229">
        <v>0</v>
      </c>
      <c r="M74" s="28">
        <f>[1]!Table3[[#This Row],[C&amp;I CLM $ Collected]]/'[1]1.) CLM Reference'!$B$4</f>
        <v>0</v>
      </c>
      <c r="N74" s="229">
        <v>0</v>
      </c>
      <c r="O74" s="28">
        <f>[1]!Table3[[#This Row],[C&amp;I Incentive Disbursements]]/'[1]1.) CLM Reference'!$B$5</f>
        <v>0</v>
      </c>
      <c r="Q74">
        <f>VLOOKUP(Table3[[#This Row],[Census Tract]],'Population and Diversity Data'!$B$2:$K$823,10,FALSE)</f>
        <v>3</v>
      </c>
      <c r="R74" t="str">
        <f>VLOOKUP(Table3[[#This Row],[Census Tract]],'ES Energy Burden'!$B$2:$E$914,4,FALSE)</f>
        <v>No</v>
      </c>
    </row>
    <row r="75" spans="1:18" x14ac:dyDescent="0.2">
      <c r="A75" t="s">
        <v>2744</v>
      </c>
      <c r="B75" s="169">
        <v>9001205200</v>
      </c>
      <c r="C75" t="s">
        <v>944</v>
      </c>
      <c r="D75" s="170">
        <f>[1]!Table3[[#This Row],[Residential CLM $ Collected]]+[1]!Table3[[#This Row],[C&amp;I CLM $ Collected]]</f>
        <v>100095.50577600001</v>
      </c>
      <c r="E75" s="28">
        <f>[1]!Table3[[#This Row],[CLM $ Collected ]]/'[1]1.) CLM Reference'!$B$4</f>
        <v>1.0775653825183223E-3</v>
      </c>
      <c r="F75" s="170">
        <f>[1]!Table3[[#This Row],[Residential Incentive Disbursements]]+[1]!Table3[[#This Row],[C&amp;I Incentive Disbursements]]</f>
        <v>54837.415000000001</v>
      </c>
      <c r="G75" s="28">
        <f>[1]!Table3[[#This Row],[Incentive Disbursements]]/'[1]1.) CLM Reference'!$B$5</f>
        <v>4.4029735627353848E-4</v>
      </c>
      <c r="H75" s="228">
        <v>100095.50577600001</v>
      </c>
      <c r="I75" s="28">
        <f>[1]!Table3[[#This Row],[Residential CLM $ Collected]]/'[1]1.) CLM Reference'!$B$4</f>
        <v>1.0775653825183223E-3</v>
      </c>
      <c r="J75" s="229">
        <v>54837.415000000001</v>
      </c>
      <c r="K75" s="28">
        <f>[1]!Table3[[#This Row],[Residential Incentive Disbursements]]/'[1]1.) CLM Reference'!$B$5</f>
        <v>4.4029735627353848E-4</v>
      </c>
      <c r="L75" s="229">
        <v>0</v>
      </c>
      <c r="M75" s="28">
        <f>[1]!Table3[[#This Row],[C&amp;I CLM $ Collected]]/'[1]1.) CLM Reference'!$B$4</f>
        <v>0</v>
      </c>
      <c r="N75" s="229">
        <v>0</v>
      </c>
      <c r="O75" s="28">
        <f>[1]!Table3[[#This Row],[C&amp;I Incentive Disbursements]]/'[1]1.) CLM Reference'!$B$5</f>
        <v>0</v>
      </c>
      <c r="Q75">
        <f>VLOOKUP(Table3[[#This Row],[Census Tract]],'Population and Diversity Data'!$B$2:$K$823,10,FALSE)</f>
        <v>1</v>
      </c>
      <c r="R75" t="str">
        <f>VLOOKUP(Table3[[#This Row],[Census Tract]],'ES Energy Burden'!$B$2:$E$914,4,FALSE)</f>
        <v>No</v>
      </c>
    </row>
    <row r="76" spans="1:18" x14ac:dyDescent="0.2">
      <c r="A76" t="s">
        <v>2744</v>
      </c>
      <c r="B76" s="169">
        <v>9001205300</v>
      </c>
      <c r="C76" t="s">
        <v>944</v>
      </c>
      <c r="D76" s="170">
        <f>[1]!Table3[[#This Row],[Residential CLM $ Collected]]+[1]!Table3[[#This Row],[C&amp;I CLM $ Collected]]</f>
        <v>311112.206916</v>
      </c>
      <c r="E76" s="28">
        <f>[1]!Table3[[#This Row],[CLM $ Collected ]]/'[1]1.) CLM Reference'!$B$4</f>
        <v>3.3492387260801544E-3</v>
      </c>
      <c r="F76" s="170">
        <f>[1]!Table3[[#This Row],[Residential Incentive Disbursements]]+[1]!Table3[[#This Row],[C&amp;I Incentive Disbursements]]</f>
        <v>453104.67</v>
      </c>
      <c r="G76" s="28">
        <f>[1]!Table3[[#This Row],[Incentive Disbursements]]/'[1]1.) CLM Reference'!$B$5</f>
        <v>3.6380414415266306E-3</v>
      </c>
      <c r="H76" s="228">
        <v>186256.992852</v>
      </c>
      <c r="I76" s="28">
        <f>[1]!Table3[[#This Row],[Residential CLM $ Collected]]/'[1]1.) CLM Reference'!$B$4</f>
        <v>2.0051258664742252E-3</v>
      </c>
      <c r="J76" s="229">
        <v>295576.09999999998</v>
      </c>
      <c r="K76" s="28">
        <f>[1]!Table3[[#This Row],[Residential Incentive Disbursements]]/'[1]1.) CLM Reference'!$B$5</f>
        <v>2.3732222864196466E-3</v>
      </c>
      <c r="L76" s="229">
        <v>124855.214064</v>
      </c>
      <c r="M76" s="28">
        <f>[1]!Table3[[#This Row],[C&amp;I CLM $ Collected]]/'[1]1.) CLM Reference'!$B$4</f>
        <v>1.3441128596059294E-3</v>
      </c>
      <c r="N76" s="229">
        <v>157528.57</v>
      </c>
      <c r="O76" s="28">
        <f>[1]!Table3[[#This Row],[C&amp;I Incentive Disbursements]]/'[1]1.) CLM Reference'!$B$5</f>
        <v>1.264819155106984E-3</v>
      </c>
      <c r="Q76">
        <f>VLOOKUP(Table3[[#This Row],[Census Tract]],'Population and Diversity Data'!$B$2:$K$823,10,FALSE)</f>
        <v>4</v>
      </c>
      <c r="R76" t="str">
        <f>VLOOKUP(Table3[[#This Row],[Census Tract]],'ES Energy Burden'!$B$2:$E$914,4,FALSE)</f>
        <v>No</v>
      </c>
    </row>
    <row r="77" spans="1:18" x14ac:dyDescent="0.2">
      <c r="A77" t="s">
        <v>2744</v>
      </c>
      <c r="B77" s="169">
        <v>9001211400</v>
      </c>
      <c r="C77" t="s">
        <v>944</v>
      </c>
      <c r="D77" s="170">
        <f>[1]!Table3[[#This Row],[Residential CLM $ Collected]]+[1]!Table3[[#This Row],[C&amp;I CLM $ Collected]]</f>
        <v>518.33627999999999</v>
      </c>
      <c r="E77" s="28">
        <f>[1]!Table3[[#This Row],[CLM $ Collected ]]/'[1]1.) CLM Reference'!$B$4</f>
        <v>5.5800830167266733E-6</v>
      </c>
      <c r="F77" s="170">
        <f>[1]!Table3[[#This Row],[Residential Incentive Disbursements]]+[1]!Table3[[#This Row],[C&amp;I Incentive Disbursements]]</f>
        <v>0</v>
      </c>
      <c r="G77" s="28">
        <f>[1]!Table3[[#This Row],[Incentive Disbursements]]/'[1]1.) CLM Reference'!$B$5</f>
        <v>0</v>
      </c>
      <c r="H77" s="228">
        <v>518.33627999999999</v>
      </c>
      <c r="I77" s="28">
        <f>[1]!Table3[[#This Row],[Residential CLM $ Collected]]/'[1]1.) CLM Reference'!$B$4</f>
        <v>5.5800830167266733E-6</v>
      </c>
      <c r="J77" s="229">
        <v>0</v>
      </c>
      <c r="K77" s="28">
        <f>[1]!Table3[[#This Row],[Residential Incentive Disbursements]]/'[1]1.) CLM Reference'!$B$5</f>
        <v>0</v>
      </c>
      <c r="L77" s="229">
        <v>0</v>
      </c>
      <c r="M77" s="28">
        <f>[1]!Table3[[#This Row],[C&amp;I CLM $ Collected]]/'[1]1.) CLM Reference'!$B$4</f>
        <v>0</v>
      </c>
      <c r="N77" s="229">
        <v>0</v>
      </c>
      <c r="O77" s="28">
        <f>[1]!Table3[[#This Row],[C&amp;I Incentive Disbursements]]/'[1]1.) CLM Reference'!$B$5</f>
        <v>0</v>
      </c>
      <c r="Q77">
        <f>VLOOKUP(Table3[[#This Row],[Census Tract]],'Population and Diversity Data'!$B$2:$K$823,10,FALSE)</f>
        <v>4</v>
      </c>
      <c r="R77" t="str">
        <f>VLOOKUP(Table3[[#This Row],[Census Tract]],'ES Energy Burden'!$B$2:$E$914,4,FALSE)</f>
        <v>No</v>
      </c>
    </row>
    <row r="78" spans="1:18" x14ac:dyDescent="0.2">
      <c r="A78" t="s">
        <v>2744</v>
      </c>
      <c r="B78" s="169">
        <v>9005253400</v>
      </c>
      <c r="C78" t="s">
        <v>944</v>
      </c>
      <c r="D78" s="170">
        <f>[1]!Table3[[#This Row],[Residential CLM $ Collected]]+[1]!Table3[[#This Row],[C&amp;I CLM $ Collected]]</f>
        <v>675.32094000000006</v>
      </c>
      <c r="E78" s="28">
        <f>[1]!Table3[[#This Row],[CLM $ Collected ]]/'[1]1.) CLM Reference'!$B$4</f>
        <v>7.2700813227542031E-6</v>
      </c>
      <c r="F78" s="170">
        <f>[1]!Table3[[#This Row],[Residential Incentive Disbursements]]+[1]!Table3[[#This Row],[C&amp;I Incentive Disbursements]]</f>
        <v>592.5</v>
      </c>
      <c r="G78" s="28">
        <f>[1]!Table3[[#This Row],[Incentive Disbursements]]/'[1]1.) CLM Reference'!$B$5</f>
        <v>4.7572662495500844E-6</v>
      </c>
      <c r="H78" s="228">
        <v>675.32094000000006</v>
      </c>
      <c r="I78" s="28">
        <f>[1]!Table3[[#This Row],[Residential CLM $ Collected]]/'[1]1.) CLM Reference'!$B$4</f>
        <v>7.2700813227542031E-6</v>
      </c>
      <c r="J78" s="229">
        <v>592.5</v>
      </c>
      <c r="K78" s="28">
        <f>[1]!Table3[[#This Row],[Residential Incentive Disbursements]]/'[1]1.) CLM Reference'!$B$5</f>
        <v>4.7572662495500844E-6</v>
      </c>
      <c r="L78" s="229">
        <v>0</v>
      </c>
      <c r="M78" s="28">
        <f>[1]!Table3[[#This Row],[C&amp;I CLM $ Collected]]/'[1]1.) CLM Reference'!$B$4</f>
        <v>0</v>
      </c>
      <c r="N78" s="229">
        <v>0</v>
      </c>
      <c r="O78" s="28">
        <f>[1]!Table3[[#This Row],[C&amp;I Incentive Disbursements]]/'[1]1.) CLM Reference'!$B$5</f>
        <v>0</v>
      </c>
      <c r="Q78">
        <f>VLOOKUP(Table3[[#This Row],[Census Tract]],'Population and Diversity Data'!$B$2:$K$823,10,FALSE)</f>
        <v>2</v>
      </c>
      <c r="R78" t="str">
        <f>VLOOKUP(Table3[[#This Row],[Census Tract]],'ES Energy Burden'!$B$2:$E$914,4,FALSE)</f>
        <v>No</v>
      </c>
    </row>
    <row r="79" spans="1:18" x14ac:dyDescent="0.2">
      <c r="A79" t="s">
        <v>2745</v>
      </c>
      <c r="B79" s="169">
        <v>9015905100</v>
      </c>
      <c r="C79" t="s">
        <v>944</v>
      </c>
      <c r="D79" s="170">
        <f>[1]!Table3[[#This Row],[Residential CLM $ Collected]]+[1]!Table3[[#This Row],[C&amp;I CLM $ Collected]]</f>
        <v>154975.46597399999</v>
      </c>
      <c r="E79" s="28">
        <f>[1]!Table3[[#This Row],[CLM $ Collected ]]/'[1]1.) CLM Reference'!$B$4</f>
        <v>1.6683685843692433E-3</v>
      </c>
      <c r="F79" s="170">
        <f>[1]!Table3[[#This Row],[Residential Incentive Disbursements]]+[1]!Table3[[#This Row],[C&amp;I Incentive Disbursements]]</f>
        <v>184544.5625</v>
      </c>
      <c r="G79" s="28">
        <f>[1]!Table3[[#This Row],[Incentive Disbursements]]/'[1]1.) CLM Reference'!$B$5</f>
        <v>1.4817343775852087E-3</v>
      </c>
      <c r="H79" s="228">
        <v>124340.094564</v>
      </c>
      <c r="I79" s="28">
        <f>[1]!Table3[[#This Row],[Residential CLM $ Collected]]/'[1]1.) CLM Reference'!$B$4</f>
        <v>1.3385674064234224E-3</v>
      </c>
      <c r="J79" s="229">
        <v>136144.45250000001</v>
      </c>
      <c r="K79" s="28">
        <f>[1]!Table3[[#This Row],[Residential Incentive Disbursements]]/'[1]1.) CLM Reference'!$B$5</f>
        <v>1.0931230530662021E-3</v>
      </c>
      <c r="L79" s="229">
        <v>30635.37141</v>
      </c>
      <c r="M79" s="28">
        <f>[1]!Table3[[#This Row],[C&amp;I CLM $ Collected]]/'[1]1.) CLM Reference'!$B$4</f>
        <v>3.2980117794582096E-4</v>
      </c>
      <c r="N79" s="229">
        <v>48400.11</v>
      </c>
      <c r="O79" s="28">
        <f>[1]!Table3[[#This Row],[C&amp;I Incentive Disbursements]]/'[1]1.) CLM Reference'!$B$5</f>
        <v>3.8861132451900685E-4</v>
      </c>
      <c r="Q79">
        <f>VLOOKUP(Table3[[#This Row],[Census Tract]],'Population and Diversity Data'!$B$2:$K$823,10,FALSE)</f>
        <v>4</v>
      </c>
      <c r="R79" t="str">
        <f>VLOOKUP(Table3[[#This Row],[Census Tract]],'ES Energy Burden'!$B$2:$E$914,4,FALSE)</f>
        <v>No</v>
      </c>
    </row>
    <row r="80" spans="1:18" x14ac:dyDescent="0.2">
      <c r="A80" t="s">
        <v>2746</v>
      </c>
      <c r="B80" s="169">
        <v>9003410101</v>
      </c>
      <c r="C80" t="s">
        <v>944</v>
      </c>
      <c r="D80" s="170">
        <f>[1]!Table3[[#This Row],[Residential CLM $ Collected]]+[1]!Table3[[#This Row],[C&amp;I CLM $ Collected]]</f>
        <v>141965.460567</v>
      </c>
      <c r="E80" s="28">
        <f>[1]!Table3[[#This Row],[CLM $ Collected ]]/'[1]1.) CLM Reference'!$B$4</f>
        <v>1.5283110328910355E-3</v>
      </c>
      <c r="F80" s="170">
        <f>[1]!Table3[[#This Row],[Residential Incentive Disbursements]]+[1]!Table3[[#This Row],[C&amp;I Incentive Disbursements]]</f>
        <v>185324.61250000002</v>
      </c>
      <c r="G80" s="28">
        <f>[1]!Table3[[#This Row],[Incentive Disbursements]]/'[1]1.) CLM Reference'!$B$5</f>
        <v>1.4879975092948487E-3</v>
      </c>
      <c r="H80" s="228">
        <v>124163.655147</v>
      </c>
      <c r="I80" s="28">
        <f>[1]!Table3[[#This Row],[Residential CLM $ Collected]]/'[1]1.) CLM Reference'!$B$4</f>
        <v>1.3366679704158121E-3</v>
      </c>
      <c r="J80" s="229">
        <v>178954.95250000001</v>
      </c>
      <c r="K80" s="28">
        <f>[1]!Table3[[#This Row],[Residential Incentive Disbursements]]/'[1]1.) CLM Reference'!$B$5</f>
        <v>1.4368546088069007E-3</v>
      </c>
      <c r="L80" s="229">
        <v>17801.805420000001</v>
      </c>
      <c r="M80" s="28">
        <f>[1]!Table3[[#This Row],[C&amp;I CLM $ Collected]]/'[1]1.) CLM Reference'!$B$4</f>
        <v>1.9164306247522331E-4</v>
      </c>
      <c r="N80" s="229">
        <v>6369.66</v>
      </c>
      <c r="O80" s="28">
        <f>[1]!Table3[[#This Row],[C&amp;I Incentive Disbursements]]/'[1]1.) CLM Reference'!$B$5</f>
        <v>5.1142900487948001E-5</v>
      </c>
      <c r="Q80">
        <f>VLOOKUP(Table3[[#This Row],[Census Tract]],'Population and Diversity Data'!$B$2:$K$823,10,FALSE)</f>
        <v>1</v>
      </c>
      <c r="R80" t="str">
        <f>VLOOKUP(Table3[[#This Row],[Census Tract]],'ES Energy Burden'!$B$2:$E$914,4,FALSE)</f>
        <v>No</v>
      </c>
    </row>
    <row r="81" spans="1:18" x14ac:dyDescent="0.2">
      <c r="A81" t="s">
        <v>2746</v>
      </c>
      <c r="B81" s="169">
        <v>9003410102</v>
      </c>
      <c r="C81" t="s">
        <v>944</v>
      </c>
      <c r="D81" s="170">
        <f>[1]!Table3[[#This Row],[Residential CLM $ Collected]]+[1]!Table3[[#This Row],[C&amp;I CLM $ Collected]]</f>
        <v>55157.587632000002</v>
      </c>
      <c r="E81" s="28">
        <f>[1]!Table3[[#This Row],[CLM $ Collected ]]/'[1]1.) CLM Reference'!$B$4</f>
        <v>5.9379196453108855E-4</v>
      </c>
      <c r="F81" s="170">
        <f>[1]!Table3[[#This Row],[Residential Incentive Disbursements]]+[1]!Table3[[#This Row],[C&amp;I Incentive Disbursements]]</f>
        <v>47973.574999999997</v>
      </c>
      <c r="G81" s="28">
        <f>[1]!Table3[[#This Row],[Incentive Disbursements]]/'[1]1.) CLM Reference'!$B$5</f>
        <v>3.8518661471351846E-4</v>
      </c>
      <c r="H81" s="228">
        <v>55157.587632000002</v>
      </c>
      <c r="I81" s="28">
        <f>[1]!Table3[[#This Row],[Residential CLM $ Collected]]/'[1]1.) CLM Reference'!$B$4</f>
        <v>5.9379196453108855E-4</v>
      </c>
      <c r="J81" s="229">
        <v>47973.574999999997</v>
      </c>
      <c r="K81" s="28">
        <f>[1]!Table3[[#This Row],[Residential Incentive Disbursements]]/'[1]1.) CLM Reference'!$B$5</f>
        <v>3.8518661471351846E-4</v>
      </c>
      <c r="L81" s="229">
        <v>0</v>
      </c>
      <c r="M81" s="28">
        <f>[1]!Table3[[#This Row],[C&amp;I CLM $ Collected]]/'[1]1.) CLM Reference'!$B$4</f>
        <v>0</v>
      </c>
      <c r="N81" s="229">
        <v>0</v>
      </c>
      <c r="O81" s="28">
        <f>[1]!Table3[[#This Row],[C&amp;I Incentive Disbursements]]/'[1]1.) CLM Reference'!$B$5</f>
        <v>0</v>
      </c>
      <c r="Q81">
        <f>VLOOKUP(Table3[[#This Row],[Census Tract]],'Population and Diversity Data'!$B$2:$K$823,10,FALSE)</f>
        <v>2</v>
      </c>
      <c r="R81" t="str">
        <f>VLOOKUP(Table3[[#This Row],[Census Tract]],'ES Energy Burden'!$B$2:$E$914,4,FALSE)</f>
        <v>No</v>
      </c>
    </row>
    <row r="82" spans="1:18" x14ac:dyDescent="0.2">
      <c r="A82" t="s">
        <v>2746</v>
      </c>
      <c r="B82" s="169">
        <v>9003460302</v>
      </c>
      <c r="C82" t="s">
        <v>944</v>
      </c>
      <c r="D82" s="170">
        <f>[1]!Table3[[#This Row],[Residential CLM $ Collected]]+[1]!Table3[[#This Row],[C&amp;I CLM $ Collected]]</f>
        <v>88.746420000000001</v>
      </c>
      <c r="E82" s="28">
        <f>[1]!Table3[[#This Row],[CLM $ Collected ]]/'[1]1.) CLM Reference'!$B$4</f>
        <v>9.5538824918312178E-7</v>
      </c>
      <c r="F82" s="170">
        <f>[1]!Table3[[#This Row],[Residential Incentive Disbursements]]+[1]!Table3[[#This Row],[C&amp;I Incentive Disbursements]]</f>
        <v>0</v>
      </c>
      <c r="G82" s="28">
        <f>[1]!Table3[[#This Row],[Incentive Disbursements]]/'[1]1.) CLM Reference'!$B$5</f>
        <v>0</v>
      </c>
      <c r="H82" s="228">
        <v>88.746420000000001</v>
      </c>
      <c r="I82" s="28">
        <f>[1]!Table3[[#This Row],[Residential CLM $ Collected]]/'[1]1.) CLM Reference'!$B$4</f>
        <v>9.5538824918312178E-7</v>
      </c>
      <c r="J82" s="229">
        <v>0</v>
      </c>
      <c r="K82" s="28">
        <f>[1]!Table3[[#This Row],[Residential Incentive Disbursements]]/'[1]1.) CLM Reference'!$B$5</f>
        <v>0</v>
      </c>
      <c r="L82" s="229">
        <v>0</v>
      </c>
      <c r="M82" s="28">
        <f>[1]!Table3[[#This Row],[C&amp;I CLM $ Collected]]/'[1]1.) CLM Reference'!$B$4</f>
        <v>0</v>
      </c>
      <c r="N82" s="229">
        <v>0</v>
      </c>
      <c r="O82" s="28">
        <f>[1]!Table3[[#This Row],[C&amp;I Incentive Disbursements]]/'[1]1.) CLM Reference'!$B$5</f>
        <v>0</v>
      </c>
      <c r="Q82">
        <f>VLOOKUP(Table3[[#This Row],[Census Tract]],'Population and Diversity Data'!$B$2:$K$823,10,FALSE)</f>
        <v>3</v>
      </c>
      <c r="R82" t="str">
        <f>VLOOKUP(Table3[[#This Row],[Census Tract]],'ES Energy Burden'!$B$2:$E$914,4,FALSE)</f>
        <v>No</v>
      </c>
    </row>
    <row r="83" spans="1:18" x14ac:dyDescent="0.2">
      <c r="A83" t="s">
        <v>2747</v>
      </c>
      <c r="B83" s="169">
        <v>9005260200</v>
      </c>
      <c r="C83" t="s">
        <v>944</v>
      </c>
      <c r="D83" s="170">
        <f>[1]!Table3[[#This Row],[Residential CLM $ Collected]]+[1]!Table3[[#This Row],[C&amp;I CLM $ Collected]]</f>
        <v>40.678260000000002</v>
      </c>
      <c r="E83" s="28">
        <f>[1]!Table3[[#This Row],[CLM $ Collected ]]/'[1]1.) CLM Reference'!$B$4</f>
        <v>4.3791661231197625E-7</v>
      </c>
      <c r="F83" s="170">
        <f>[1]!Table3[[#This Row],[Residential Incentive Disbursements]]+[1]!Table3[[#This Row],[C&amp;I Incentive Disbursements]]</f>
        <v>3472.25</v>
      </c>
      <c r="G83" s="28">
        <f>[1]!Table3[[#This Row],[Incentive Disbursements]]/'[1]1.) CLM Reference'!$B$5</f>
        <v>2.7879186050633387E-5</v>
      </c>
      <c r="H83" s="228">
        <v>40.678260000000002</v>
      </c>
      <c r="I83" s="28">
        <f>[1]!Table3[[#This Row],[Residential CLM $ Collected]]/'[1]1.) CLM Reference'!$B$4</f>
        <v>4.3791661231197625E-7</v>
      </c>
      <c r="J83" s="229">
        <v>3472.25</v>
      </c>
      <c r="K83" s="28">
        <f>[1]!Table3[[#This Row],[Residential Incentive Disbursements]]/'[1]1.) CLM Reference'!$B$5</f>
        <v>2.7879186050633387E-5</v>
      </c>
      <c r="L83" s="229">
        <v>0</v>
      </c>
      <c r="M83" s="28">
        <f>[1]!Table3[[#This Row],[C&amp;I CLM $ Collected]]/'[1]1.) CLM Reference'!$B$4</f>
        <v>0</v>
      </c>
      <c r="N83" s="229">
        <v>0</v>
      </c>
      <c r="O83" s="28">
        <f>[1]!Table3[[#This Row],[C&amp;I Incentive Disbursements]]/'[1]1.) CLM Reference'!$B$5</f>
        <v>0</v>
      </c>
      <c r="Q83">
        <f>VLOOKUP(Table3[[#This Row],[Census Tract]],'Population and Diversity Data'!$B$2:$K$823,10,FALSE)</f>
        <v>1</v>
      </c>
      <c r="R83" t="str">
        <f>VLOOKUP(Table3[[#This Row],[Census Tract]],'ES Energy Burden'!$B$2:$E$914,4,FALSE)</f>
        <v>No</v>
      </c>
    </row>
    <row r="84" spans="1:18" x14ac:dyDescent="0.2">
      <c r="A84" t="s">
        <v>2747</v>
      </c>
      <c r="B84" s="169">
        <v>9005425600</v>
      </c>
      <c r="C84" t="s">
        <v>944</v>
      </c>
      <c r="D84" s="170">
        <f>[1]!Table3[[#This Row],[Residential CLM $ Collected]]+[1]!Table3[[#This Row],[C&amp;I CLM $ Collected]]</f>
        <v>34207.232724000001</v>
      </c>
      <c r="E84" s="28">
        <f>[1]!Table3[[#This Row],[CLM $ Collected ]]/'[1]1.) CLM Reference'!$B$4</f>
        <v>3.6825359469803905E-4</v>
      </c>
      <c r="F84" s="170">
        <f>[1]!Table3[[#This Row],[Residential Incentive Disbursements]]+[1]!Table3[[#This Row],[C&amp;I Incentive Disbursements]]</f>
        <v>18187.48</v>
      </c>
      <c r="G84" s="28">
        <f>[1]!Table3[[#This Row],[Incentive Disbursements]]/'[1]1.) CLM Reference'!$B$5</f>
        <v>1.4602984771032435E-4</v>
      </c>
      <c r="H84" s="228">
        <v>25294.593113999999</v>
      </c>
      <c r="I84" s="28">
        <f>[1]!Table3[[#This Row],[Residential CLM $ Collected]]/'[1]1.) CLM Reference'!$B$4</f>
        <v>2.7230571136259814E-4</v>
      </c>
      <c r="J84" s="229">
        <v>11922.48</v>
      </c>
      <c r="K84" s="28">
        <f>[1]!Table3[[#This Row],[Residential Incentive Disbursements]]/'[1]1.) CLM Reference'!$B$5</f>
        <v>9.5727277156009948E-5</v>
      </c>
      <c r="L84" s="229">
        <v>8912.6396100000002</v>
      </c>
      <c r="M84" s="28">
        <f>[1]!Table3[[#This Row],[C&amp;I CLM $ Collected]]/'[1]1.) CLM Reference'!$B$4</f>
        <v>9.5947883335440921E-5</v>
      </c>
      <c r="N84" s="229">
        <v>6265</v>
      </c>
      <c r="O84" s="28">
        <f>[1]!Table3[[#This Row],[C&amp;I Incentive Disbursements]]/'[1]1.) CLM Reference'!$B$5</f>
        <v>5.03025705543144E-5</v>
      </c>
      <c r="Q84">
        <f>VLOOKUP(Table3[[#This Row],[Census Tract]],'Population and Diversity Data'!$B$2:$K$823,10,FALSE)</f>
        <v>1</v>
      </c>
      <c r="R84" t="str">
        <f>VLOOKUP(Table3[[#This Row],[Census Tract]],'ES Energy Burden'!$B$2:$E$914,4,FALSE)</f>
        <v>No</v>
      </c>
    </row>
    <row r="85" spans="1:18" x14ac:dyDescent="0.2">
      <c r="A85" t="s">
        <v>2748</v>
      </c>
      <c r="B85" s="169">
        <v>9015825000</v>
      </c>
      <c r="C85" t="s">
        <v>944</v>
      </c>
      <c r="D85" s="170">
        <f>[1]!Table3[[#This Row],[Residential CLM $ Collected]]+[1]!Table3[[#This Row],[C&amp;I CLM $ Collected]]</f>
        <v>762.06773999999996</v>
      </c>
      <c r="E85" s="28">
        <f>[1]!Table3[[#This Row],[CLM $ Collected ]]/'[1]1.) CLM Reference'!$B$4</f>
        <v>8.2039429182330776E-6</v>
      </c>
      <c r="F85" s="170">
        <f>[1]!Table3[[#This Row],[Residential Incentive Disbursements]]+[1]!Table3[[#This Row],[C&amp;I Incentive Disbursements]]</f>
        <v>1000</v>
      </c>
      <c r="G85" s="28">
        <f>[1]!Table3[[#This Row],[Incentive Disbursements]]/'[1]1.) CLM Reference'!$B$5</f>
        <v>8.0291413494516192E-6</v>
      </c>
      <c r="H85" s="228">
        <v>762.06773999999996</v>
      </c>
      <c r="I85" s="28">
        <f>[1]!Table3[[#This Row],[Residential CLM $ Collected]]/'[1]1.) CLM Reference'!$B$4</f>
        <v>8.2039429182330776E-6</v>
      </c>
      <c r="J85" s="229">
        <v>1000</v>
      </c>
      <c r="K85" s="28">
        <f>[1]!Table3[[#This Row],[Residential Incentive Disbursements]]/'[1]1.) CLM Reference'!$B$5</f>
        <v>8.0291413494516192E-6</v>
      </c>
      <c r="L85" s="229">
        <v>0</v>
      </c>
      <c r="M85" s="28">
        <f>[1]!Table3[[#This Row],[C&amp;I CLM $ Collected]]/'[1]1.) CLM Reference'!$B$4</f>
        <v>0</v>
      </c>
      <c r="N85" s="229">
        <v>0</v>
      </c>
      <c r="O85" s="28">
        <f>[1]!Table3[[#This Row],[C&amp;I Incentive Disbursements]]/'[1]1.) CLM Reference'!$B$5</f>
        <v>0</v>
      </c>
      <c r="Q85">
        <f>VLOOKUP(Table3[[#This Row],[Census Tract]],'Population and Diversity Data'!$B$2:$K$823,10,FALSE)</f>
        <v>2</v>
      </c>
      <c r="R85" t="str">
        <f>VLOOKUP(Table3[[#This Row],[Census Tract]],'ES Energy Burden'!$B$2:$E$914,4,FALSE)</f>
        <v>No</v>
      </c>
    </row>
    <row r="86" spans="1:18" x14ac:dyDescent="0.2">
      <c r="A86" t="s">
        <v>2748</v>
      </c>
      <c r="B86" s="169">
        <v>9015906100</v>
      </c>
      <c r="C86" t="s">
        <v>944</v>
      </c>
      <c r="D86" s="170">
        <f>[1]!Table3[[#This Row],[Residential CLM $ Collected]]+[1]!Table3[[#This Row],[C&amp;I CLM $ Collected]]</f>
        <v>99649.806416999985</v>
      </c>
      <c r="E86" s="28">
        <f>[1]!Table3[[#This Row],[CLM $ Collected ]]/'[1]1.) CLM Reference'!$B$4</f>
        <v>1.0727672629969145E-3</v>
      </c>
      <c r="F86" s="170">
        <f>[1]!Table3[[#This Row],[Residential Incentive Disbursements]]+[1]!Table3[[#This Row],[C&amp;I Incentive Disbursements]]</f>
        <v>129662.44500000001</v>
      </c>
      <c r="G86" s="28">
        <f>[1]!Table3[[#This Row],[Incentive Disbursements]]/'[1]1.) CLM Reference'!$B$5</f>
        <v>1.0410780986204965E-3</v>
      </c>
      <c r="H86" s="228">
        <v>86587.008626999988</v>
      </c>
      <c r="I86" s="28">
        <f>[1]!Table3[[#This Row],[Residential CLM $ Collected]]/'[1]1.) CLM Reference'!$B$4</f>
        <v>9.3214138186254022E-4</v>
      </c>
      <c r="J86" s="229">
        <v>126618.44500000001</v>
      </c>
      <c r="K86" s="28">
        <f>[1]!Table3[[#This Row],[Residential Incentive Disbursements]]/'[1]1.) CLM Reference'!$B$5</f>
        <v>1.0166373923527657E-3</v>
      </c>
      <c r="L86" s="229">
        <v>13062.797790000001</v>
      </c>
      <c r="M86" s="28">
        <f>[1]!Table3[[#This Row],[C&amp;I CLM $ Collected]]/'[1]1.) CLM Reference'!$B$4</f>
        <v>1.4062588113437422E-4</v>
      </c>
      <c r="N86" s="229">
        <v>3044</v>
      </c>
      <c r="O86" s="28">
        <f>[1]!Table3[[#This Row],[C&amp;I Incentive Disbursements]]/'[1]1.) CLM Reference'!$B$5</f>
        <v>2.4440706267730731E-5</v>
      </c>
      <c r="Q86">
        <f>VLOOKUP(Table3[[#This Row],[Census Tract]],'Population and Diversity Data'!$B$2:$K$823,10,FALSE)</f>
        <v>1</v>
      </c>
      <c r="R86" t="str">
        <f>VLOOKUP(Table3[[#This Row],[Census Tract]],'ES Energy Burden'!$B$2:$E$914,4,FALSE)</f>
        <v>No</v>
      </c>
    </row>
    <row r="87" spans="1:18" x14ac:dyDescent="0.2">
      <c r="A87" t="s">
        <v>2749</v>
      </c>
      <c r="B87" s="169">
        <v>9003464101</v>
      </c>
      <c r="C87" t="s">
        <v>944</v>
      </c>
      <c r="D87" s="170">
        <f>[1]!Table3[[#This Row],[Residential CLM $ Collected]]+[1]!Table3[[#This Row],[C&amp;I CLM $ Collected]]</f>
        <v>189496.98341699998</v>
      </c>
      <c r="E87" s="28">
        <f>[1]!Table3[[#This Row],[CLM $ Collected ]]/'[1]1.) CLM Reference'!$B$4</f>
        <v>2.0400055710669868E-3</v>
      </c>
      <c r="F87" s="170">
        <f>[1]!Table3[[#This Row],[Residential Incentive Disbursements]]+[1]!Table3[[#This Row],[C&amp;I Incentive Disbursements]]</f>
        <v>296055.245</v>
      </c>
      <c r="G87" s="28">
        <f>[1]!Table3[[#This Row],[Incentive Disbursements]]/'[1]1.) CLM Reference'!$B$5</f>
        <v>2.37706940935153E-3</v>
      </c>
      <c r="H87" s="228">
        <v>119844.65465699999</v>
      </c>
      <c r="I87" s="28">
        <f>[1]!Table3[[#This Row],[Residential CLM $ Collected]]/'[1]1.) CLM Reference'!$B$4</f>
        <v>1.2901723222943199E-3</v>
      </c>
      <c r="J87" s="229">
        <v>274684.91499999998</v>
      </c>
      <c r="K87" s="28">
        <f>[1]!Table3[[#This Row],[Residential Incentive Disbursements]]/'[1]1.) CLM Reference'!$B$5</f>
        <v>2.2054840090971035E-3</v>
      </c>
      <c r="L87" s="229">
        <v>69652.328760000004</v>
      </c>
      <c r="M87" s="28">
        <f>[1]!Table3[[#This Row],[C&amp;I CLM $ Collected]]/'[1]1.) CLM Reference'!$B$4</f>
        <v>7.4983324877266706E-4</v>
      </c>
      <c r="N87" s="229">
        <v>21370.33</v>
      </c>
      <c r="O87" s="28">
        <f>[1]!Table3[[#This Row],[C&amp;I Incentive Disbursements]]/'[1]1.) CLM Reference'!$B$5</f>
        <v>1.7158540025442645E-4</v>
      </c>
      <c r="Q87">
        <f>VLOOKUP(Table3[[#This Row],[Census Tract]],'Population and Diversity Data'!$B$2:$K$823,10,FALSE)</f>
        <v>1</v>
      </c>
      <c r="R87" t="str">
        <f>VLOOKUP(Table3[[#This Row],[Census Tract]],'ES Energy Burden'!$B$2:$E$914,4,FALSE)</f>
        <v>No</v>
      </c>
    </row>
    <row r="88" spans="1:18" x14ac:dyDescent="0.2">
      <c r="A88" t="s">
        <v>2749</v>
      </c>
      <c r="B88" s="169">
        <v>9003464102</v>
      </c>
      <c r="C88" t="s">
        <v>944</v>
      </c>
      <c r="D88" s="170">
        <f>[1]!Table3[[#This Row],[Residential CLM $ Collected]]+[1]!Table3[[#This Row],[C&amp;I CLM $ Collected]]</f>
        <v>55597.683707999997</v>
      </c>
      <c r="E88" s="28">
        <f>[1]!Table3[[#This Row],[CLM $ Collected ]]/'[1]1.) CLM Reference'!$B$4</f>
        <v>5.985297626250511E-4</v>
      </c>
      <c r="F88" s="170">
        <f>[1]!Table3[[#This Row],[Residential Incentive Disbursements]]+[1]!Table3[[#This Row],[C&amp;I Incentive Disbursements]]</f>
        <v>44726.03</v>
      </c>
      <c r="G88" s="28">
        <f>[1]!Table3[[#This Row],[Incentive Disbursements]]/'[1]1.) CLM Reference'!$B$5</f>
        <v>3.591116168698136E-4</v>
      </c>
      <c r="H88" s="228">
        <v>55597.683707999997</v>
      </c>
      <c r="I88" s="28">
        <f>[1]!Table3[[#This Row],[Residential CLM $ Collected]]/'[1]1.) CLM Reference'!$B$4</f>
        <v>5.985297626250511E-4</v>
      </c>
      <c r="J88" s="229">
        <v>44726.03</v>
      </c>
      <c r="K88" s="28">
        <f>[1]!Table3[[#This Row],[Residential Incentive Disbursements]]/'[1]1.) CLM Reference'!$B$5</f>
        <v>3.591116168698136E-4</v>
      </c>
      <c r="L88" s="229">
        <v>0</v>
      </c>
      <c r="M88" s="28">
        <f>[1]!Table3[[#This Row],[C&amp;I CLM $ Collected]]/'[1]1.) CLM Reference'!$B$4</f>
        <v>0</v>
      </c>
      <c r="N88" s="229">
        <v>0</v>
      </c>
      <c r="O88" s="28">
        <f>[1]!Table3[[#This Row],[C&amp;I Incentive Disbursements]]/'[1]1.) CLM Reference'!$B$5</f>
        <v>0</v>
      </c>
      <c r="Q88">
        <f>VLOOKUP(Table3[[#This Row],[Census Tract]],'Population and Diversity Data'!$B$2:$K$823,10,FALSE)</f>
        <v>3</v>
      </c>
      <c r="R88" t="str">
        <f>VLOOKUP(Table3[[#This Row],[Census Tract]],'ES Energy Burden'!$B$2:$E$914,4,FALSE)</f>
        <v>No</v>
      </c>
    </row>
    <row r="89" spans="1:18" x14ac:dyDescent="0.2">
      <c r="A89" t="s">
        <v>2749</v>
      </c>
      <c r="B89" s="169">
        <v>9003466102</v>
      </c>
      <c r="C89" t="s">
        <v>944</v>
      </c>
      <c r="D89" s="170">
        <f>[1]!Table3[[#This Row],[Residential CLM $ Collected]]+[1]!Table3[[#This Row],[C&amp;I CLM $ Collected]]</f>
        <v>47.9619</v>
      </c>
      <c r="E89" s="28">
        <f>[1]!Table3[[#This Row],[CLM $ Collected ]]/'[1]1.) CLM Reference'!$B$4</f>
        <v>5.1632770841343198E-7</v>
      </c>
      <c r="F89" s="170">
        <f>[1]!Table3[[#This Row],[Residential Incentive Disbursements]]+[1]!Table3[[#This Row],[C&amp;I Incentive Disbursements]]</f>
        <v>0</v>
      </c>
      <c r="G89" s="28">
        <f>[1]!Table3[[#This Row],[Incentive Disbursements]]/'[1]1.) CLM Reference'!$B$5</f>
        <v>0</v>
      </c>
      <c r="H89" s="228">
        <v>47.9619</v>
      </c>
      <c r="I89" s="28">
        <f>[1]!Table3[[#This Row],[Residential CLM $ Collected]]/'[1]1.) CLM Reference'!$B$4</f>
        <v>5.1632770841343198E-7</v>
      </c>
      <c r="J89" s="229">
        <v>0</v>
      </c>
      <c r="K89" s="28">
        <f>[1]!Table3[[#This Row],[Residential Incentive Disbursements]]/'[1]1.) CLM Reference'!$B$5</f>
        <v>0</v>
      </c>
      <c r="L89" s="229">
        <v>0</v>
      </c>
      <c r="M89" s="28">
        <f>[1]!Table3[[#This Row],[C&amp;I CLM $ Collected]]/'[1]1.) CLM Reference'!$B$4</f>
        <v>0</v>
      </c>
      <c r="N89" s="229">
        <v>0</v>
      </c>
      <c r="O89" s="28">
        <f>[1]!Table3[[#This Row],[C&amp;I Incentive Disbursements]]/'[1]1.) CLM Reference'!$B$5</f>
        <v>0</v>
      </c>
      <c r="Q89">
        <f>VLOOKUP(Table3[[#This Row],[Census Tract]],'Population and Diversity Data'!$B$2:$K$823,10,FALSE)</f>
        <v>2</v>
      </c>
      <c r="R89" t="str">
        <f>VLOOKUP(Table3[[#This Row],[Census Tract]],'ES Energy Burden'!$B$2:$E$914,4,FALSE)</f>
        <v>No</v>
      </c>
    </row>
    <row r="90" spans="1:18" x14ac:dyDescent="0.2">
      <c r="A90" t="s">
        <v>2749</v>
      </c>
      <c r="B90" s="169">
        <v>9003466202</v>
      </c>
      <c r="C90" t="s">
        <v>944</v>
      </c>
      <c r="D90" s="170">
        <f>[1]!Table3[[#This Row],[Residential CLM $ Collected]]+[1]!Table3[[#This Row],[C&amp;I CLM $ Collected]]</f>
        <v>164.83341000000001</v>
      </c>
      <c r="E90" s="28">
        <f>[1]!Table3[[#This Row],[CLM $ Collected ]]/'[1]1.) CLM Reference'!$B$4</f>
        <v>1.774493021654098E-6</v>
      </c>
      <c r="F90" s="170">
        <f>[1]!Table3[[#This Row],[Residential Incentive Disbursements]]+[1]!Table3[[#This Row],[C&amp;I Incentive Disbursements]]</f>
        <v>0</v>
      </c>
      <c r="G90" s="28">
        <f>[1]!Table3[[#This Row],[Incentive Disbursements]]/'[1]1.) CLM Reference'!$B$5</f>
        <v>0</v>
      </c>
      <c r="H90" s="228">
        <v>164.83341000000001</v>
      </c>
      <c r="I90" s="28">
        <f>[1]!Table3[[#This Row],[Residential CLM $ Collected]]/'[1]1.) CLM Reference'!$B$4</f>
        <v>1.774493021654098E-6</v>
      </c>
      <c r="J90" s="229">
        <v>0</v>
      </c>
      <c r="K90" s="28">
        <f>[1]!Table3[[#This Row],[Residential Incentive Disbursements]]/'[1]1.) CLM Reference'!$B$5</f>
        <v>0</v>
      </c>
      <c r="L90" s="229">
        <v>0</v>
      </c>
      <c r="M90" s="28">
        <f>[1]!Table3[[#This Row],[C&amp;I CLM $ Collected]]/'[1]1.) CLM Reference'!$B$4</f>
        <v>0</v>
      </c>
      <c r="N90" s="229">
        <v>0</v>
      </c>
      <c r="O90" s="28">
        <f>[1]!Table3[[#This Row],[C&amp;I Incentive Disbursements]]/'[1]1.) CLM Reference'!$B$5</f>
        <v>0</v>
      </c>
      <c r="Q90">
        <f>VLOOKUP(Table3[[#This Row],[Census Tract]],'Population and Diversity Data'!$B$2:$K$823,10,FALSE)</f>
        <v>2</v>
      </c>
      <c r="R90" t="str">
        <f>VLOOKUP(Table3[[#This Row],[Census Tract]],'ES Energy Burden'!$B$2:$E$914,4,FALSE)</f>
        <v>No</v>
      </c>
    </row>
    <row r="91" spans="1:18" x14ac:dyDescent="0.2">
      <c r="A91" t="s">
        <v>2750</v>
      </c>
      <c r="B91" s="169">
        <v>9015815000</v>
      </c>
      <c r="C91" t="s">
        <v>944</v>
      </c>
      <c r="D91" s="170">
        <f>[1]!Table3[[#This Row],[Residential CLM $ Collected]]+[1]!Table3[[#This Row],[C&amp;I CLM $ Collected]]</f>
        <v>47913.412112999998</v>
      </c>
      <c r="E91" s="28">
        <f>[1]!Table3[[#This Row],[CLM $ Collected ]]/'[1]1.) CLM Reference'!$B$4</f>
        <v>5.1580571825915282E-4</v>
      </c>
      <c r="F91" s="170">
        <f>[1]!Table3[[#This Row],[Residential Incentive Disbursements]]+[1]!Table3[[#This Row],[C&amp;I Incentive Disbursements]]</f>
        <v>75067.97</v>
      </c>
      <c r="G91" s="28">
        <f>[1]!Table3[[#This Row],[Incentive Disbursements]]/'[1]1.) CLM Reference'!$B$5</f>
        <v>6.0273134194639374E-4</v>
      </c>
      <c r="H91" s="228">
        <v>41601.085113000001</v>
      </c>
      <c r="I91" s="28">
        <f>[1]!Table3[[#This Row],[Residential CLM $ Collected]]/'[1]1.) CLM Reference'!$B$4</f>
        <v>4.4785116819616048E-4</v>
      </c>
      <c r="J91" s="229">
        <v>52329.97</v>
      </c>
      <c r="K91" s="28">
        <f>[1]!Table3[[#This Row],[Residential Incentive Disbursements]]/'[1]1.) CLM Reference'!$B$5</f>
        <v>4.2016472594256279E-4</v>
      </c>
      <c r="L91" s="229">
        <v>6312.3270000000002</v>
      </c>
      <c r="M91" s="28">
        <f>[1]!Table3[[#This Row],[C&amp;I CLM $ Collected]]/'[1]1.) CLM Reference'!$B$4</f>
        <v>6.7954550062992368E-5</v>
      </c>
      <c r="N91" s="229">
        <v>22738</v>
      </c>
      <c r="O91" s="28">
        <f>[1]!Table3[[#This Row],[C&amp;I Incentive Disbursements]]/'[1]1.) CLM Reference'!$B$5</f>
        <v>1.8256661600383093E-4</v>
      </c>
      <c r="Q91">
        <f>VLOOKUP(Table3[[#This Row],[Census Tract]],'Population and Diversity Data'!$B$2:$K$823,10,FALSE)</f>
        <v>5</v>
      </c>
      <c r="R91" t="str">
        <f>VLOOKUP(Table3[[#This Row],[Census Tract]],'ES Energy Burden'!$B$2:$E$914,4,FALSE)</f>
        <v>No</v>
      </c>
    </row>
    <row r="92" spans="1:18" x14ac:dyDescent="0.2">
      <c r="A92" t="s">
        <v>2751</v>
      </c>
      <c r="B92" s="169">
        <v>9009166002</v>
      </c>
      <c r="C92" t="s">
        <v>944</v>
      </c>
      <c r="D92" s="170">
        <f>[1]!Table3[[#This Row],[Residential CLM $ Collected]]+[1]!Table3[[#This Row],[C&amp;I CLM $ Collected]]</f>
        <v>442.79991000000001</v>
      </c>
      <c r="E92" s="28">
        <f>[1]!Table3[[#This Row],[CLM $ Collected ]]/'[1]1.) CLM Reference'!$B$4</f>
        <v>4.7669058735365764E-6</v>
      </c>
      <c r="F92" s="170">
        <f>[1]!Table3[[#This Row],[Residential Incentive Disbursements]]+[1]!Table3[[#This Row],[C&amp;I Incentive Disbursements]]</f>
        <v>4194.04</v>
      </c>
      <c r="G92" s="28">
        <f>[1]!Table3[[#This Row],[Incentive Disbursements]]/'[1]1.) CLM Reference'!$B$5</f>
        <v>3.3674539985254071E-5</v>
      </c>
      <c r="H92" s="228">
        <v>442.79991000000001</v>
      </c>
      <c r="I92" s="28">
        <f>[1]!Table3[[#This Row],[Residential CLM $ Collected]]/'[1]1.) CLM Reference'!$B$4</f>
        <v>4.7669058735365764E-6</v>
      </c>
      <c r="J92" s="229">
        <v>4194.04</v>
      </c>
      <c r="K92" s="28">
        <f>[1]!Table3[[#This Row],[Residential Incentive Disbursements]]/'[1]1.) CLM Reference'!$B$5</f>
        <v>3.3674539985254071E-5</v>
      </c>
      <c r="L92" s="229">
        <v>0</v>
      </c>
      <c r="M92" s="28">
        <f>[1]!Table3[[#This Row],[C&amp;I CLM $ Collected]]/'[1]1.) CLM Reference'!$B$4</f>
        <v>0</v>
      </c>
      <c r="N92" s="229">
        <v>0</v>
      </c>
      <c r="O92" s="28">
        <f>[1]!Table3[[#This Row],[C&amp;I Incentive Disbursements]]/'[1]1.) CLM Reference'!$B$5</f>
        <v>0</v>
      </c>
      <c r="Q92">
        <f>VLOOKUP(Table3[[#This Row],[Census Tract]],'Population and Diversity Data'!$B$2:$K$823,10,FALSE)</f>
        <v>3</v>
      </c>
      <c r="R92" t="str">
        <f>VLOOKUP(Table3[[#This Row],[Census Tract]],'ES Energy Burden'!$B$2:$E$914,4,FALSE)</f>
        <v>No</v>
      </c>
    </row>
    <row r="93" spans="1:18" x14ac:dyDescent="0.2">
      <c r="A93" t="s">
        <v>2751</v>
      </c>
      <c r="B93" s="169">
        <v>9009343101</v>
      </c>
      <c r="C93" t="s">
        <v>944</v>
      </c>
      <c r="D93" s="170">
        <f>[1]!Table3[[#This Row],[Residential CLM $ Collected]]+[1]!Table3[[#This Row],[C&amp;I CLM $ Collected]]</f>
        <v>48476.920485000002</v>
      </c>
      <c r="E93" s="28">
        <f>[1]!Table3[[#This Row],[CLM $ Collected ]]/'[1]1.) CLM Reference'!$B$4</f>
        <v>5.2187209566260321E-4</v>
      </c>
      <c r="F93" s="170">
        <f>[1]!Table3[[#This Row],[Residential Incentive Disbursements]]+[1]!Table3[[#This Row],[C&amp;I Incentive Disbursements]]</f>
        <v>26051.73</v>
      </c>
      <c r="G93" s="28">
        <f>[1]!Table3[[#This Row],[Incentive Disbursements]]/'[1]1.) CLM Reference'!$B$5</f>
        <v>2.0917302256774924E-4</v>
      </c>
      <c r="H93" s="228">
        <v>48476.920485000002</v>
      </c>
      <c r="I93" s="28">
        <f>[1]!Table3[[#This Row],[Residential CLM $ Collected]]/'[1]1.) CLM Reference'!$B$4</f>
        <v>5.2187209566260321E-4</v>
      </c>
      <c r="J93" s="229">
        <v>26051.73</v>
      </c>
      <c r="K93" s="28">
        <f>[1]!Table3[[#This Row],[Residential Incentive Disbursements]]/'[1]1.) CLM Reference'!$B$5</f>
        <v>2.0917302256774924E-4</v>
      </c>
      <c r="L93" s="229">
        <v>0</v>
      </c>
      <c r="M93" s="28">
        <f>[1]!Table3[[#This Row],[C&amp;I CLM $ Collected]]/'[1]1.) CLM Reference'!$B$4</f>
        <v>0</v>
      </c>
      <c r="N93" s="229">
        <v>0</v>
      </c>
      <c r="O93" s="28">
        <f>[1]!Table3[[#This Row],[C&amp;I Incentive Disbursements]]/'[1]1.) CLM Reference'!$B$5</f>
        <v>0</v>
      </c>
      <c r="Q93">
        <f>VLOOKUP(Table3[[#This Row],[Census Tract]],'Population and Diversity Data'!$B$2:$K$823,10,FALSE)</f>
        <v>4</v>
      </c>
      <c r="R93" t="str">
        <f>VLOOKUP(Table3[[#This Row],[Census Tract]],'ES Energy Burden'!$B$2:$E$914,4,FALSE)</f>
        <v>No</v>
      </c>
    </row>
    <row r="94" spans="1:18" x14ac:dyDescent="0.2">
      <c r="A94" t="s">
        <v>2751</v>
      </c>
      <c r="B94" s="169">
        <v>9009343102</v>
      </c>
      <c r="C94" t="s">
        <v>944</v>
      </c>
      <c r="D94" s="170">
        <f>[1]!Table3[[#This Row],[Residential CLM $ Collected]]+[1]!Table3[[#This Row],[C&amp;I CLM $ Collected]]</f>
        <v>47515.263620999998</v>
      </c>
      <c r="E94" s="28">
        <f>[1]!Table3[[#This Row],[CLM $ Collected ]]/'[1]1.) CLM Reference'!$B$4</f>
        <v>5.115195015228971E-4</v>
      </c>
      <c r="F94" s="170">
        <f>[1]!Table3[[#This Row],[Residential Incentive Disbursements]]+[1]!Table3[[#This Row],[C&amp;I Incentive Disbursements]]</f>
        <v>122001.39</v>
      </c>
      <c r="G94" s="28">
        <f>[1]!Table3[[#This Row],[Incentive Disbursements]]/'[1]1.) CLM Reference'!$B$5</f>
        <v>9.7956640513957344E-4</v>
      </c>
      <c r="H94" s="228">
        <v>47515.263620999998</v>
      </c>
      <c r="I94" s="28">
        <f>[1]!Table3[[#This Row],[Residential CLM $ Collected]]/'[1]1.) CLM Reference'!$B$4</f>
        <v>5.115195015228971E-4</v>
      </c>
      <c r="J94" s="229">
        <v>122001.39</v>
      </c>
      <c r="K94" s="28">
        <f>[1]!Table3[[#This Row],[Residential Incentive Disbursements]]/'[1]1.) CLM Reference'!$B$5</f>
        <v>9.7956640513957344E-4</v>
      </c>
      <c r="L94" s="229">
        <v>0</v>
      </c>
      <c r="M94" s="28">
        <f>[1]!Table3[[#This Row],[C&amp;I CLM $ Collected]]/'[1]1.) CLM Reference'!$B$4</f>
        <v>0</v>
      </c>
      <c r="N94" s="229">
        <v>0</v>
      </c>
      <c r="O94" s="28">
        <f>[1]!Table3[[#This Row],[C&amp;I Incentive Disbursements]]/'[1]1.) CLM Reference'!$B$5</f>
        <v>0</v>
      </c>
      <c r="Q94">
        <f>VLOOKUP(Table3[[#This Row],[Census Tract]],'Population and Diversity Data'!$B$2:$K$823,10,FALSE)</f>
        <v>3</v>
      </c>
      <c r="R94" t="str">
        <f>VLOOKUP(Table3[[#This Row],[Census Tract]],'ES Energy Burden'!$B$2:$E$914,4,FALSE)</f>
        <v>No</v>
      </c>
    </row>
    <row r="95" spans="1:18" x14ac:dyDescent="0.2">
      <c r="A95" t="s">
        <v>2751</v>
      </c>
      <c r="B95" s="169">
        <v>9009343200</v>
      </c>
      <c r="C95" t="s">
        <v>944</v>
      </c>
      <c r="D95" s="170">
        <f>[1]!Table3[[#This Row],[Residential CLM $ Collected]]+[1]!Table3[[#This Row],[C&amp;I CLM $ Collected]]</f>
        <v>74003.539070999992</v>
      </c>
      <c r="E95" s="28">
        <f>[1]!Table3[[#This Row],[CLM $ Collected ]]/'[1]1.) CLM Reference'!$B$4</f>
        <v>7.9667564760806608E-4</v>
      </c>
      <c r="F95" s="170">
        <f>[1]!Table3[[#This Row],[Residential Incentive Disbursements]]+[1]!Table3[[#This Row],[C&amp;I Incentive Disbursements]]</f>
        <v>123688.34</v>
      </c>
      <c r="G95" s="28">
        <f>[1]!Table3[[#This Row],[Incentive Disbursements]]/'[1]1.) CLM Reference'!$B$5</f>
        <v>9.9311116513903079E-4</v>
      </c>
      <c r="H95" s="228">
        <v>74003.539070999992</v>
      </c>
      <c r="I95" s="28">
        <f>[1]!Table3[[#This Row],[Residential CLM $ Collected]]/'[1]1.) CLM Reference'!$B$4</f>
        <v>7.9667564760806608E-4</v>
      </c>
      <c r="J95" s="229">
        <v>123688.34</v>
      </c>
      <c r="K95" s="28">
        <f>[1]!Table3[[#This Row],[Residential Incentive Disbursements]]/'[1]1.) CLM Reference'!$B$5</f>
        <v>9.9311116513903079E-4</v>
      </c>
      <c r="L95" s="229">
        <v>0</v>
      </c>
      <c r="M95" s="28">
        <f>[1]!Table3[[#This Row],[C&amp;I CLM $ Collected]]/'[1]1.) CLM Reference'!$B$4</f>
        <v>0</v>
      </c>
      <c r="N95" s="229">
        <v>0</v>
      </c>
      <c r="O95" s="28">
        <f>[1]!Table3[[#This Row],[C&amp;I Incentive Disbursements]]/'[1]1.) CLM Reference'!$B$5</f>
        <v>0</v>
      </c>
      <c r="Q95">
        <f>VLOOKUP(Table3[[#This Row],[Census Tract]],'Population and Diversity Data'!$B$2:$K$823,10,FALSE)</f>
        <v>3</v>
      </c>
      <c r="R95" t="str">
        <f>VLOOKUP(Table3[[#This Row],[Census Tract]],'ES Energy Burden'!$B$2:$E$914,4,FALSE)</f>
        <v>No</v>
      </c>
    </row>
    <row r="96" spans="1:18" x14ac:dyDescent="0.2">
      <c r="A96" t="s">
        <v>2751</v>
      </c>
      <c r="B96" s="169">
        <v>9009343300</v>
      </c>
      <c r="C96" t="s">
        <v>944</v>
      </c>
      <c r="D96" s="170">
        <f>[1]!Table3[[#This Row],[Residential CLM $ Collected]]+[1]!Table3[[#This Row],[C&amp;I CLM $ Collected]]</f>
        <v>356082.07357800001</v>
      </c>
      <c r="E96" s="28">
        <f>[1]!Table3[[#This Row],[CLM $ Collected ]]/'[1]1.) CLM Reference'!$B$4</f>
        <v>3.8333560817572243E-3</v>
      </c>
      <c r="F96" s="170">
        <f>[1]!Table3[[#This Row],[Residential Incentive Disbursements]]+[1]!Table3[[#This Row],[C&amp;I Incentive Disbursements]]</f>
        <v>654286.9850000001</v>
      </c>
      <c r="G96" s="28">
        <f>[1]!Table3[[#This Row],[Incentive Disbursements]]/'[1]1.) CLM Reference'!$B$5</f>
        <v>5.2533626856715327E-3</v>
      </c>
      <c r="H96" s="228">
        <v>224261.332008</v>
      </c>
      <c r="I96" s="28">
        <f>[1]!Table3[[#This Row],[Residential CLM $ Collected]]/'[1]1.) CLM Reference'!$B$4</f>
        <v>2.4142567254723953E-3</v>
      </c>
      <c r="J96" s="229">
        <v>575184.91500000004</v>
      </c>
      <c r="K96" s="28">
        <f>[1]!Table3[[#This Row],[Residential Incentive Disbursements]]/'[1]1.) CLM Reference'!$B$5</f>
        <v>4.6182409846073158E-3</v>
      </c>
      <c r="L96" s="229">
        <v>131820.74157000001</v>
      </c>
      <c r="M96" s="28">
        <f>[1]!Table3[[#This Row],[C&amp;I CLM $ Collected]]/'[1]1.) CLM Reference'!$B$4</f>
        <v>1.419099356284829E-3</v>
      </c>
      <c r="N96" s="229">
        <v>79102.070000000007</v>
      </c>
      <c r="O96" s="28">
        <f>[1]!Table3[[#This Row],[C&amp;I Incentive Disbursements]]/'[1]1.) CLM Reference'!$B$5</f>
        <v>6.3512170106421655E-4</v>
      </c>
      <c r="Q96">
        <f>VLOOKUP(Table3[[#This Row],[Census Tract]],'Population and Diversity Data'!$B$2:$K$823,10,FALSE)</f>
        <v>3</v>
      </c>
      <c r="R96" t="str">
        <f>VLOOKUP(Table3[[#This Row],[Census Tract]],'ES Energy Burden'!$B$2:$E$914,4,FALSE)</f>
        <v>No</v>
      </c>
    </row>
    <row r="97" spans="1:18" x14ac:dyDescent="0.2">
      <c r="A97" t="s">
        <v>2751</v>
      </c>
      <c r="B97" s="169">
        <v>9009343400</v>
      </c>
      <c r="C97" t="s">
        <v>944</v>
      </c>
      <c r="D97" s="170">
        <f>[1]!Table3[[#This Row],[Residential CLM $ Collected]]+[1]!Table3[[#This Row],[C&amp;I CLM $ Collected]]</f>
        <v>82388.866811999993</v>
      </c>
      <c r="E97" s="28">
        <f>[1]!Table3[[#This Row],[CLM $ Collected ]]/'[1]1.) CLM Reference'!$B$4</f>
        <v>8.8694682236982719E-4</v>
      </c>
      <c r="F97" s="170">
        <f>[1]!Table3[[#This Row],[Residential Incentive Disbursements]]+[1]!Table3[[#This Row],[C&amp;I Incentive Disbursements]]</f>
        <v>95688.06</v>
      </c>
      <c r="G97" s="28">
        <f>[1]!Table3[[#This Row],[Incentive Disbursements]]/'[1]1.) CLM Reference'!$B$5</f>
        <v>7.6829295919480752E-4</v>
      </c>
      <c r="H97" s="228">
        <v>82388.866811999993</v>
      </c>
      <c r="I97" s="28">
        <f>[1]!Table3[[#This Row],[Residential CLM $ Collected]]/'[1]1.) CLM Reference'!$B$4</f>
        <v>8.8694682236982719E-4</v>
      </c>
      <c r="J97" s="229">
        <v>95688.06</v>
      </c>
      <c r="K97" s="28">
        <f>[1]!Table3[[#This Row],[Residential Incentive Disbursements]]/'[1]1.) CLM Reference'!$B$5</f>
        <v>7.6829295919480752E-4</v>
      </c>
      <c r="L97" s="229">
        <v>0</v>
      </c>
      <c r="M97" s="28">
        <f>[1]!Table3[[#This Row],[C&amp;I CLM $ Collected]]/'[1]1.) CLM Reference'!$B$4</f>
        <v>0</v>
      </c>
      <c r="N97" s="229">
        <v>0</v>
      </c>
      <c r="O97" s="28">
        <f>[1]!Table3[[#This Row],[C&amp;I Incentive Disbursements]]/'[1]1.) CLM Reference'!$B$5</f>
        <v>0</v>
      </c>
      <c r="Q97">
        <f>VLOOKUP(Table3[[#This Row],[Census Tract]],'Population and Diversity Data'!$B$2:$K$823,10,FALSE)</f>
        <v>4</v>
      </c>
      <c r="R97" t="str">
        <f>VLOOKUP(Table3[[#This Row],[Census Tract]],'ES Energy Burden'!$B$2:$E$914,4,FALSE)</f>
        <v>No</v>
      </c>
    </row>
    <row r="98" spans="1:18" x14ac:dyDescent="0.2">
      <c r="A98" t="s">
        <v>2751</v>
      </c>
      <c r="B98" s="169">
        <v>9009347100</v>
      </c>
      <c r="C98" t="s">
        <v>944</v>
      </c>
      <c r="D98" s="170">
        <f>[1]!Table3[[#This Row],[Residential CLM $ Collected]]+[1]!Table3[[#This Row],[C&amp;I CLM $ Collected]]</f>
        <v>73.734780000000001</v>
      </c>
      <c r="E98" s="28">
        <f>[1]!Table3[[#This Row],[CLM $ Collected ]]/'[1]1.) CLM Reference'!$B$4</f>
        <v>7.9378235615704454E-7</v>
      </c>
      <c r="F98" s="170">
        <f>[1]!Table3[[#This Row],[Residential Incentive Disbursements]]+[1]!Table3[[#This Row],[C&amp;I Incentive Disbursements]]</f>
        <v>0</v>
      </c>
      <c r="G98" s="28">
        <f>[1]!Table3[[#This Row],[Incentive Disbursements]]/'[1]1.) CLM Reference'!$B$5</f>
        <v>0</v>
      </c>
      <c r="H98" s="228">
        <v>73.734780000000001</v>
      </c>
      <c r="I98" s="28">
        <f>[1]!Table3[[#This Row],[Residential CLM $ Collected]]/'[1]1.) CLM Reference'!$B$4</f>
        <v>7.9378235615704454E-7</v>
      </c>
      <c r="J98" s="229">
        <v>0</v>
      </c>
      <c r="K98" s="28">
        <f>[1]!Table3[[#This Row],[Residential Incentive Disbursements]]/'[1]1.) CLM Reference'!$B$5</f>
        <v>0</v>
      </c>
      <c r="L98" s="229">
        <v>0</v>
      </c>
      <c r="M98" s="28">
        <f>[1]!Table3[[#This Row],[C&amp;I CLM $ Collected]]/'[1]1.) CLM Reference'!$B$4</f>
        <v>0</v>
      </c>
      <c r="N98" s="229">
        <v>0</v>
      </c>
      <c r="O98" s="28">
        <f>[1]!Table3[[#This Row],[C&amp;I Incentive Disbursements]]/'[1]1.) CLM Reference'!$B$5</f>
        <v>0</v>
      </c>
      <c r="Q98">
        <f>VLOOKUP(Table3[[#This Row],[Census Tract]],'Population and Diversity Data'!$B$2:$K$823,10,FALSE)</f>
        <v>1</v>
      </c>
      <c r="R98" t="str">
        <f>VLOOKUP(Table3[[#This Row],[Census Tract]],'ES Energy Burden'!$B$2:$E$914,4,FALSE)</f>
        <v>No</v>
      </c>
    </row>
    <row r="99" spans="1:18" x14ac:dyDescent="0.2">
      <c r="A99" t="s">
        <v>2752</v>
      </c>
      <c r="B99" s="169">
        <v>9007600100</v>
      </c>
      <c r="C99" t="s">
        <v>944</v>
      </c>
      <c r="D99" s="170">
        <f>[1]!Table3[[#This Row],[Residential CLM $ Collected]]+[1]!Table3[[#This Row],[C&amp;I CLM $ Collected]]</f>
        <v>104591.609325</v>
      </c>
      <c r="E99" s="28">
        <f>[1]!Table3[[#This Row],[CLM $ Collected ]]/'[1]1.) CLM Reference'!$B$4</f>
        <v>1.1259676110006106E-3</v>
      </c>
      <c r="F99" s="170">
        <f>[1]!Table3[[#This Row],[Residential Incentive Disbursements]]+[1]!Table3[[#This Row],[C&amp;I Incentive Disbursements]]</f>
        <v>248913.94500000001</v>
      </c>
      <c r="G99" s="28">
        <f>[1]!Table3[[#This Row],[Incentive Disbursements]]/'[1]1.) CLM Reference'!$B$5</f>
        <v>1.9985652482546264E-3</v>
      </c>
      <c r="H99" s="228">
        <v>78714.444795000003</v>
      </c>
      <c r="I99" s="28">
        <f>[1]!Table3[[#This Row],[Residential CLM $ Collected]]/'[1]1.) CLM Reference'!$B$4</f>
        <v>8.4739030146924849E-4</v>
      </c>
      <c r="J99" s="229">
        <v>244352.26500000001</v>
      </c>
      <c r="K99" s="28">
        <f>[1]!Table3[[#This Row],[Residential Incentive Disbursements]]/'[1]1.) CLM Reference'!$B$5</f>
        <v>1.9619388747436598E-3</v>
      </c>
      <c r="L99" s="229">
        <v>25877.164530000002</v>
      </c>
      <c r="M99" s="28">
        <f>[1]!Table3[[#This Row],[C&amp;I CLM $ Collected]]/'[1]1.) CLM Reference'!$B$4</f>
        <v>2.7857730953136231E-4</v>
      </c>
      <c r="N99" s="229">
        <v>4561.68</v>
      </c>
      <c r="O99" s="28">
        <f>[1]!Table3[[#This Row],[C&amp;I Incentive Disbursements]]/'[1]1.) CLM Reference'!$B$5</f>
        <v>3.6626373510966464E-5</v>
      </c>
      <c r="Q99">
        <f>VLOOKUP(Table3[[#This Row],[Census Tract]],'Population and Diversity Data'!$B$2:$K$823,10,FALSE)</f>
        <v>1</v>
      </c>
      <c r="R99" t="str">
        <f>VLOOKUP(Table3[[#This Row],[Census Tract]],'ES Energy Burden'!$B$2:$E$914,4,FALSE)</f>
        <v>No</v>
      </c>
    </row>
    <row r="100" spans="1:18" x14ac:dyDescent="0.2">
      <c r="A100" t="s">
        <v>2753</v>
      </c>
      <c r="B100" s="169">
        <v>9007610100</v>
      </c>
      <c r="C100" t="s">
        <v>944</v>
      </c>
      <c r="D100" s="170">
        <f>[1]!Table3[[#This Row],[Residential CLM $ Collected]]+[1]!Table3[[#This Row],[C&amp;I CLM $ Collected]]</f>
        <v>27433.380870000001</v>
      </c>
      <c r="E100" s="28">
        <f>[1]!Table3[[#This Row],[CLM $ Collected ]]/'[1]1.) CLM Reference'!$B$4</f>
        <v>2.9533055776856176E-4</v>
      </c>
      <c r="F100" s="170">
        <f>[1]!Table3[[#This Row],[Residential Incentive Disbursements]]+[1]!Table3[[#This Row],[C&amp;I Incentive Disbursements]]</f>
        <v>12373.37</v>
      </c>
      <c r="G100" s="28">
        <f>[1]!Table3[[#This Row],[Incentive Disbursements]]/'[1]1.) CLM Reference'!$B$5</f>
        <v>9.9347536699064202E-5</v>
      </c>
      <c r="H100" s="228">
        <v>27433.380870000001</v>
      </c>
      <c r="I100" s="28">
        <f>[1]!Table3[[#This Row],[Residential CLM $ Collected]]/'[1]1.) CLM Reference'!$B$4</f>
        <v>2.9533055776856176E-4</v>
      </c>
      <c r="J100" s="229">
        <v>12373.37</v>
      </c>
      <c r="K100" s="28">
        <f>[1]!Table3[[#This Row],[Residential Incentive Disbursements]]/'[1]1.) CLM Reference'!$B$5</f>
        <v>9.9347536699064202E-5</v>
      </c>
      <c r="L100" s="229">
        <v>0</v>
      </c>
      <c r="M100" s="28">
        <f>[1]!Table3[[#This Row],[C&amp;I CLM $ Collected]]/'[1]1.) CLM Reference'!$B$4</f>
        <v>0</v>
      </c>
      <c r="N100" s="229">
        <v>0</v>
      </c>
      <c r="O100" s="28">
        <f>[1]!Table3[[#This Row],[C&amp;I Incentive Disbursements]]/'[1]1.) CLM Reference'!$B$5</f>
        <v>0</v>
      </c>
      <c r="Q100">
        <f>VLOOKUP(Table3[[#This Row],[Census Tract]],'Population and Diversity Data'!$B$2:$K$823,10,FALSE)</f>
        <v>1</v>
      </c>
      <c r="R100" t="str">
        <f>VLOOKUP(Table3[[#This Row],[Census Tract]],'ES Energy Burden'!$B$2:$E$914,4,FALSE)</f>
        <v>No</v>
      </c>
    </row>
    <row r="101" spans="1:18" x14ac:dyDescent="0.2">
      <c r="A101" t="s">
        <v>2753</v>
      </c>
      <c r="B101" s="169">
        <v>9007610200</v>
      </c>
      <c r="C101" t="s">
        <v>944</v>
      </c>
      <c r="D101" s="170">
        <f>[1]!Table3[[#This Row],[Residential CLM $ Collected]]+[1]!Table3[[#This Row],[C&amp;I CLM $ Collected]]</f>
        <v>213135.38208900002</v>
      </c>
      <c r="E101" s="28">
        <f>[1]!Table3[[#This Row],[CLM $ Collected ]]/'[1]1.) CLM Reference'!$B$4</f>
        <v>2.2944817327052226E-3</v>
      </c>
      <c r="F101" s="170">
        <f>[1]!Table3[[#This Row],[Residential Incentive Disbursements]]+[1]!Table3[[#This Row],[C&amp;I Incentive Disbursements]]</f>
        <v>245039.39500000002</v>
      </c>
      <c r="G101" s="28">
        <f>[1]!Table3[[#This Row],[Incentive Disbursements]]/'[1]1.) CLM Reference'!$B$5</f>
        <v>1.9674559386391086E-3</v>
      </c>
      <c r="H101" s="228">
        <v>126998.722179</v>
      </c>
      <c r="I101" s="28">
        <f>[1]!Table3[[#This Row],[Residential CLM $ Collected]]/'[1]1.) CLM Reference'!$B$4</f>
        <v>1.3671885224337895E-3</v>
      </c>
      <c r="J101" s="229">
        <v>181888.07500000001</v>
      </c>
      <c r="K101" s="28">
        <f>[1]!Table3[[#This Row],[Residential Incentive Disbursements]]/'[1]1.) CLM Reference'!$B$5</f>
        <v>1.4604050639546574E-3</v>
      </c>
      <c r="L101" s="229">
        <v>86136.659910000002</v>
      </c>
      <c r="M101" s="28">
        <f>[1]!Table3[[#This Row],[C&amp;I CLM $ Collected]]/'[1]1.) CLM Reference'!$B$4</f>
        <v>9.2729321027143279E-4</v>
      </c>
      <c r="N101" s="229">
        <v>63151.32</v>
      </c>
      <c r="O101" s="28">
        <f>[1]!Table3[[#This Row],[C&amp;I Incentive Disbursements]]/'[1]1.) CLM Reference'!$B$5</f>
        <v>5.0705087468445105E-4</v>
      </c>
      <c r="Q101">
        <f>VLOOKUP(Table3[[#This Row],[Census Tract]],'Population and Diversity Data'!$B$2:$K$823,10,FALSE)</f>
        <v>2</v>
      </c>
      <c r="R101" t="str">
        <f>VLOOKUP(Table3[[#This Row],[Census Tract]],'ES Energy Burden'!$B$2:$E$914,4,FALSE)</f>
        <v>No</v>
      </c>
    </row>
    <row r="102" spans="1:18" x14ac:dyDescent="0.2">
      <c r="A102" t="s">
        <v>2753</v>
      </c>
      <c r="B102" s="169">
        <v>9007610300</v>
      </c>
      <c r="C102" t="s">
        <v>944</v>
      </c>
      <c r="D102" s="170">
        <f>[1]!Table3[[#This Row],[Residential CLM $ Collected]]+[1]!Table3[[#This Row],[C&amp;I CLM $ Collected]]</f>
        <v>49179.506775000002</v>
      </c>
      <c r="E102" s="28">
        <f>[1]!Table3[[#This Row],[CLM $ Collected ]]/'[1]1.) CLM Reference'!$B$4</f>
        <v>5.2943569862825711E-4</v>
      </c>
      <c r="F102" s="170">
        <f>[1]!Table3[[#This Row],[Residential Incentive Disbursements]]+[1]!Table3[[#This Row],[C&amp;I Incentive Disbursements]]</f>
        <v>18393.43</v>
      </c>
      <c r="G102" s="28">
        <f>[1]!Table3[[#This Row],[Incentive Disbursements]]/'[1]1.) CLM Reference'!$B$5</f>
        <v>1.476834493712439E-4</v>
      </c>
      <c r="H102" s="228">
        <v>49179.506775000002</v>
      </c>
      <c r="I102" s="28">
        <f>[1]!Table3[[#This Row],[Residential CLM $ Collected]]/'[1]1.) CLM Reference'!$B$4</f>
        <v>5.2943569862825711E-4</v>
      </c>
      <c r="J102" s="229">
        <v>18393.43</v>
      </c>
      <c r="K102" s="28">
        <f>[1]!Table3[[#This Row],[Residential Incentive Disbursements]]/'[1]1.) CLM Reference'!$B$5</f>
        <v>1.476834493712439E-4</v>
      </c>
      <c r="L102" s="229">
        <v>0</v>
      </c>
      <c r="M102" s="28">
        <f>[1]!Table3[[#This Row],[C&amp;I CLM $ Collected]]/'[1]1.) CLM Reference'!$B$4</f>
        <v>0</v>
      </c>
      <c r="N102" s="229">
        <v>0</v>
      </c>
      <c r="O102" s="28">
        <f>[1]!Table3[[#This Row],[C&amp;I Incentive Disbursements]]/'[1]1.) CLM Reference'!$B$5</f>
        <v>0</v>
      </c>
      <c r="Q102">
        <f>VLOOKUP(Table3[[#This Row],[Census Tract]],'Population and Diversity Data'!$B$2:$K$823,10,FALSE)</f>
        <v>1</v>
      </c>
      <c r="R102" t="str">
        <f>VLOOKUP(Table3[[#This Row],[Census Tract]],'ES Energy Burden'!$B$2:$E$914,4,FALSE)</f>
        <v>No</v>
      </c>
    </row>
    <row r="103" spans="1:18" x14ac:dyDescent="0.2">
      <c r="A103" t="s">
        <v>2753</v>
      </c>
      <c r="B103" s="169">
        <v>9007610400</v>
      </c>
      <c r="C103" t="s">
        <v>944</v>
      </c>
      <c r="D103" s="170">
        <f>[1]!Table3[[#This Row],[Residential CLM $ Collected]]+[1]!Table3[[#This Row],[C&amp;I CLM $ Collected]]</f>
        <v>39809.13048</v>
      </c>
      <c r="E103" s="28">
        <f>[1]!Table3[[#This Row],[CLM $ Collected ]]/'[1]1.) CLM Reference'!$B$4</f>
        <v>4.2856010947584866E-4</v>
      </c>
      <c r="F103" s="170">
        <f>[1]!Table3[[#This Row],[Residential Incentive Disbursements]]+[1]!Table3[[#This Row],[C&amp;I Incentive Disbursements]]</f>
        <v>34100.764999999999</v>
      </c>
      <c r="G103" s="28">
        <f>[1]!Table3[[#This Row],[Incentive Disbursements]]/'[1]1.) CLM Reference'!$B$5</f>
        <v>2.7379986230943254E-4</v>
      </c>
      <c r="H103" s="228">
        <v>39809.13048</v>
      </c>
      <c r="I103" s="28">
        <f>[1]!Table3[[#This Row],[Residential CLM $ Collected]]/'[1]1.) CLM Reference'!$B$4</f>
        <v>4.2856010947584866E-4</v>
      </c>
      <c r="J103" s="229">
        <v>34100.764999999999</v>
      </c>
      <c r="K103" s="28">
        <f>[1]!Table3[[#This Row],[Residential Incentive Disbursements]]/'[1]1.) CLM Reference'!$B$5</f>
        <v>2.7379986230943254E-4</v>
      </c>
      <c r="L103" s="229">
        <v>0</v>
      </c>
      <c r="M103" s="28">
        <f>[1]!Table3[[#This Row],[C&amp;I CLM $ Collected]]/'[1]1.) CLM Reference'!$B$4</f>
        <v>0</v>
      </c>
      <c r="N103" s="229">
        <v>0</v>
      </c>
      <c r="O103" s="28">
        <f>[1]!Table3[[#This Row],[C&amp;I Incentive Disbursements]]/'[1]1.) CLM Reference'!$B$5</f>
        <v>0</v>
      </c>
      <c r="Q103">
        <f>VLOOKUP(Table3[[#This Row],[Census Tract]],'Population and Diversity Data'!$B$2:$K$823,10,FALSE)</f>
        <v>1</v>
      </c>
      <c r="R103" t="str">
        <f>VLOOKUP(Table3[[#This Row],[Census Tract]],'ES Energy Burden'!$B$2:$E$914,4,FALSE)</f>
        <v>No</v>
      </c>
    </row>
    <row r="104" spans="1:18" x14ac:dyDescent="0.2">
      <c r="A104" t="s">
        <v>2754</v>
      </c>
      <c r="B104" s="169">
        <v>9007550201</v>
      </c>
      <c r="C104" t="s">
        <v>944</v>
      </c>
      <c r="D104" s="170">
        <f>[1]!Table3[[#This Row],[Residential CLM $ Collected]]+[1]!Table3[[#This Row],[C&amp;I CLM $ Collected]]</f>
        <v>229.68099000000001</v>
      </c>
      <c r="E104" s="28">
        <f>[1]!Table3[[#This Row],[CLM $ Collected ]]/'[1]1.) CLM Reference'!$B$4</f>
        <v>2.4726013613478277E-6</v>
      </c>
      <c r="F104" s="170">
        <f>[1]!Table3[[#This Row],[Residential Incentive Disbursements]]+[1]!Table3[[#This Row],[C&amp;I Incentive Disbursements]]</f>
        <v>336.48</v>
      </c>
      <c r="G104" s="28">
        <f>[1]!Table3[[#This Row],[Incentive Disbursements]]/'[1]1.) CLM Reference'!$B$5</f>
        <v>2.7016454812634813E-6</v>
      </c>
      <c r="H104" s="228">
        <v>229.68099000000001</v>
      </c>
      <c r="I104" s="28">
        <f>[1]!Table3[[#This Row],[Residential CLM $ Collected]]/'[1]1.) CLM Reference'!$B$4</f>
        <v>2.4726013613478277E-6</v>
      </c>
      <c r="J104" s="229">
        <v>336.48</v>
      </c>
      <c r="K104" s="28">
        <f>[1]!Table3[[#This Row],[Residential Incentive Disbursements]]/'[1]1.) CLM Reference'!$B$5</f>
        <v>2.7016454812634813E-6</v>
      </c>
      <c r="L104" s="229">
        <v>0</v>
      </c>
      <c r="M104" s="28">
        <f>[1]!Table3[[#This Row],[C&amp;I CLM $ Collected]]/'[1]1.) CLM Reference'!$B$4</f>
        <v>0</v>
      </c>
      <c r="N104" s="229">
        <v>0</v>
      </c>
      <c r="O104" s="28">
        <f>[1]!Table3[[#This Row],[C&amp;I Incentive Disbursements]]/'[1]1.) CLM Reference'!$B$5</f>
        <v>0</v>
      </c>
      <c r="Q104">
        <f>VLOOKUP(Table3[[#This Row],[Census Tract]],'Population and Diversity Data'!$B$2:$K$823,10,FALSE)</f>
        <v>2</v>
      </c>
      <c r="R104" t="str">
        <f>VLOOKUP(Table3[[#This Row],[Census Tract]],'ES Energy Burden'!$B$2:$E$914,4,FALSE)</f>
        <v>No</v>
      </c>
    </row>
    <row r="105" spans="1:18" x14ac:dyDescent="0.2">
      <c r="A105" t="s">
        <v>2754</v>
      </c>
      <c r="B105" s="169">
        <v>9007595101</v>
      </c>
      <c r="C105" t="s">
        <v>944</v>
      </c>
      <c r="D105" s="170">
        <f>[1]!Table3[[#This Row],[Residential CLM $ Collected]]+[1]!Table3[[#This Row],[C&amp;I CLM $ Collected]]</f>
        <v>814.00955999999996</v>
      </c>
      <c r="E105" s="28">
        <f>[1]!Table3[[#This Row],[CLM $ Collected ]]/'[1]1.) CLM Reference'!$B$4</f>
        <v>8.7631159470626901E-6</v>
      </c>
      <c r="F105" s="170">
        <f>[1]!Table3[[#This Row],[Residential Incentive Disbursements]]+[1]!Table3[[#This Row],[C&amp;I Incentive Disbursements]]</f>
        <v>0</v>
      </c>
      <c r="G105" s="28">
        <f>[1]!Table3[[#This Row],[Incentive Disbursements]]/'[1]1.) CLM Reference'!$B$5</f>
        <v>0</v>
      </c>
      <c r="H105" s="228">
        <v>814.00955999999996</v>
      </c>
      <c r="I105" s="28">
        <f>[1]!Table3[[#This Row],[Residential CLM $ Collected]]/'[1]1.) CLM Reference'!$B$4</f>
        <v>8.7631159470626901E-6</v>
      </c>
      <c r="J105" s="229">
        <v>0</v>
      </c>
      <c r="K105" s="28">
        <f>[1]!Table3[[#This Row],[Residential Incentive Disbursements]]/'[1]1.) CLM Reference'!$B$5</f>
        <v>0</v>
      </c>
      <c r="L105" s="229">
        <v>0</v>
      </c>
      <c r="M105" s="28">
        <f>[1]!Table3[[#This Row],[C&amp;I CLM $ Collected]]/'[1]1.) CLM Reference'!$B$4</f>
        <v>0</v>
      </c>
      <c r="N105" s="229">
        <v>0</v>
      </c>
      <c r="O105" s="28">
        <f>[1]!Table3[[#This Row],[C&amp;I Incentive Disbursements]]/'[1]1.) CLM Reference'!$B$5</f>
        <v>0</v>
      </c>
      <c r="Q105">
        <f>VLOOKUP(Table3[[#This Row],[Census Tract]],'Population and Diversity Data'!$B$2:$K$823,10,FALSE)</f>
        <v>1</v>
      </c>
      <c r="R105" t="str">
        <f>VLOOKUP(Table3[[#This Row],[Census Tract]],'ES Energy Burden'!$B$2:$E$914,4,FALSE)</f>
        <v>No</v>
      </c>
    </row>
    <row r="106" spans="1:18" x14ac:dyDescent="0.2">
      <c r="A106" t="s">
        <v>2754</v>
      </c>
      <c r="B106" s="169">
        <v>9011714101</v>
      </c>
      <c r="C106" t="s">
        <v>944</v>
      </c>
      <c r="D106" s="170">
        <f>[1]!Table3[[#This Row],[Residential CLM $ Collected]]+[1]!Table3[[#This Row],[C&amp;I CLM $ Collected]]</f>
        <v>187257.26025300001</v>
      </c>
      <c r="E106" s="28">
        <f>[1]!Table3[[#This Row],[CLM $ Collected ]]/'[1]1.) CLM Reference'!$B$4</f>
        <v>2.0158941174183913E-3</v>
      </c>
      <c r="F106" s="170">
        <f>[1]!Table3[[#This Row],[Residential Incentive Disbursements]]+[1]!Table3[[#This Row],[C&amp;I Incentive Disbursements]]</f>
        <v>487518.09250000003</v>
      </c>
      <c r="G106" s="28">
        <f>[1]!Table3[[#This Row],[Incentive Disbursements]]/'[1]1.) CLM Reference'!$B$5</f>
        <v>3.9143516750975299E-3</v>
      </c>
      <c r="H106" s="228">
        <v>117593.37330300001</v>
      </c>
      <c r="I106" s="28">
        <f>[1]!Table3[[#This Row],[Residential CLM $ Collected]]/'[1]1.) CLM Reference'!$B$4</f>
        <v>1.2659364404275736E-3</v>
      </c>
      <c r="J106" s="229">
        <v>423731.32250000001</v>
      </c>
      <c r="K106" s="28">
        <f>[1]!Table3[[#This Row],[Residential Incentive Disbursements]]/'[1]1.) CLM Reference'!$B$5</f>
        <v>3.4021986825425697E-3</v>
      </c>
      <c r="L106" s="229">
        <v>69663.88695</v>
      </c>
      <c r="M106" s="28">
        <f>[1]!Table3[[#This Row],[C&amp;I CLM $ Collected]]/'[1]1.) CLM Reference'!$B$4</f>
        <v>7.4995767699081745E-4</v>
      </c>
      <c r="N106" s="229">
        <v>63786.77</v>
      </c>
      <c r="O106" s="28">
        <f>[1]!Table3[[#This Row],[C&amp;I Incentive Disbursements]]/'[1]1.) CLM Reference'!$B$5</f>
        <v>5.1215299255496008E-4</v>
      </c>
      <c r="Q106">
        <f>VLOOKUP(Table3[[#This Row],[Census Tract]],'Population and Diversity Data'!$B$2:$K$823,10,FALSE)</f>
        <v>1</v>
      </c>
      <c r="R106" t="str">
        <f>VLOOKUP(Table3[[#This Row],[Census Tract]],'ES Energy Burden'!$B$2:$E$914,4,FALSE)</f>
        <v>No</v>
      </c>
    </row>
    <row r="107" spans="1:18" x14ac:dyDescent="0.2">
      <c r="A107" t="s">
        <v>2754</v>
      </c>
      <c r="B107" s="169">
        <v>9011714103</v>
      </c>
      <c r="C107" t="s">
        <v>944</v>
      </c>
      <c r="D107" s="170">
        <f>[1]!Table3[[#This Row],[Residential CLM $ Collected]]+[1]!Table3[[#This Row],[C&amp;I CLM $ Collected]]</f>
        <v>79994.61166200001</v>
      </c>
      <c r="E107" s="28">
        <f>[1]!Table3[[#This Row],[CLM $ Collected ]]/'[1]1.) CLM Reference'!$B$4</f>
        <v>8.6117177436387769E-4</v>
      </c>
      <c r="F107" s="170">
        <f>[1]!Table3[[#This Row],[Residential Incentive Disbursements]]+[1]!Table3[[#This Row],[C&amp;I Incentive Disbursements]]</f>
        <v>58887.1</v>
      </c>
      <c r="G107" s="28">
        <f>[1]!Table3[[#This Row],[Incentive Disbursements]]/'[1]1.) CLM Reference'!$B$5</f>
        <v>4.7281284955929246E-4</v>
      </c>
      <c r="H107" s="228">
        <v>79994.61166200001</v>
      </c>
      <c r="I107" s="28">
        <f>[1]!Table3[[#This Row],[Residential CLM $ Collected]]/'[1]1.) CLM Reference'!$B$4</f>
        <v>8.6117177436387769E-4</v>
      </c>
      <c r="J107" s="229">
        <v>58887.1</v>
      </c>
      <c r="K107" s="28">
        <f>[1]!Table3[[#This Row],[Residential Incentive Disbursements]]/'[1]1.) CLM Reference'!$B$5</f>
        <v>4.7281284955929246E-4</v>
      </c>
      <c r="L107" s="229">
        <v>0</v>
      </c>
      <c r="M107" s="28">
        <f>[1]!Table3[[#This Row],[C&amp;I CLM $ Collected]]/'[1]1.) CLM Reference'!$B$4</f>
        <v>0</v>
      </c>
      <c r="N107" s="229">
        <v>0</v>
      </c>
      <c r="O107" s="28">
        <f>[1]!Table3[[#This Row],[C&amp;I Incentive Disbursements]]/'[1]1.) CLM Reference'!$B$5</f>
        <v>0</v>
      </c>
      <c r="Q107">
        <f>VLOOKUP(Table3[[#This Row],[Census Tract]],'Population and Diversity Data'!$B$2:$K$823,10,FALSE)</f>
        <v>3</v>
      </c>
      <c r="R107" t="str">
        <f>VLOOKUP(Table3[[#This Row],[Census Tract]],'ES Energy Burden'!$B$2:$E$914,4,FALSE)</f>
        <v>No</v>
      </c>
    </row>
    <row r="108" spans="1:18" x14ac:dyDescent="0.2">
      <c r="A108" t="s">
        <v>2754</v>
      </c>
      <c r="B108" s="169">
        <v>9011714104</v>
      </c>
      <c r="C108" t="s">
        <v>944</v>
      </c>
      <c r="D108" s="170">
        <f>[1]!Table3[[#This Row],[Residential CLM $ Collected]]+[1]!Table3[[#This Row],[C&amp;I CLM $ Collected]]</f>
        <v>58536.117570000002</v>
      </c>
      <c r="E108" s="28">
        <f>[1]!Table3[[#This Row],[CLM $ Collected ]]/'[1]1.) CLM Reference'!$B$4</f>
        <v>6.3016309704864342E-4</v>
      </c>
      <c r="F108" s="170">
        <f>[1]!Table3[[#This Row],[Residential Incentive Disbursements]]+[1]!Table3[[#This Row],[C&amp;I Incentive Disbursements]]</f>
        <v>48666.21</v>
      </c>
      <c r="G108" s="28">
        <f>[1]!Table3[[#This Row],[Incentive Disbursements]]/'[1]1.) CLM Reference'!$B$5</f>
        <v>3.9074787903209591E-4</v>
      </c>
      <c r="H108" s="228">
        <v>58536.117570000002</v>
      </c>
      <c r="I108" s="28">
        <f>[1]!Table3[[#This Row],[Residential CLM $ Collected]]/'[1]1.) CLM Reference'!$B$4</f>
        <v>6.3016309704864342E-4</v>
      </c>
      <c r="J108" s="229">
        <v>48666.21</v>
      </c>
      <c r="K108" s="28">
        <f>[1]!Table3[[#This Row],[Residential Incentive Disbursements]]/'[1]1.) CLM Reference'!$B$5</f>
        <v>3.9074787903209591E-4</v>
      </c>
      <c r="L108" s="229">
        <v>0</v>
      </c>
      <c r="M108" s="28">
        <f>[1]!Table3[[#This Row],[C&amp;I CLM $ Collected]]/'[1]1.) CLM Reference'!$B$4</f>
        <v>0</v>
      </c>
      <c r="N108" s="229">
        <v>0</v>
      </c>
      <c r="O108" s="28">
        <f>[1]!Table3[[#This Row],[C&amp;I Incentive Disbursements]]/'[1]1.) CLM Reference'!$B$5</f>
        <v>0</v>
      </c>
      <c r="Q108">
        <f>VLOOKUP(Table3[[#This Row],[Census Tract]],'Population and Diversity Data'!$B$2:$K$823,10,FALSE)</f>
        <v>1</v>
      </c>
      <c r="R108" t="str">
        <f>VLOOKUP(Table3[[#This Row],[Census Tract]],'ES Energy Burden'!$B$2:$E$914,4,FALSE)</f>
        <v>No</v>
      </c>
    </row>
    <row r="109" spans="1:18" x14ac:dyDescent="0.2">
      <c r="A109" t="s">
        <v>2754</v>
      </c>
      <c r="B109" s="169">
        <v>9011715100</v>
      </c>
      <c r="C109" t="s">
        <v>944</v>
      </c>
      <c r="D109" s="170">
        <f>[1]!Table3[[#This Row],[Residential CLM $ Collected]]+[1]!Table3[[#This Row],[C&amp;I CLM $ Collected]]</f>
        <v>125.82633</v>
      </c>
      <c r="E109" s="28">
        <f>[1]!Table3[[#This Row],[CLM $ Collected ]]/'[1]1.) CLM Reference'!$B$4</f>
        <v>1.354567284177071E-6</v>
      </c>
      <c r="F109" s="170">
        <f>[1]!Table3[[#This Row],[Residential Incentive Disbursements]]+[1]!Table3[[#This Row],[C&amp;I Incentive Disbursements]]</f>
        <v>0</v>
      </c>
      <c r="G109" s="28">
        <f>[1]!Table3[[#This Row],[Incentive Disbursements]]/'[1]1.) CLM Reference'!$B$5</f>
        <v>0</v>
      </c>
      <c r="H109" s="228">
        <v>125.82633</v>
      </c>
      <c r="I109" s="28">
        <f>[1]!Table3[[#This Row],[Residential CLM $ Collected]]/'[1]1.) CLM Reference'!$B$4</f>
        <v>1.354567284177071E-6</v>
      </c>
      <c r="J109" s="229">
        <v>0</v>
      </c>
      <c r="K109" s="28">
        <f>[1]!Table3[[#This Row],[Residential Incentive Disbursements]]/'[1]1.) CLM Reference'!$B$5</f>
        <v>0</v>
      </c>
      <c r="L109" s="229">
        <v>0</v>
      </c>
      <c r="M109" s="28">
        <f>[1]!Table3[[#This Row],[C&amp;I CLM $ Collected]]/'[1]1.) CLM Reference'!$B$4</f>
        <v>0</v>
      </c>
      <c r="N109" s="229">
        <v>0</v>
      </c>
      <c r="O109" s="28">
        <f>[1]!Table3[[#This Row],[C&amp;I Incentive Disbursements]]/'[1]1.) CLM Reference'!$B$5</f>
        <v>0</v>
      </c>
      <c r="Q109">
        <f>VLOOKUP(Table3[[#This Row],[Census Tract]],'Population and Diversity Data'!$B$2:$K$823,10,FALSE)</f>
        <v>3</v>
      </c>
      <c r="R109" t="str">
        <f>VLOOKUP(Table3[[#This Row],[Census Tract]],'ES Energy Burden'!$B$2:$E$914,4,FALSE)</f>
        <v>No</v>
      </c>
    </row>
    <row r="110" spans="1:18" x14ac:dyDescent="0.2">
      <c r="A110" t="s">
        <v>2754</v>
      </c>
      <c r="B110" s="169">
        <v>9011870100</v>
      </c>
      <c r="C110" t="s">
        <v>944</v>
      </c>
      <c r="D110" s="170">
        <f>[1]!Table3[[#This Row],[Residential CLM $ Collected]]+[1]!Table3[[#This Row],[C&amp;I CLM $ Collected]]</f>
        <v>625.55262000000005</v>
      </c>
      <c r="E110" s="28">
        <f>[1]!Table3[[#This Row],[CLM $ Collected ]]/'[1]1.) CLM Reference'!$B$4</f>
        <v>6.7343068305596402E-6</v>
      </c>
      <c r="F110" s="170">
        <f>[1]!Table3[[#This Row],[Residential Incentive Disbursements]]+[1]!Table3[[#This Row],[C&amp;I Incentive Disbursements]]</f>
        <v>0</v>
      </c>
      <c r="G110" s="28">
        <f>[1]!Table3[[#This Row],[Incentive Disbursements]]/'[1]1.) CLM Reference'!$B$5</f>
        <v>0</v>
      </c>
      <c r="H110" s="228">
        <v>625.55262000000005</v>
      </c>
      <c r="I110" s="28">
        <f>[1]!Table3[[#This Row],[Residential CLM $ Collected]]/'[1]1.) CLM Reference'!$B$4</f>
        <v>6.7343068305596402E-6</v>
      </c>
      <c r="J110" s="229">
        <v>0</v>
      </c>
      <c r="K110" s="28">
        <f>[1]!Table3[[#This Row],[Residential Incentive Disbursements]]/'[1]1.) CLM Reference'!$B$5</f>
        <v>0</v>
      </c>
      <c r="L110" s="229">
        <v>0</v>
      </c>
      <c r="M110" s="28">
        <f>[1]!Table3[[#This Row],[C&amp;I CLM $ Collected]]/'[1]1.) CLM Reference'!$B$4</f>
        <v>0</v>
      </c>
      <c r="N110" s="229">
        <v>0</v>
      </c>
      <c r="O110" s="28">
        <f>[1]!Table3[[#This Row],[C&amp;I Incentive Disbursements]]/'[1]1.) CLM Reference'!$B$5</f>
        <v>0</v>
      </c>
      <c r="Q110">
        <f>VLOOKUP(Table3[[#This Row],[Census Tract]],'Population and Diversity Data'!$B$2:$K$823,10,FALSE)</f>
        <v>1</v>
      </c>
      <c r="R110" t="str">
        <f>VLOOKUP(Table3[[#This Row],[Census Tract]],'ES Energy Burden'!$B$2:$E$914,4,FALSE)</f>
        <v>No</v>
      </c>
    </row>
    <row r="111" spans="1:18" x14ac:dyDescent="0.2">
      <c r="A111" t="s">
        <v>2754</v>
      </c>
      <c r="B111" s="169">
        <v>9013526101</v>
      </c>
      <c r="C111" t="s">
        <v>944</v>
      </c>
      <c r="D111" s="170">
        <f>[1]!Table3[[#This Row],[Residential CLM $ Collected]]+[1]!Table3[[#This Row],[C&amp;I CLM $ Collected]]</f>
        <v>599.91015000000004</v>
      </c>
      <c r="E111" s="28">
        <f>[1]!Table3[[#This Row],[CLM $ Collected ]]/'[1]1.) CLM Reference'!$B$4</f>
        <v>6.4582560950141312E-6</v>
      </c>
      <c r="F111" s="170">
        <f>[1]!Table3[[#This Row],[Residential Incentive Disbursements]]+[1]!Table3[[#This Row],[C&amp;I Incentive Disbursements]]</f>
        <v>0</v>
      </c>
      <c r="G111" s="28">
        <f>[1]!Table3[[#This Row],[Incentive Disbursements]]/'[1]1.) CLM Reference'!$B$5</f>
        <v>0</v>
      </c>
      <c r="H111" s="228">
        <v>599.91015000000004</v>
      </c>
      <c r="I111" s="28">
        <f>[1]!Table3[[#This Row],[Residential CLM $ Collected]]/'[1]1.) CLM Reference'!$B$4</f>
        <v>6.4582560950141312E-6</v>
      </c>
      <c r="J111" s="229">
        <v>0</v>
      </c>
      <c r="K111" s="28">
        <f>[1]!Table3[[#This Row],[Residential Incentive Disbursements]]/'[1]1.) CLM Reference'!$B$5</f>
        <v>0</v>
      </c>
      <c r="L111" s="229">
        <v>0</v>
      </c>
      <c r="M111" s="28">
        <f>[1]!Table3[[#This Row],[C&amp;I CLM $ Collected]]/'[1]1.) CLM Reference'!$B$4</f>
        <v>0</v>
      </c>
      <c r="N111" s="229">
        <v>0</v>
      </c>
      <c r="O111" s="28">
        <f>[1]!Table3[[#This Row],[C&amp;I Incentive Disbursements]]/'[1]1.) CLM Reference'!$B$5</f>
        <v>0</v>
      </c>
      <c r="Q111">
        <f>VLOOKUP(Table3[[#This Row],[Census Tract]],'Population and Diversity Data'!$B$2:$K$823,10,FALSE)</f>
        <v>2</v>
      </c>
      <c r="R111" t="str">
        <f>VLOOKUP(Table3[[#This Row],[Census Tract]],'ES Energy Burden'!$B$2:$E$914,4,FALSE)</f>
        <v>No</v>
      </c>
    </row>
    <row r="112" spans="1:18" x14ac:dyDescent="0.2">
      <c r="A112" t="s">
        <v>2755</v>
      </c>
      <c r="B112" s="169">
        <v>9005293100</v>
      </c>
      <c r="C112" t="s">
        <v>944</v>
      </c>
      <c r="D112" s="170">
        <f>[1]!Table3[[#This Row],[Residential CLM $ Collected]]+[1]!Table3[[#This Row],[C&amp;I CLM $ Collected]]</f>
        <v>34904.545619999997</v>
      </c>
      <c r="E112" s="28">
        <f>[1]!Table3[[#This Row],[CLM $ Collected ]]/'[1]1.) CLM Reference'!$B$4</f>
        <v>3.7576042761414146E-4</v>
      </c>
      <c r="F112" s="170">
        <f>[1]!Table3[[#This Row],[Residential Incentive Disbursements]]+[1]!Table3[[#This Row],[C&amp;I Incentive Disbursements]]</f>
        <v>77122.78</v>
      </c>
      <c r="G112" s="28">
        <f>[1]!Table3[[#This Row],[Incentive Disbursements]]/'[1]1.) CLM Reference'!$B$5</f>
        <v>6.1922970188266039E-4</v>
      </c>
      <c r="H112" s="228">
        <v>28509.248879999999</v>
      </c>
      <c r="I112" s="28">
        <f>[1]!Table3[[#This Row],[Residential CLM $ Collected]]/'[1]1.) CLM Reference'!$B$4</f>
        <v>3.0691267741266714E-4</v>
      </c>
      <c r="J112" s="229">
        <v>51367.13</v>
      </c>
      <c r="K112" s="28">
        <f>[1]!Table3[[#This Row],[Residential Incentive Disbursements]]/'[1]1.) CLM Reference'!$B$5</f>
        <v>4.1243394748565675E-4</v>
      </c>
      <c r="L112" s="229">
        <v>6395.2967399999998</v>
      </c>
      <c r="M112" s="28">
        <f>[1]!Table3[[#This Row],[C&amp;I CLM $ Collected]]/'[1]1.) CLM Reference'!$B$4</f>
        <v>6.8847750201474334E-5</v>
      </c>
      <c r="N112" s="229">
        <v>25755.65</v>
      </c>
      <c r="O112" s="28">
        <f>[1]!Table3[[#This Row],[C&amp;I Incentive Disbursements]]/'[1]1.) CLM Reference'!$B$5</f>
        <v>2.0679575439700362E-4</v>
      </c>
      <c r="Q112">
        <f>VLOOKUP(Table3[[#This Row],[Census Tract]],'Population and Diversity Data'!$B$2:$K$823,10,FALSE)</f>
        <v>1</v>
      </c>
      <c r="R112" t="str">
        <f>VLOOKUP(Table3[[#This Row],[Census Tract]],'ES Energy Burden'!$B$2:$E$914,4,FALSE)</f>
        <v>No</v>
      </c>
    </row>
    <row r="113" spans="1:18" x14ac:dyDescent="0.2">
      <c r="A113" t="s">
        <v>2755</v>
      </c>
      <c r="B113" s="169">
        <v>9005320100</v>
      </c>
      <c r="C113" t="s">
        <v>944</v>
      </c>
      <c r="D113" s="170">
        <f>[1]!Table3[[#This Row],[Residential CLM $ Collected]]+[1]!Table3[[#This Row],[C&amp;I CLM $ Collected]]</f>
        <v>144.85169999999999</v>
      </c>
      <c r="E113" s="28">
        <f>[1]!Table3[[#This Row],[CLM $ Collected ]]/'[1]1.) CLM Reference'!$B$4</f>
        <v>1.5593824748558734E-6</v>
      </c>
      <c r="F113" s="170">
        <f>[1]!Table3[[#This Row],[Residential Incentive Disbursements]]+[1]!Table3[[#This Row],[C&amp;I Incentive Disbursements]]</f>
        <v>0</v>
      </c>
      <c r="G113" s="28">
        <f>[1]!Table3[[#This Row],[Incentive Disbursements]]/'[1]1.) CLM Reference'!$B$5</f>
        <v>0</v>
      </c>
      <c r="H113" s="228">
        <v>144.85169999999999</v>
      </c>
      <c r="I113" s="28">
        <f>[1]!Table3[[#This Row],[Residential CLM $ Collected]]/'[1]1.) CLM Reference'!$B$4</f>
        <v>1.5593824748558734E-6</v>
      </c>
      <c r="J113" s="229">
        <v>0</v>
      </c>
      <c r="K113" s="28">
        <f>[1]!Table3[[#This Row],[Residential Incentive Disbursements]]/'[1]1.) CLM Reference'!$B$5</f>
        <v>0</v>
      </c>
      <c r="L113" s="229">
        <v>0</v>
      </c>
      <c r="M113" s="28">
        <f>[1]!Table3[[#This Row],[C&amp;I CLM $ Collected]]/'[1]1.) CLM Reference'!$B$4</f>
        <v>0</v>
      </c>
      <c r="N113" s="229">
        <v>0</v>
      </c>
      <c r="O113" s="28">
        <f>[1]!Table3[[#This Row],[C&amp;I Incentive Disbursements]]/'[1]1.) CLM Reference'!$B$5</f>
        <v>0</v>
      </c>
      <c r="Q113">
        <f>VLOOKUP(Table3[[#This Row],[Census Tract]],'Population and Diversity Data'!$B$2:$K$823,10,FALSE)</f>
        <v>1</v>
      </c>
      <c r="R113" t="str">
        <f>VLOOKUP(Table3[[#This Row],[Census Tract]],'ES Energy Burden'!$B$2:$E$914,4,FALSE)</f>
        <v>No</v>
      </c>
    </row>
    <row r="114" spans="1:18" x14ac:dyDescent="0.2">
      <c r="A114" t="s">
        <v>2756</v>
      </c>
      <c r="B114" s="169">
        <v>9013850200</v>
      </c>
      <c r="C114" t="s">
        <v>944</v>
      </c>
      <c r="D114" s="170">
        <f>[1]!Table3[[#This Row],[Residential CLM $ Collected]]+[1]!Table3[[#This Row],[C&amp;I CLM $ Collected]]</f>
        <v>195.33968999999999</v>
      </c>
      <c r="E114" s="28">
        <f>[1]!Table3[[#This Row],[CLM $ Collected ]]/'[1]1.) CLM Reference'!$B$4</f>
        <v>2.1029044825140412E-6</v>
      </c>
      <c r="F114" s="170">
        <f>[1]!Table3[[#This Row],[Residential Incentive Disbursements]]+[1]!Table3[[#This Row],[C&amp;I Incentive Disbursements]]</f>
        <v>0</v>
      </c>
      <c r="G114" s="28">
        <f>[1]!Table3[[#This Row],[Incentive Disbursements]]/'[1]1.) CLM Reference'!$B$5</f>
        <v>0</v>
      </c>
      <c r="H114" s="228">
        <v>195.33968999999999</v>
      </c>
      <c r="I114" s="28">
        <f>[1]!Table3[[#This Row],[Residential CLM $ Collected]]/'[1]1.) CLM Reference'!$B$4</f>
        <v>2.1029044825140412E-6</v>
      </c>
      <c r="J114" s="229">
        <v>0</v>
      </c>
      <c r="K114" s="28">
        <f>[1]!Table3[[#This Row],[Residential Incentive Disbursements]]/'[1]1.) CLM Reference'!$B$5</f>
        <v>0</v>
      </c>
      <c r="L114" s="229">
        <v>0</v>
      </c>
      <c r="M114" s="28">
        <f>[1]!Table3[[#This Row],[C&amp;I CLM $ Collected]]/'[1]1.) CLM Reference'!$B$4</f>
        <v>0</v>
      </c>
      <c r="N114" s="229">
        <v>0</v>
      </c>
      <c r="O114" s="28">
        <f>[1]!Table3[[#This Row],[C&amp;I Incentive Disbursements]]/'[1]1.) CLM Reference'!$B$5</f>
        <v>0</v>
      </c>
      <c r="Q114">
        <f>VLOOKUP(Table3[[#This Row],[Census Tract]],'Population and Diversity Data'!$B$2:$K$823,10,FALSE)</f>
        <v>1</v>
      </c>
      <c r="R114" t="str">
        <f>VLOOKUP(Table3[[#This Row],[Census Tract]],'ES Energy Burden'!$B$2:$E$914,4,FALSE)</f>
        <v>No</v>
      </c>
    </row>
    <row r="115" spans="1:18" x14ac:dyDescent="0.2">
      <c r="A115" t="s">
        <v>2756</v>
      </c>
      <c r="B115" s="169">
        <v>9013860100</v>
      </c>
      <c r="C115" t="s">
        <v>944</v>
      </c>
      <c r="D115" s="170">
        <f>[1]!Table3[[#This Row],[Residential CLM $ Collected]]+[1]!Table3[[#This Row],[C&amp;I CLM $ Collected]]</f>
        <v>109111.59577500001</v>
      </c>
      <c r="E115" s="28">
        <f>[1]!Table3[[#This Row],[CLM $ Collected ]]/'[1]1.) CLM Reference'!$B$4</f>
        <v>1.1746269478031199E-3</v>
      </c>
      <c r="F115" s="170">
        <f>[1]!Table3[[#This Row],[Residential Incentive Disbursements]]+[1]!Table3[[#This Row],[C&amp;I Incentive Disbursements]]</f>
        <v>150720.28</v>
      </c>
      <c r="G115" s="28">
        <f>[1]!Table3[[#This Row],[Incentive Disbursements]]/'[1]1.) CLM Reference'!$B$5</f>
        <v>1.2101544323489259E-3</v>
      </c>
      <c r="H115" s="228">
        <v>94643.113425000003</v>
      </c>
      <c r="I115" s="28">
        <f>[1]!Table3[[#This Row],[Residential CLM $ Collected]]/'[1]1.) CLM Reference'!$B$4</f>
        <v>1.0188683490821417E-3</v>
      </c>
      <c r="J115" s="229">
        <v>139434.28</v>
      </c>
      <c r="K115" s="28">
        <f>[1]!Table3[[#This Row],[Residential Incentive Disbursements]]/'[1]1.) CLM Reference'!$B$5</f>
        <v>1.119537543079015E-3</v>
      </c>
      <c r="L115" s="229">
        <v>14468.48235</v>
      </c>
      <c r="M115" s="28">
        <f>[1]!Table3[[#This Row],[C&amp;I CLM $ Collected]]/'[1]1.) CLM Reference'!$B$4</f>
        <v>1.5575859872097824E-4</v>
      </c>
      <c r="N115" s="229">
        <v>11286</v>
      </c>
      <c r="O115" s="28">
        <f>[1]!Table3[[#This Row],[C&amp;I Incentive Disbursements]]/'[1]1.) CLM Reference'!$B$5</f>
        <v>9.0616889269910978E-5</v>
      </c>
      <c r="Q115">
        <f>VLOOKUP(Table3[[#This Row],[Census Tract]],'Population and Diversity Data'!$B$2:$K$823,10,FALSE)</f>
        <v>1</v>
      </c>
      <c r="R115" t="str">
        <f>VLOOKUP(Table3[[#This Row],[Census Tract]],'ES Energy Burden'!$B$2:$E$914,4,FALSE)</f>
        <v>No</v>
      </c>
    </row>
    <row r="116" spans="1:18" x14ac:dyDescent="0.2">
      <c r="A116" t="s">
        <v>2757</v>
      </c>
      <c r="B116" s="169">
        <v>9005262100</v>
      </c>
      <c r="C116" t="s">
        <v>944</v>
      </c>
      <c r="D116" s="170">
        <f>[1]!Table3[[#This Row],[Residential CLM $ Collected]]+[1]!Table3[[#This Row],[C&amp;I CLM $ Collected]]</f>
        <v>89.524050000000003</v>
      </c>
      <c r="E116" s="28">
        <f>[1]!Table3[[#This Row],[CLM $ Collected ]]/'[1]1.) CLM Reference'!$B$4</f>
        <v>9.6375972562366179E-7</v>
      </c>
      <c r="F116" s="170">
        <f>[1]!Table3[[#This Row],[Residential Incentive Disbursements]]+[1]!Table3[[#This Row],[C&amp;I Incentive Disbursements]]</f>
        <v>7136.625</v>
      </c>
      <c r="G116" s="28">
        <f>[1]!Table3[[#This Row],[Incentive Disbursements]]/'[1]1.) CLM Reference'!$B$5</f>
        <v>5.7300970883030164E-5</v>
      </c>
      <c r="H116" s="228">
        <v>89.524050000000003</v>
      </c>
      <c r="I116" s="28">
        <f>[1]!Table3[[#This Row],[Residential CLM $ Collected]]/'[1]1.) CLM Reference'!$B$4</f>
        <v>9.6375972562366179E-7</v>
      </c>
      <c r="J116" s="229">
        <v>7136.625</v>
      </c>
      <c r="K116" s="28">
        <f>[1]!Table3[[#This Row],[Residential Incentive Disbursements]]/'[1]1.) CLM Reference'!$B$5</f>
        <v>5.7300970883030164E-5</v>
      </c>
      <c r="L116" s="229">
        <v>0</v>
      </c>
      <c r="M116" s="28">
        <f>[1]!Table3[[#This Row],[C&amp;I CLM $ Collected]]/'[1]1.) CLM Reference'!$B$4</f>
        <v>0</v>
      </c>
      <c r="N116" s="229">
        <v>0</v>
      </c>
      <c r="O116" s="28">
        <f>[1]!Table3[[#This Row],[C&amp;I Incentive Disbursements]]/'[1]1.) CLM Reference'!$B$5</f>
        <v>0</v>
      </c>
      <c r="Q116">
        <f>VLOOKUP(Table3[[#This Row],[Census Tract]],'Population and Diversity Data'!$B$2:$K$823,10,FALSE)</f>
        <v>1</v>
      </c>
      <c r="R116" t="str">
        <f>VLOOKUP(Table3[[#This Row],[Census Tract]],'ES Energy Burden'!$B$2:$E$914,4,FALSE)</f>
        <v>No</v>
      </c>
    </row>
    <row r="117" spans="1:18" x14ac:dyDescent="0.2">
      <c r="A117" t="s">
        <v>2757</v>
      </c>
      <c r="B117" s="169">
        <v>9005263200</v>
      </c>
      <c r="C117" t="s">
        <v>944</v>
      </c>
      <c r="D117" s="170">
        <f>[1]!Table3[[#This Row],[Residential CLM $ Collected]]+[1]!Table3[[#This Row],[C&amp;I CLM $ Collected]]</f>
        <v>50253.621495000007</v>
      </c>
      <c r="E117" s="28">
        <f>[1]!Table3[[#This Row],[CLM $ Collected ]]/'[1]1.) CLM Reference'!$B$4</f>
        <v>5.4099894345281023E-4</v>
      </c>
      <c r="F117" s="170">
        <f>[1]!Table3[[#This Row],[Residential Incentive Disbursements]]+[1]!Table3[[#This Row],[C&amp;I Incentive Disbursements]]</f>
        <v>50767.03</v>
      </c>
      <c r="G117" s="28">
        <f>[1]!Table3[[#This Row],[Incentive Disbursements]]/'[1]1.) CLM Reference'!$B$5</f>
        <v>4.0761565976185084E-4</v>
      </c>
      <c r="H117" s="228">
        <v>42407.151255000004</v>
      </c>
      <c r="I117" s="28">
        <f>[1]!Table3[[#This Row],[Residential CLM $ Collected]]/'[1]1.) CLM Reference'!$B$4</f>
        <v>4.5652877029133429E-4</v>
      </c>
      <c r="J117" s="229">
        <v>40542.03</v>
      </c>
      <c r="K117" s="28">
        <f>[1]!Table3[[#This Row],[Residential Incentive Disbursements]]/'[1]1.) CLM Reference'!$B$5</f>
        <v>3.2551768946370807E-4</v>
      </c>
      <c r="L117" s="229">
        <v>7846.4702400000006</v>
      </c>
      <c r="M117" s="28">
        <f>[1]!Table3[[#This Row],[C&amp;I CLM $ Collected]]/'[1]1.) CLM Reference'!$B$4</f>
        <v>8.4470173161475917E-5</v>
      </c>
      <c r="N117" s="229">
        <v>10225</v>
      </c>
      <c r="O117" s="28">
        <f>[1]!Table3[[#This Row],[C&amp;I Incentive Disbursements]]/'[1]1.) CLM Reference'!$B$5</f>
        <v>8.2097970298142814E-5</v>
      </c>
      <c r="Q117">
        <f>VLOOKUP(Table3[[#This Row],[Census Tract]],'Population and Diversity Data'!$B$2:$K$823,10,FALSE)</f>
        <v>3</v>
      </c>
      <c r="R117" t="str">
        <f>VLOOKUP(Table3[[#This Row],[Census Tract]],'ES Energy Burden'!$B$2:$E$914,4,FALSE)</f>
        <v>No</v>
      </c>
    </row>
    <row r="118" spans="1:18" x14ac:dyDescent="0.2">
      <c r="A118" t="s">
        <v>2757</v>
      </c>
      <c r="B118" s="169">
        <v>9005265100</v>
      </c>
      <c r="C118" t="s">
        <v>944</v>
      </c>
      <c r="D118" s="170">
        <f>[1]!Table3[[#This Row],[Residential CLM $ Collected]]+[1]!Table3[[#This Row],[C&amp;I CLM $ Collected]]</f>
        <v>238.478835</v>
      </c>
      <c r="E118" s="28">
        <f>[1]!Table3[[#This Row],[CLM $ Collected ]]/'[1]1.) CLM Reference'!$B$4</f>
        <v>2.5673134379717017E-6</v>
      </c>
      <c r="F118" s="170">
        <f>[1]!Table3[[#This Row],[Residential Incentive Disbursements]]+[1]!Table3[[#This Row],[C&amp;I Incentive Disbursements]]</f>
        <v>0</v>
      </c>
      <c r="G118" s="28">
        <f>[1]!Table3[[#This Row],[Incentive Disbursements]]/'[1]1.) CLM Reference'!$B$5</f>
        <v>0</v>
      </c>
      <c r="H118" s="228">
        <v>238.478835</v>
      </c>
      <c r="I118" s="28">
        <f>[1]!Table3[[#This Row],[Residential CLM $ Collected]]/'[1]1.) CLM Reference'!$B$4</f>
        <v>2.5673134379717017E-6</v>
      </c>
      <c r="J118" s="229">
        <v>0</v>
      </c>
      <c r="K118" s="28">
        <f>[1]!Table3[[#This Row],[Residential Incentive Disbursements]]/'[1]1.) CLM Reference'!$B$5</f>
        <v>0</v>
      </c>
      <c r="L118" s="229">
        <v>0</v>
      </c>
      <c r="M118" s="28">
        <f>[1]!Table3[[#This Row],[C&amp;I CLM $ Collected]]/'[1]1.) CLM Reference'!$B$4</f>
        <v>0</v>
      </c>
      <c r="N118" s="229">
        <v>0</v>
      </c>
      <c r="O118" s="28">
        <f>[1]!Table3[[#This Row],[C&amp;I Incentive Disbursements]]/'[1]1.) CLM Reference'!$B$5</f>
        <v>0</v>
      </c>
      <c r="Q118">
        <f>VLOOKUP(Table3[[#This Row],[Census Tract]],'Population and Diversity Data'!$B$2:$K$823,10,FALSE)</f>
        <v>1</v>
      </c>
      <c r="R118" t="str">
        <f>VLOOKUP(Table3[[#This Row],[Census Tract]],'ES Energy Burden'!$B$2:$E$914,4,FALSE)</f>
        <v>No</v>
      </c>
    </row>
    <row r="119" spans="1:18" x14ac:dyDescent="0.2">
      <c r="A119" t="s">
        <v>2758</v>
      </c>
      <c r="B119" s="169">
        <v>9013850100</v>
      </c>
      <c r="C119" t="s">
        <v>944</v>
      </c>
      <c r="D119" s="170">
        <f>[1]!Table3[[#This Row],[Residential CLM $ Collected]]+[1]!Table3[[#This Row],[C&amp;I CLM $ Collected]]</f>
        <v>69517.807463999998</v>
      </c>
      <c r="E119" s="28">
        <f>[1]!Table3[[#This Row],[CLM $ Collected ]]/'[1]1.) CLM Reference'!$B$4</f>
        <v>7.4838507694260014E-4</v>
      </c>
      <c r="F119" s="170">
        <f>[1]!Table3[[#This Row],[Residential Incentive Disbursements]]+[1]!Table3[[#This Row],[C&amp;I Incentive Disbursements]]</f>
        <v>47972.65</v>
      </c>
      <c r="G119" s="28">
        <f>[1]!Table3[[#This Row],[Incentive Disbursements]]/'[1]1.) CLM Reference'!$B$5</f>
        <v>3.8517918775777025E-4</v>
      </c>
      <c r="H119" s="228">
        <v>69517.807463999998</v>
      </c>
      <c r="I119" s="28">
        <f>[1]!Table3[[#This Row],[Residential CLM $ Collected]]/'[1]1.) CLM Reference'!$B$4</f>
        <v>7.4838507694260014E-4</v>
      </c>
      <c r="J119" s="229">
        <v>47972.65</v>
      </c>
      <c r="K119" s="28">
        <f>[1]!Table3[[#This Row],[Residential Incentive Disbursements]]/'[1]1.) CLM Reference'!$B$5</f>
        <v>3.8517918775777025E-4</v>
      </c>
      <c r="L119" s="229">
        <v>0</v>
      </c>
      <c r="M119" s="28">
        <f>[1]!Table3[[#This Row],[C&amp;I CLM $ Collected]]/'[1]1.) CLM Reference'!$B$4</f>
        <v>0</v>
      </c>
      <c r="N119" s="229">
        <v>0</v>
      </c>
      <c r="O119" s="28">
        <f>[1]!Table3[[#This Row],[C&amp;I Incentive Disbursements]]/'[1]1.) CLM Reference'!$B$5</f>
        <v>0</v>
      </c>
      <c r="Q119">
        <f>VLOOKUP(Table3[[#This Row],[Census Tract]],'Population and Diversity Data'!$B$2:$K$823,10,FALSE)</f>
        <v>3</v>
      </c>
      <c r="R119" t="str">
        <f>VLOOKUP(Table3[[#This Row],[Census Tract]],'ES Energy Burden'!$B$2:$E$914,4,FALSE)</f>
        <v>No</v>
      </c>
    </row>
    <row r="120" spans="1:18" x14ac:dyDescent="0.2">
      <c r="A120" t="s">
        <v>2758</v>
      </c>
      <c r="B120" s="169">
        <v>9013850200</v>
      </c>
      <c r="C120" t="s">
        <v>944</v>
      </c>
      <c r="D120" s="170">
        <f>[1]!Table3[[#This Row],[Residential CLM $ Collected]]+[1]!Table3[[#This Row],[C&amp;I CLM $ Collected]]</f>
        <v>173992.95582899998</v>
      </c>
      <c r="E120" s="28">
        <f>[1]!Table3[[#This Row],[CLM $ Collected ]]/'[1]1.) CLM Reference'!$B$4</f>
        <v>1.8730989423535566E-3</v>
      </c>
      <c r="F120" s="170">
        <f>[1]!Table3[[#This Row],[Residential Incentive Disbursements]]+[1]!Table3[[#This Row],[C&amp;I Incentive Disbursements]]</f>
        <v>252068.94750000001</v>
      </c>
      <c r="G120" s="28">
        <f>[1]!Table3[[#This Row],[Incentive Disbursements]]/'[1]1.) CLM Reference'!$B$5</f>
        <v>2.0238972092849997E-3</v>
      </c>
      <c r="H120" s="228">
        <v>143871.544719</v>
      </c>
      <c r="I120" s="28">
        <f>[1]!Table3[[#This Row],[Residential CLM $ Collected]]/'[1]1.) CLM Reference'!$B$4</f>
        <v>1.5488307383707039E-3</v>
      </c>
      <c r="J120" s="229">
        <v>226875.35750000001</v>
      </c>
      <c r="K120" s="28">
        <f>[1]!Table3[[#This Row],[Residential Incentive Disbursements]]/'[1]1.) CLM Reference'!$B$5</f>
        <v>1.8216143140748688E-3</v>
      </c>
      <c r="L120" s="229">
        <v>30121.411110000001</v>
      </c>
      <c r="M120" s="28">
        <f>[1]!Table3[[#This Row],[C&amp;I CLM $ Collected]]/'[1]1.) CLM Reference'!$B$4</f>
        <v>3.2426820398285286E-4</v>
      </c>
      <c r="N120" s="229">
        <v>25193.59</v>
      </c>
      <c r="O120" s="28">
        <f>[1]!Table3[[#This Row],[C&amp;I Incentive Disbursements]]/'[1]1.) CLM Reference'!$B$5</f>
        <v>2.0228289521013082E-4</v>
      </c>
      <c r="Q120">
        <f>VLOOKUP(Table3[[#This Row],[Census Tract]],'Population and Diversity Data'!$B$2:$K$823,10,FALSE)</f>
        <v>1</v>
      </c>
      <c r="R120" t="str">
        <f>VLOOKUP(Table3[[#This Row],[Census Tract]],'ES Energy Burden'!$B$2:$E$914,4,FALSE)</f>
        <v>No</v>
      </c>
    </row>
    <row r="121" spans="1:18" x14ac:dyDescent="0.2">
      <c r="A121" t="s">
        <v>2759</v>
      </c>
      <c r="B121" s="169">
        <v>9007570100</v>
      </c>
      <c r="C121" t="s">
        <v>944</v>
      </c>
      <c r="D121" s="170">
        <f>[1]!Table3[[#This Row],[Residential CLM $ Collected]]+[1]!Table3[[#This Row],[C&amp;I CLM $ Collected]]</f>
        <v>58215.299310000002</v>
      </c>
      <c r="E121" s="28">
        <f>[1]!Table3[[#This Row],[CLM $ Collected ]]/'[1]1.) CLM Reference'!$B$4</f>
        <v>6.2670936904781393E-4</v>
      </c>
      <c r="F121" s="170">
        <f>[1]!Table3[[#This Row],[Residential Incentive Disbursements]]+[1]!Table3[[#This Row],[C&amp;I Incentive Disbursements]]</f>
        <v>45411.05</v>
      </c>
      <c r="G121" s="28">
        <f>[1]!Table3[[#This Row],[Incentive Disbursements]]/'[1]1.) CLM Reference'!$B$5</f>
        <v>3.6461173927701502E-4</v>
      </c>
      <c r="H121" s="228">
        <v>58215.299310000002</v>
      </c>
      <c r="I121" s="28">
        <f>[1]!Table3[[#This Row],[Residential CLM $ Collected]]/'[1]1.) CLM Reference'!$B$4</f>
        <v>6.2670936904781393E-4</v>
      </c>
      <c r="J121" s="229">
        <v>45411.05</v>
      </c>
      <c r="K121" s="28">
        <f>[1]!Table3[[#This Row],[Residential Incentive Disbursements]]/'[1]1.) CLM Reference'!$B$5</f>
        <v>3.6461173927701502E-4</v>
      </c>
      <c r="L121" s="229">
        <v>0</v>
      </c>
      <c r="M121" s="28">
        <f>[1]!Table3[[#This Row],[C&amp;I CLM $ Collected]]/'[1]1.) CLM Reference'!$B$4</f>
        <v>0</v>
      </c>
      <c r="N121" s="229">
        <v>0</v>
      </c>
      <c r="O121" s="28">
        <f>[1]!Table3[[#This Row],[C&amp;I Incentive Disbursements]]/'[1]1.) CLM Reference'!$B$5</f>
        <v>0</v>
      </c>
      <c r="Q121">
        <f>VLOOKUP(Table3[[#This Row],[Census Tract]],'Population and Diversity Data'!$B$2:$K$823,10,FALSE)</f>
        <v>2</v>
      </c>
      <c r="R121" t="str">
        <f>VLOOKUP(Table3[[#This Row],[Census Tract]],'ES Energy Burden'!$B$2:$E$914,4,FALSE)</f>
        <v>No</v>
      </c>
    </row>
    <row r="122" spans="1:18" x14ac:dyDescent="0.2">
      <c r="A122" t="s">
        <v>2759</v>
      </c>
      <c r="B122" s="169">
        <v>9007570200</v>
      </c>
      <c r="C122" t="s">
        <v>944</v>
      </c>
      <c r="D122" s="170">
        <f>[1]!Table3[[#This Row],[Residential CLM $ Collected]]+[1]!Table3[[#This Row],[C&amp;I CLM $ Collected]]</f>
        <v>219920.56125900001</v>
      </c>
      <c r="E122" s="28">
        <f>[1]!Table3[[#This Row],[CLM $ Collected ]]/'[1]1.) CLM Reference'!$B$4</f>
        <v>2.3675267124082921E-3</v>
      </c>
      <c r="F122" s="170">
        <f>[1]!Table3[[#This Row],[Residential Incentive Disbursements]]+[1]!Table3[[#This Row],[C&amp;I Incentive Disbursements]]</f>
        <v>213411.22500000001</v>
      </c>
      <c r="G122" s="28">
        <f>[1]!Table3[[#This Row],[Incentive Disbursements]]/'[1]1.) CLM Reference'!$B$5</f>
        <v>1.7135088910846233E-3</v>
      </c>
      <c r="H122" s="228">
        <v>114498.595239</v>
      </c>
      <c r="I122" s="28">
        <f>[1]!Table3[[#This Row],[Residential CLM $ Collected]]/'[1]1.) CLM Reference'!$B$4</f>
        <v>1.2326200024667488E-3</v>
      </c>
      <c r="J122" s="229">
        <v>170661.32500000001</v>
      </c>
      <c r="K122" s="28">
        <f>[1]!Table3[[#This Row],[Residential Incentive Disbursements]]/'[1]1.) CLM Reference'!$B$5</f>
        <v>1.3702639013097016E-3</v>
      </c>
      <c r="L122" s="229">
        <v>105421.96602000001</v>
      </c>
      <c r="M122" s="28">
        <f>[1]!Table3[[#This Row],[C&amp;I CLM $ Collected]]/'[1]1.) CLM Reference'!$B$4</f>
        <v>1.134906709941543E-3</v>
      </c>
      <c r="N122" s="229">
        <v>42749.9</v>
      </c>
      <c r="O122" s="28">
        <f>[1]!Table3[[#This Row],[C&amp;I Incentive Disbursements]]/'[1]1.) CLM Reference'!$B$5</f>
        <v>3.4324498977492183E-4</v>
      </c>
      <c r="Q122">
        <f>VLOOKUP(Table3[[#This Row],[Census Tract]],'Population and Diversity Data'!$B$2:$K$823,10,FALSE)</f>
        <v>2</v>
      </c>
      <c r="R122" t="str">
        <f>VLOOKUP(Table3[[#This Row],[Census Tract]],'ES Energy Burden'!$B$2:$E$914,4,FALSE)</f>
        <v>No</v>
      </c>
    </row>
    <row r="123" spans="1:18" x14ac:dyDescent="0.2">
      <c r="A123" t="s">
        <v>2759</v>
      </c>
      <c r="B123" s="169">
        <v>9007570300</v>
      </c>
      <c r="C123" t="s">
        <v>944</v>
      </c>
      <c r="D123" s="170">
        <f>[1]!Table3[[#This Row],[Residential CLM $ Collected]]+[1]!Table3[[#This Row],[C&amp;I CLM $ Collected]]</f>
        <v>69745.22898</v>
      </c>
      <c r="E123" s="28">
        <f>[1]!Table3[[#This Row],[CLM $ Collected ]]/'[1]1.) CLM Reference'!$B$4</f>
        <v>7.5083335422519715E-4</v>
      </c>
      <c r="F123" s="170">
        <f>[1]!Table3[[#This Row],[Residential Incentive Disbursements]]+[1]!Table3[[#This Row],[C&amp;I Incentive Disbursements]]</f>
        <v>69480.884999999995</v>
      </c>
      <c r="G123" s="28">
        <f>[1]!Table3[[#This Row],[Incentive Disbursements]]/'[1]1.) CLM Reference'!$B$5</f>
        <v>5.5787184674999275E-4</v>
      </c>
      <c r="H123" s="228">
        <v>69745.22898</v>
      </c>
      <c r="I123" s="28">
        <f>[1]!Table3[[#This Row],[Residential CLM $ Collected]]/'[1]1.) CLM Reference'!$B$4</f>
        <v>7.5083335422519715E-4</v>
      </c>
      <c r="J123" s="229">
        <v>69480.884999999995</v>
      </c>
      <c r="K123" s="28">
        <f>[1]!Table3[[#This Row],[Residential Incentive Disbursements]]/'[1]1.) CLM Reference'!$B$5</f>
        <v>5.5787184674999275E-4</v>
      </c>
      <c r="L123" s="229">
        <v>0</v>
      </c>
      <c r="M123" s="28">
        <f>[1]!Table3[[#This Row],[C&amp;I CLM $ Collected]]/'[1]1.) CLM Reference'!$B$4</f>
        <v>0</v>
      </c>
      <c r="N123" s="229">
        <v>0</v>
      </c>
      <c r="O123" s="28">
        <f>[1]!Table3[[#This Row],[C&amp;I Incentive Disbursements]]/'[1]1.) CLM Reference'!$B$5</f>
        <v>0</v>
      </c>
      <c r="Q123">
        <f>VLOOKUP(Table3[[#This Row],[Census Tract]],'Population and Diversity Data'!$B$2:$K$823,10,FALSE)</f>
        <v>2</v>
      </c>
      <c r="R123" t="str">
        <f>VLOOKUP(Table3[[#This Row],[Census Tract]],'ES Energy Burden'!$B$2:$E$914,4,FALSE)</f>
        <v>No</v>
      </c>
    </row>
    <row r="124" spans="1:18" x14ac:dyDescent="0.2">
      <c r="A124" t="s">
        <v>2760</v>
      </c>
      <c r="B124" s="169">
        <v>9001200301</v>
      </c>
      <c r="C124" t="s">
        <v>944</v>
      </c>
      <c r="D124" s="170">
        <f>[1]!Table3[[#This Row],[Residential CLM $ Collected]]+[1]!Table3[[#This Row],[C&amp;I CLM $ Collected]]</f>
        <v>200.73480000000001</v>
      </c>
      <c r="E124" s="28">
        <f>[1]!Table3[[#This Row],[CLM $ Collected ]]/'[1]1.) CLM Reference'!$B$4</f>
        <v>2.1609848501170426E-6</v>
      </c>
      <c r="F124" s="170">
        <f>[1]!Table3[[#This Row],[Residential Incentive Disbursements]]+[1]!Table3[[#This Row],[C&amp;I Incentive Disbursements]]</f>
        <v>0</v>
      </c>
      <c r="G124" s="28">
        <f>[1]!Table3[[#This Row],[Incentive Disbursements]]/'[1]1.) CLM Reference'!$B$5</f>
        <v>0</v>
      </c>
      <c r="H124" s="228">
        <v>200.73480000000001</v>
      </c>
      <c r="I124" s="28">
        <f>[1]!Table3[[#This Row],[Residential CLM $ Collected]]/'[1]1.) CLM Reference'!$B$4</f>
        <v>2.1609848501170426E-6</v>
      </c>
      <c r="J124" s="229">
        <v>0</v>
      </c>
      <c r="K124" s="28">
        <f>[1]!Table3[[#This Row],[Residential Incentive Disbursements]]/'[1]1.) CLM Reference'!$B$5</f>
        <v>0</v>
      </c>
      <c r="L124" s="229">
        <v>0</v>
      </c>
      <c r="M124" s="28">
        <f>[1]!Table3[[#This Row],[C&amp;I CLM $ Collected]]/'[1]1.) CLM Reference'!$B$4</f>
        <v>0</v>
      </c>
      <c r="N124" s="229">
        <v>0</v>
      </c>
      <c r="O124" s="28">
        <f>[1]!Table3[[#This Row],[C&amp;I Incentive Disbursements]]/'[1]1.) CLM Reference'!$B$5</f>
        <v>0</v>
      </c>
      <c r="Q124">
        <f>VLOOKUP(Table3[[#This Row],[Census Tract]],'Population and Diversity Data'!$B$2:$K$823,10,FALSE)</f>
        <v>4</v>
      </c>
      <c r="R124" t="str">
        <f>VLOOKUP(Table3[[#This Row],[Census Tract]],'ES Energy Burden'!$B$2:$E$914,4,FALSE)</f>
        <v>No</v>
      </c>
    </row>
    <row r="125" spans="1:18" x14ac:dyDescent="0.2">
      <c r="A125" t="s">
        <v>2760</v>
      </c>
      <c r="B125" s="169">
        <v>9001210100</v>
      </c>
      <c r="C125" t="s">
        <v>944</v>
      </c>
      <c r="D125" s="170">
        <f>[1]!Table3[[#This Row],[Residential CLM $ Collected]]+[1]!Table3[[#This Row],[C&amp;I CLM $ Collected]]</f>
        <v>49665.408155999998</v>
      </c>
      <c r="E125" s="28">
        <f>[1]!Table3[[#This Row],[CLM $ Collected ]]/'[1]1.) CLM Reference'!$B$4</f>
        <v>5.3466660788261625E-4</v>
      </c>
      <c r="F125" s="170">
        <f>[1]!Table3[[#This Row],[Residential Incentive Disbursements]]+[1]!Table3[[#This Row],[C&amp;I Incentive Disbursements]]</f>
        <v>1712.48</v>
      </c>
      <c r="G125" s="28">
        <f>[1]!Table3[[#This Row],[Incentive Disbursements]]/'[1]1.) CLM Reference'!$B$5</f>
        <v>1.374974397810891E-5</v>
      </c>
      <c r="H125" s="228">
        <v>49665.408155999998</v>
      </c>
      <c r="I125" s="28">
        <f>[1]!Table3[[#This Row],[Residential CLM $ Collected]]/'[1]1.) CLM Reference'!$B$4</f>
        <v>5.3466660788261625E-4</v>
      </c>
      <c r="J125" s="229">
        <v>1712.48</v>
      </c>
      <c r="K125" s="28">
        <f>[1]!Table3[[#This Row],[Residential Incentive Disbursements]]/'[1]1.) CLM Reference'!$B$5</f>
        <v>1.374974397810891E-5</v>
      </c>
      <c r="L125" s="229">
        <v>0</v>
      </c>
      <c r="M125" s="28">
        <f>[1]!Table3[[#This Row],[C&amp;I CLM $ Collected]]/'[1]1.) CLM Reference'!$B$4</f>
        <v>0</v>
      </c>
      <c r="N125" s="229">
        <v>0</v>
      </c>
      <c r="O125" s="28">
        <f>[1]!Table3[[#This Row],[C&amp;I Incentive Disbursements]]/'[1]1.) CLM Reference'!$B$5</f>
        <v>0</v>
      </c>
      <c r="Q125">
        <f>VLOOKUP(Table3[[#This Row],[Census Tract]],'Population and Diversity Data'!$B$2:$K$823,10,FALSE)</f>
        <v>5</v>
      </c>
      <c r="R125" t="str">
        <f>VLOOKUP(Table3[[#This Row],[Census Tract]],'ES Energy Burden'!$B$2:$E$914,4,FALSE)</f>
        <v>No</v>
      </c>
    </row>
    <row r="126" spans="1:18" x14ac:dyDescent="0.2">
      <c r="A126" t="s">
        <v>2760</v>
      </c>
      <c r="B126" s="169">
        <v>9001210200</v>
      </c>
      <c r="C126" t="s">
        <v>944</v>
      </c>
      <c r="D126" s="170">
        <f>[1]!Table3[[#This Row],[Residential CLM $ Collected]]+[1]!Table3[[#This Row],[C&amp;I CLM $ Collected]]</f>
        <v>37690.02594</v>
      </c>
      <c r="E126" s="28">
        <f>[1]!Table3[[#This Row],[CLM $ Collected ]]/'[1]1.) CLM Reference'!$B$4</f>
        <v>4.0574716021765206E-4</v>
      </c>
      <c r="F126" s="170">
        <f>[1]!Table3[[#This Row],[Residential Incentive Disbursements]]+[1]!Table3[[#This Row],[C&amp;I Incentive Disbursements]]</f>
        <v>17698.78</v>
      </c>
      <c r="G126" s="28">
        <f>[1]!Table3[[#This Row],[Incentive Disbursements]]/'[1]1.) CLM Reference'!$B$5</f>
        <v>1.4210600633284733E-4</v>
      </c>
      <c r="H126" s="228">
        <v>37690.02594</v>
      </c>
      <c r="I126" s="28">
        <f>[1]!Table3[[#This Row],[Residential CLM $ Collected]]/'[1]1.) CLM Reference'!$B$4</f>
        <v>4.0574716021765206E-4</v>
      </c>
      <c r="J126" s="229">
        <v>17698.78</v>
      </c>
      <c r="K126" s="28">
        <f>[1]!Table3[[#This Row],[Residential Incentive Disbursements]]/'[1]1.) CLM Reference'!$B$5</f>
        <v>1.4210600633284733E-4</v>
      </c>
      <c r="L126" s="229">
        <v>0</v>
      </c>
      <c r="M126" s="28">
        <f>[1]!Table3[[#This Row],[C&amp;I CLM $ Collected]]/'[1]1.) CLM Reference'!$B$4</f>
        <v>0</v>
      </c>
      <c r="N126" s="229">
        <v>0</v>
      </c>
      <c r="O126" s="28">
        <f>[1]!Table3[[#This Row],[C&amp;I Incentive Disbursements]]/'[1]1.) CLM Reference'!$B$5</f>
        <v>0</v>
      </c>
      <c r="Q126">
        <f>VLOOKUP(Table3[[#This Row],[Census Tract]],'Population and Diversity Data'!$B$2:$K$823,10,FALSE)</f>
        <v>5</v>
      </c>
      <c r="R126" t="str">
        <f>VLOOKUP(Table3[[#This Row],[Census Tract]],'ES Energy Burden'!$B$2:$E$914,4,FALSE)</f>
        <v>Yes</v>
      </c>
    </row>
    <row r="127" spans="1:18" x14ac:dyDescent="0.2">
      <c r="A127" t="s">
        <v>2760</v>
      </c>
      <c r="B127" s="169">
        <v>9001210300</v>
      </c>
      <c r="C127" t="s">
        <v>944</v>
      </c>
      <c r="D127" s="170">
        <f>[1]!Table3[[#This Row],[Residential CLM $ Collected]]+[1]!Table3[[#This Row],[C&amp;I CLM $ Collected]]</f>
        <v>42556.109420999994</v>
      </c>
      <c r="E127" s="28">
        <f>[1]!Table3[[#This Row],[CLM $ Collected ]]/'[1]1.) CLM Reference'!$B$4</f>
        <v>4.5813236040140591E-4</v>
      </c>
      <c r="F127" s="170">
        <f>[1]!Table3[[#This Row],[Residential Incentive Disbursements]]+[1]!Table3[[#This Row],[C&amp;I Incentive Disbursements]]</f>
        <v>16005.42</v>
      </c>
      <c r="G127" s="28">
        <f>[1]!Table3[[#This Row],[Incentive Disbursements]]/'[1]1.) CLM Reference'!$B$5</f>
        <v>1.2850977953733994E-4</v>
      </c>
      <c r="H127" s="228">
        <v>42556.109420999994</v>
      </c>
      <c r="I127" s="28">
        <f>[1]!Table3[[#This Row],[Residential CLM $ Collected]]/'[1]1.) CLM Reference'!$B$4</f>
        <v>4.5813236040140591E-4</v>
      </c>
      <c r="J127" s="229">
        <v>16005.42</v>
      </c>
      <c r="K127" s="28">
        <f>[1]!Table3[[#This Row],[Residential Incentive Disbursements]]/'[1]1.) CLM Reference'!$B$5</f>
        <v>1.2850977953733994E-4</v>
      </c>
      <c r="L127" s="229">
        <v>0</v>
      </c>
      <c r="M127" s="28">
        <f>[1]!Table3[[#This Row],[C&amp;I CLM $ Collected]]/'[1]1.) CLM Reference'!$B$4</f>
        <v>0</v>
      </c>
      <c r="N127" s="229">
        <v>0</v>
      </c>
      <c r="O127" s="28">
        <f>[1]!Table3[[#This Row],[C&amp;I Incentive Disbursements]]/'[1]1.) CLM Reference'!$B$5</f>
        <v>0</v>
      </c>
      <c r="Q127">
        <f>VLOOKUP(Table3[[#This Row],[Census Tract]],'Population and Diversity Data'!$B$2:$K$823,10,FALSE)</f>
        <v>5</v>
      </c>
      <c r="R127" t="str">
        <f>VLOOKUP(Table3[[#This Row],[Census Tract]],'ES Energy Burden'!$B$2:$E$914,4,FALSE)</f>
        <v>No</v>
      </c>
    </row>
    <row r="128" spans="1:18" x14ac:dyDescent="0.2">
      <c r="A128" t="s">
        <v>2760</v>
      </c>
      <c r="B128" s="169">
        <v>9001210400</v>
      </c>
      <c r="C128" t="s">
        <v>944</v>
      </c>
      <c r="D128" s="170">
        <f>[1]!Table3[[#This Row],[Residential CLM $ Collected]]+[1]!Table3[[#This Row],[C&amp;I CLM $ Collected]]</f>
        <v>1023642.843363</v>
      </c>
      <c r="E128" s="28">
        <f>[1]!Table3[[#This Row],[CLM $ Collected ]]/'[1]1.) CLM Reference'!$B$4</f>
        <v>1.1019896283246232E-2</v>
      </c>
      <c r="F128" s="170">
        <f>[1]!Table3[[#This Row],[Residential Incentive Disbursements]]+[1]!Table3[[#This Row],[C&amp;I Incentive Disbursements]]</f>
        <v>970146.17249999999</v>
      </c>
      <c r="G128" s="28">
        <f>[1]!Table3[[#This Row],[Incentive Disbursements]]/'[1]1.) CLM Reference'!$B$5</f>
        <v>7.789440748631974E-3</v>
      </c>
      <c r="H128" s="228">
        <v>512513.35806299996</v>
      </c>
      <c r="I128" s="28">
        <f>[1]!Table3[[#This Row],[Residential CLM $ Collected]]/'[1]1.) CLM Reference'!$B$4</f>
        <v>5.5173970943590955E-3</v>
      </c>
      <c r="J128" s="229">
        <v>616926.07250000001</v>
      </c>
      <c r="K128" s="28">
        <f>[1]!Table3[[#This Row],[Residential Incentive Disbursements]]/'[1]1.) CLM Reference'!$B$5</f>
        <v>4.9533866382645382E-3</v>
      </c>
      <c r="L128" s="229">
        <v>511129.4853</v>
      </c>
      <c r="M128" s="28">
        <f>[1]!Table3[[#This Row],[C&amp;I CLM $ Collected]]/'[1]1.) CLM Reference'!$B$4</f>
        <v>5.5024991888871369E-3</v>
      </c>
      <c r="N128" s="229">
        <v>353220.1</v>
      </c>
      <c r="O128" s="28">
        <f>[1]!Table3[[#This Row],[C&amp;I Incentive Disbursements]]/'[1]1.) CLM Reference'!$B$5</f>
        <v>2.8360541103674359E-3</v>
      </c>
      <c r="Q128">
        <f>VLOOKUP(Table3[[#This Row],[Census Tract]],'Population and Diversity Data'!$B$2:$K$823,10,FALSE)</f>
        <v>5</v>
      </c>
      <c r="R128" t="str">
        <f>VLOOKUP(Table3[[#This Row],[Census Tract]],'ES Energy Burden'!$B$2:$E$914,4,FALSE)</f>
        <v>No</v>
      </c>
    </row>
    <row r="129" spans="1:18" x14ac:dyDescent="0.2">
      <c r="A129" t="s">
        <v>2760</v>
      </c>
      <c r="B129" s="169">
        <v>9001210500</v>
      </c>
      <c r="C129" t="s">
        <v>944</v>
      </c>
      <c r="D129" s="170">
        <f>[1]!Table3[[#This Row],[Residential CLM $ Collected]]+[1]!Table3[[#This Row],[C&amp;I CLM $ Collected]]</f>
        <v>102946.17515699999</v>
      </c>
      <c r="E129" s="28">
        <f>[1]!Table3[[#This Row],[CLM $ Collected ]]/'[1]1.) CLM Reference'!$B$4</f>
        <v>1.1082538996316155E-3</v>
      </c>
      <c r="F129" s="170">
        <f>[1]!Table3[[#This Row],[Residential Incentive Disbursements]]+[1]!Table3[[#This Row],[C&amp;I Incentive Disbursements]]</f>
        <v>79060.45</v>
      </c>
      <c r="G129" s="28">
        <f>[1]!Table3[[#This Row],[Incentive Disbursements]]/'[1]1.) CLM Reference'!$B$5</f>
        <v>6.3478752820125231E-4</v>
      </c>
      <c r="H129" s="228">
        <v>102946.17515699999</v>
      </c>
      <c r="I129" s="28">
        <f>[1]!Table3[[#This Row],[Residential CLM $ Collected]]/'[1]1.) CLM Reference'!$B$4</f>
        <v>1.1082538996316155E-3</v>
      </c>
      <c r="J129" s="229">
        <v>79060.45</v>
      </c>
      <c r="K129" s="28">
        <f>[1]!Table3[[#This Row],[Residential Incentive Disbursements]]/'[1]1.) CLM Reference'!$B$5</f>
        <v>6.3478752820125231E-4</v>
      </c>
      <c r="L129" s="229">
        <v>0</v>
      </c>
      <c r="M129" s="28">
        <f>[1]!Table3[[#This Row],[C&amp;I CLM $ Collected]]/'[1]1.) CLM Reference'!$B$4</f>
        <v>0</v>
      </c>
      <c r="N129" s="229">
        <v>0</v>
      </c>
      <c r="O129" s="28">
        <f>[1]!Table3[[#This Row],[C&amp;I Incentive Disbursements]]/'[1]1.) CLM Reference'!$B$5</f>
        <v>0</v>
      </c>
      <c r="Q129">
        <f>VLOOKUP(Table3[[#This Row],[Census Tract]],'Population and Diversity Data'!$B$2:$K$823,10,FALSE)</f>
        <v>4</v>
      </c>
      <c r="R129" t="str">
        <f>VLOOKUP(Table3[[#This Row],[Census Tract]],'ES Energy Burden'!$B$2:$E$914,4,FALSE)</f>
        <v>No</v>
      </c>
    </row>
    <row r="130" spans="1:18" x14ac:dyDescent="0.2">
      <c r="A130" t="s">
        <v>2760</v>
      </c>
      <c r="B130" s="169">
        <v>9001210600</v>
      </c>
      <c r="C130" t="s">
        <v>936</v>
      </c>
      <c r="D130" s="170">
        <f>[1]!Table3[[#This Row],[Residential CLM $ Collected]]+[1]!Table3[[#This Row],[C&amp;I CLM $ Collected]]</f>
        <v>47467.861035000002</v>
      </c>
      <c r="E130" s="28">
        <f>[1]!Table3[[#This Row],[CLM $ Collected ]]/'[1]1.) CLM Reference'!$B$4</f>
        <v>5.1100919503791115E-4</v>
      </c>
      <c r="F130" s="170">
        <f>[1]!Table3[[#This Row],[Residential Incentive Disbursements]]+[1]!Table3[[#This Row],[C&amp;I Incentive Disbursements]]</f>
        <v>14178.85</v>
      </c>
      <c r="G130" s="28">
        <f>[1]!Table3[[#This Row],[Incentive Disbursements]]/'[1]1.) CLM Reference'!$B$5</f>
        <v>1.1384399082267211E-4</v>
      </c>
      <c r="H130" s="228">
        <v>47467.861035000002</v>
      </c>
      <c r="I130" s="28">
        <f>[1]!Table3[[#This Row],[Residential CLM $ Collected]]/'[1]1.) CLM Reference'!$B$4</f>
        <v>5.1100919503791115E-4</v>
      </c>
      <c r="J130" s="229">
        <v>14178.85</v>
      </c>
      <c r="K130" s="28">
        <f>[1]!Table3[[#This Row],[Residential Incentive Disbursements]]/'[1]1.) CLM Reference'!$B$5</f>
        <v>1.1384399082267211E-4</v>
      </c>
      <c r="L130" s="229">
        <v>0</v>
      </c>
      <c r="M130" s="28">
        <f>[1]!Table3[[#This Row],[C&amp;I CLM $ Collected]]/'[1]1.) CLM Reference'!$B$4</f>
        <v>0</v>
      </c>
      <c r="N130" s="229">
        <v>0</v>
      </c>
      <c r="O130" s="28">
        <f>[1]!Table3[[#This Row],[C&amp;I Incentive Disbursements]]/'[1]1.) CLM Reference'!$B$5</f>
        <v>0</v>
      </c>
      <c r="Q130">
        <f>VLOOKUP(Table3[[#This Row],[Census Tract]],'Population and Diversity Data'!$B$2:$K$823,10,FALSE)</f>
        <v>5</v>
      </c>
      <c r="R130" t="str">
        <f>VLOOKUP(Table3[[#This Row],[Census Tract]],'ES Energy Burden'!$B$2:$E$914,4,FALSE)</f>
        <v>No</v>
      </c>
    </row>
    <row r="131" spans="1:18" x14ac:dyDescent="0.2">
      <c r="A131" t="s">
        <v>2760</v>
      </c>
      <c r="B131" s="169">
        <v>9001210701</v>
      </c>
      <c r="C131" t="s">
        <v>944</v>
      </c>
      <c r="D131" s="170">
        <f>[1]!Table3[[#This Row],[Residential CLM $ Collected]]+[1]!Table3[[#This Row],[C&amp;I CLM $ Collected]]</f>
        <v>61984.930287000003</v>
      </c>
      <c r="E131" s="28">
        <f>[1]!Table3[[#This Row],[CLM $ Collected ]]/'[1]1.) CLM Reference'!$B$4</f>
        <v>6.6729084984650411E-4</v>
      </c>
      <c r="F131" s="170">
        <f>[1]!Table3[[#This Row],[Residential Incentive Disbursements]]+[1]!Table3[[#This Row],[C&amp;I Incentive Disbursements]]</f>
        <v>84620.01</v>
      </c>
      <c r="G131" s="28">
        <f>[1]!Table3[[#This Row],[Incentive Disbursements]]/'[1]1.) CLM Reference'!$B$5</f>
        <v>6.7942602128200948E-4</v>
      </c>
      <c r="H131" s="228">
        <v>61984.930287000003</v>
      </c>
      <c r="I131" s="28">
        <f>[1]!Table3[[#This Row],[Residential CLM $ Collected]]/'[1]1.) CLM Reference'!$B$4</f>
        <v>6.6729084984650411E-4</v>
      </c>
      <c r="J131" s="229">
        <v>84620.01</v>
      </c>
      <c r="K131" s="28">
        <f>[1]!Table3[[#This Row],[Residential Incentive Disbursements]]/'[1]1.) CLM Reference'!$B$5</f>
        <v>6.7942602128200948E-4</v>
      </c>
      <c r="L131" s="229">
        <v>0</v>
      </c>
      <c r="M131" s="28">
        <f>[1]!Table3[[#This Row],[C&amp;I CLM $ Collected]]/'[1]1.) CLM Reference'!$B$4</f>
        <v>0</v>
      </c>
      <c r="N131" s="229">
        <v>0</v>
      </c>
      <c r="O131" s="28">
        <f>[1]!Table3[[#This Row],[C&amp;I Incentive Disbursements]]/'[1]1.) CLM Reference'!$B$5</f>
        <v>0</v>
      </c>
      <c r="Q131">
        <f>VLOOKUP(Table3[[#This Row],[Census Tract]],'Population and Diversity Data'!$B$2:$K$823,10,FALSE)</f>
        <v>5</v>
      </c>
      <c r="R131" t="str">
        <f>VLOOKUP(Table3[[#This Row],[Census Tract]],'ES Energy Burden'!$B$2:$E$914,4,FALSE)</f>
        <v>No</v>
      </c>
    </row>
    <row r="132" spans="1:18" x14ac:dyDescent="0.2">
      <c r="A132" t="s">
        <v>2760</v>
      </c>
      <c r="B132" s="169">
        <v>9001210702</v>
      </c>
      <c r="C132" t="s">
        <v>944</v>
      </c>
      <c r="D132" s="170">
        <f>[1]!Table3[[#This Row],[Residential CLM $ Collected]]+[1]!Table3[[#This Row],[C&amp;I CLM $ Collected]]</f>
        <v>40550.669754000002</v>
      </c>
      <c r="E132" s="28">
        <f>[1]!Table3[[#This Row],[CLM $ Collected ]]/'[1]1.) CLM Reference'!$B$4</f>
        <v>4.3654305581540114E-4</v>
      </c>
      <c r="F132" s="170">
        <f>[1]!Table3[[#This Row],[Residential Incentive Disbursements]]+[1]!Table3[[#This Row],[C&amp;I Incentive Disbursements]]</f>
        <v>6646.4849999999997</v>
      </c>
      <c r="G132" s="28">
        <f>[1]!Table3[[#This Row],[Incentive Disbursements]]/'[1]1.) CLM Reference'!$B$5</f>
        <v>5.3365567542009945E-5</v>
      </c>
      <c r="H132" s="228">
        <v>40550.669754000002</v>
      </c>
      <c r="I132" s="28">
        <f>[1]!Table3[[#This Row],[Residential CLM $ Collected]]/'[1]1.) CLM Reference'!$B$4</f>
        <v>4.3654305581540114E-4</v>
      </c>
      <c r="J132" s="229">
        <v>6646.4849999999997</v>
      </c>
      <c r="K132" s="28">
        <f>[1]!Table3[[#This Row],[Residential Incentive Disbursements]]/'[1]1.) CLM Reference'!$B$5</f>
        <v>5.3365567542009945E-5</v>
      </c>
      <c r="L132" s="229">
        <v>0</v>
      </c>
      <c r="M132" s="28">
        <f>[1]!Table3[[#This Row],[C&amp;I CLM $ Collected]]/'[1]1.) CLM Reference'!$B$4</f>
        <v>0</v>
      </c>
      <c r="N132" s="229">
        <v>0</v>
      </c>
      <c r="O132" s="28">
        <f>[1]!Table3[[#This Row],[C&amp;I Incentive Disbursements]]/'[1]1.) CLM Reference'!$B$5</f>
        <v>0</v>
      </c>
      <c r="Q132">
        <f>VLOOKUP(Table3[[#This Row],[Census Tract]],'Population and Diversity Data'!$B$2:$K$823,10,FALSE)</f>
        <v>5</v>
      </c>
      <c r="R132" t="str">
        <f>VLOOKUP(Table3[[#This Row],[Census Tract]],'ES Energy Burden'!$B$2:$E$914,4,FALSE)</f>
        <v>No</v>
      </c>
    </row>
    <row r="133" spans="1:18" x14ac:dyDescent="0.2">
      <c r="A133" t="s">
        <v>2760</v>
      </c>
      <c r="B133" s="169">
        <v>9001210800</v>
      </c>
      <c r="C133" t="s">
        <v>944</v>
      </c>
      <c r="D133" s="170">
        <f>[1]!Table3[[#This Row],[Residential CLM $ Collected]]+[1]!Table3[[#This Row],[C&amp;I CLM $ Collected]]</f>
        <v>64267.028490000004</v>
      </c>
      <c r="E133" s="28">
        <f>[1]!Table3[[#This Row],[CLM $ Collected ]]/'[1]1.) CLM Reference'!$B$4</f>
        <v>6.9185848656501197E-4</v>
      </c>
      <c r="F133" s="170">
        <f>[1]!Table3[[#This Row],[Residential Incentive Disbursements]]+[1]!Table3[[#This Row],[C&amp;I Incentive Disbursements]]</f>
        <v>63624.959999999999</v>
      </c>
      <c r="G133" s="28">
        <f>[1]!Table3[[#This Row],[Incentive Disbursements]]/'[1]1.) CLM Reference'!$B$5</f>
        <v>5.1085379719320535E-4</v>
      </c>
      <c r="H133" s="228">
        <v>64267.028490000004</v>
      </c>
      <c r="I133" s="28">
        <f>[1]!Table3[[#This Row],[Residential CLM $ Collected]]/'[1]1.) CLM Reference'!$B$4</f>
        <v>6.9185848656501197E-4</v>
      </c>
      <c r="J133" s="229">
        <v>63624.959999999999</v>
      </c>
      <c r="K133" s="28">
        <f>[1]!Table3[[#This Row],[Residential Incentive Disbursements]]/'[1]1.) CLM Reference'!$B$5</f>
        <v>5.1085379719320535E-4</v>
      </c>
      <c r="L133" s="229">
        <v>0</v>
      </c>
      <c r="M133" s="28">
        <f>[1]!Table3[[#This Row],[C&amp;I CLM $ Collected]]/'[1]1.) CLM Reference'!$B$4</f>
        <v>0</v>
      </c>
      <c r="N133" s="229">
        <v>0</v>
      </c>
      <c r="O133" s="28">
        <f>[1]!Table3[[#This Row],[C&amp;I Incentive Disbursements]]/'[1]1.) CLM Reference'!$B$5</f>
        <v>0</v>
      </c>
      <c r="Q133">
        <f>VLOOKUP(Table3[[#This Row],[Census Tract]],'Population and Diversity Data'!$B$2:$K$823,10,FALSE)</f>
        <v>4</v>
      </c>
      <c r="R133" t="str">
        <f>VLOOKUP(Table3[[#This Row],[Census Tract]],'ES Energy Burden'!$B$2:$E$914,4,FALSE)</f>
        <v>No</v>
      </c>
    </row>
    <row r="134" spans="1:18" x14ac:dyDescent="0.2">
      <c r="A134" t="s">
        <v>2760</v>
      </c>
      <c r="B134" s="169">
        <v>9001210900</v>
      </c>
      <c r="C134" t="s">
        <v>944</v>
      </c>
      <c r="D134" s="170">
        <f>[1]!Table3[[#This Row],[Residential CLM $ Collected]]+[1]!Table3[[#This Row],[C&amp;I CLM $ Collected]]</f>
        <v>74198.912570999993</v>
      </c>
      <c r="E134" s="28">
        <f>[1]!Table3[[#This Row],[CLM $ Collected ]]/'[1]1.) CLM Reference'!$B$4</f>
        <v>7.9877891606781664E-4</v>
      </c>
      <c r="F134" s="170">
        <f>[1]!Table3[[#This Row],[Residential Incentive Disbursements]]+[1]!Table3[[#This Row],[C&amp;I Incentive Disbursements]]</f>
        <v>66178.91</v>
      </c>
      <c r="G134" s="28">
        <f>[1]!Table3[[#This Row],[Incentive Disbursements]]/'[1]1.) CLM Reference'!$B$5</f>
        <v>5.3135982274263728E-4</v>
      </c>
      <c r="H134" s="228">
        <v>74198.912570999993</v>
      </c>
      <c r="I134" s="28">
        <f>[1]!Table3[[#This Row],[Residential CLM $ Collected]]/'[1]1.) CLM Reference'!$B$4</f>
        <v>7.9877891606781664E-4</v>
      </c>
      <c r="J134" s="229">
        <v>66178.91</v>
      </c>
      <c r="K134" s="28">
        <f>[1]!Table3[[#This Row],[Residential Incentive Disbursements]]/'[1]1.) CLM Reference'!$B$5</f>
        <v>5.3135982274263728E-4</v>
      </c>
      <c r="L134" s="229">
        <v>0</v>
      </c>
      <c r="M134" s="28">
        <f>[1]!Table3[[#This Row],[C&amp;I CLM $ Collected]]/'[1]1.) CLM Reference'!$B$4</f>
        <v>0</v>
      </c>
      <c r="N134" s="229">
        <v>0</v>
      </c>
      <c r="O134" s="28">
        <f>[1]!Table3[[#This Row],[C&amp;I Incentive Disbursements]]/'[1]1.) CLM Reference'!$B$5</f>
        <v>0</v>
      </c>
      <c r="Q134">
        <f>VLOOKUP(Table3[[#This Row],[Census Tract]],'Population and Diversity Data'!$B$2:$K$823,10,FALSE)</f>
        <v>4</v>
      </c>
      <c r="R134" t="str">
        <f>VLOOKUP(Table3[[#This Row],[Census Tract]],'ES Energy Burden'!$B$2:$E$914,4,FALSE)</f>
        <v>No</v>
      </c>
    </row>
    <row r="135" spans="1:18" x14ac:dyDescent="0.2">
      <c r="A135" t="s">
        <v>2760</v>
      </c>
      <c r="B135" s="169">
        <v>9001211000</v>
      </c>
      <c r="C135" t="s">
        <v>944</v>
      </c>
      <c r="D135" s="170">
        <f>[1]!Table3[[#This Row],[Residential CLM $ Collected]]+[1]!Table3[[#This Row],[C&amp;I CLM $ Collected]]</f>
        <v>53136.210414000001</v>
      </c>
      <c r="E135" s="28">
        <f>[1]!Table3[[#This Row],[CLM $ Collected ]]/'[1]1.) CLM Reference'!$B$4</f>
        <v>5.7203108627545116E-4</v>
      </c>
      <c r="F135" s="170">
        <f>[1]!Table3[[#This Row],[Residential Incentive Disbursements]]+[1]!Table3[[#This Row],[C&amp;I Incentive Disbursements]]</f>
        <v>21357.1</v>
      </c>
      <c r="G135" s="28">
        <f>[1]!Table3[[#This Row],[Incentive Disbursements]]/'[1]1.) CLM Reference'!$B$5</f>
        <v>1.7147917471437317E-4</v>
      </c>
      <c r="H135" s="228">
        <v>53136.210414000001</v>
      </c>
      <c r="I135" s="28">
        <f>[1]!Table3[[#This Row],[Residential CLM $ Collected]]/'[1]1.) CLM Reference'!$B$4</f>
        <v>5.7203108627545116E-4</v>
      </c>
      <c r="J135" s="229">
        <v>21357.1</v>
      </c>
      <c r="K135" s="28">
        <f>[1]!Table3[[#This Row],[Residential Incentive Disbursements]]/'[1]1.) CLM Reference'!$B$5</f>
        <v>1.7147917471437317E-4</v>
      </c>
      <c r="L135" s="229">
        <v>0</v>
      </c>
      <c r="M135" s="28">
        <f>[1]!Table3[[#This Row],[C&amp;I CLM $ Collected]]/'[1]1.) CLM Reference'!$B$4</f>
        <v>0</v>
      </c>
      <c r="N135" s="229">
        <v>0</v>
      </c>
      <c r="O135" s="28">
        <f>[1]!Table3[[#This Row],[C&amp;I Incentive Disbursements]]/'[1]1.) CLM Reference'!$B$5</f>
        <v>0</v>
      </c>
      <c r="Q135">
        <f>VLOOKUP(Table3[[#This Row],[Census Tract]],'Population and Diversity Data'!$B$2:$K$823,10,FALSE)</f>
        <v>5</v>
      </c>
      <c r="R135" t="str">
        <f>VLOOKUP(Table3[[#This Row],[Census Tract]],'ES Energy Burden'!$B$2:$E$914,4,FALSE)</f>
        <v>No</v>
      </c>
    </row>
    <row r="136" spans="1:18" x14ac:dyDescent="0.2">
      <c r="A136" t="s">
        <v>2760</v>
      </c>
      <c r="B136" s="169">
        <v>9001211100</v>
      </c>
      <c r="C136" t="s">
        <v>944</v>
      </c>
      <c r="D136" s="170">
        <f>[1]!Table3[[#This Row],[Residential CLM $ Collected]]+[1]!Table3[[#This Row],[C&amp;I CLM $ Collected]]</f>
        <v>510.3861</v>
      </c>
      <c r="E136" s="28">
        <f>[1]!Table3[[#This Row],[CLM $ Collected ]]/'[1]1.) CLM Reference'!$B$4</f>
        <v>5.494496369390469E-6</v>
      </c>
      <c r="F136" s="170">
        <f>[1]!Table3[[#This Row],[Residential Incentive Disbursements]]+[1]!Table3[[#This Row],[C&amp;I Incentive Disbursements]]</f>
        <v>211.05</v>
      </c>
      <c r="G136" s="28">
        <f>[1]!Table3[[#This Row],[Incentive Disbursements]]/'[1]1.) CLM Reference'!$B$5</f>
        <v>1.6945502818017645E-6</v>
      </c>
      <c r="H136" s="228">
        <v>510.3861</v>
      </c>
      <c r="I136" s="28">
        <f>[1]!Table3[[#This Row],[Residential CLM $ Collected]]/'[1]1.) CLM Reference'!$B$4</f>
        <v>5.494496369390469E-6</v>
      </c>
      <c r="J136" s="229">
        <v>211.05</v>
      </c>
      <c r="K136" s="28">
        <f>[1]!Table3[[#This Row],[Residential Incentive Disbursements]]/'[1]1.) CLM Reference'!$B$5</f>
        <v>1.6945502818017645E-6</v>
      </c>
      <c r="L136" s="229">
        <v>0</v>
      </c>
      <c r="M136" s="28">
        <f>[1]!Table3[[#This Row],[C&amp;I CLM $ Collected]]/'[1]1.) CLM Reference'!$B$4</f>
        <v>0</v>
      </c>
      <c r="N136" s="229">
        <v>0</v>
      </c>
      <c r="O136" s="28">
        <f>[1]!Table3[[#This Row],[C&amp;I Incentive Disbursements]]/'[1]1.) CLM Reference'!$B$5</f>
        <v>0</v>
      </c>
      <c r="Q136" t="e">
        <f>VLOOKUP(Table3[[#This Row],[Census Tract]],'Population and Diversity Data'!$B$2:$K$823,10,FALSE)</f>
        <v>#N/A</v>
      </c>
      <c r="R136" t="e">
        <f>VLOOKUP(Table3[[#This Row],[Census Tract]],'ES Energy Burden'!$B$2:$E$914,4,FALSE)</f>
        <v>#N/A</v>
      </c>
    </row>
    <row r="137" spans="1:18" x14ac:dyDescent="0.2">
      <c r="A137" t="s">
        <v>2760</v>
      </c>
      <c r="B137" s="169">
        <v>9001211200</v>
      </c>
      <c r="C137" t="s">
        <v>944</v>
      </c>
      <c r="D137" s="170">
        <f>[1]!Table3[[#This Row],[Residential CLM $ Collected]]+[1]!Table3[[#This Row],[C&amp;I CLM $ Collected]]</f>
        <v>73265.709237000003</v>
      </c>
      <c r="E137" s="28">
        <f>[1]!Table3[[#This Row],[CLM $ Collected ]]/'[1]1.) CLM Reference'!$B$4</f>
        <v>7.887326347710376E-4</v>
      </c>
      <c r="F137" s="170">
        <f>[1]!Table3[[#This Row],[Residential Incentive Disbursements]]+[1]!Table3[[#This Row],[C&amp;I Incentive Disbursements]]</f>
        <v>33889.339999999997</v>
      </c>
      <c r="G137" s="28">
        <f>[1]!Table3[[#This Row],[Incentive Disbursements]]/'[1]1.) CLM Reference'!$B$5</f>
        <v>2.721023010996247E-4</v>
      </c>
      <c r="H137" s="228">
        <v>73265.709237000003</v>
      </c>
      <c r="I137" s="28">
        <f>[1]!Table3[[#This Row],[Residential CLM $ Collected]]/'[1]1.) CLM Reference'!$B$4</f>
        <v>7.887326347710376E-4</v>
      </c>
      <c r="J137" s="229">
        <v>33889.339999999997</v>
      </c>
      <c r="K137" s="28">
        <f>[1]!Table3[[#This Row],[Residential Incentive Disbursements]]/'[1]1.) CLM Reference'!$B$5</f>
        <v>2.721023010996247E-4</v>
      </c>
      <c r="L137" s="229">
        <v>0</v>
      </c>
      <c r="M137" s="28">
        <f>[1]!Table3[[#This Row],[C&amp;I CLM $ Collected]]/'[1]1.) CLM Reference'!$B$4</f>
        <v>0</v>
      </c>
      <c r="N137" s="229">
        <v>0</v>
      </c>
      <c r="O137" s="28">
        <f>[1]!Table3[[#This Row],[C&amp;I Incentive Disbursements]]/'[1]1.) CLM Reference'!$B$5</f>
        <v>0</v>
      </c>
      <c r="Q137">
        <f>VLOOKUP(Table3[[#This Row],[Census Tract]],'Population and Diversity Data'!$B$2:$K$823,10,FALSE)</f>
        <v>5</v>
      </c>
      <c r="R137" t="str">
        <f>VLOOKUP(Table3[[#This Row],[Census Tract]],'ES Energy Burden'!$B$2:$E$914,4,FALSE)</f>
        <v>No</v>
      </c>
    </row>
    <row r="138" spans="1:18" x14ac:dyDescent="0.2">
      <c r="A138" t="s">
        <v>2760</v>
      </c>
      <c r="B138" s="169">
        <v>9001211300</v>
      </c>
      <c r="C138" t="s">
        <v>944</v>
      </c>
      <c r="D138" s="170">
        <f>[1]!Table3[[#This Row],[Residential CLM $ Collected]]+[1]!Table3[[#This Row],[C&amp;I CLM $ Collected]]</f>
        <v>47380.371380999997</v>
      </c>
      <c r="E138" s="28">
        <f>[1]!Table3[[#This Row],[CLM $ Collected ]]/'[1]1.) CLM Reference'!$B$4</f>
        <v>5.1006733634257782E-4</v>
      </c>
      <c r="F138" s="170">
        <f>[1]!Table3[[#This Row],[Residential Incentive Disbursements]]+[1]!Table3[[#This Row],[C&amp;I Incentive Disbursements]]</f>
        <v>21328.87</v>
      </c>
      <c r="G138" s="28">
        <f>[1]!Table3[[#This Row],[Incentive Disbursements]]/'[1]1.) CLM Reference'!$B$5</f>
        <v>1.7125251205407817E-4</v>
      </c>
      <c r="H138" s="228">
        <v>47380.371380999997</v>
      </c>
      <c r="I138" s="28">
        <f>[1]!Table3[[#This Row],[Residential CLM $ Collected]]/'[1]1.) CLM Reference'!$B$4</f>
        <v>5.1006733634257782E-4</v>
      </c>
      <c r="J138" s="229">
        <v>21328.87</v>
      </c>
      <c r="K138" s="28">
        <f>[1]!Table3[[#This Row],[Residential Incentive Disbursements]]/'[1]1.) CLM Reference'!$B$5</f>
        <v>1.7125251205407817E-4</v>
      </c>
      <c r="L138" s="229">
        <v>0</v>
      </c>
      <c r="M138" s="28">
        <f>[1]!Table3[[#This Row],[C&amp;I CLM $ Collected]]/'[1]1.) CLM Reference'!$B$4</f>
        <v>0</v>
      </c>
      <c r="N138" s="229">
        <v>0</v>
      </c>
      <c r="O138" s="28">
        <f>[1]!Table3[[#This Row],[C&amp;I Incentive Disbursements]]/'[1]1.) CLM Reference'!$B$5</f>
        <v>0</v>
      </c>
      <c r="Q138">
        <f>VLOOKUP(Table3[[#This Row],[Census Tract]],'Population and Diversity Data'!$B$2:$K$823,10,FALSE)</f>
        <v>3</v>
      </c>
      <c r="R138" t="str">
        <f>VLOOKUP(Table3[[#This Row],[Census Tract]],'ES Energy Burden'!$B$2:$E$914,4,FALSE)</f>
        <v>No</v>
      </c>
    </row>
    <row r="139" spans="1:18" x14ac:dyDescent="0.2">
      <c r="A139" t="s">
        <v>2760</v>
      </c>
      <c r="B139" s="169">
        <v>9001211400</v>
      </c>
      <c r="C139" t="s">
        <v>944</v>
      </c>
      <c r="D139" s="170">
        <f>[1]!Table3[[#This Row],[Residential CLM $ Collected]]+[1]!Table3[[#This Row],[C&amp;I CLM $ Collected]]</f>
        <v>52618.105490999995</v>
      </c>
      <c r="E139" s="28">
        <f>[1]!Table3[[#This Row],[CLM $ Collected ]]/'[1]1.) CLM Reference'!$B$4</f>
        <v>5.6645349390295734E-4</v>
      </c>
      <c r="F139" s="170">
        <f>[1]!Table3[[#This Row],[Residential Incentive Disbursements]]+[1]!Table3[[#This Row],[C&amp;I Incentive Disbursements]]</f>
        <v>28844.46</v>
      </c>
      <c r="G139" s="28">
        <f>[1]!Table3[[#This Row],[Incentive Disbursements]]/'[1]1.) CLM Reference'!$B$5</f>
        <v>2.3159624648860327E-4</v>
      </c>
      <c r="H139" s="228">
        <v>52618.105490999995</v>
      </c>
      <c r="I139" s="28">
        <f>[1]!Table3[[#This Row],[Residential CLM $ Collected]]/'[1]1.) CLM Reference'!$B$4</f>
        <v>5.6645349390295734E-4</v>
      </c>
      <c r="J139" s="229">
        <v>28844.46</v>
      </c>
      <c r="K139" s="28">
        <f>[1]!Table3[[#This Row],[Residential Incentive Disbursements]]/'[1]1.) CLM Reference'!$B$5</f>
        <v>2.3159624648860327E-4</v>
      </c>
      <c r="L139" s="229">
        <v>0</v>
      </c>
      <c r="M139" s="28">
        <f>[1]!Table3[[#This Row],[C&amp;I CLM $ Collected]]/'[1]1.) CLM Reference'!$B$4</f>
        <v>0</v>
      </c>
      <c r="N139" s="229">
        <v>0</v>
      </c>
      <c r="O139" s="28">
        <f>[1]!Table3[[#This Row],[C&amp;I Incentive Disbursements]]/'[1]1.) CLM Reference'!$B$5</f>
        <v>0</v>
      </c>
      <c r="Q139">
        <f>VLOOKUP(Table3[[#This Row],[Census Tract]],'Population and Diversity Data'!$B$2:$K$823,10,FALSE)</f>
        <v>4</v>
      </c>
      <c r="R139" t="str">
        <f>VLOOKUP(Table3[[#This Row],[Census Tract]],'ES Energy Burden'!$B$2:$E$914,4,FALSE)</f>
        <v>No</v>
      </c>
    </row>
    <row r="140" spans="1:18" x14ac:dyDescent="0.2">
      <c r="A140" t="s">
        <v>2760</v>
      </c>
      <c r="B140" s="169">
        <v>9001220200</v>
      </c>
      <c r="C140" t="s">
        <v>944</v>
      </c>
      <c r="D140" s="170">
        <f>[1]!Table3[[#This Row],[Residential CLM $ Collected]]+[1]!Table3[[#This Row],[C&amp;I CLM $ Collected]]</f>
        <v>14.359590000000001</v>
      </c>
      <c r="E140" s="28">
        <f>[1]!Table3[[#This Row],[CLM $ Collected ]]/'[1]1.) CLM Reference'!$B$4</f>
        <v>1.5458633203556227E-7</v>
      </c>
      <c r="F140" s="170">
        <f>[1]!Table3[[#This Row],[Residential Incentive Disbursements]]+[1]!Table3[[#This Row],[C&amp;I Incentive Disbursements]]</f>
        <v>0</v>
      </c>
      <c r="G140" s="28">
        <f>[1]!Table3[[#This Row],[Incentive Disbursements]]/'[1]1.) CLM Reference'!$B$5</f>
        <v>0</v>
      </c>
      <c r="H140" s="228">
        <v>14.359590000000001</v>
      </c>
      <c r="I140" s="28">
        <f>[1]!Table3[[#This Row],[Residential CLM $ Collected]]/'[1]1.) CLM Reference'!$B$4</f>
        <v>1.5458633203556227E-7</v>
      </c>
      <c r="J140" s="229">
        <v>0</v>
      </c>
      <c r="K140" s="28">
        <f>[1]!Table3[[#This Row],[Residential Incentive Disbursements]]/'[1]1.) CLM Reference'!$B$5</f>
        <v>0</v>
      </c>
      <c r="L140" s="229">
        <v>0</v>
      </c>
      <c r="M140" s="28">
        <f>[1]!Table3[[#This Row],[C&amp;I CLM $ Collected]]/'[1]1.) CLM Reference'!$B$4</f>
        <v>0</v>
      </c>
      <c r="N140" s="229">
        <v>0</v>
      </c>
      <c r="O140" s="28">
        <f>[1]!Table3[[#This Row],[C&amp;I Incentive Disbursements]]/'[1]1.) CLM Reference'!$B$5</f>
        <v>0</v>
      </c>
      <c r="Q140">
        <f>VLOOKUP(Table3[[#This Row],[Census Tract]],'Population and Diversity Data'!$B$2:$K$823,10,FALSE)</f>
        <v>3</v>
      </c>
      <c r="R140" t="str">
        <f>VLOOKUP(Table3[[#This Row],[Census Tract]],'ES Energy Burden'!$B$2:$E$914,4,FALSE)</f>
        <v>No</v>
      </c>
    </row>
    <row r="141" spans="1:18" x14ac:dyDescent="0.2">
      <c r="A141" t="s">
        <v>2760</v>
      </c>
      <c r="B141" s="169">
        <v>9001240100</v>
      </c>
      <c r="C141" t="s">
        <v>944</v>
      </c>
      <c r="D141" s="170">
        <f>[1]!Table3[[#This Row],[Residential CLM $ Collected]]+[1]!Table3[[#This Row],[C&amp;I CLM $ Collected]]</f>
        <v>12.5097</v>
      </c>
      <c r="E141" s="28">
        <f>[1]!Table3[[#This Row],[CLM $ Collected ]]/'[1]1.) CLM Reference'!$B$4</f>
        <v>1.3467157752173101E-7</v>
      </c>
      <c r="F141" s="170">
        <f>[1]!Table3[[#This Row],[Residential Incentive Disbursements]]+[1]!Table3[[#This Row],[C&amp;I Incentive Disbursements]]</f>
        <v>0</v>
      </c>
      <c r="G141" s="28">
        <f>[1]!Table3[[#This Row],[Incentive Disbursements]]/'[1]1.) CLM Reference'!$B$5</f>
        <v>0</v>
      </c>
      <c r="H141" s="228">
        <v>12.5097</v>
      </c>
      <c r="I141" s="28">
        <f>[1]!Table3[[#This Row],[Residential CLM $ Collected]]/'[1]1.) CLM Reference'!$B$4</f>
        <v>1.3467157752173101E-7</v>
      </c>
      <c r="J141" s="229">
        <v>0</v>
      </c>
      <c r="K141" s="28">
        <f>[1]!Table3[[#This Row],[Residential Incentive Disbursements]]/'[1]1.) CLM Reference'!$B$5</f>
        <v>0</v>
      </c>
      <c r="L141" s="229">
        <v>0</v>
      </c>
      <c r="M141" s="28">
        <f>[1]!Table3[[#This Row],[C&amp;I CLM $ Collected]]/'[1]1.) CLM Reference'!$B$4</f>
        <v>0</v>
      </c>
      <c r="N141" s="229">
        <v>0</v>
      </c>
      <c r="O141" s="28">
        <f>[1]!Table3[[#This Row],[C&amp;I Incentive Disbursements]]/'[1]1.) CLM Reference'!$B$5</f>
        <v>0</v>
      </c>
      <c r="Q141">
        <f>VLOOKUP(Table3[[#This Row],[Census Tract]],'Population and Diversity Data'!$B$2:$K$823,10,FALSE)</f>
        <v>1</v>
      </c>
      <c r="R141" t="str">
        <f>VLOOKUP(Table3[[#This Row],[Census Tract]],'ES Energy Burden'!$B$2:$E$914,4,FALSE)</f>
        <v>No</v>
      </c>
    </row>
    <row r="142" spans="1:18" x14ac:dyDescent="0.2">
      <c r="A142" t="s">
        <v>2760</v>
      </c>
      <c r="B142" s="169">
        <v>9001245200</v>
      </c>
      <c r="C142" t="s">
        <v>944</v>
      </c>
      <c r="D142" s="170">
        <f>[1]!Table3[[#This Row],[Residential CLM $ Collected]]+[1]!Table3[[#This Row],[C&amp;I CLM $ Collected]]</f>
        <v>119.98686000000001</v>
      </c>
      <c r="E142" s="28">
        <f>[1]!Table3[[#This Row],[CLM $ Collected ]]/'[1]1.) CLM Reference'!$B$4</f>
        <v>1.291703215750904E-6</v>
      </c>
      <c r="F142" s="170">
        <f>[1]!Table3[[#This Row],[Residential Incentive Disbursements]]+[1]!Table3[[#This Row],[C&amp;I Incentive Disbursements]]</f>
        <v>0</v>
      </c>
      <c r="G142" s="28">
        <f>[1]!Table3[[#This Row],[Incentive Disbursements]]/'[1]1.) CLM Reference'!$B$5</f>
        <v>0</v>
      </c>
      <c r="H142" s="228">
        <v>119.98686000000001</v>
      </c>
      <c r="I142" s="28">
        <f>[1]!Table3[[#This Row],[Residential CLM $ Collected]]/'[1]1.) CLM Reference'!$B$4</f>
        <v>1.291703215750904E-6</v>
      </c>
      <c r="J142" s="229">
        <v>0</v>
      </c>
      <c r="K142" s="28">
        <f>[1]!Table3[[#This Row],[Residential Incentive Disbursements]]/'[1]1.) CLM Reference'!$B$5</f>
        <v>0</v>
      </c>
      <c r="L142" s="229">
        <v>0</v>
      </c>
      <c r="M142" s="28">
        <f>[1]!Table3[[#This Row],[C&amp;I CLM $ Collected]]/'[1]1.) CLM Reference'!$B$4</f>
        <v>0</v>
      </c>
      <c r="N142" s="229">
        <v>0</v>
      </c>
      <c r="O142" s="28">
        <f>[1]!Table3[[#This Row],[C&amp;I Incentive Disbursements]]/'[1]1.) CLM Reference'!$B$5</f>
        <v>0</v>
      </c>
      <c r="Q142">
        <f>VLOOKUP(Table3[[#This Row],[Census Tract]],'Population and Diversity Data'!$B$2:$K$823,10,FALSE)</f>
        <v>3</v>
      </c>
      <c r="R142" t="str">
        <f>VLOOKUP(Table3[[#This Row],[Census Tract]],'ES Energy Burden'!$B$2:$E$914,4,FALSE)</f>
        <v>No</v>
      </c>
    </row>
    <row r="143" spans="1:18" x14ac:dyDescent="0.2">
      <c r="A143" t="s">
        <v>2760</v>
      </c>
      <c r="B143" s="169">
        <v>9001245600</v>
      </c>
      <c r="C143" t="s">
        <v>944</v>
      </c>
      <c r="D143" s="170">
        <f>[1]!Table3[[#This Row],[Residential CLM $ Collected]]+[1]!Table3[[#This Row],[C&amp;I CLM $ Collected]]</f>
        <v>1568.13195</v>
      </c>
      <c r="E143" s="28">
        <f>[1]!Table3[[#This Row],[CLM $ Collected ]]/'[1]1.) CLM Reference'!$B$4</f>
        <v>1.6881524214707643E-5</v>
      </c>
      <c r="F143" s="170">
        <f>[1]!Table3[[#This Row],[Residential Incentive Disbursements]]+[1]!Table3[[#This Row],[C&amp;I Incentive Disbursements]]</f>
        <v>0</v>
      </c>
      <c r="G143" s="28">
        <f>[1]!Table3[[#This Row],[Incentive Disbursements]]/'[1]1.) CLM Reference'!$B$5</f>
        <v>0</v>
      </c>
      <c r="H143" s="228">
        <v>1568.13195</v>
      </c>
      <c r="I143" s="28">
        <f>[1]!Table3[[#This Row],[Residential CLM $ Collected]]/'[1]1.) CLM Reference'!$B$4</f>
        <v>1.6881524214707643E-5</v>
      </c>
      <c r="J143" s="229">
        <v>0</v>
      </c>
      <c r="K143" s="28">
        <f>[1]!Table3[[#This Row],[Residential Incentive Disbursements]]/'[1]1.) CLM Reference'!$B$5</f>
        <v>0</v>
      </c>
      <c r="L143" s="229">
        <v>0</v>
      </c>
      <c r="M143" s="28">
        <f>[1]!Table3[[#This Row],[C&amp;I CLM $ Collected]]/'[1]1.) CLM Reference'!$B$4</f>
        <v>0</v>
      </c>
      <c r="N143" s="229">
        <v>0</v>
      </c>
      <c r="O143" s="28">
        <f>[1]!Table3[[#This Row],[C&amp;I Incentive Disbursements]]/'[1]1.) CLM Reference'!$B$5</f>
        <v>0</v>
      </c>
      <c r="Q143">
        <f>VLOOKUP(Table3[[#This Row],[Census Tract]],'Population and Diversity Data'!$B$2:$K$823,10,FALSE)</f>
        <v>3</v>
      </c>
      <c r="R143" t="str">
        <f>VLOOKUP(Table3[[#This Row],[Census Tract]],'ES Energy Burden'!$B$2:$E$914,4,FALSE)</f>
        <v>No</v>
      </c>
    </row>
    <row r="144" spans="1:18" x14ac:dyDescent="0.2">
      <c r="A144" t="s">
        <v>2761</v>
      </c>
      <c r="B144" s="169">
        <v>9001030100</v>
      </c>
      <c r="C144" t="s">
        <v>944</v>
      </c>
      <c r="D144" s="170">
        <f>[1]!Table3[[#This Row],[Residential CLM $ Collected]]+[1]!Table3[[#This Row],[C&amp;I CLM $ Collected]]</f>
        <v>80986.744860000006</v>
      </c>
      <c r="E144" s="28">
        <f>[1]!Table3[[#This Row],[CLM $ Collected ]]/'[1]1.) CLM Reference'!$B$4</f>
        <v>8.7185245758460551E-4</v>
      </c>
      <c r="F144" s="170">
        <f>[1]!Table3[[#This Row],[Residential Incentive Disbursements]]+[1]!Table3[[#This Row],[C&amp;I Incentive Disbursements]]</f>
        <v>33785.24</v>
      </c>
      <c r="G144" s="28">
        <f>[1]!Table3[[#This Row],[Incentive Disbursements]]/'[1]1.) CLM Reference'!$B$5</f>
        <v>2.7126646748514683E-4</v>
      </c>
      <c r="H144" s="228">
        <v>80986.744860000006</v>
      </c>
      <c r="I144" s="28">
        <f>[1]!Table3[[#This Row],[Residential CLM $ Collected]]/'[1]1.) CLM Reference'!$B$4</f>
        <v>8.7185245758460551E-4</v>
      </c>
      <c r="J144" s="229">
        <v>33785.24</v>
      </c>
      <c r="K144" s="28">
        <f>[1]!Table3[[#This Row],[Residential Incentive Disbursements]]/'[1]1.) CLM Reference'!$B$5</f>
        <v>2.7126646748514683E-4</v>
      </c>
      <c r="L144" s="229">
        <v>0</v>
      </c>
      <c r="M144" s="28">
        <f>[1]!Table3[[#This Row],[C&amp;I CLM $ Collected]]/'[1]1.) CLM Reference'!$B$4</f>
        <v>0</v>
      </c>
      <c r="N144" s="229">
        <v>0</v>
      </c>
      <c r="O144" s="28">
        <f>[1]!Table3[[#This Row],[C&amp;I Incentive Disbursements]]/'[1]1.) CLM Reference'!$B$5</f>
        <v>0</v>
      </c>
      <c r="Q144">
        <f>VLOOKUP(Table3[[#This Row],[Census Tract]],'Population and Diversity Data'!$B$2:$K$823,10,FALSE)</f>
        <v>1</v>
      </c>
      <c r="R144" t="str">
        <f>VLOOKUP(Table3[[#This Row],[Census Tract]],'ES Energy Burden'!$B$2:$E$914,4,FALSE)</f>
        <v>No</v>
      </c>
    </row>
    <row r="145" spans="1:18" x14ac:dyDescent="0.2">
      <c r="A145" t="s">
        <v>2761</v>
      </c>
      <c r="B145" s="169">
        <v>9001030200</v>
      </c>
      <c r="C145" t="s">
        <v>944</v>
      </c>
      <c r="D145" s="170">
        <f>[1]!Table3[[#This Row],[Residential CLM $ Collected]]+[1]!Table3[[#This Row],[C&amp;I CLM $ Collected]]</f>
        <v>54310.350570000002</v>
      </c>
      <c r="E145" s="28">
        <f>[1]!Table3[[#This Row],[CLM $ Collected ]]/'[1]1.) CLM Reference'!$B$4</f>
        <v>5.8467114215529886E-4</v>
      </c>
      <c r="F145" s="170">
        <f>[1]!Table3[[#This Row],[Residential Incentive Disbursements]]+[1]!Table3[[#This Row],[C&amp;I Incentive Disbursements]]</f>
        <v>27065.39</v>
      </c>
      <c r="G145" s="28">
        <f>[1]!Table3[[#This Row],[Incentive Disbursements]]/'[1]1.) CLM Reference'!$B$5</f>
        <v>2.1731184198803437E-4</v>
      </c>
      <c r="H145" s="228">
        <v>54310.350570000002</v>
      </c>
      <c r="I145" s="28">
        <f>[1]!Table3[[#This Row],[Residential CLM $ Collected]]/'[1]1.) CLM Reference'!$B$4</f>
        <v>5.8467114215529886E-4</v>
      </c>
      <c r="J145" s="229">
        <v>27065.39</v>
      </c>
      <c r="K145" s="28">
        <f>[1]!Table3[[#This Row],[Residential Incentive Disbursements]]/'[1]1.) CLM Reference'!$B$5</f>
        <v>2.1731184198803437E-4</v>
      </c>
      <c r="L145" s="229">
        <v>0</v>
      </c>
      <c r="M145" s="28">
        <f>[1]!Table3[[#This Row],[C&amp;I CLM $ Collected]]/'[1]1.) CLM Reference'!$B$4</f>
        <v>0</v>
      </c>
      <c r="N145" s="229">
        <v>0</v>
      </c>
      <c r="O145" s="28">
        <f>[1]!Table3[[#This Row],[C&amp;I Incentive Disbursements]]/'[1]1.) CLM Reference'!$B$5</f>
        <v>0</v>
      </c>
      <c r="Q145">
        <f>VLOOKUP(Table3[[#This Row],[Census Tract]],'Population and Diversity Data'!$B$2:$K$823,10,FALSE)</f>
        <v>3</v>
      </c>
      <c r="R145" t="str">
        <f>VLOOKUP(Table3[[#This Row],[Census Tract]],'ES Energy Burden'!$B$2:$E$914,4,FALSE)</f>
        <v>No</v>
      </c>
    </row>
    <row r="146" spans="1:18" x14ac:dyDescent="0.2">
      <c r="A146" t="s">
        <v>2761</v>
      </c>
      <c r="B146" s="169">
        <v>9001030300</v>
      </c>
      <c r="C146" t="s">
        <v>944</v>
      </c>
      <c r="D146" s="170">
        <f>[1]!Table3[[#This Row],[Residential CLM $ Collected]]+[1]!Table3[[#This Row],[C&amp;I CLM $ Collected]]</f>
        <v>93291.261630000008</v>
      </c>
      <c r="E146" s="28">
        <f>[1]!Table3[[#This Row],[CLM $ Collected ]]/'[1]1.) CLM Reference'!$B$4</f>
        <v>1.0043151612512398E-3</v>
      </c>
      <c r="F146" s="170">
        <f>[1]!Table3[[#This Row],[Residential Incentive Disbursements]]+[1]!Table3[[#This Row],[C&amp;I Incentive Disbursements]]</f>
        <v>36540.699999999997</v>
      </c>
      <c r="G146" s="28">
        <f>[1]!Table3[[#This Row],[Incentive Disbursements]]/'[1]1.) CLM Reference'!$B$5</f>
        <v>2.933904453079068E-4</v>
      </c>
      <c r="H146" s="228">
        <v>93291.261630000008</v>
      </c>
      <c r="I146" s="28">
        <f>[1]!Table3[[#This Row],[Residential CLM $ Collected]]/'[1]1.) CLM Reference'!$B$4</f>
        <v>1.0043151612512398E-3</v>
      </c>
      <c r="J146" s="229">
        <v>36540.699999999997</v>
      </c>
      <c r="K146" s="28">
        <f>[1]!Table3[[#This Row],[Residential Incentive Disbursements]]/'[1]1.) CLM Reference'!$B$5</f>
        <v>2.933904453079068E-4</v>
      </c>
      <c r="L146" s="229">
        <v>0</v>
      </c>
      <c r="M146" s="28">
        <f>[1]!Table3[[#This Row],[C&amp;I CLM $ Collected]]/'[1]1.) CLM Reference'!$B$4</f>
        <v>0</v>
      </c>
      <c r="N146" s="229">
        <v>0</v>
      </c>
      <c r="O146" s="28">
        <f>[1]!Table3[[#This Row],[C&amp;I Incentive Disbursements]]/'[1]1.) CLM Reference'!$B$5</f>
        <v>0</v>
      </c>
      <c r="Q146">
        <f>VLOOKUP(Table3[[#This Row],[Census Tract]],'Population and Diversity Data'!$B$2:$K$823,10,FALSE)</f>
        <v>1</v>
      </c>
      <c r="R146" t="str">
        <f>VLOOKUP(Table3[[#This Row],[Census Tract]],'ES Energy Burden'!$B$2:$E$914,4,FALSE)</f>
        <v>No</v>
      </c>
    </row>
    <row r="147" spans="1:18" x14ac:dyDescent="0.2">
      <c r="A147" t="s">
        <v>2761</v>
      </c>
      <c r="B147" s="169">
        <v>9001030400</v>
      </c>
      <c r="C147" t="s">
        <v>944</v>
      </c>
      <c r="D147" s="170">
        <f>[1]!Table3[[#This Row],[Residential CLM $ Collected]]+[1]!Table3[[#This Row],[C&amp;I CLM $ Collected]]</f>
        <v>49707.346080000003</v>
      </c>
      <c r="E147" s="28">
        <f>[1]!Table3[[#This Row],[CLM $ Collected ]]/'[1]1.) CLM Reference'!$B$4</f>
        <v>5.3511808524682697E-4</v>
      </c>
      <c r="F147" s="170">
        <f>[1]!Table3[[#This Row],[Residential Incentive Disbursements]]+[1]!Table3[[#This Row],[C&amp;I Incentive Disbursements]]</f>
        <v>29355.96</v>
      </c>
      <c r="G147" s="28">
        <f>[1]!Table3[[#This Row],[Incentive Disbursements]]/'[1]1.) CLM Reference'!$B$5</f>
        <v>2.3570315228884777E-4</v>
      </c>
      <c r="H147" s="228">
        <v>49707.346080000003</v>
      </c>
      <c r="I147" s="28">
        <f>[1]!Table3[[#This Row],[Residential CLM $ Collected]]/'[1]1.) CLM Reference'!$B$4</f>
        <v>5.3511808524682697E-4</v>
      </c>
      <c r="J147" s="229">
        <v>29355.96</v>
      </c>
      <c r="K147" s="28">
        <f>[1]!Table3[[#This Row],[Residential Incentive Disbursements]]/'[1]1.) CLM Reference'!$B$5</f>
        <v>2.3570315228884777E-4</v>
      </c>
      <c r="L147" s="229">
        <v>0</v>
      </c>
      <c r="M147" s="28">
        <f>[1]!Table3[[#This Row],[C&amp;I CLM $ Collected]]/'[1]1.) CLM Reference'!$B$4</f>
        <v>0</v>
      </c>
      <c r="N147" s="229">
        <v>0</v>
      </c>
      <c r="O147" s="28">
        <f>[1]!Table3[[#This Row],[C&amp;I Incentive Disbursements]]/'[1]1.) CLM Reference'!$B$5</f>
        <v>0</v>
      </c>
      <c r="Q147">
        <f>VLOOKUP(Table3[[#This Row],[Census Tract]],'Population and Diversity Data'!$B$2:$K$823,10,FALSE)</f>
        <v>3</v>
      </c>
      <c r="R147" t="str">
        <f>VLOOKUP(Table3[[#This Row],[Census Tract]],'ES Energy Burden'!$B$2:$E$914,4,FALSE)</f>
        <v>No</v>
      </c>
    </row>
    <row r="148" spans="1:18" x14ac:dyDescent="0.2">
      <c r="A148" t="s">
        <v>2761</v>
      </c>
      <c r="B148" s="169">
        <v>9001030500</v>
      </c>
      <c r="C148" t="s">
        <v>944</v>
      </c>
      <c r="D148" s="170">
        <f>[1]!Table3[[#This Row],[Residential CLM $ Collected]]+[1]!Table3[[#This Row],[C&amp;I CLM $ Collected]]</f>
        <v>372518.73359399999</v>
      </c>
      <c r="E148" s="28">
        <f>[1]!Table3[[#This Row],[CLM $ Collected ]]/'[1]1.) CLM Reference'!$B$4</f>
        <v>4.0103028457518109E-3</v>
      </c>
      <c r="F148" s="170">
        <f>[1]!Table3[[#This Row],[Residential Incentive Disbursements]]+[1]!Table3[[#This Row],[C&amp;I Incentive Disbursements]]</f>
        <v>384149.23499999999</v>
      </c>
      <c r="G148" s="28">
        <f>[1]!Table3[[#This Row],[Incentive Disbursements]]/'[1]1.) CLM Reference'!$B$5</f>
        <v>3.0843885070987072E-3</v>
      </c>
      <c r="H148" s="228">
        <v>251919.38129399999</v>
      </c>
      <c r="I148" s="28">
        <f>[1]!Table3[[#This Row],[Residential CLM $ Collected]]/'[1]1.) CLM Reference'!$B$4</f>
        <v>2.7120059223771495E-3</v>
      </c>
      <c r="J148" s="229">
        <v>339693.55499999999</v>
      </c>
      <c r="K148" s="28">
        <f>[1]!Table3[[#This Row],[Residential Incentive Disbursements]]/'[1]1.) CLM Reference'!$B$5</f>
        <v>2.7274475685927181E-3</v>
      </c>
      <c r="L148" s="229">
        <v>120599.3523</v>
      </c>
      <c r="M148" s="28">
        <f>[1]!Table3[[#This Row],[C&amp;I CLM $ Collected]]/'[1]1.) CLM Reference'!$B$4</f>
        <v>1.298296923374661E-3</v>
      </c>
      <c r="N148" s="229">
        <v>44455.68</v>
      </c>
      <c r="O148" s="28">
        <f>[1]!Table3[[#This Row],[C&amp;I Incentive Disbursements]]/'[1]1.) CLM Reference'!$B$5</f>
        <v>3.5694093850598938E-4</v>
      </c>
      <c r="Q148">
        <f>VLOOKUP(Table3[[#This Row],[Census Tract]],'Population and Diversity Data'!$B$2:$K$823,10,FALSE)</f>
        <v>3</v>
      </c>
      <c r="R148" t="str">
        <f>VLOOKUP(Table3[[#This Row],[Census Tract]],'ES Energy Burden'!$B$2:$E$914,4,FALSE)</f>
        <v>No</v>
      </c>
    </row>
    <row r="149" spans="1:18" x14ac:dyDescent="0.2">
      <c r="A149" t="s">
        <v>2762</v>
      </c>
      <c r="B149" s="169">
        <v>9007620100</v>
      </c>
      <c r="C149" t="s">
        <v>944</v>
      </c>
      <c r="D149" s="170">
        <f>[1]!Table3[[#This Row],[Residential CLM $ Collected]]+[1]!Table3[[#This Row],[C&amp;I CLM $ Collected]]</f>
        <v>114732.387042</v>
      </c>
      <c r="E149" s="28">
        <f>[1]!Table3[[#This Row],[CLM $ Collected ]]/'[1]1.) CLM Reference'!$B$4</f>
        <v>1.2351368582603857E-3</v>
      </c>
      <c r="F149" s="170">
        <f>[1]!Table3[[#This Row],[Residential Incentive Disbursements]]+[1]!Table3[[#This Row],[C&amp;I Incentive Disbursements]]</f>
        <v>90516.819999999992</v>
      </c>
      <c r="G149" s="28">
        <f>[1]!Table3[[#This Row],[Incentive Disbursements]]/'[1]1.) CLM Reference'!$B$5</f>
        <v>7.2677234228286935E-4</v>
      </c>
      <c r="H149" s="228">
        <v>87178.565291999999</v>
      </c>
      <c r="I149" s="28">
        <f>[1]!Table3[[#This Row],[Residential CLM $ Collected]]/'[1]1.) CLM Reference'!$B$4</f>
        <v>9.3850970958175373E-4</v>
      </c>
      <c r="J149" s="229">
        <v>75616.62</v>
      </c>
      <c r="K149" s="28">
        <f>[1]!Table3[[#This Row],[Residential Incentive Disbursements]]/'[1]1.) CLM Reference'!$B$5</f>
        <v>6.0713653034777035E-4</v>
      </c>
      <c r="L149" s="229">
        <v>27553.821749999999</v>
      </c>
      <c r="M149" s="28">
        <f>[1]!Table3[[#This Row],[C&amp;I CLM $ Collected]]/'[1]1.) CLM Reference'!$B$4</f>
        <v>2.9662714867863195E-4</v>
      </c>
      <c r="N149" s="229">
        <v>14900.2</v>
      </c>
      <c r="O149" s="28">
        <f>[1]!Table3[[#This Row],[C&amp;I Incentive Disbursements]]/'[1]1.) CLM Reference'!$B$5</f>
        <v>1.1963581193509903E-4</v>
      </c>
      <c r="Q149">
        <f>VLOOKUP(Table3[[#This Row],[Census Tract]],'Population and Diversity Data'!$B$2:$K$823,10,FALSE)</f>
        <v>1</v>
      </c>
      <c r="R149" t="str">
        <f>VLOOKUP(Table3[[#This Row],[Census Tract]],'ES Energy Burden'!$B$2:$E$914,4,FALSE)</f>
        <v>No</v>
      </c>
    </row>
    <row r="150" spans="1:18" x14ac:dyDescent="0.2">
      <c r="A150" t="s">
        <v>2763</v>
      </c>
      <c r="B150" s="169">
        <v>9007585100</v>
      </c>
      <c r="C150" t="s">
        <v>944</v>
      </c>
      <c r="D150" s="170">
        <f>[1]!Table3[[#This Row],[Residential CLM $ Collected]]+[1]!Table3[[#This Row],[C&amp;I CLM $ Collected]]</f>
        <v>156499.02282000001</v>
      </c>
      <c r="E150" s="28">
        <f>[1]!Table3[[#This Row],[CLM $ Collected ]]/'[1]1.) CLM Reference'!$B$4</f>
        <v>1.6847702409952901E-3</v>
      </c>
      <c r="F150" s="170">
        <f>[1]!Table3[[#This Row],[Residential Incentive Disbursements]]+[1]!Table3[[#This Row],[C&amp;I Incentive Disbursements]]</f>
        <v>195258.505</v>
      </c>
      <c r="G150" s="28">
        <f>[1]!Table3[[#This Row],[Incentive Disbursements]]/'[1]1.) CLM Reference'!$B$5</f>
        <v>1.5677581363276059E-3</v>
      </c>
      <c r="H150" s="228">
        <v>126645.1599</v>
      </c>
      <c r="I150" s="28">
        <f>[1]!Table3[[#This Row],[Residential CLM $ Collected]]/'[1]1.) CLM Reference'!$B$4</f>
        <v>1.3633822928787154E-3</v>
      </c>
      <c r="J150" s="229">
        <v>164083.505</v>
      </c>
      <c r="K150" s="28">
        <f>[1]!Table3[[#This Row],[Residential Incentive Disbursements]]/'[1]1.) CLM Reference'!$B$5</f>
        <v>1.3174496547584517E-3</v>
      </c>
      <c r="L150" s="229">
        <v>29853.86292</v>
      </c>
      <c r="M150" s="28">
        <f>[1]!Table3[[#This Row],[C&amp;I CLM $ Collected]]/'[1]1.) CLM Reference'!$B$4</f>
        <v>3.2138794811657436E-4</v>
      </c>
      <c r="N150" s="229">
        <v>31175</v>
      </c>
      <c r="O150" s="28">
        <f>[1]!Table3[[#This Row],[C&amp;I Incentive Disbursements]]/'[1]1.) CLM Reference'!$B$5</f>
        <v>2.5030848156915427E-4</v>
      </c>
      <c r="Q150">
        <f>VLOOKUP(Table3[[#This Row],[Census Tract]],'Population and Diversity Data'!$B$2:$K$823,10,FALSE)</f>
        <v>1</v>
      </c>
      <c r="R150" t="str">
        <f>VLOOKUP(Table3[[#This Row],[Census Tract]],'ES Energy Burden'!$B$2:$E$914,4,FALSE)</f>
        <v>No</v>
      </c>
    </row>
    <row r="151" spans="1:18" x14ac:dyDescent="0.2">
      <c r="A151" t="s">
        <v>2763</v>
      </c>
      <c r="B151" s="169">
        <v>9009190303</v>
      </c>
      <c r="C151" t="s">
        <v>944</v>
      </c>
      <c r="D151" s="170">
        <f>[1]!Table3[[#This Row],[Residential CLM $ Collected]]+[1]!Table3[[#This Row],[C&amp;I CLM $ Collected]]</f>
        <v>65.311260000000004</v>
      </c>
      <c r="E151" s="28">
        <f>[1]!Table3[[#This Row],[CLM $ Collected ]]/'[1]1.) CLM Reference'!$B$4</f>
        <v>7.0310002750920718E-7</v>
      </c>
      <c r="F151" s="170">
        <f>[1]!Table3[[#This Row],[Residential Incentive Disbursements]]+[1]!Table3[[#This Row],[C&amp;I Incentive Disbursements]]</f>
        <v>0</v>
      </c>
      <c r="G151" s="28">
        <f>[1]!Table3[[#This Row],[Incentive Disbursements]]/'[1]1.) CLM Reference'!$B$5</f>
        <v>0</v>
      </c>
      <c r="H151" s="228">
        <v>65.311260000000004</v>
      </c>
      <c r="I151" s="28">
        <f>[1]!Table3[[#This Row],[Residential CLM $ Collected]]/'[1]1.) CLM Reference'!$B$4</f>
        <v>7.0310002750920718E-7</v>
      </c>
      <c r="J151" s="229">
        <v>0</v>
      </c>
      <c r="K151" s="28">
        <f>[1]!Table3[[#This Row],[Residential Incentive Disbursements]]/'[1]1.) CLM Reference'!$B$5</f>
        <v>0</v>
      </c>
      <c r="L151" s="229">
        <v>0</v>
      </c>
      <c r="M151" s="28">
        <f>[1]!Table3[[#This Row],[C&amp;I CLM $ Collected]]/'[1]1.) CLM Reference'!$B$4</f>
        <v>0</v>
      </c>
      <c r="N151" s="229">
        <v>0</v>
      </c>
      <c r="O151" s="28">
        <f>[1]!Table3[[#This Row],[C&amp;I Incentive Disbursements]]/'[1]1.) CLM Reference'!$B$5</f>
        <v>0</v>
      </c>
      <c r="Q151">
        <f>VLOOKUP(Table3[[#This Row],[Census Tract]],'Population and Diversity Data'!$B$2:$K$823,10,FALSE)</f>
        <v>2</v>
      </c>
      <c r="R151" t="str">
        <f>VLOOKUP(Table3[[#This Row],[Census Tract]],'ES Energy Burden'!$B$2:$E$914,4,FALSE)</f>
        <v>No</v>
      </c>
    </row>
    <row r="152" spans="1:18" x14ac:dyDescent="0.2">
      <c r="A152" t="s">
        <v>2764</v>
      </c>
      <c r="B152" s="169">
        <v>9003470100</v>
      </c>
      <c r="C152" t="s">
        <v>944</v>
      </c>
      <c r="D152" s="170">
        <f>[1]!Table3[[#This Row],[Residential CLM $ Collected]]+[1]!Table3[[#This Row],[C&amp;I CLM $ Collected]]</f>
        <v>143469.279618</v>
      </c>
      <c r="E152" s="28">
        <f>[1]!Table3[[#This Row],[CLM $ Collected ]]/'[1]1.) CLM Reference'!$B$4</f>
        <v>1.5445002048060615E-3</v>
      </c>
      <c r="F152" s="170">
        <f>[1]!Table3[[#This Row],[Residential Incentive Disbursements]]+[1]!Table3[[#This Row],[C&amp;I Incentive Disbursements]]</f>
        <v>286985.07500000001</v>
      </c>
      <c r="G152" s="28">
        <f>[1]!Table3[[#This Row],[Incentive Disbursements]]/'[1]1.) CLM Reference'!$B$5</f>
        <v>2.3042437323579743E-3</v>
      </c>
      <c r="H152" s="228">
        <v>91943.269488000005</v>
      </c>
      <c r="I152" s="28">
        <f>[1]!Table3[[#This Row],[Residential CLM $ Collected]]/'[1]1.) CLM Reference'!$B$4</f>
        <v>9.8980352402172687E-4</v>
      </c>
      <c r="J152" s="229">
        <v>244559.94500000001</v>
      </c>
      <c r="K152" s="28">
        <f>[1]!Table3[[#This Row],[Residential Incentive Disbursements]]/'[1]1.) CLM Reference'!$B$5</f>
        <v>1.9636063668191138E-3</v>
      </c>
      <c r="L152" s="229">
        <v>51526.010130000002</v>
      </c>
      <c r="M152" s="28">
        <f>[1]!Table3[[#This Row],[C&amp;I CLM $ Collected]]/'[1]1.) CLM Reference'!$B$4</f>
        <v>5.5469668078433464E-4</v>
      </c>
      <c r="N152" s="229">
        <v>42425.13</v>
      </c>
      <c r="O152" s="28">
        <f>[1]!Table3[[#This Row],[C&amp;I Incentive Disbursements]]/'[1]1.) CLM Reference'!$B$5</f>
        <v>3.4063736553886038E-4</v>
      </c>
      <c r="Q152">
        <f>VLOOKUP(Table3[[#This Row],[Census Tract]],'Population and Diversity Data'!$B$2:$K$823,10,FALSE)</f>
        <v>3</v>
      </c>
      <c r="R152" t="str">
        <f>VLOOKUP(Table3[[#This Row],[Census Tract]],'ES Energy Burden'!$B$2:$E$914,4,FALSE)</f>
        <v>No</v>
      </c>
    </row>
    <row r="153" spans="1:18" x14ac:dyDescent="0.2">
      <c r="A153" t="s">
        <v>2764</v>
      </c>
      <c r="B153" s="169">
        <v>9003477101</v>
      </c>
      <c r="C153" t="s">
        <v>944</v>
      </c>
      <c r="D153" s="170">
        <f>[1]!Table3[[#This Row],[Residential CLM $ Collected]]+[1]!Table3[[#This Row],[C&amp;I CLM $ Collected]]</f>
        <v>100.43019</v>
      </c>
      <c r="E153" s="28">
        <f>[1]!Table3[[#This Row],[CLM $ Collected ]]/'[1]1.) CLM Reference'!$B$4</f>
        <v>1.0811683827835338E-6</v>
      </c>
      <c r="F153" s="170">
        <f>[1]!Table3[[#This Row],[Residential Incentive Disbursements]]+[1]!Table3[[#This Row],[C&amp;I Incentive Disbursements]]</f>
        <v>0</v>
      </c>
      <c r="G153" s="28">
        <f>[1]!Table3[[#This Row],[Incentive Disbursements]]/'[1]1.) CLM Reference'!$B$5</f>
        <v>0</v>
      </c>
      <c r="H153" s="228">
        <v>100.43019</v>
      </c>
      <c r="I153" s="28">
        <f>[1]!Table3[[#This Row],[Residential CLM $ Collected]]/'[1]1.) CLM Reference'!$B$4</f>
        <v>1.0811683827835338E-6</v>
      </c>
      <c r="J153" s="229">
        <v>0</v>
      </c>
      <c r="K153" s="28">
        <f>[1]!Table3[[#This Row],[Residential Incentive Disbursements]]/'[1]1.) CLM Reference'!$B$5</f>
        <v>0</v>
      </c>
      <c r="L153" s="229">
        <v>0</v>
      </c>
      <c r="M153" s="28">
        <f>[1]!Table3[[#This Row],[C&amp;I CLM $ Collected]]/'[1]1.) CLM Reference'!$B$4</f>
        <v>0</v>
      </c>
      <c r="N153" s="229">
        <v>0</v>
      </c>
      <c r="O153" s="28">
        <f>[1]!Table3[[#This Row],[C&amp;I Incentive Disbursements]]/'[1]1.) CLM Reference'!$B$5</f>
        <v>0</v>
      </c>
      <c r="Q153">
        <f>VLOOKUP(Table3[[#This Row],[Census Tract]],'Population and Diversity Data'!$B$2:$K$823,10,FALSE)</f>
        <v>1</v>
      </c>
      <c r="R153" t="str">
        <f>VLOOKUP(Table3[[#This Row],[Census Tract]],'ES Energy Burden'!$B$2:$E$914,4,FALSE)</f>
        <v>No</v>
      </c>
    </row>
    <row r="154" spans="1:18" x14ac:dyDescent="0.2">
      <c r="A154" t="s">
        <v>2765</v>
      </c>
      <c r="B154" s="169">
        <v>9007595101</v>
      </c>
      <c r="C154" t="s">
        <v>944</v>
      </c>
      <c r="D154" s="170">
        <f>[1]!Table3[[#This Row],[Residential CLM $ Collected]]+[1]!Table3[[#This Row],[C&amp;I CLM $ Collected]]</f>
        <v>109250.07912000001</v>
      </c>
      <c r="E154" s="28">
        <f>[1]!Table3[[#This Row],[CLM $ Collected ]]/'[1]1.) CLM Reference'!$B$4</f>
        <v>1.1761177725656351E-3</v>
      </c>
      <c r="F154" s="170">
        <f>[1]!Table3[[#This Row],[Residential Incentive Disbursements]]+[1]!Table3[[#This Row],[C&amp;I Incentive Disbursements]]</f>
        <v>154432.51</v>
      </c>
      <c r="G154" s="28">
        <f>[1]!Table3[[#This Row],[Incentive Disbursements]]/'[1]1.) CLM Reference'!$B$5</f>
        <v>1.2399604517406009E-3</v>
      </c>
      <c r="H154" s="228">
        <v>90655.912200000006</v>
      </c>
      <c r="I154" s="28">
        <f>[1]!Table3[[#This Row],[Residential CLM $ Collected]]/'[1]1.) CLM Reference'!$B$4</f>
        <v>9.7594464356823415E-4</v>
      </c>
      <c r="J154" s="229">
        <v>153560.51</v>
      </c>
      <c r="K154" s="28">
        <f>[1]!Table3[[#This Row],[Residential Incentive Disbursements]]/'[1]1.) CLM Reference'!$B$5</f>
        <v>1.2329590404838791E-3</v>
      </c>
      <c r="L154" s="229">
        <v>18594.16692</v>
      </c>
      <c r="M154" s="28">
        <f>[1]!Table3[[#This Row],[C&amp;I CLM $ Collected]]/'[1]1.) CLM Reference'!$B$4</f>
        <v>2.0017312899740089E-4</v>
      </c>
      <c r="N154" s="229">
        <v>872</v>
      </c>
      <c r="O154" s="28">
        <f>[1]!Table3[[#This Row],[C&amp;I Incentive Disbursements]]/'[1]1.) CLM Reference'!$B$5</f>
        <v>7.0014112567218124E-6</v>
      </c>
      <c r="Q154">
        <f>VLOOKUP(Table3[[#This Row],[Census Tract]],'Population and Diversity Data'!$B$2:$K$823,10,FALSE)</f>
        <v>1</v>
      </c>
      <c r="R154" t="str">
        <f>VLOOKUP(Table3[[#This Row],[Census Tract]],'ES Energy Burden'!$B$2:$E$914,4,FALSE)</f>
        <v>No</v>
      </c>
    </row>
    <row r="155" spans="1:18" x14ac:dyDescent="0.2">
      <c r="A155" t="s">
        <v>2765</v>
      </c>
      <c r="B155" s="169">
        <v>9007595102</v>
      </c>
      <c r="C155" t="s">
        <v>944</v>
      </c>
      <c r="D155" s="170">
        <f>[1]!Table3[[#This Row],[Residential CLM $ Collected]]+[1]!Table3[[#This Row],[C&amp;I CLM $ Collected]]</f>
        <v>79929.454962000003</v>
      </c>
      <c r="E155" s="28">
        <f>[1]!Table3[[#This Row],[CLM $ Collected ]]/'[1]1.) CLM Reference'!$B$4</f>
        <v>8.6047033823230686E-4</v>
      </c>
      <c r="F155" s="170">
        <f>[1]!Table3[[#This Row],[Residential Incentive Disbursements]]+[1]!Table3[[#This Row],[C&amp;I Incentive Disbursements]]</f>
        <v>78324.72</v>
      </c>
      <c r="G155" s="28">
        <f>[1]!Table3[[#This Row],[Incentive Disbursements]]/'[1]1.) CLM Reference'!$B$5</f>
        <v>6.2888024803622032E-4</v>
      </c>
      <c r="H155" s="228">
        <v>79929.454962000003</v>
      </c>
      <c r="I155" s="28">
        <f>[1]!Table3[[#This Row],[Residential CLM $ Collected]]/'[1]1.) CLM Reference'!$B$4</f>
        <v>8.6047033823230686E-4</v>
      </c>
      <c r="J155" s="229">
        <v>78324.72</v>
      </c>
      <c r="K155" s="28">
        <f>[1]!Table3[[#This Row],[Residential Incentive Disbursements]]/'[1]1.) CLM Reference'!$B$5</f>
        <v>6.2888024803622032E-4</v>
      </c>
      <c r="L155" s="229">
        <v>0</v>
      </c>
      <c r="M155" s="28">
        <f>[1]!Table3[[#This Row],[C&amp;I CLM $ Collected]]/'[1]1.) CLM Reference'!$B$4</f>
        <v>0</v>
      </c>
      <c r="N155" s="229">
        <v>0</v>
      </c>
      <c r="O155" s="28">
        <f>[1]!Table3[[#This Row],[C&amp;I Incentive Disbursements]]/'[1]1.) CLM Reference'!$B$5</f>
        <v>0</v>
      </c>
      <c r="Q155">
        <f>VLOOKUP(Table3[[#This Row],[Census Tract]],'Population and Diversity Data'!$B$2:$K$823,10,FALSE)</f>
        <v>1</v>
      </c>
      <c r="R155" t="str">
        <f>VLOOKUP(Table3[[#This Row],[Census Tract]],'ES Energy Burden'!$B$2:$E$914,4,FALSE)</f>
        <v>No</v>
      </c>
    </row>
    <row r="156" spans="1:18" x14ac:dyDescent="0.2">
      <c r="A156" t="s">
        <v>2766</v>
      </c>
      <c r="B156" s="169">
        <v>9007550100</v>
      </c>
      <c r="C156" t="s">
        <v>944</v>
      </c>
      <c r="D156" s="170">
        <f>[1]!Table3[[#This Row],[Residential CLM $ Collected]]+[1]!Table3[[#This Row],[C&amp;I CLM $ Collected]]</f>
        <v>177936.05867100001</v>
      </c>
      <c r="E156" s="28">
        <f>[1]!Table3[[#This Row],[CLM $ Collected ]]/'[1]1.) CLM Reference'!$B$4</f>
        <v>1.9155479123578385E-3</v>
      </c>
      <c r="F156" s="170">
        <f>[1]!Table3[[#This Row],[Residential Incentive Disbursements]]+[1]!Table3[[#This Row],[C&amp;I Incentive Disbursements]]</f>
        <v>237534.215</v>
      </c>
      <c r="G156" s="28">
        <f>[1]!Table3[[#This Row],[Incentive Disbursements]]/'[1]1.) CLM Reference'!$B$5</f>
        <v>1.9071957875660313E-3</v>
      </c>
      <c r="H156" s="228">
        <v>150359.903001</v>
      </c>
      <c r="I156" s="28">
        <f>[1]!Table3[[#This Row],[Residential CLM $ Collected]]/'[1]1.) CLM Reference'!$B$4</f>
        <v>1.6186803307160942E-3</v>
      </c>
      <c r="J156" s="229">
        <v>225048.13500000001</v>
      </c>
      <c r="K156" s="28">
        <f>[1]!Table3[[#This Row],[Residential Incentive Disbursements]]/'[1]1.) CLM Reference'!$B$5</f>
        <v>1.8069432863454704E-3</v>
      </c>
      <c r="L156" s="229">
        <v>27576.15567</v>
      </c>
      <c r="M156" s="28">
        <f>[1]!Table3[[#This Row],[C&amp;I CLM $ Collected]]/'[1]1.) CLM Reference'!$B$4</f>
        <v>2.9686758164174413E-4</v>
      </c>
      <c r="N156" s="229">
        <v>12486.08</v>
      </c>
      <c r="O156" s="28">
        <f>[1]!Table3[[#This Row],[C&amp;I Incentive Disbursements]]/'[1]1.) CLM Reference'!$B$5</f>
        <v>1.0025250122056088E-4</v>
      </c>
      <c r="Q156">
        <f>VLOOKUP(Table3[[#This Row],[Census Tract]],'Population and Diversity Data'!$B$2:$K$823,10,FALSE)</f>
        <v>3</v>
      </c>
      <c r="R156" t="str">
        <f>VLOOKUP(Table3[[#This Row],[Census Tract]],'ES Energy Burden'!$B$2:$E$914,4,FALSE)</f>
        <v>No</v>
      </c>
    </row>
    <row r="157" spans="1:18" x14ac:dyDescent="0.2">
      <c r="A157" t="s">
        <v>2766</v>
      </c>
      <c r="B157" s="169">
        <v>9007550201</v>
      </c>
      <c r="C157" t="s">
        <v>944</v>
      </c>
      <c r="D157" s="170">
        <f>[1]!Table3[[#This Row],[Residential CLM $ Collected]]+[1]!Table3[[#This Row],[C&amp;I CLM $ Collected]]</f>
        <v>44913.512637</v>
      </c>
      <c r="E157" s="28">
        <f>[1]!Table3[[#This Row],[CLM $ Collected ]]/'[1]1.) CLM Reference'!$B$4</f>
        <v>4.8351068361887097E-4</v>
      </c>
      <c r="F157" s="170">
        <f>[1]!Table3[[#This Row],[Residential Incentive Disbursements]]+[1]!Table3[[#This Row],[C&amp;I Incentive Disbursements]]</f>
        <v>34559.279999999999</v>
      </c>
      <c r="G157" s="28">
        <f>[1]!Table3[[#This Row],[Incentive Disbursements]]/'[1]1.) CLM Reference'!$B$5</f>
        <v>2.7748134405527634E-4</v>
      </c>
      <c r="H157" s="228">
        <v>44913.348417000001</v>
      </c>
      <c r="I157" s="28">
        <f>[1]!Table3[[#This Row],[Residential CLM $ Collected]]/'[1]1.) CLM Reference'!$B$4</f>
        <v>4.8350891572943635E-4</v>
      </c>
      <c r="J157" s="229">
        <v>34559.279999999999</v>
      </c>
      <c r="K157" s="28">
        <f>[1]!Table3[[#This Row],[Residential Incentive Disbursements]]/'[1]1.) CLM Reference'!$B$5</f>
        <v>2.7748134405527634E-4</v>
      </c>
      <c r="L157" s="229">
        <v>0.16422</v>
      </c>
      <c r="M157" s="28">
        <f>[1]!Table3[[#This Row],[C&amp;I CLM $ Collected]]/'[1]1.) CLM Reference'!$B$4</f>
        <v>1.7678894346482061E-9</v>
      </c>
      <c r="N157" s="229">
        <v>0</v>
      </c>
      <c r="O157" s="28">
        <f>[1]!Table3[[#This Row],[C&amp;I Incentive Disbursements]]/'[1]1.) CLM Reference'!$B$5</f>
        <v>0</v>
      </c>
      <c r="Q157">
        <f>VLOOKUP(Table3[[#This Row],[Census Tract]],'Population and Diversity Data'!$B$2:$K$823,10,FALSE)</f>
        <v>2</v>
      </c>
      <c r="R157" t="str">
        <f>VLOOKUP(Table3[[#This Row],[Census Tract]],'ES Energy Burden'!$B$2:$E$914,4,FALSE)</f>
        <v>No</v>
      </c>
    </row>
    <row r="158" spans="1:18" x14ac:dyDescent="0.2">
      <c r="A158" t="s">
        <v>2766</v>
      </c>
      <c r="B158" s="169">
        <v>9007550202</v>
      </c>
      <c r="C158" t="s">
        <v>944</v>
      </c>
      <c r="D158" s="170">
        <f>[1]!Table3[[#This Row],[Residential CLM $ Collected]]+[1]!Table3[[#This Row],[C&amp;I CLM $ Collected]]</f>
        <v>43204.613235000004</v>
      </c>
      <c r="E158" s="28">
        <f>[1]!Table3[[#This Row],[CLM $ Collected ]]/'[1]1.) CLM Reference'!$B$4</f>
        <v>4.6511374537948217E-4</v>
      </c>
      <c r="F158" s="170">
        <f>[1]!Table3[[#This Row],[Residential Incentive Disbursements]]+[1]!Table3[[#This Row],[C&amp;I Incentive Disbursements]]</f>
        <v>34676.71</v>
      </c>
      <c r="G158" s="28">
        <f>[1]!Table3[[#This Row],[Incentive Disbursements]]/'[1]1.) CLM Reference'!$B$5</f>
        <v>2.7842420612394245E-4</v>
      </c>
      <c r="H158" s="228">
        <v>43204.613235000004</v>
      </c>
      <c r="I158" s="28">
        <f>[1]!Table3[[#This Row],[Residential CLM $ Collected]]/'[1]1.) CLM Reference'!$B$4</f>
        <v>4.6511374537948217E-4</v>
      </c>
      <c r="J158" s="229">
        <v>34676.71</v>
      </c>
      <c r="K158" s="28">
        <f>[1]!Table3[[#This Row],[Residential Incentive Disbursements]]/'[1]1.) CLM Reference'!$B$5</f>
        <v>2.7842420612394245E-4</v>
      </c>
      <c r="L158" s="229">
        <v>0</v>
      </c>
      <c r="M158" s="28">
        <f>[1]!Table3[[#This Row],[C&amp;I CLM $ Collected]]/'[1]1.) CLM Reference'!$B$4</f>
        <v>0</v>
      </c>
      <c r="N158" s="229">
        <v>0</v>
      </c>
      <c r="O158" s="28">
        <f>[1]!Table3[[#This Row],[C&amp;I Incentive Disbursements]]/'[1]1.) CLM Reference'!$B$5</f>
        <v>0</v>
      </c>
      <c r="Q158">
        <f>VLOOKUP(Table3[[#This Row],[Census Tract]],'Population and Diversity Data'!$B$2:$K$823,10,FALSE)</f>
        <v>1</v>
      </c>
      <c r="R158" t="str">
        <f>VLOOKUP(Table3[[#This Row],[Census Tract]],'ES Energy Burden'!$B$2:$E$914,4,FALSE)</f>
        <v>No</v>
      </c>
    </row>
    <row r="159" spans="1:18" x14ac:dyDescent="0.2">
      <c r="A159" t="s">
        <v>2766</v>
      </c>
      <c r="B159" s="169">
        <v>9007590100</v>
      </c>
      <c r="C159" t="s">
        <v>944</v>
      </c>
      <c r="D159" s="170">
        <f>[1]!Table3[[#This Row],[Residential CLM $ Collected]]+[1]!Table3[[#This Row],[C&amp;I CLM $ Collected]]</f>
        <v>417.77568000000002</v>
      </c>
      <c r="E159" s="28">
        <f>[1]!Table3[[#This Row],[CLM $ Collected ]]/'[1]1.) CLM Reference'!$B$4</f>
        <v>4.4975107217450366E-6</v>
      </c>
      <c r="F159" s="170">
        <f>[1]!Table3[[#This Row],[Residential Incentive Disbursements]]+[1]!Table3[[#This Row],[C&amp;I Incentive Disbursements]]</f>
        <v>0</v>
      </c>
      <c r="G159" s="28">
        <f>[1]!Table3[[#This Row],[Incentive Disbursements]]/'[1]1.) CLM Reference'!$B$5</f>
        <v>0</v>
      </c>
      <c r="H159" s="228">
        <v>417.77568000000002</v>
      </c>
      <c r="I159" s="28">
        <f>[1]!Table3[[#This Row],[Residential CLM $ Collected]]/'[1]1.) CLM Reference'!$B$4</f>
        <v>4.4975107217450366E-6</v>
      </c>
      <c r="J159" s="229">
        <v>0</v>
      </c>
      <c r="K159" s="28">
        <f>[1]!Table3[[#This Row],[Residential Incentive Disbursements]]/'[1]1.) CLM Reference'!$B$5</f>
        <v>0</v>
      </c>
      <c r="L159" s="229">
        <v>0</v>
      </c>
      <c r="M159" s="28">
        <f>[1]!Table3[[#This Row],[C&amp;I CLM $ Collected]]/'[1]1.) CLM Reference'!$B$4</f>
        <v>0</v>
      </c>
      <c r="N159" s="229">
        <v>0</v>
      </c>
      <c r="O159" s="28">
        <f>[1]!Table3[[#This Row],[C&amp;I Incentive Disbursements]]/'[1]1.) CLM Reference'!$B$5</f>
        <v>0</v>
      </c>
      <c r="Q159">
        <f>VLOOKUP(Table3[[#This Row],[Census Tract]],'Population and Diversity Data'!$B$2:$K$823,10,FALSE)</f>
        <v>1</v>
      </c>
      <c r="R159" t="str">
        <f>VLOOKUP(Table3[[#This Row],[Census Tract]],'ES Energy Burden'!$B$2:$E$914,4,FALSE)</f>
        <v>No</v>
      </c>
    </row>
    <row r="160" spans="1:18" x14ac:dyDescent="0.2">
      <c r="A160" t="s">
        <v>2767</v>
      </c>
      <c r="B160" s="169">
        <v>9003510100</v>
      </c>
      <c r="C160" t="s">
        <v>944</v>
      </c>
      <c r="D160" s="170">
        <f>[1]!Table3[[#This Row],[Residential CLM $ Collected]]+[1]!Table3[[#This Row],[C&amp;I CLM $ Collected]]</f>
        <v>17095.802388</v>
      </c>
      <c r="E160" s="28">
        <f>[1]!Table3[[#This Row],[CLM $ Collected ]]/'[1]1.) CLM Reference'!$B$4</f>
        <v>1.8404267700997912E-4</v>
      </c>
      <c r="F160" s="170">
        <f>[1]!Table3[[#This Row],[Residential Incentive Disbursements]]+[1]!Table3[[#This Row],[C&amp;I Incentive Disbursements]]</f>
        <v>7398.88</v>
      </c>
      <c r="G160" s="28">
        <f>[1]!Table3[[#This Row],[Incentive Disbursements]]/'[1]1.) CLM Reference'!$B$5</f>
        <v>5.9406653347630602E-5</v>
      </c>
      <c r="H160" s="228">
        <v>17095.802388</v>
      </c>
      <c r="I160" s="28">
        <f>[1]!Table3[[#This Row],[Residential CLM $ Collected]]/'[1]1.) CLM Reference'!$B$4</f>
        <v>1.8404267700997912E-4</v>
      </c>
      <c r="J160" s="229">
        <v>7398.88</v>
      </c>
      <c r="K160" s="28">
        <f>[1]!Table3[[#This Row],[Residential Incentive Disbursements]]/'[1]1.) CLM Reference'!$B$5</f>
        <v>5.9406653347630602E-5</v>
      </c>
      <c r="L160" s="229">
        <v>0</v>
      </c>
      <c r="M160" s="28">
        <f>[1]!Table3[[#This Row],[C&amp;I CLM $ Collected]]/'[1]1.) CLM Reference'!$B$4</f>
        <v>0</v>
      </c>
      <c r="N160" s="229">
        <v>0</v>
      </c>
      <c r="O160" s="28">
        <f>[1]!Table3[[#This Row],[C&amp;I Incentive Disbursements]]/'[1]1.) CLM Reference'!$B$5</f>
        <v>0</v>
      </c>
      <c r="Q160">
        <f>VLOOKUP(Table3[[#This Row],[Census Tract]],'Population and Diversity Data'!$B$2:$K$823,10,FALSE)</f>
        <v>4</v>
      </c>
      <c r="R160" t="str">
        <f>VLOOKUP(Table3[[#This Row],[Census Tract]],'ES Energy Burden'!$B$2:$E$914,4,FALSE)</f>
        <v>No</v>
      </c>
    </row>
    <row r="161" spans="1:18" x14ac:dyDescent="0.2">
      <c r="A161" t="s">
        <v>2767</v>
      </c>
      <c r="B161" s="169">
        <v>9003510200</v>
      </c>
      <c r="C161" t="s">
        <v>944</v>
      </c>
      <c r="D161" s="170">
        <f>[1]!Table3[[#This Row],[Residential CLM $ Collected]]+[1]!Table3[[#This Row],[C&amp;I CLM $ Collected]]</f>
        <v>14390.598600000001</v>
      </c>
      <c r="E161" s="28">
        <f>[1]!Table3[[#This Row],[CLM $ Collected ]]/'[1]1.) CLM Reference'!$B$4</f>
        <v>1.5492015115822232E-4</v>
      </c>
      <c r="F161" s="170">
        <f>[1]!Table3[[#This Row],[Residential Incentive Disbursements]]+[1]!Table3[[#This Row],[C&amp;I Incentive Disbursements]]</f>
        <v>14628.72</v>
      </c>
      <c r="G161" s="28">
        <f>[1]!Table3[[#This Row],[Incentive Disbursements]]/'[1]1.) CLM Reference'!$B$5</f>
        <v>1.174560606415499E-4</v>
      </c>
      <c r="H161" s="228">
        <v>14390.598600000001</v>
      </c>
      <c r="I161" s="28">
        <f>[1]!Table3[[#This Row],[Residential CLM $ Collected]]/'[1]1.) CLM Reference'!$B$4</f>
        <v>1.5492015115822232E-4</v>
      </c>
      <c r="J161" s="229">
        <v>14628.72</v>
      </c>
      <c r="K161" s="28">
        <f>[1]!Table3[[#This Row],[Residential Incentive Disbursements]]/'[1]1.) CLM Reference'!$B$5</f>
        <v>1.174560606415499E-4</v>
      </c>
      <c r="L161" s="229">
        <v>0</v>
      </c>
      <c r="M161" s="28">
        <f>[1]!Table3[[#This Row],[C&amp;I CLM $ Collected]]/'[1]1.) CLM Reference'!$B$4</f>
        <v>0</v>
      </c>
      <c r="N161" s="229">
        <v>0</v>
      </c>
      <c r="O161" s="28">
        <f>[1]!Table3[[#This Row],[C&amp;I Incentive Disbursements]]/'[1]1.) CLM Reference'!$B$5</f>
        <v>0</v>
      </c>
      <c r="Q161">
        <f>VLOOKUP(Table3[[#This Row],[Census Tract]],'Population and Diversity Data'!$B$2:$K$823,10,FALSE)</f>
        <v>5</v>
      </c>
      <c r="R161" t="str">
        <f>VLOOKUP(Table3[[#This Row],[Census Tract]],'ES Energy Burden'!$B$2:$E$914,4,FALSE)</f>
        <v>No</v>
      </c>
    </row>
    <row r="162" spans="1:18" x14ac:dyDescent="0.2">
      <c r="A162" t="s">
        <v>2767</v>
      </c>
      <c r="B162" s="169">
        <v>9003510300</v>
      </c>
      <c r="C162" t="s">
        <v>936</v>
      </c>
      <c r="D162" s="170">
        <f>[1]!Table3[[#This Row],[Residential CLM $ Collected]]+[1]!Table3[[#This Row],[C&amp;I CLM $ Collected]]</f>
        <v>27406.101030000002</v>
      </c>
      <c r="E162" s="28">
        <f>[1]!Table3[[#This Row],[CLM $ Collected ]]/'[1]1.) CLM Reference'!$B$4</f>
        <v>2.9503688013541787E-4</v>
      </c>
      <c r="F162" s="170">
        <f>[1]!Table3[[#This Row],[Residential Incentive Disbursements]]+[1]!Table3[[#This Row],[C&amp;I Incentive Disbursements]]</f>
        <v>19640.63</v>
      </c>
      <c r="G162" s="28">
        <f>[1]!Table3[[#This Row],[Incentive Disbursements]]/'[1]1.) CLM Reference'!$B$5</f>
        <v>1.5769739446227997E-4</v>
      </c>
      <c r="H162" s="228">
        <v>27280.58382</v>
      </c>
      <c r="I162" s="28">
        <f>[1]!Table3[[#This Row],[Residential CLM $ Collected]]/'[1]1.) CLM Reference'!$B$4</f>
        <v>2.9368564064311778E-4</v>
      </c>
      <c r="J162" s="229">
        <v>19424.63</v>
      </c>
      <c r="K162" s="28">
        <f>[1]!Table3[[#This Row],[Residential Incentive Disbursements]]/'[1]1.) CLM Reference'!$B$5</f>
        <v>1.5596309993079843E-4</v>
      </c>
      <c r="L162" s="229">
        <v>125.51721000000001</v>
      </c>
      <c r="M162" s="28">
        <f>[1]!Table3[[#This Row],[C&amp;I CLM $ Collected]]/'[1]1.) CLM Reference'!$B$4</f>
        <v>1.3512394923000862E-6</v>
      </c>
      <c r="N162" s="229">
        <v>216</v>
      </c>
      <c r="O162" s="28">
        <f>[1]!Table3[[#This Row],[C&amp;I Incentive Disbursements]]/'[1]1.) CLM Reference'!$B$5</f>
        <v>1.7342945314815499E-6</v>
      </c>
      <c r="Q162">
        <f>VLOOKUP(Table3[[#This Row],[Census Tract]],'Population and Diversity Data'!$B$2:$K$823,10,FALSE)</f>
        <v>4</v>
      </c>
      <c r="R162" t="str">
        <f>VLOOKUP(Table3[[#This Row],[Census Tract]],'ES Energy Burden'!$B$2:$E$914,4,FALSE)</f>
        <v>No</v>
      </c>
    </row>
    <row r="163" spans="1:18" x14ac:dyDescent="0.2">
      <c r="A163" t="s">
        <v>2767</v>
      </c>
      <c r="B163" s="169">
        <v>9003510400</v>
      </c>
      <c r="C163" t="s">
        <v>944</v>
      </c>
      <c r="D163" s="170">
        <f>[1]!Table3[[#This Row],[Residential CLM $ Collected]]+[1]!Table3[[#This Row],[C&amp;I CLM $ Collected]]</f>
        <v>34942.397363999997</v>
      </c>
      <c r="E163" s="28">
        <f>[1]!Table3[[#This Row],[CLM $ Collected ]]/'[1]1.) CLM Reference'!$B$4</f>
        <v>3.7616791572947825E-4</v>
      </c>
      <c r="F163" s="170">
        <f>[1]!Table3[[#This Row],[Residential Incentive Disbursements]]+[1]!Table3[[#This Row],[C&amp;I Incentive Disbursements]]</f>
        <v>8252.76</v>
      </c>
      <c r="G163" s="28">
        <f>[1]!Table3[[#This Row],[Incentive Disbursements]]/'[1]1.) CLM Reference'!$B$5</f>
        <v>6.6262576563100347E-5</v>
      </c>
      <c r="H163" s="228">
        <v>34942.397363999997</v>
      </c>
      <c r="I163" s="28">
        <f>[1]!Table3[[#This Row],[Residential CLM $ Collected]]/'[1]1.) CLM Reference'!$B$4</f>
        <v>3.7616791572947825E-4</v>
      </c>
      <c r="J163" s="229">
        <v>8252.76</v>
      </c>
      <c r="K163" s="28">
        <f>[1]!Table3[[#This Row],[Residential Incentive Disbursements]]/'[1]1.) CLM Reference'!$B$5</f>
        <v>6.6262576563100347E-5</v>
      </c>
      <c r="L163" s="229">
        <v>0</v>
      </c>
      <c r="M163" s="28">
        <f>[1]!Table3[[#This Row],[C&amp;I CLM $ Collected]]/'[1]1.) CLM Reference'!$B$4</f>
        <v>0</v>
      </c>
      <c r="N163" s="229">
        <v>0</v>
      </c>
      <c r="O163" s="28">
        <f>[1]!Table3[[#This Row],[C&amp;I Incentive Disbursements]]/'[1]1.) CLM Reference'!$B$5</f>
        <v>0</v>
      </c>
      <c r="Q163">
        <f>VLOOKUP(Table3[[#This Row],[Census Tract]],'Population and Diversity Data'!$B$2:$K$823,10,FALSE)</f>
        <v>4</v>
      </c>
      <c r="R163" t="str">
        <f>VLOOKUP(Table3[[#This Row],[Census Tract]],'ES Energy Burden'!$B$2:$E$914,4,FALSE)</f>
        <v>No</v>
      </c>
    </row>
    <row r="164" spans="1:18" x14ac:dyDescent="0.2">
      <c r="A164" t="s">
        <v>2767</v>
      </c>
      <c r="B164" s="169">
        <v>9003510500</v>
      </c>
      <c r="C164" t="s">
        <v>944</v>
      </c>
      <c r="D164" s="170">
        <f>[1]!Table3[[#This Row],[Residential CLM $ Collected]]+[1]!Table3[[#This Row],[C&amp;I CLM $ Collected]]</f>
        <v>28201.181820000002</v>
      </c>
      <c r="E164" s="28">
        <f>[1]!Table3[[#This Row],[CLM $ Collected ]]/'[1]1.) CLM Reference'!$B$4</f>
        <v>3.0359622082676329E-4</v>
      </c>
      <c r="F164" s="170">
        <f>[1]!Table3[[#This Row],[Residential Incentive Disbursements]]+[1]!Table3[[#This Row],[C&amp;I Incentive Disbursements]]</f>
        <v>11501.27</v>
      </c>
      <c r="G164" s="28">
        <f>[1]!Table3[[#This Row],[Incentive Disbursements]]/'[1]1.) CLM Reference'!$B$5</f>
        <v>9.234532252820744E-5</v>
      </c>
      <c r="H164" s="228">
        <v>28201.181820000002</v>
      </c>
      <c r="I164" s="28">
        <f>[1]!Table3[[#This Row],[Residential CLM $ Collected]]/'[1]1.) CLM Reference'!$B$4</f>
        <v>3.0359622082676329E-4</v>
      </c>
      <c r="J164" s="229">
        <v>11501.27</v>
      </c>
      <c r="K164" s="28">
        <f>[1]!Table3[[#This Row],[Residential Incentive Disbursements]]/'[1]1.) CLM Reference'!$B$5</f>
        <v>9.234532252820744E-5</v>
      </c>
      <c r="L164" s="229">
        <v>0</v>
      </c>
      <c r="M164" s="28">
        <f>[1]!Table3[[#This Row],[C&amp;I CLM $ Collected]]/'[1]1.) CLM Reference'!$B$4</f>
        <v>0</v>
      </c>
      <c r="N164" s="229">
        <v>0</v>
      </c>
      <c r="O164" s="28">
        <f>[1]!Table3[[#This Row],[C&amp;I Incentive Disbursements]]/'[1]1.) CLM Reference'!$B$5</f>
        <v>0</v>
      </c>
      <c r="Q164">
        <f>VLOOKUP(Table3[[#This Row],[Census Tract]],'Population and Diversity Data'!$B$2:$K$823,10,FALSE)</f>
        <v>5</v>
      </c>
      <c r="R164" t="str">
        <f>VLOOKUP(Table3[[#This Row],[Census Tract]],'ES Energy Burden'!$B$2:$E$914,4,FALSE)</f>
        <v>No</v>
      </c>
    </row>
    <row r="165" spans="1:18" x14ac:dyDescent="0.2">
      <c r="A165" t="s">
        <v>2767</v>
      </c>
      <c r="B165" s="169">
        <v>9003510600</v>
      </c>
      <c r="C165" t="s">
        <v>944</v>
      </c>
      <c r="D165" s="170">
        <f>[1]!Table3[[#This Row],[Residential CLM $ Collected]]+[1]!Table3[[#This Row],[C&amp;I CLM $ Collected]]</f>
        <v>35289.634758</v>
      </c>
      <c r="E165" s="28">
        <f>[1]!Table3[[#This Row],[CLM $ Collected ]]/'[1]1.) CLM Reference'!$B$4</f>
        <v>3.7990605554294422E-4</v>
      </c>
      <c r="F165" s="170">
        <f>[1]!Table3[[#This Row],[Residential Incentive Disbursements]]+[1]!Table3[[#This Row],[C&amp;I Incentive Disbursements]]</f>
        <v>47826.95</v>
      </c>
      <c r="G165" s="28">
        <f>[1]!Table3[[#This Row],[Incentive Disbursements]]/'[1]1.) CLM Reference'!$B$5</f>
        <v>3.8400934186315512E-4</v>
      </c>
      <c r="H165" s="228">
        <v>35289.634758</v>
      </c>
      <c r="I165" s="28">
        <f>[1]!Table3[[#This Row],[Residential CLM $ Collected]]/'[1]1.) CLM Reference'!$B$4</f>
        <v>3.7990605554294422E-4</v>
      </c>
      <c r="J165" s="229">
        <v>47826.95</v>
      </c>
      <c r="K165" s="28">
        <f>[1]!Table3[[#This Row],[Residential Incentive Disbursements]]/'[1]1.) CLM Reference'!$B$5</f>
        <v>3.8400934186315512E-4</v>
      </c>
      <c r="L165" s="229">
        <v>0</v>
      </c>
      <c r="M165" s="28">
        <f>[1]!Table3[[#This Row],[C&amp;I CLM $ Collected]]/'[1]1.) CLM Reference'!$B$4</f>
        <v>0</v>
      </c>
      <c r="N165" s="229">
        <v>0</v>
      </c>
      <c r="O165" s="28">
        <f>[1]!Table3[[#This Row],[C&amp;I Incentive Disbursements]]/'[1]1.) CLM Reference'!$B$5</f>
        <v>0</v>
      </c>
      <c r="Q165">
        <f>VLOOKUP(Table3[[#This Row],[Census Tract]],'Population and Diversity Data'!$B$2:$K$823,10,FALSE)</f>
        <v>5</v>
      </c>
      <c r="R165" t="str">
        <f>VLOOKUP(Table3[[#This Row],[Census Tract]],'ES Energy Burden'!$B$2:$E$914,4,FALSE)</f>
        <v>No</v>
      </c>
    </row>
    <row r="166" spans="1:18" x14ac:dyDescent="0.2">
      <c r="A166" t="s">
        <v>2767</v>
      </c>
      <c r="B166" s="169">
        <v>9003510700</v>
      </c>
      <c r="C166" t="s">
        <v>944</v>
      </c>
      <c r="D166" s="170">
        <f>[1]!Table3[[#This Row],[Residential CLM $ Collected]]+[1]!Table3[[#This Row],[C&amp;I CLM $ Collected]]</f>
        <v>38132.383421999999</v>
      </c>
      <c r="E166" s="28">
        <f>[1]!Table3[[#This Row],[CLM $ Collected ]]/'[1]1.) CLM Reference'!$B$4</f>
        <v>4.1050930318906471E-4</v>
      </c>
      <c r="F166" s="170">
        <f>[1]!Table3[[#This Row],[Residential Incentive Disbursements]]+[1]!Table3[[#This Row],[C&amp;I Incentive Disbursements]]</f>
        <v>20718.86</v>
      </c>
      <c r="G166" s="28">
        <f>[1]!Table3[[#This Row],[Incentive Disbursements]]/'[1]1.) CLM Reference'!$B$5</f>
        <v>1.6635465553949919E-4</v>
      </c>
      <c r="H166" s="228">
        <v>38132.383421999999</v>
      </c>
      <c r="I166" s="28">
        <f>[1]!Table3[[#This Row],[Residential CLM $ Collected]]/'[1]1.) CLM Reference'!$B$4</f>
        <v>4.1050930318906471E-4</v>
      </c>
      <c r="J166" s="229">
        <v>20718.86</v>
      </c>
      <c r="K166" s="28">
        <f>[1]!Table3[[#This Row],[Residential Incentive Disbursements]]/'[1]1.) CLM Reference'!$B$5</f>
        <v>1.6635465553949919E-4</v>
      </c>
      <c r="L166" s="229">
        <v>0</v>
      </c>
      <c r="M166" s="28">
        <f>[1]!Table3[[#This Row],[C&amp;I CLM $ Collected]]/'[1]1.) CLM Reference'!$B$4</f>
        <v>0</v>
      </c>
      <c r="N166" s="229">
        <v>0</v>
      </c>
      <c r="O166" s="28">
        <f>[1]!Table3[[#This Row],[C&amp;I Incentive Disbursements]]/'[1]1.) CLM Reference'!$B$5</f>
        <v>0</v>
      </c>
      <c r="Q166">
        <f>VLOOKUP(Table3[[#This Row],[Census Tract]],'Population and Diversity Data'!$B$2:$K$823,10,FALSE)</f>
        <v>5</v>
      </c>
      <c r="R166" t="str">
        <f>VLOOKUP(Table3[[#This Row],[Census Tract]],'ES Energy Burden'!$B$2:$E$914,4,FALSE)</f>
        <v>No</v>
      </c>
    </row>
    <row r="167" spans="1:18" x14ac:dyDescent="0.2">
      <c r="A167" t="s">
        <v>2767</v>
      </c>
      <c r="B167" s="169">
        <v>9003510800</v>
      </c>
      <c r="C167" t="s">
        <v>944</v>
      </c>
      <c r="D167" s="170">
        <f>[1]!Table3[[#This Row],[Residential CLM $ Collected]]+[1]!Table3[[#This Row],[C&amp;I CLM $ Collected]]</f>
        <v>22984.757669999999</v>
      </c>
      <c r="E167" s="28">
        <f>[1]!Table3[[#This Row],[CLM $ Collected ]]/'[1]1.) CLM Reference'!$B$4</f>
        <v>2.4743947291890338E-4</v>
      </c>
      <c r="F167" s="170">
        <f>[1]!Table3[[#This Row],[Residential Incentive Disbursements]]+[1]!Table3[[#This Row],[C&amp;I Incentive Disbursements]]</f>
        <v>35333.4</v>
      </c>
      <c r="G167" s="28">
        <f>[1]!Table3[[#This Row],[Incentive Disbursements]]/'[1]1.) CLM Reference'!$B$5</f>
        <v>2.8369686295671385E-4</v>
      </c>
      <c r="H167" s="228">
        <v>22984.757669999999</v>
      </c>
      <c r="I167" s="28">
        <f>[1]!Table3[[#This Row],[Residential CLM $ Collected]]/'[1]1.) CLM Reference'!$B$4</f>
        <v>2.4743947291890338E-4</v>
      </c>
      <c r="J167" s="229">
        <v>35333.4</v>
      </c>
      <c r="K167" s="28">
        <f>[1]!Table3[[#This Row],[Residential Incentive Disbursements]]/'[1]1.) CLM Reference'!$B$5</f>
        <v>2.8369686295671385E-4</v>
      </c>
      <c r="L167" s="229">
        <v>0</v>
      </c>
      <c r="M167" s="28">
        <f>[1]!Table3[[#This Row],[C&amp;I CLM $ Collected]]/'[1]1.) CLM Reference'!$B$4</f>
        <v>0</v>
      </c>
      <c r="N167" s="229">
        <v>0</v>
      </c>
      <c r="O167" s="28">
        <f>[1]!Table3[[#This Row],[C&amp;I Incentive Disbursements]]/'[1]1.) CLM Reference'!$B$5</f>
        <v>0</v>
      </c>
      <c r="Q167">
        <f>VLOOKUP(Table3[[#This Row],[Census Tract]],'Population and Diversity Data'!$B$2:$K$823,10,FALSE)</f>
        <v>3</v>
      </c>
      <c r="R167" t="str">
        <f>VLOOKUP(Table3[[#This Row],[Census Tract]],'ES Energy Burden'!$B$2:$E$914,4,FALSE)</f>
        <v>No</v>
      </c>
    </row>
    <row r="168" spans="1:18" x14ac:dyDescent="0.2">
      <c r="A168" t="s">
        <v>2767</v>
      </c>
      <c r="B168" s="169">
        <v>9003510900</v>
      </c>
      <c r="C168" t="s">
        <v>944</v>
      </c>
      <c r="D168" s="170">
        <f>[1]!Table3[[#This Row],[Residential CLM $ Collected]]+[1]!Table3[[#This Row],[C&amp;I CLM $ Collected]]</f>
        <v>33499.131540000002</v>
      </c>
      <c r="E168" s="28">
        <f>[1]!Table3[[#This Row],[CLM $ Collected ]]/'[1]1.) CLM Reference'!$B$4</f>
        <v>3.6063062184542988E-4</v>
      </c>
      <c r="F168" s="170">
        <f>[1]!Table3[[#This Row],[Residential Incentive Disbursements]]+[1]!Table3[[#This Row],[C&amp;I Incentive Disbursements]]</f>
        <v>46176.364999999998</v>
      </c>
      <c r="G168" s="28">
        <f>[1]!Table3[[#This Row],[Incentive Disbursements]]/'[1]1.) CLM Reference'!$B$5</f>
        <v>3.7075656158887054E-4</v>
      </c>
      <c r="H168" s="228">
        <v>33499.131540000002</v>
      </c>
      <c r="I168" s="28">
        <f>[1]!Table3[[#This Row],[Residential CLM $ Collected]]/'[1]1.) CLM Reference'!$B$4</f>
        <v>3.6063062184542988E-4</v>
      </c>
      <c r="J168" s="229">
        <v>46176.364999999998</v>
      </c>
      <c r="K168" s="28">
        <f>[1]!Table3[[#This Row],[Residential Incentive Disbursements]]/'[1]1.) CLM Reference'!$B$5</f>
        <v>3.7075656158887054E-4</v>
      </c>
      <c r="L168" s="229">
        <v>0</v>
      </c>
      <c r="M168" s="28">
        <f>[1]!Table3[[#This Row],[C&amp;I CLM $ Collected]]/'[1]1.) CLM Reference'!$B$4</f>
        <v>0</v>
      </c>
      <c r="N168" s="229">
        <v>0</v>
      </c>
      <c r="O168" s="28">
        <f>[1]!Table3[[#This Row],[C&amp;I Incentive Disbursements]]/'[1]1.) CLM Reference'!$B$5</f>
        <v>0</v>
      </c>
      <c r="Q168">
        <f>VLOOKUP(Table3[[#This Row],[Census Tract]],'Population and Diversity Data'!$B$2:$K$823,10,FALSE)</f>
        <v>4</v>
      </c>
      <c r="R168" t="str">
        <f>VLOOKUP(Table3[[#This Row],[Census Tract]],'ES Energy Burden'!$B$2:$E$914,4,FALSE)</f>
        <v>No</v>
      </c>
    </row>
    <row r="169" spans="1:18" x14ac:dyDescent="0.2">
      <c r="A169" t="s">
        <v>2767</v>
      </c>
      <c r="B169" s="169">
        <v>9003511000</v>
      </c>
      <c r="C169" t="s">
        <v>944</v>
      </c>
      <c r="D169" s="170">
        <f>[1]!Table3[[#This Row],[Residential CLM $ Collected]]+[1]!Table3[[#This Row],[C&amp;I CLM $ Collected]]</f>
        <v>31599.164100000002</v>
      </c>
      <c r="E169" s="28">
        <f>[1]!Table3[[#This Row],[CLM $ Collected ]]/'[1]1.) CLM Reference'!$B$4</f>
        <v>3.4017676504752704E-4</v>
      </c>
      <c r="F169" s="170">
        <f>[1]!Table3[[#This Row],[Residential Incentive Disbursements]]+[1]!Table3[[#This Row],[C&amp;I Incentive Disbursements]]</f>
        <v>44515.13</v>
      </c>
      <c r="G169" s="28">
        <f>[1]!Table3[[#This Row],[Incentive Disbursements]]/'[1]1.) CLM Reference'!$B$5</f>
        <v>3.5741827095921424E-4</v>
      </c>
      <c r="H169" s="228">
        <v>31599.164100000002</v>
      </c>
      <c r="I169" s="28">
        <f>[1]!Table3[[#This Row],[Residential CLM $ Collected]]/'[1]1.) CLM Reference'!$B$4</f>
        <v>3.4017676504752704E-4</v>
      </c>
      <c r="J169" s="229">
        <v>44515.13</v>
      </c>
      <c r="K169" s="28">
        <f>[1]!Table3[[#This Row],[Residential Incentive Disbursements]]/'[1]1.) CLM Reference'!$B$5</f>
        <v>3.5741827095921424E-4</v>
      </c>
      <c r="L169" s="229">
        <v>0</v>
      </c>
      <c r="M169" s="28">
        <f>[1]!Table3[[#This Row],[C&amp;I CLM $ Collected]]/'[1]1.) CLM Reference'!$B$4</f>
        <v>0</v>
      </c>
      <c r="N169" s="229">
        <v>0</v>
      </c>
      <c r="O169" s="28">
        <f>[1]!Table3[[#This Row],[C&amp;I Incentive Disbursements]]/'[1]1.) CLM Reference'!$B$5</f>
        <v>0</v>
      </c>
      <c r="Q169">
        <f>VLOOKUP(Table3[[#This Row],[Census Tract]],'Population and Diversity Data'!$B$2:$K$823,10,FALSE)</f>
        <v>4</v>
      </c>
      <c r="R169" t="str">
        <f>VLOOKUP(Table3[[#This Row],[Census Tract]],'ES Energy Burden'!$B$2:$E$914,4,FALSE)</f>
        <v>No</v>
      </c>
    </row>
    <row r="170" spans="1:18" x14ac:dyDescent="0.2">
      <c r="A170" t="s">
        <v>2767</v>
      </c>
      <c r="B170" s="169">
        <v>9003511100</v>
      </c>
      <c r="C170" t="s">
        <v>944</v>
      </c>
      <c r="D170" s="170">
        <f>[1]!Table3[[#This Row],[Residential CLM $ Collected]]+[1]!Table3[[#This Row],[C&amp;I CLM $ Collected]]</f>
        <v>464189.15348400001</v>
      </c>
      <c r="E170" s="28">
        <f>[1]!Table3[[#This Row],[CLM $ Collected ]]/'[1]1.) CLM Reference'!$B$4</f>
        <v>4.9971690422765686E-3</v>
      </c>
      <c r="F170" s="170">
        <f>[1]!Table3[[#This Row],[Residential Incentive Disbursements]]+[1]!Table3[[#This Row],[C&amp;I Incentive Disbursements]]</f>
        <v>847519.3</v>
      </c>
      <c r="G170" s="28">
        <f>[1]!Table3[[#This Row],[Incentive Disbursements]]/'[1]1.) CLM Reference'!$B$5</f>
        <v>6.8048522560882922E-3</v>
      </c>
      <c r="H170" s="228">
        <v>227724.83710199999</v>
      </c>
      <c r="I170" s="28">
        <f>[1]!Table3[[#This Row],[Residential CLM $ Collected]]/'[1]1.) CLM Reference'!$B$4</f>
        <v>2.4515426471782339E-3</v>
      </c>
      <c r="J170" s="229">
        <v>290015.76</v>
      </c>
      <c r="K170" s="28">
        <f>[1]!Table3[[#This Row],[Residential Incentive Disbursements]]/'[1]1.) CLM Reference'!$B$5</f>
        <v>2.328577530608637E-3</v>
      </c>
      <c r="L170" s="229">
        <v>236464.31638199999</v>
      </c>
      <c r="M170" s="28">
        <f>[1]!Table3[[#This Row],[C&amp;I CLM $ Collected]]/'[1]1.) CLM Reference'!$B$4</f>
        <v>2.5456263950983347E-3</v>
      </c>
      <c r="N170" s="229">
        <v>557503.54</v>
      </c>
      <c r="O170" s="28">
        <f>[1]!Table3[[#This Row],[C&amp;I Incentive Disbursements]]/'[1]1.) CLM Reference'!$B$5</f>
        <v>4.4762747254796552E-3</v>
      </c>
      <c r="Q170">
        <f>VLOOKUP(Table3[[#This Row],[Census Tract]],'Population and Diversity Data'!$B$2:$K$823,10,FALSE)</f>
        <v>4</v>
      </c>
      <c r="R170" t="str">
        <f>VLOOKUP(Table3[[#This Row],[Census Tract]],'ES Energy Burden'!$B$2:$E$914,4,FALSE)</f>
        <v>No</v>
      </c>
    </row>
    <row r="171" spans="1:18" x14ac:dyDescent="0.2">
      <c r="A171" t="s">
        <v>2767</v>
      </c>
      <c r="B171" s="169">
        <v>9003511200</v>
      </c>
      <c r="C171" t="s">
        <v>936</v>
      </c>
      <c r="D171" s="170">
        <f>[1]!Table3[[#This Row],[Residential CLM $ Collected]]+[1]!Table3[[#This Row],[C&amp;I CLM $ Collected]]</f>
        <v>21825.690494999999</v>
      </c>
      <c r="E171" s="28">
        <f>[1]!Table3[[#This Row],[CLM $ Collected ]]/'[1]1.) CLM Reference'!$B$4</f>
        <v>2.3496168329078233E-4</v>
      </c>
      <c r="F171" s="170">
        <f>[1]!Table3[[#This Row],[Residential Incentive Disbursements]]+[1]!Table3[[#This Row],[C&amp;I Incentive Disbursements]]</f>
        <v>6911.54</v>
      </c>
      <c r="G171" s="28">
        <f>[1]!Table3[[#This Row],[Incentive Disbursements]]/'[1]1.) CLM Reference'!$B$5</f>
        <v>5.5493731602388851E-5</v>
      </c>
      <c r="H171" s="228">
        <v>21825.690494999999</v>
      </c>
      <c r="I171" s="28">
        <f>[1]!Table3[[#This Row],[Residential CLM $ Collected]]/'[1]1.) CLM Reference'!$B$4</f>
        <v>2.3496168329078233E-4</v>
      </c>
      <c r="J171" s="229">
        <v>6911.54</v>
      </c>
      <c r="K171" s="28">
        <f>[1]!Table3[[#This Row],[Residential Incentive Disbursements]]/'[1]1.) CLM Reference'!$B$5</f>
        <v>5.5493731602388851E-5</v>
      </c>
      <c r="L171" s="229">
        <v>0</v>
      </c>
      <c r="M171" s="28">
        <f>[1]!Table3[[#This Row],[C&amp;I CLM $ Collected]]/'[1]1.) CLM Reference'!$B$4</f>
        <v>0</v>
      </c>
      <c r="N171" s="229">
        <v>0</v>
      </c>
      <c r="O171" s="28">
        <f>[1]!Table3[[#This Row],[C&amp;I Incentive Disbursements]]/'[1]1.) CLM Reference'!$B$5</f>
        <v>0</v>
      </c>
      <c r="Q171">
        <f>VLOOKUP(Table3[[#This Row],[Census Tract]],'Population and Diversity Data'!$B$2:$K$823,10,FALSE)</f>
        <v>5</v>
      </c>
      <c r="R171" t="str">
        <f>VLOOKUP(Table3[[#This Row],[Census Tract]],'ES Energy Burden'!$B$2:$E$914,4,FALSE)</f>
        <v>No</v>
      </c>
    </row>
    <row r="172" spans="1:18" x14ac:dyDescent="0.2">
      <c r="A172" t="s">
        <v>2767</v>
      </c>
      <c r="B172" s="169">
        <v>9003511300</v>
      </c>
      <c r="C172" t="s">
        <v>936</v>
      </c>
      <c r="D172" s="170">
        <f>[1]!Table3[[#This Row],[Residential CLM $ Collected]]+[1]!Table3[[#This Row],[C&amp;I CLM $ Collected]]</f>
        <v>22506.48141</v>
      </c>
      <c r="E172" s="28">
        <f>[1]!Table3[[#This Row],[CLM $ Collected ]]/'[1]1.) CLM Reference'!$B$4</f>
        <v>2.4229065093073476E-4</v>
      </c>
      <c r="F172" s="170">
        <f>[1]!Table3[[#This Row],[Residential Incentive Disbursements]]+[1]!Table3[[#This Row],[C&amp;I Incentive Disbursements]]</f>
        <v>32046.06</v>
      </c>
      <c r="G172" s="28">
        <f>[1]!Table3[[#This Row],[Incentive Disbursements]]/'[1]1.) CLM Reference'!$B$5</f>
        <v>2.5730234543300761E-4</v>
      </c>
      <c r="H172" s="228">
        <v>22506.48141</v>
      </c>
      <c r="I172" s="28">
        <f>[1]!Table3[[#This Row],[Residential CLM $ Collected]]/'[1]1.) CLM Reference'!$B$4</f>
        <v>2.4229065093073476E-4</v>
      </c>
      <c r="J172" s="229">
        <v>32046.06</v>
      </c>
      <c r="K172" s="28">
        <f>[1]!Table3[[#This Row],[Residential Incentive Disbursements]]/'[1]1.) CLM Reference'!$B$5</f>
        <v>2.5730234543300761E-4</v>
      </c>
      <c r="L172" s="229">
        <v>0</v>
      </c>
      <c r="M172" s="28">
        <f>[1]!Table3[[#This Row],[C&amp;I CLM $ Collected]]/'[1]1.) CLM Reference'!$B$4</f>
        <v>0</v>
      </c>
      <c r="N172" s="229">
        <v>0</v>
      </c>
      <c r="O172" s="28">
        <f>[1]!Table3[[#This Row],[C&amp;I Incentive Disbursements]]/'[1]1.) CLM Reference'!$B$5</f>
        <v>0</v>
      </c>
      <c r="Q172">
        <f>VLOOKUP(Table3[[#This Row],[Census Tract]],'Population and Diversity Data'!$B$2:$K$823,10,FALSE)</f>
        <v>4</v>
      </c>
      <c r="R172" t="str">
        <f>VLOOKUP(Table3[[#This Row],[Census Tract]],'ES Energy Burden'!$B$2:$E$914,4,FALSE)</f>
        <v>No</v>
      </c>
    </row>
    <row r="173" spans="1:18" x14ac:dyDescent="0.2">
      <c r="A173" t="s">
        <v>2767</v>
      </c>
      <c r="B173" s="169">
        <v>9003511400</v>
      </c>
      <c r="C173" t="s">
        <v>944</v>
      </c>
      <c r="D173" s="170">
        <f>[1]!Table3[[#This Row],[Residential CLM $ Collected]]+[1]!Table3[[#This Row],[C&amp;I CLM $ Collected]]</f>
        <v>20366.008949999999</v>
      </c>
      <c r="E173" s="28">
        <f>[1]!Table3[[#This Row],[CLM $ Collected ]]/'[1]1.) CLM Reference'!$B$4</f>
        <v>2.1924766805904157E-4</v>
      </c>
      <c r="F173" s="170">
        <f>[1]!Table3[[#This Row],[Residential Incentive Disbursements]]+[1]!Table3[[#This Row],[C&amp;I Incentive Disbursements]]</f>
        <v>28760.78</v>
      </c>
      <c r="G173" s="28">
        <f>[1]!Table3[[#This Row],[Incentive Disbursements]]/'[1]1.) CLM Reference'!$B$5</f>
        <v>2.3092436794048114E-4</v>
      </c>
      <c r="H173" s="228">
        <v>20366.008949999999</v>
      </c>
      <c r="I173" s="28">
        <f>[1]!Table3[[#This Row],[Residential CLM $ Collected]]/'[1]1.) CLM Reference'!$B$4</f>
        <v>2.1924766805904157E-4</v>
      </c>
      <c r="J173" s="229">
        <v>28760.78</v>
      </c>
      <c r="K173" s="28">
        <f>[1]!Table3[[#This Row],[Residential Incentive Disbursements]]/'[1]1.) CLM Reference'!$B$5</f>
        <v>2.3092436794048114E-4</v>
      </c>
      <c r="L173" s="229">
        <v>0</v>
      </c>
      <c r="M173" s="28">
        <f>[1]!Table3[[#This Row],[C&amp;I CLM $ Collected]]/'[1]1.) CLM Reference'!$B$4</f>
        <v>0</v>
      </c>
      <c r="N173" s="229">
        <v>0</v>
      </c>
      <c r="O173" s="28">
        <f>[1]!Table3[[#This Row],[C&amp;I Incentive Disbursements]]/'[1]1.) CLM Reference'!$B$5</f>
        <v>0</v>
      </c>
      <c r="Q173">
        <f>VLOOKUP(Table3[[#This Row],[Census Tract]],'Population and Diversity Data'!$B$2:$K$823,10,FALSE)</f>
        <v>4</v>
      </c>
      <c r="R173" t="str">
        <f>VLOOKUP(Table3[[#This Row],[Census Tract]],'ES Energy Burden'!$B$2:$E$914,4,FALSE)</f>
        <v>No</v>
      </c>
    </row>
    <row r="174" spans="1:18" x14ac:dyDescent="0.2">
      <c r="A174" t="s">
        <v>2767</v>
      </c>
      <c r="B174" s="169">
        <v>9003514102</v>
      </c>
      <c r="C174" t="s">
        <v>944</v>
      </c>
      <c r="D174" s="170">
        <f>[1]!Table3[[#This Row],[Residential CLM $ Collected]]+[1]!Table3[[#This Row],[C&amp;I CLM $ Collected]]</f>
        <v>840.70497</v>
      </c>
      <c r="E174" s="28">
        <f>[1]!Table3[[#This Row],[CLM $ Collected ]]/'[1]1.) CLM Reference'!$B$4</f>
        <v>9.0505019736891793E-6</v>
      </c>
      <c r="F174" s="170">
        <f>[1]!Table3[[#This Row],[Residential Incentive Disbursements]]+[1]!Table3[[#This Row],[C&amp;I Incentive Disbursements]]</f>
        <v>0</v>
      </c>
      <c r="G174" s="28">
        <f>[1]!Table3[[#This Row],[Incentive Disbursements]]/'[1]1.) CLM Reference'!$B$5</f>
        <v>0</v>
      </c>
      <c r="H174" s="228">
        <v>840.70497</v>
      </c>
      <c r="I174" s="28">
        <f>[1]!Table3[[#This Row],[Residential CLM $ Collected]]/'[1]1.) CLM Reference'!$B$4</f>
        <v>9.0505019736891793E-6</v>
      </c>
      <c r="J174" s="229">
        <v>0</v>
      </c>
      <c r="K174" s="28">
        <f>[1]!Table3[[#This Row],[Residential Incentive Disbursements]]/'[1]1.) CLM Reference'!$B$5</f>
        <v>0</v>
      </c>
      <c r="L174" s="229">
        <v>0</v>
      </c>
      <c r="M174" s="28">
        <f>[1]!Table3[[#This Row],[C&amp;I CLM $ Collected]]/'[1]1.) CLM Reference'!$B$4</f>
        <v>0</v>
      </c>
      <c r="N174" s="229">
        <v>0</v>
      </c>
      <c r="O174" s="28">
        <f>[1]!Table3[[#This Row],[C&amp;I Incentive Disbursements]]/'[1]1.) CLM Reference'!$B$5</f>
        <v>0</v>
      </c>
      <c r="Q174">
        <f>VLOOKUP(Table3[[#This Row],[Census Tract]],'Population and Diversity Data'!$B$2:$K$823,10,FALSE)</f>
        <v>5</v>
      </c>
      <c r="R174" t="str">
        <f>VLOOKUP(Table3[[#This Row],[Census Tract]],'ES Energy Burden'!$B$2:$E$914,4,FALSE)</f>
        <v>No</v>
      </c>
    </row>
    <row r="175" spans="1:18" x14ac:dyDescent="0.2">
      <c r="A175" t="s">
        <v>2768</v>
      </c>
      <c r="B175" s="169">
        <v>9011695202</v>
      </c>
      <c r="C175" t="s">
        <v>944</v>
      </c>
      <c r="D175" s="170">
        <f>[1]!Table3[[#This Row],[Residential CLM $ Collected]]+[1]!Table3[[#This Row],[C&amp;I CLM $ Collected]]</f>
        <v>77.183400000000006</v>
      </c>
      <c r="E175" s="28">
        <f>[1]!Table3[[#This Row],[CLM $ Collected ]]/'[1]1.) CLM Reference'!$B$4</f>
        <v>8.3090803428465695E-7</v>
      </c>
      <c r="F175" s="170">
        <f>[1]!Table3[[#This Row],[Residential Incentive Disbursements]]+[1]!Table3[[#This Row],[C&amp;I Incentive Disbursements]]</f>
        <v>82740.854999999996</v>
      </c>
      <c r="G175" s="28">
        <f>[1]!Table3[[#This Row],[Incentive Disbursements]]/'[1]1.) CLM Reference'!$B$5</f>
        <v>6.6433802016948077E-4</v>
      </c>
      <c r="H175" s="228">
        <v>77.183400000000006</v>
      </c>
      <c r="I175" s="28">
        <f>[1]!Table3[[#This Row],[Residential CLM $ Collected]]/'[1]1.) CLM Reference'!$B$4</f>
        <v>8.3090803428465695E-7</v>
      </c>
      <c r="J175" s="229">
        <v>82740.854999999996</v>
      </c>
      <c r="K175" s="28">
        <f>[1]!Table3[[#This Row],[Residential Incentive Disbursements]]/'[1]1.) CLM Reference'!$B$5</f>
        <v>6.6433802016948077E-4</v>
      </c>
      <c r="L175" s="229">
        <v>0</v>
      </c>
      <c r="M175" s="28">
        <f>[1]!Table3[[#This Row],[C&amp;I CLM $ Collected]]/'[1]1.) CLM Reference'!$B$4</f>
        <v>0</v>
      </c>
      <c r="N175" s="229">
        <v>0</v>
      </c>
      <c r="O175" s="28">
        <f>[1]!Table3[[#This Row],[C&amp;I Incentive Disbursements]]/'[1]1.) CLM Reference'!$B$5</f>
        <v>0</v>
      </c>
      <c r="Q175">
        <f>VLOOKUP(Table3[[#This Row],[Census Tract]],'Population and Diversity Data'!$B$2:$K$823,10,FALSE)</f>
        <v>3</v>
      </c>
      <c r="R175" t="str">
        <f>VLOOKUP(Table3[[#This Row],[Census Tract]],'ES Energy Burden'!$B$2:$E$914,4,FALSE)</f>
        <v>No</v>
      </c>
    </row>
    <row r="176" spans="1:18" x14ac:dyDescent="0.2">
      <c r="A176" t="s">
        <v>2768</v>
      </c>
      <c r="B176" s="169">
        <v>9011716101</v>
      </c>
      <c r="C176" t="s">
        <v>944</v>
      </c>
      <c r="D176" s="170">
        <f>[1]!Table3[[#This Row],[Residential CLM $ Collected]]+[1]!Table3[[#This Row],[C&amp;I CLM $ Collected]]</f>
        <v>54338.724405000001</v>
      </c>
      <c r="E176" s="28">
        <f>[1]!Table3[[#This Row],[CLM $ Collected ]]/'[1]1.) CLM Reference'!$B$4</f>
        <v>5.849765970518824E-4</v>
      </c>
      <c r="F176" s="170">
        <f>[1]!Table3[[#This Row],[Residential Incentive Disbursements]]+[1]!Table3[[#This Row],[C&amp;I Incentive Disbursements]]</f>
        <v>52694.9</v>
      </c>
      <c r="G176" s="28">
        <f>[1]!Table3[[#This Row],[Incentive Disbursements]]/'[1]1.) CLM Reference'!$B$5</f>
        <v>4.2309480049521818E-4</v>
      </c>
      <c r="H176" s="228">
        <v>54338.724405000001</v>
      </c>
      <c r="I176" s="28">
        <f>[1]!Table3[[#This Row],[Residential CLM $ Collected]]/'[1]1.) CLM Reference'!$B$4</f>
        <v>5.849765970518824E-4</v>
      </c>
      <c r="J176" s="229">
        <v>52694.9</v>
      </c>
      <c r="K176" s="28">
        <f>[1]!Table3[[#This Row],[Residential Incentive Disbursements]]/'[1]1.) CLM Reference'!$B$5</f>
        <v>4.2309480049521818E-4</v>
      </c>
      <c r="L176" s="229">
        <v>0</v>
      </c>
      <c r="M176" s="28">
        <f>[1]!Table3[[#This Row],[C&amp;I CLM $ Collected]]/'[1]1.) CLM Reference'!$B$4</f>
        <v>0</v>
      </c>
      <c r="N176" s="229">
        <v>0</v>
      </c>
      <c r="O176" s="28">
        <f>[1]!Table3[[#This Row],[C&amp;I Incentive Disbursements]]/'[1]1.) CLM Reference'!$B$5</f>
        <v>0</v>
      </c>
      <c r="Q176">
        <f>VLOOKUP(Table3[[#This Row],[Census Tract]],'Population and Diversity Data'!$B$2:$K$823,10,FALSE)</f>
        <v>5</v>
      </c>
      <c r="R176" t="str">
        <f>VLOOKUP(Table3[[#This Row],[Census Tract]],'ES Energy Burden'!$B$2:$E$914,4,FALSE)</f>
        <v>No</v>
      </c>
    </row>
    <row r="177" spans="1:18" x14ac:dyDescent="0.2">
      <c r="A177" t="s">
        <v>2768</v>
      </c>
      <c r="B177" s="169">
        <v>9011716102</v>
      </c>
      <c r="C177" t="s">
        <v>944</v>
      </c>
      <c r="D177" s="170">
        <f>[1]!Table3[[#This Row],[Residential CLM $ Collected]]+[1]!Table3[[#This Row],[C&amp;I CLM $ Collected]]</f>
        <v>285213.64548599999</v>
      </c>
      <c r="E177" s="28">
        <f>[1]!Table3[[#This Row],[CLM $ Collected ]]/'[1]1.) CLM Reference'!$B$4</f>
        <v>3.0704310709548069E-3</v>
      </c>
      <c r="F177" s="170">
        <f>[1]!Table3[[#This Row],[Residential Incentive Disbursements]]+[1]!Table3[[#This Row],[C&amp;I Incentive Disbursements]]</f>
        <v>347205.99</v>
      </c>
      <c r="G177" s="28">
        <f>[1]!Table3[[#This Row],[Incentive Disbursements]]/'[1]1.) CLM Reference'!$B$5</f>
        <v>2.7877659710862854E-3</v>
      </c>
      <c r="H177" s="228">
        <v>189903.894978</v>
      </c>
      <c r="I177" s="28">
        <f>[1]!Table3[[#This Row],[Residential CLM $ Collected]]/'[1]1.) CLM Reference'!$B$4</f>
        <v>2.0443861255032805E-3</v>
      </c>
      <c r="J177" s="229">
        <v>326675.49</v>
      </c>
      <c r="K177" s="28">
        <f>[1]!Table3[[#This Row],[Residential Incentive Disbursements]]/'[1]1.) CLM Reference'!$B$5</f>
        <v>2.622923684611369E-3</v>
      </c>
      <c r="L177" s="229">
        <v>95309.750508000012</v>
      </c>
      <c r="M177" s="28">
        <f>[1]!Table3[[#This Row],[C&amp;I CLM $ Collected]]/'[1]1.) CLM Reference'!$B$4</f>
        <v>1.0260449454515268E-3</v>
      </c>
      <c r="N177" s="229">
        <v>20530.5</v>
      </c>
      <c r="O177" s="28">
        <f>[1]!Table3[[#This Row],[C&amp;I Incentive Disbursements]]/'[1]1.) CLM Reference'!$B$5</f>
        <v>1.6484228647491649E-4</v>
      </c>
      <c r="Q177">
        <f>VLOOKUP(Table3[[#This Row],[Census Tract]],'Population and Diversity Data'!$B$2:$K$823,10,FALSE)</f>
        <v>4</v>
      </c>
      <c r="R177" t="str">
        <f>VLOOKUP(Table3[[#This Row],[Census Tract]],'ES Energy Burden'!$B$2:$E$914,4,FALSE)</f>
        <v>No</v>
      </c>
    </row>
    <row r="178" spans="1:18" x14ac:dyDescent="0.2">
      <c r="A178" t="s">
        <v>2768</v>
      </c>
      <c r="B178" s="169">
        <v>9011870701</v>
      </c>
      <c r="C178" t="s">
        <v>944</v>
      </c>
      <c r="D178" s="170">
        <f>[1]!Table3[[#This Row],[Residential CLM $ Collected]]+[1]!Table3[[#This Row],[C&amp;I CLM $ Collected]]</f>
        <v>28822.556489999999</v>
      </c>
      <c r="E178" s="28">
        <f>[1]!Table3[[#This Row],[CLM $ Collected ]]/'[1]1.) CLM Reference'!$B$4</f>
        <v>3.1028555047023557E-4</v>
      </c>
      <c r="F178" s="170">
        <f>[1]!Table3[[#This Row],[Residential Incentive Disbursements]]+[1]!Table3[[#This Row],[C&amp;I Incentive Disbursements]]</f>
        <v>27715.48</v>
      </c>
      <c r="G178" s="28">
        <f>[1]!Table3[[#This Row],[Incentive Disbursements]]/'[1]1.) CLM Reference'!$B$5</f>
        <v>2.2253150648789938E-4</v>
      </c>
      <c r="H178" s="228">
        <v>28822.556489999999</v>
      </c>
      <c r="I178" s="28">
        <f>[1]!Table3[[#This Row],[Residential CLM $ Collected]]/'[1]1.) CLM Reference'!$B$4</f>
        <v>3.1028555047023557E-4</v>
      </c>
      <c r="J178" s="229">
        <v>27715.48</v>
      </c>
      <c r="K178" s="28">
        <f>[1]!Table3[[#This Row],[Residential Incentive Disbursements]]/'[1]1.) CLM Reference'!$B$5</f>
        <v>2.2253150648789938E-4</v>
      </c>
      <c r="L178" s="229">
        <v>0</v>
      </c>
      <c r="M178" s="28">
        <f>[1]!Table3[[#This Row],[C&amp;I CLM $ Collected]]/'[1]1.) CLM Reference'!$B$4</f>
        <v>0</v>
      </c>
      <c r="N178" s="229">
        <v>0</v>
      </c>
      <c r="O178" s="28">
        <f>[1]!Table3[[#This Row],[C&amp;I Incentive Disbursements]]/'[1]1.) CLM Reference'!$B$5</f>
        <v>0</v>
      </c>
      <c r="Q178">
        <f>VLOOKUP(Table3[[#This Row],[Census Tract]],'Population and Diversity Data'!$B$2:$K$823,10,FALSE)</f>
        <v>3</v>
      </c>
      <c r="R178" t="str">
        <f>VLOOKUP(Table3[[#This Row],[Census Tract]],'ES Energy Burden'!$B$2:$E$914,4,FALSE)</f>
        <v>No</v>
      </c>
    </row>
    <row r="179" spans="1:18" x14ac:dyDescent="0.2">
      <c r="A179" t="s">
        <v>2768</v>
      </c>
      <c r="B179" s="169">
        <v>9011870703</v>
      </c>
      <c r="C179" t="s">
        <v>944</v>
      </c>
      <c r="D179" s="170">
        <f>[1]!Table3[[#This Row],[Residential CLM $ Collected]]+[1]!Table3[[#This Row],[C&amp;I CLM $ Collected]]</f>
        <v>24819.650519999999</v>
      </c>
      <c r="E179" s="28">
        <f>[1]!Table3[[#This Row],[CLM $ Collected ]]/'[1]1.) CLM Reference'!$B$4</f>
        <v>2.6719277752995283E-4</v>
      </c>
      <c r="F179" s="170">
        <f>[1]!Table3[[#This Row],[Residential Incentive Disbursements]]+[1]!Table3[[#This Row],[C&amp;I Incentive Disbursements]]</f>
        <v>27992.54</v>
      </c>
      <c r="G179" s="28">
        <f>[1]!Table3[[#This Row],[Incentive Disbursements]]/'[1]1.) CLM Reference'!$B$5</f>
        <v>2.2475606039017845E-4</v>
      </c>
      <c r="H179" s="228">
        <v>24819.650519999999</v>
      </c>
      <c r="I179" s="28">
        <f>[1]!Table3[[#This Row],[Residential CLM $ Collected]]/'[1]1.) CLM Reference'!$B$4</f>
        <v>2.6719277752995283E-4</v>
      </c>
      <c r="J179" s="229">
        <v>27992.54</v>
      </c>
      <c r="K179" s="28">
        <f>[1]!Table3[[#This Row],[Residential Incentive Disbursements]]/'[1]1.) CLM Reference'!$B$5</f>
        <v>2.2475606039017845E-4</v>
      </c>
      <c r="L179" s="229">
        <v>0</v>
      </c>
      <c r="M179" s="28">
        <f>[1]!Table3[[#This Row],[C&amp;I CLM $ Collected]]/'[1]1.) CLM Reference'!$B$4</f>
        <v>0</v>
      </c>
      <c r="N179" s="229">
        <v>0</v>
      </c>
      <c r="O179" s="28">
        <f>[1]!Table3[[#This Row],[C&amp;I Incentive Disbursements]]/'[1]1.) CLM Reference'!$B$5</f>
        <v>0</v>
      </c>
      <c r="Q179">
        <f>VLOOKUP(Table3[[#This Row],[Census Tract]],'Population and Diversity Data'!$B$2:$K$823,10,FALSE)</f>
        <v>4</v>
      </c>
      <c r="R179" t="str">
        <f>VLOOKUP(Table3[[#This Row],[Census Tract]],'ES Energy Burden'!$B$2:$E$914,4,FALSE)</f>
        <v>No</v>
      </c>
    </row>
    <row r="180" spans="1:18" x14ac:dyDescent="0.2">
      <c r="A180" t="s">
        <v>2768</v>
      </c>
      <c r="B180" s="169">
        <v>9011870704</v>
      </c>
      <c r="C180" t="s">
        <v>944</v>
      </c>
      <c r="D180" s="170">
        <f>[1]!Table3[[#This Row],[Residential CLM $ Collected]]+[1]!Table3[[#This Row],[C&amp;I CLM $ Collected]]</f>
        <v>64201.490702999996</v>
      </c>
      <c r="E180" s="28">
        <f>[1]!Table3[[#This Row],[CLM $ Collected ]]/'[1]1.) CLM Reference'!$B$4</f>
        <v>6.9115294789001778E-4</v>
      </c>
      <c r="F180" s="170">
        <f>[1]!Table3[[#This Row],[Residential Incentive Disbursements]]+[1]!Table3[[#This Row],[C&amp;I Incentive Disbursements]]</f>
        <v>98140.645000000004</v>
      </c>
      <c r="G180" s="28">
        <f>[1]!Table3[[#This Row],[Incentive Disbursements]]/'[1]1.) CLM Reference'!$B$5</f>
        <v>7.8798511083135239E-4</v>
      </c>
      <c r="H180" s="228">
        <v>64201.490702999996</v>
      </c>
      <c r="I180" s="28">
        <f>[1]!Table3[[#This Row],[Residential CLM $ Collected]]/'[1]1.) CLM Reference'!$B$4</f>
        <v>6.9115294789001778E-4</v>
      </c>
      <c r="J180" s="229">
        <v>98140.645000000004</v>
      </c>
      <c r="K180" s="28">
        <f>[1]!Table3[[#This Row],[Residential Incentive Disbursements]]/'[1]1.) CLM Reference'!$B$5</f>
        <v>7.8798511083135239E-4</v>
      </c>
      <c r="L180" s="229">
        <v>0</v>
      </c>
      <c r="M180" s="28">
        <f>[1]!Table3[[#This Row],[C&amp;I CLM $ Collected]]/'[1]1.) CLM Reference'!$B$4</f>
        <v>0</v>
      </c>
      <c r="N180" s="229">
        <v>0</v>
      </c>
      <c r="O180" s="28">
        <f>[1]!Table3[[#This Row],[C&amp;I Incentive Disbursements]]/'[1]1.) CLM Reference'!$B$5</f>
        <v>0</v>
      </c>
      <c r="Q180">
        <f>VLOOKUP(Table3[[#This Row],[Census Tract]],'Population and Diversity Data'!$B$2:$K$823,10,FALSE)</f>
        <v>4</v>
      </c>
      <c r="R180" t="str">
        <f>VLOOKUP(Table3[[#This Row],[Census Tract]],'ES Energy Burden'!$B$2:$E$914,4,FALSE)</f>
        <v>No</v>
      </c>
    </row>
    <row r="181" spans="1:18" x14ac:dyDescent="0.2">
      <c r="A181" t="s">
        <v>2769</v>
      </c>
      <c r="B181" s="169">
        <v>9003484100</v>
      </c>
      <c r="C181" t="s">
        <v>936</v>
      </c>
      <c r="D181" s="170">
        <f>[1]!Table3[[#This Row],[Residential CLM $ Collected]]+[1]!Table3[[#This Row],[C&amp;I CLM $ Collected]]</f>
        <v>167458.565715</v>
      </c>
      <c r="E181" s="28">
        <f>[1]!Table3[[#This Row],[CLM $ Collected ]]/'[1]1.) CLM Reference'!$B$4</f>
        <v>1.8027538002002852E-3</v>
      </c>
      <c r="F181" s="170">
        <f>[1]!Table3[[#This Row],[Residential Incentive Disbursements]]+[1]!Table3[[#This Row],[C&amp;I Incentive Disbursements]]</f>
        <v>332774.05499999999</v>
      </c>
      <c r="G181" s="28">
        <f>[1]!Table3[[#This Row],[Incentive Disbursements]]/'[1]1.) CLM Reference'!$B$5</f>
        <v>2.6718899250251873E-3</v>
      </c>
      <c r="H181" s="228">
        <v>117868.013865</v>
      </c>
      <c r="I181" s="28">
        <f>[1]!Table3[[#This Row],[Residential CLM $ Collected]]/'[1]1.) CLM Reference'!$B$4</f>
        <v>1.2688930483187295E-3</v>
      </c>
      <c r="J181" s="229">
        <v>226940.83499999999</v>
      </c>
      <c r="K181" s="28">
        <f>[1]!Table3[[#This Row],[Residential Incentive Disbursements]]/'[1]1.) CLM Reference'!$B$5</f>
        <v>1.8221400421775773E-3</v>
      </c>
      <c r="L181" s="229">
        <v>49590.551850000003</v>
      </c>
      <c r="M181" s="28">
        <f>[1]!Table3[[#This Row],[C&amp;I CLM $ Collected]]/'[1]1.) CLM Reference'!$B$4</f>
        <v>5.3386075188155554E-4</v>
      </c>
      <c r="N181" s="229">
        <v>105833.22</v>
      </c>
      <c r="O181" s="28">
        <f>[1]!Table3[[#This Row],[C&amp;I Incentive Disbursements]]/'[1]1.) CLM Reference'!$B$5</f>
        <v>8.4974988284761013E-4</v>
      </c>
      <c r="Q181">
        <f>VLOOKUP(Table3[[#This Row],[Census Tract]],'Population and Diversity Data'!$B$2:$K$823,10,FALSE)</f>
        <v>4</v>
      </c>
      <c r="R181" t="str">
        <f>VLOOKUP(Table3[[#This Row],[Census Tract]],'ES Energy Burden'!$B$2:$E$914,4,FALSE)</f>
        <v>No</v>
      </c>
    </row>
    <row r="182" spans="1:18" x14ac:dyDescent="0.2">
      <c r="A182" t="s">
        <v>2769</v>
      </c>
      <c r="B182" s="169">
        <v>9003484200</v>
      </c>
      <c r="C182" t="s">
        <v>944</v>
      </c>
      <c r="D182" s="170">
        <f>[1]!Table3[[#This Row],[Residential CLM $ Collected]]+[1]!Table3[[#This Row],[C&amp;I CLM $ Collected]]</f>
        <v>55283.490759000008</v>
      </c>
      <c r="E182" s="28">
        <f>[1]!Table3[[#This Row],[CLM $ Collected ]]/'[1]1.) CLM Reference'!$B$4</f>
        <v>5.9514735856356011E-4</v>
      </c>
      <c r="F182" s="170">
        <f>[1]!Table3[[#This Row],[Residential Incentive Disbursements]]+[1]!Table3[[#This Row],[C&amp;I Incentive Disbursements]]</f>
        <v>38043.410000000003</v>
      </c>
      <c r="G182" s="28">
        <f>[1]!Table3[[#This Row],[Incentive Disbursements]]/'[1]1.) CLM Reference'!$B$5</f>
        <v>3.054559163051413E-4</v>
      </c>
      <c r="H182" s="228">
        <v>55283.490759000008</v>
      </c>
      <c r="I182" s="28">
        <f>[1]!Table3[[#This Row],[Residential CLM $ Collected]]/'[1]1.) CLM Reference'!$B$4</f>
        <v>5.9514735856356011E-4</v>
      </c>
      <c r="J182" s="229">
        <v>38043.410000000003</v>
      </c>
      <c r="K182" s="28">
        <f>[1]!Table3[[#This Row],[Residential Incentive Disbursements]]/'[1]1.) CLM Reference'!$B$5</f>
        <v>3.054559163051413E-4</v>
      </c>
      <c r="L182" s="229">
        <v>0</v>
      </c>
      <c r="M182" s="28">
        <f>[1]!Table3[[#This Row],[C&amp;I CLM $ Collected]]/'[1]1.) CLM Reference'!$B$4</f>
        <v>0</v>
      </c>
      <c r="N182" s="229">
        <v>0</v>
      </c>
      <c r="O182" s="28">
        <f>[1]!Table3[[#This Row],[C&amp;I Incentive Disbursements]]/'[1]1.) CLM Reference'!$B$5</f>
        <v>0</v>
      </c>
      <c r="Q182">
        <f>VLOOKUP(Table3[[#This Row],[Census Tract]],'Population and Diversity Data'!$B$2:$K$823,10,FALSE)</f>
        <v>3</v>
      </c>
      <c r="R182" t="str">
        <f>VLOOKUP(Table3[[#This Row],[Census Tract]],'ES Energy Burden'!$B$2:$E$914,4,FALSE)</f>
        <v>No</v>
      </c>
    </row>
    <row r="183" spans="1:18" x14ac:dyDescent="0.2">
      <c r="A183" t="s">
        <v>2769</v>
      </c>
      <c r="B183" s="169">
        <v>9003487100</v>
      </c>
      <c r="C183" t="s">
        <v>944</v>
      </c>
      <c r="D183" s="170">
        <f>[1]!Table3[[#This Row],[Residential CLM $ Collected]]+[1]!Table3[[#This Row],[C&amp;I CLM $ Collected]]</f>
        <v>125.92293000000001</v>
      </c>
      <c r="E183" s="28">
        <f>[1]!Table3[[#This Row],[CLM $ Collected ]]/'[1]1.) CLM Reference'!$B$4</f>
        <v>1.355607219138629E-6</v>
      </c>
      <c r="F183" s="170">
        <f>[1]!Table3[[#This Row],[Residential Incentive Disbursements]]+[1]!Table3[[#This Row],[C&amp;I Incentive Disbursements]]</f>
        <v>500</v>
      </c>
      <c r="G183" s="28">
        <f>[1]!Table3[[#This Row],[Incentive Disbursements]]/'[1]1.) CLM Reference'!$B$5</f>
        <v>4.0145706747258096E-6</v>
      </c>
      <c r="H183" s="228">
        <v>125.92293000000001</v>
      </c>
      <c r="I183" s="28">
        <f>[1]!Table3[[#This Row],[Residential CLM $ Collected]]/'[1]1.) CLM Reference'!$B$4</f>
        <v>1.355607219138629E-6</v>
      </c>
      <c r="J183" s="229">
        <v>500</v>
      </c>
      <c r="K183" s="28">
        <f>[1]!Table3[[#This Row],[Residential Incentive Disbursements]]/'[1]1.) CLM Reference'!$B$5</f>
        <v>4.0145706747258096E-6</v>
      </c>
      <c r="L183" s="229">
        <v>0</v>
      </c>
      <c r="M183" s="28">
        <f>[1]!Table3[[#This Row],[C&amp;I CLM $ Collected]]/'[1]1.) CLM Reference'!$B$4</f>
        <v>0</v>
      </c>
      <c r="N183" s="229">
        <v>0</v>
      </c>
      <c r="O183" s="28">
        <f>[1]!Table3[[#This Row],[C&amp;I Incentive Disbursements]]/'[1]1.) CLM Reference'!$B$5</f>
        <v>0</v>
      </c>
      <c r="Q183">
        <f>VLOOKUP(Table3[[#This Row],[Census Tract]],'Population and Diversity Data'!$B$2:$K$823,10,FALSE)</f>
        <v>3</v>
      </c>
      <c r="R183" t="str">
        <f>VLOOKUP(Table3[[#This Row],[Census Tract]],'ES Energy Burden'!$B$2:$E$914,4,FALSE)</f>
        <v>No</v>
      </c>
    </row>
    <row r="184" spans="1:18" x14ac:dyDescent="0.2">
      <c r="A184" t="s">
        <v>2770</v>
      </c>
      <c r="B184" s="169">
        <v>9015902200</v>
      </c>
      <c r="C184" t="s">
        <v>944</v>
      </c>
      <c r="D184" s="170">
        <f>[1]!Table3[[#This Row],[Residential CLM $ Collected]]+[1]!Table3[[#This Row],[C&amp;I CLM $ Collected]]</f>
        <v>35654.183355000001</v>
      </c>
      <c r="E184" s="28">
        <f>[1]!Table3[[#This Row],[CLM $ Collected ]]/'[1]1.) CLM Reference'!$B$4</f>
        <v>3.8383055690119615E-4</v>
      </c>
      <c r="F184" s="170">
        <f>[1]!Table3[[#This Row],[Residential Incentive Disbursements]]+[1]!Table3[[#This Row],[C&amp;I Incentive Disbursements]]</f>
        <v>29236.965</v>
      </c>
      <c r="G184" s="28">
        <f>[1]!Table3[[#This Row],[Incentive Disbursements]]/'[1]1.) CLM Reference'!$B$5</f>
        <v>2.3474772461396979E-4</v>
      </c>
      <c r="H184" s="228">
        <v>30168.211395000002</v>
      </c>
      <c r="I184" s="28">
        <f>[1]!Table3[[#This Row],[Residential CLM $ Collected]]/'[1]1.) CLM Reference'!$B$4</f>
        <v>3.2477202647335354E-4</v>
      </c>
      <c r="J184" s="229">
        <v>27973.965</v>
      </c>
      <c r="K184" s="28">
        <f>[1]!Table3[[#This Row],[Residential Incentive Disbursements]]/'[1]1.) CLM Reference'!$B$5</f>
        <v>2.2460691908961238E-4</v>
      </c>
      <c r="L184" s="229">
        <v>5485.9719599999999</v>
      </c>
      <c r="M184" s="28">
        <f>[1]!Table3[[#This Row],[C&amp;I CLM $ Collected]]/'[1]1.) CLM Reference'!$B$4</f>
        <v>5.9058530427842595E-5</v>
      </c>
      <c r="N184" s="229">
        <v>1263</v>
      </c>
      <c r="O184" s="28">
        <f>[1]!Table3[[#This Row],[C&amp;I Incentive Disbursements]]/'[1]1.) CLM Reference'!$B$5</f>
        <v>1.0140805524357396E-5</v>
      </c>
      <c r="Q184">
        <f>VLOOKUP(Table3[[#This Row],[Census Tract]],'Population and Diversity Data'!$B$2:$K$823,10,FALSE)</f>
        <v>2</v>
      </c>
      <c r="R184" t="str">
        <f>VLOOKUP(Table3[[#This Row],[Census Tract]],'ES Energy Burden'!$B$2:$E$914,4,FALSE)</f>
        <v>No</v>
      </c>
    </row>
    <row r="185" spans="1:18" x14ac:dyDescent="0.2">
      <c r="A185" t="s">
        <v>2771</v>
      </c>
      <c r="B185" s="169">
        <v>9013535100</v>
      </c>
      <c r="C185" t="s">
        <v>944</v>
      </c>
      <c r="D185" s="170">
        <f>[1]!Table3[[#This Row],[Residential CLM $ Collected]]+[1]!Table3[[#This Row],[C&amp;I CLM $ Collected]]</f>
        <v>243537.12398400001</v>
      </c>
      <c r="E185" s="28">
        <f>[1]!Table3[[#This Row],[CLM $ Collected ]]/'[1]1.) CLM Reference'!$B$4</f>
        <v>2.6217678019481417E-3</v>
      </c>
      <c r="F185" s="170">
        <f>[1]!Table3[[#This Row],[Residential Incentive Disbursements]]+[1]!Table3[[#This Row],[C&amp;I Incentive Disbursements]]</f>
        <v>283785.53999999998</v>
      </c>
      <c r="G185" s="28">
        <f>[1]!Table3[[#This Row],[Incentive Disbursements]]/'[1]1.) CLM Reference'!$B$5</f>
        <v>2.2785542135904564E-3</v>
      </c>
      <c r="H185" s="228">
        <v>200520.93146399999</v>
      </c>
      <c r="I185" s="28">
        <f>[1]!Table3[[#This Row],[Residential CLM $ Collected]]/'[1]1.) CLM Reference'!$B$4</f>
        <v>2.1586824757095519E-3</v>
      </c>
      <c r="J185" s="229">
        <v>265684.53999999998</v>
      </c>
      <c r="K185" s="28">
        <f>[1]!Table3[[#This Row],[Residential Incentive Disbursements]]/'[1]1.) CLM Reference'!$B$5</f>
        <v>2.1332187260240327E-3</v>
      </c>
      <c r="L185" s="229">
        <v>43016.192520000004</v>
      </c>
      <c r="M185" s="28">
        <f>[1]!Table3[[#This Row],[C&amp;I CLM $ Collected]]/'[1]1.) CLM Reference'!$B$4</f>
        <v>4.6308532623858971E-4</v>
      </c>
      <c r="N185" s="229">
        <v>18101</v>
      </c>
      <c r="O185" s="28">
        <f>[1]!Table3[[#This Row],[C&amp;I Incentive Disbursements]]/'[1]1.) CLM Reference'!$B$5</f>
        <v>1.4533548756642378E-4</v>
      </c>
      <c r="Q185">
        <f>VLOOKUP(Table3[[#This Row],[Census Tract]],'Population and Diversity Data'!$B$2:$K$823,10,FALSE)</f>
        <v>4</v>
      </c>
      <c r="R185" t="str">
        <f>VLOOKUP(Table3[[#This Row],[Census Tract]],'ES Energy Burden'!$B$2:$E$914,4,FALSE)</f>
        <v>No</v>
      </c>
    </row>
    <row r="186" spans="1:18" x14ac:dyDescent="0.2">
      <c r="A186" t="s">
        <v>2771</v>
      </c>
      <c r="B186" s="169">
        <v>9013535200</v>
      </c>
      <c r="C186" t="s">
        <v>944</v>
      </c>
      <c r="D186" s="170">
        <f>[1]!Table3[[#This Row],[Residential CLM $ Collected]]+[1]!Table3[[#This Row],[C&amp;I CLM $ Collected]]</f>
        <v>74165.317505999992</v>
      </c>
      <c r="E186" s="28">
        <f>[1]!Table3[[#This Row],[CLM $ Collected ]]/'[1]1.) CLM Reference'!$B$4</f>
        <v>7.9841725268656085E-4</v>
      </c>
      <c r="F186" s="170">
        <f>[1]!Table3[[#This Row],[Residential Incentive Disbursements]]+[1]!Table3[[#This Row],[C&amp;I Incentive Disbursements]]</f>
        <v>57220.684999999998</v>
      </c>
      <c r="G186" s="28">
        <f>[1]!Table3[[#This Row],[Incentive Disbursements]]/'[1]1.) CLM Reference'!$B$5</f>
        <v>4.5943296797744604E-4</v>
      </c>
      <c r="H186" s="228">
        <v>74165.317505999992</v>
      </c>
      <c r="I186" s="28">
        <f>[1]!Table3[[#This Row],[Residential CLM $ Collected]]/'[1]1.) CLM Reference'!$B$4</f>
        <v>7.9841725268656085E-4</v>
      </c>
      <c r="J186" s="229">
        <v>57220.684999999998</v>
      </c>
      <c r="K186" s="28">
        <f>[1]!Table3[[#This Row],[Residential Incentive Disbursements]]/'[1]1.) CLM Reference'!$B$5</f>
        <v>4.5943296797744604E-4</v>
      </c>
      <c r="L186" s="229">
        <v>0</v>
      </c>
      <c r="M186" s="28">
        <f>[1]!Table3[[#This Row],[C&amp;I CLM $ Collected]]/'[1]1.) CLM Reference'!$B$4</f>
        <v>0</v>
      </c>
      <c r="N186" s="229">
        <v>0</v>
      </c>
      <c r="O186" s="28">
        <f>[1]!Table3[[#This Row],[C&amp;I Incentive Disbursements]]/'[1]1.) CLM Reference'!$B$5</f>
        <v>0</v>
      </c>
      <c r="Q186">
        <f>VLOOKUP(Table3[[#This Row],[Census Tract]],'Population and Diversity Data'!$B$2:$K$823,10,FALSE)</f>
        <v>5</v>
      </c>
      <c r="R186" t="str">
        <f>VLOOKUP(Table3[[#This Row],[Census Tract]],'ES Energy Burden'!$B$2:$E$914,4,FALSE)</f>
        <v>No</v>
      </c>
    </row>
    <row r="187" spans="1:18" x14ac:dyDescent="0.2">
      <c r="A187" t="s">
        <v>2771</v>
      </c>
      <c r="B187" s="169">
        <v>9013538201</v>
      </c>
      <c r="C187" t="s">
        <v>944</v>
      </c>
      <c r="D187" s="170">
        <f>[1]!Table3[[#This Row],[Residential CLM $ Collected]]+[1]!Table3[[#This Row],[C&amp;I CLM $ Collected]]</f>
        <v>148.85577000000001</v>
      </c>
      <c r="E187" s="28">
        <f>[1]!Table3[[#This Row],[CLM $ Collected ]]/'[1]1.) CLM Reference'!$B$4</f>
        <v>1.6024877790124431E-6</v>
      </c>
      <c r="F187" s="170">
        <f>[1]!Table3[[#This Row],[Residential Incentive Disbursements]]+[1]!Table3[[#This Row],[C&amp;I Incentive Disbursements]]</f>
        <v>0</v>
      </c>
      <c r="G187" s="28">
        <f>[1]!Table3[[#This Row],[Incentive Disbursements]]/'[1]1.) CLM Reference'!$B$5</f>
        <v>0</v>
      </c>
      <c r="H187" s="228">
        <v>148.85577000000001</v>
      </c>
      <c r="I187" s="28">
        <f>[1]!Table3[[#This Row],[Residential CLM $ Collected]]/'[1]1.) CLM Reference'!$B$4</f>
        <v>1.6024877790124431E-6</v>
      </c>
      <c r="J187" s="229">
        <v>0</v>
      </c>
      <c r="K187" s="28">
        <f>[1]!Table3[[#This Row],[Residential Incentive Disbursements]]/'[1]1.) CLM Reference'!$B$5</f>
        <v>0</v>
      </c>
      <c r="L187" s="229">
        <v>0</v>
      </c>
      <c r="M187" s="28">
        <f>[1]!Table3[[#This Row],[C&amp;I CLM $ Collected]]/'[1]1.) CLM Reference'!$B$4</f>
        <v>0</v>
      </c>
      <c r="N187" s="229">
        <v>0</v>
      </c>
      <c r="O187" s="28">
        <f>[1]!Table3[[#This Row],[C&amp;I Incentive Disbursements]]/'[1]1.) CLM Reference'!$B$5</f>
        <v>0</v>
      </c>
      <c r="Q187">
        <f>VLOOKUP(Table3[[#This Row],[Census Tract]],'Population and Diversity Data'!$B$2:$K$823,10,FALSE)</f>
        <v>3</v>
      </c>
      <c r="R187" t="str">
        <f>VLOOKUP(Table3[[#This Row],[Census Tract]],'ES Energy Burden'!$B$2:$E$914,4,FALSE)</f>
        <v>No</v>
      </c>
    </row>
    <row r="188" spans="1:18" x14ac:dyDescent="0.2">
      <c r="A188" t="s">
        <v>2771</v>
      </c>
      <c r="B188" s="169">
        <v>9013538202</v>
      </c>
      <c r="C188" t="s">
        <v>944</v>
      </c>
      <c r="D188" s="170">
        <f>[1]!Table3[[#This Row],[Residential CLM $ Collected]]+[1]!Table3[[#This Row],[C&amp;I CLM $ Collected]]</f>
        <v>89.079689999999999</v>
      </c>
      <c r="E188" s="28">
        <f>[1]!Table3[[#This Row],[CLM $ Collected ]]/'[1]1.) CLM Reference'!$B$4</f>
        <v>9.5897602480049601E-7</v>
      </c>
      <c r="F188" s="170">
        <f>[1]!Table3[[#This Row],[Residential Incentive Disbursements]]+[1]!Table3[[#This Row],[C&amp;I Incentive Disbursements]]</f>
        <v>0</v>
      </c>
      <c r="G188" s="28">
        <f>[1]!Table3[[#This Row],[Incentive Disbursements]]/'[1]1.) CLM Reference'!$B$5</f>
        <v>0</v>
      </c>
      <c r="H188" s="228">
        <v>89.079689999999999</v>
      </c>
      <c r="I188" s="28">
        <f>[1]!Table3[[#This Row],[Residential CLM $ Collected]]/'[1]1.) CLM Reference'!$B$4</f>
        <v>9.5897602480049601E-7</v>
      </c>
      <c r="J188" s="229">
        <v>0</v>
      </c>
      <c r="K188" s="28">
        <f>[1]!Table3[[#This Row],[Residential Incentive Disbursements]]/'[1]1.) CLM Reference'!$B$5</f>
        <v>0</v>
      </c>
      <c r="L188" s="229">
        <v>0</v>
      </c>
      <c r="M188" s="28">
        <f>[1]!Table3[[#This Row],[C&amp;I CLM $ Collected]]/'[1]1.) CLM Reference'!$B$4</f>
        <v>0</v>
      </c>
      <c r="N188" s="229">
        <v>0</v>
      </c>
      <c r="O188" s="28">
        <f>[1]!Table3[[#This Row],[C&amp;I Incentive Disbursements]]/'[1]1.) CLM Reference'!$B$5</f>
        <v>0</v>
      </c>
      <c r="Q188">
        <f>VLOOKUP(Table3[[#This Row],[Census Tract]],'Population and Diversity Data'!$B$2:$K$823,10,FALSE)</f>
        <v>1</v>
      </c>
      <c r="R188" t="str">
        <f>VLOOKUP(Table3[[#This Row],[Census Tract]],'ES Energy Burden'!$B$2:$E$914,4,FALSE)</f>
        <v>No</v>
      </c>
    </row>
    <row r="189" spans="1:18" x14ac:dyDescent="0.2">
      <c r="A189" t="s">
        <v>2772</v>
      </c>
      <c r="B189" s="169">
        <v>9003480300</v>
      </c>
      <c r="C189" t="s">
        <v>944</v>
      </c>
      <c r="D189" s="170">
        <f>[1]!Table3[[#This Row],[Residential CLM $ Collected]]+[1]!Table3[[#This Row],[C&amp;I CLM $ Collected]]</f>
        <v>21248.164980000001</v>
      </c>
      <c r="E189" s="28">
        <f>[1]!Table3[[#This Row],[CLM $ Collected ]]/'[1]1.) CLM Reference'!$B$4</f>
        <v>2.287444061247352E-4</v>
      </c>
      <c r="F189" s="170">
        <f>[1]!Table3[[#This Row],[Residential Incentive Disbursements]]+[1]!Table3[[#This Row],[C&amp;I Incentive Disbursements]]</f>
        <v>25401.64</v>
      </c>
      <c r="G189" s="28">
        <f>[1]!Table3[[#This Row],[Incentive Disbursements]]/'[1]1.) CLM Reference'!$B$5</f>
        <v>2.0395335806788423E-4</v>
      </c>
      <c r="H189" s="228">
        <v>21248.164980000001</v>
      </c>
      <c r="I189" s="28">
        <f>[1]!Table3[[#This Row],[Residential CLM $ Collected]]/'[1]1.) CLM Reference'!$B$4</f>
        <v>2.287444061247352E-4</v>
      </c>
      <c r="J189" s="229">
        <v>25401.64</v>
      </c>
      <c r="K189" s="28">
        <f>[1]!Table3[[#This Row],[Residential Incentive Disbursements]]/'[1]1.) CLM Reference'!$B$5</f>
        <v>2.0395335806788423E-4</v>
      </c>
      <c r="L189" s="229">
        <v>0</v>
      </c>
      <c r="M189" s="28">
        <f>[1]!Table3[[#This Row],[C&amp;I CLM $ Collected]]/'[1]1.) CLM Reference'!$B$4</f>
        <v>0</v>
      </c>
      <c r="N189" s="229">
        <v>0</v>
      </c>
      <c r="O189" s="28">
        <f>[1]!Table3[[#This Row],[C&amp;I Incentive Disbursements]]/'[1]1.) CLM Reference'!$B$5</f>
        <v>0</v>
      </c>
      <c r="Q189">
        <f>VLOOKUP(Table3[[#This Row],[Census Tract]],'Population and Diversity Data'!$B$2:$K$823,10,FALSE)</f>
        <v>2</v>
      </c>
      <c r="R189" t="str">
        <f>VLOOKUP(Table3[[#This Row],[Census Tract]],'ES Energy Burden'!$B$2:$E$914,4,FALSE)</f>
        <v>No</v>
      </c>
    </row>
    <row r="190" spans="1:18" x14ac:dyDescent="0.2">
      <c r="A190" t="s">
        <v>2772</v>
      </c>
      <c r="B190" s="169">
        <v>9003480400</v>
      </c>
      <c r="C190" t="s">
        <v>944</v>
      </c>
      <c r="D190" s="170">
        <f>[1]!Table3[[#This Row],[Residential CLM $ Collected]]+[1]!Table3[[#This Row],[C&amp;I CLM $ Collected]]</f>
        <v>33116.427456000005</v>
      </c>
      <c r="E190" s="28">
        <f>[1]!Table3[[#This Row],[CLM $ Collected ]]/'[1]1.) CLM Reference'!$B$4</f>
        <v>3.5651066991082802E-4</v>
      </c>
      <c r="F190" s="170">
        <f>[1]!Table3[[#This Row],[Residential Incentive Disbursements]]+[1]!Table3[[#This Row],[C&amp;I Incentive Disbursements]]</f>
        <v>30927.685000000001</v>
      </c>
      <c r="G190" s="28">
        <f>[1]!Table3[[#This Row],[Incentive Disbursements]]/'[1]1.) CLM Reference'!$B$5</f>
        <v>2.4832275447631463E-4</v>
      </c>
      <c r="H190" s="228">
        <v>33116.427456000005</v>
      </c>
      <c r="I190" s="28">
        <f>[1]!Table3[[#This Row],[Residential CLM $ Collected]]/'[1]1.) CLM Reference'!$B$4</f>
        <v>3.5651066991082802E-4</v>
      </c>
      <c r="J190" s="229">
        <v>30927.685000000001</v>
      </c>
      <c r="K190" s="28">
        <f>[1]!Table3[[#This Row],[Residential Incentive Disbursements]]/'[1]1.) CLM Reference'!$B$5</f>
        <v>2.4832275447631463E-4</v>
      </c>
      <c r="L190" s="229">
        <v>0</v>
      </c>
      <c r="M190" s="28">
        <f>[1]!Table3[[#This Row],[C&amp;I CLM $ Collected]]/'[1]1.) CLM Reference'!$B$4</f>
        <v>0</v>
      </c>
      <c r="N190" s="229">
        <v>0</v>
      </c>
      <c r="O190" s="28">
        <f>[1]!Table3[[#This Row],[C&amp;I Incentive Disbursements]]/'[1]1.) CLM Reference'!$B$5</f>
        <v>0</v>
      </c>
      <c r="Q190">
        <f>VLOOKUP(Table3[[#This Row],[Census Tract]],'Population and Diversity Data'!$B$2:$K$823,10,FALSE)</f>
        <v>3</v>
      </c>
      <c r="R190" t="str">
        <f>VLOOKUP(Table3[[#This Row],[Census Tract]],'ES Energy Burden'!$B$2:$E$914,4,FALSE)</f>
        <v>No</v>
      </c>
    </row>
    <row r="191" spans="1:18" x14ac:dyDescent="0.2">
      <c r="A191" t="s">
        <v>2772</v>
      </c>
      <c r="B191" s="169">
        <v>9003480500</v>
      </c>
      <c r="C191" t="s">
        <v>944</v>
      </c>
      <c r="D191" s="170">
        <f>[1]!Table3[[#This Row],[Residential CLM $ Collected]]+[1]!Table3[[#This Row],[C&amp;I CLM $ Collected]]</f>
        <v>31011.767513999999</v>
      </c>
      <c r="E191" s="28">
        <f>[1]!Table3[[#This Row],[CLM $ Collected ]]/'[1]1.) CLM Reference'!$B$4</f>
        <v>3.338532221274331E-4</v>
      </c>
      <c r="F191" s="170">
        <f>[1]!Table3[[#This Row],[Residential Incentive Disbursements]]+[1]!Table3[[#This Row],[C&amp;I Incentive Disbursements]]</f>
        <v>25227.03</v>
      </c>
      <c r="G191" s="28">
        <f>[1]!Table3[[#This Row],[Incentive Disbursements]]/'[1]1.) CLM Reference'!$B$5</f>
        <v>2.025513896968565E-4</v>
      </c>
      <c r="H191" s="228">
        <v>31011.767513999999</v>
      </c>
      <c r="I191" s="28">
        <f>[1]!Table3[[#This Row],[Residential CLM $ Collected]]/'[1]1.) CLM Reference'!$B$4</f>
        <v>3.338532221274331E-4</v>
      </c>
      <c r="J191" s="229">
        <v>25227.03</v>
      </c>
      <c r="K191" s="28">
        <f>[1]!Table3[[#This Row],[Residential Incentive Disbursements]]/'[1]1.) CLM Reference'!$B$5</f>
        <v>2.025513896968565E-4</v>
      </c>
      <c r="L191" s="229">
        <v>0</v>
      </c>
      <c r="M191" s="28">
        <f>[1]!Table3[[#This Row],[C&amp;I CLM $ Collected]]/'[1]1.) CLM Reference'!$B$4</f>
        <v>0</v>
      </c>
      <c r="N191" s="229">
        <v>0</v>
      </c>
      <c r="O191" s="28">
        <f>[1]!Table3[[#This Row],[C&amp;I Incentive Disbursements]]/'[1]1.) CLM Reference'!$B$5</f>
        <v>0</v>
      </c>
      <c r="Q191">
        <f>VLOOKUP(Table3[[#This Row],[Census Tract]],'Population and Diversity Data'!$B$2:$K$823,10,FALSE)</f>
        <v>2</v>
      </c>
      <c r="R191" t="str">
        <f>VLOOKUP(Table3[[#This Row],[Census Tract]],'ES Energy Burden'!$B$2:$E$914,4,FALSE)</f>
        <v>No</v>
      </c>
    </row>
    <row r="192" spans="1:18" x14ac:dyDescent="0.2">
      <c r="A192" t="s">
        <v>2772</v>
      </c>
      <c r="B192" s="169">
        <v>9003480600</v>
      </c>
      <c r="C192" t="s">
        <v>936</v>
      </c>
      <c r="D192" s="170">
        <f>[1]!Table3[[#This Row],[Residential CLM $ Collected]]+[1]!Table3[[#This Row],[C&amp;I CLM $ Collected]]</f>
        <v>29461.850460000001</v>
      </c>
      <c r="E192" s="28">
        <f>[1]!Table3[[#This Row],[CLM $ Collected ]]/'[1]1.) CLM Reference'!$B$4</f>
        <v>3.1716778804907682E-4</v>
      </c>
      <c r="F192" s="170">
        <f>[1]!Table3[[#This Row],[Residential Incentive Disbursements]]+[1]!Table3[[#This Row],[C&amp;I Incentive Disbursements]]</f>
        <v>7427.78</v>
      </c>
      <c r="G192" s="28">
        <f>[1]!Table3[[#This Row],[Incentive Disbursements]]/'[1]1.) CLM Reference'!$B$5</f>
        <v>5.9638695532629749E-5</v>
      </c>
      <c r="H192" s="228">
        <v>29461.850460000001</v>
      </c>
      <c r="I192" s="28">
        <f>[1]!Table3[[#This Row],[Residential CLM $ Collected]]/'[1]1.) CLM Reference'!$B$4</f>
        <v>3.1716778804907682E-4</v>
      </c>
      <c r="J192" s="229">
        <v>7427.78</v>
      </c>
      <c r="K192" s="28">
        <f>[1]!Table3[[#This Row],[Residential Incentive Disbursements]]/'[1]1.) CLM Reference'!$B$5</f>
        <v>5.9638695532629749E-5</v>
      </c>
      <c r="L192" s="229">
        <v>0</v>
      </c>
      <c r="M192" s="28">
        <f>[1]!Table3[[#This Row],[C&amp;I CLM $ Collected]]/'[1]1.) CLM Reference'!$B$4</f>
        <v>0</v>
      </c>
      <c r="N192" s="229">
        <v>0</v>
      </c>
      <c r="O192" s="28">
        <f>[1]!Table3[[#This Row],[C&amp;I Incentive Disbursements]]/'[1]1.) CLM Reference'!$B$5</f>
        <v>0</v>
      </c>
      <c r="Q192">
        <f>VLOOKUP(Table3[[#This Row],[Census Tract]],'Population and Diversity Data'!$B$2:$K$823,10,FALSE)</f>
        <v>5</v>
      </c>
      <c r="R192" t="str">
        <f>VLOOKUP(Table3[[#This Row],[Census Tract]],'ES Energy Burden'!$B$2:$E$914,4,FALSE)</f>
        <v>No</v>
      </c>
    </row>
    <row r="193" spans="1:18" x14ac:dyDescent="0.2">
      <c r="A193" t="s">
        <v>2772</v>
      </c>
      <c r="B193" s="169">
        <v>9003480700</v>
      </c>
      <c r="C193" t="s">
        <v>944</v>
      </c>
      <c r="D193" s="170">
        <f>[1]!Table3[[#This Row],[Residential CLM $ Collected]]+[1]!Table3[[#This Row],[C&amp;I CLM $ Collected]]</f>
        <v>17377.392354</v>
      </c>
      <c r="E193" s="28">
        <f>[1]!Table3[[#This Row],[CLM $ Collected ]]/'[1]1.) CLM Reference'!$B$4</f>
        <v>1.8707409782226962E-4</v>
      </c>
      <c r="F193" s="170">
        <f>[1]!Table3[[#This Row],[Residential Incentive Disbursements]]+[1]!Table3[[#This Row],[C&amp;I Incentive Disbursements]]</f>
        <v>13716.63</v>
      </c>
      <c r="G193" s="28">
        <f>[1]!Table3[[#This Row],[Incentive Disbursements]]/'[1]1.) CLM Reference'!$B$5</f>
        <v>1.1013276110812857E-4</v>
      </c>
      <c r="H193" s="228">
        <v>17377.392354</v>
      </c>
      <c r="I193" s="28">
        <f>[1]!Table3[[#This Row],[Residential CLM $ Collected]]/'[1]1.) CLM Reference'!$B$4</f>
        <v>1.8707409782226962E-4</v>
      </c>
      <c r="J193" s="229">
        <v>13716.63</v>
      </c>
      <c r="K193" s="28">
        <f>[1]!Table3[[#This Row],[Residential Incentive Disbursements]]/'[1]1.) CLM Reference'!$B$5</f>
        <v>1.1013276110812857E-4</v>
      </c>
      <c r="L193" s="229">
        <v>0</v>
      </c>
      <c r="M193" s="28">
        <f>[1]!Table3[[#This Row],[C&amp;I CLM $ Collected]]/'[1]1.) CLM Reference'!$B$4</f>
        <v>0</v>
      </c>
      <c r="N193" s="229">
        <v>0</v>
      </c>
      <c r="O193" s="28">
        <f>[1]!Table3[[#This Row],[C&amp;I Incentive Disbursements]]/'[1]1.) CLM Reference'!$B$5</f>
        <v>0</v>
      </c>
      <c r="Q193">
        <f>VLOOKUP(Table3[[#This Row],[Census Tract]],'Population and Diversity Data'!$B$2:$K$823,10,FALSE)</f>
        <v>3</v>
      </c>
      <c r="R193" t="str">
        <f>VLOOKUP(Table3[[#This Row],[Census Tract]],'ES Energy Burden'!$B$2:$E$914,4,FALSE)</f>
        <v>No</v>
      </c>
    </row>
    <row r="194" spans="1:18" x14ac:dyDescent="0.2">
      <c r="A194" t="s">
        <v>2772</v>
      </c>
      <c r="B194" s="169">
        <v>9003480800</v>
      </c>
      <c r="C194" t="s">
        <v>944</v>
      </c>
      <c r="D194" s="170">
        <f>[1]!Table3[[#This Row],[Residential CLM $ Collected]]+[1]!Table3[[#This Row],[C&amp;I CLM $ Collected]]</f>
        <v>47043.970575000007</v>
      </c>
      <c r="E194" s="28">
        <f>[1]!Table3[[#This Row],[CLM $ Collected ]]/'[1]1.) CLM Reference'!$B$4</f>
        <v>5.0644585643309958E-4</v>
      </c>
      <c r="F194" s="170">
        <f>[1]!Table3[[#This Row],[Residential Incentive Disbursements]]+[1]!Table3[[#This Row],[C&amp;I Incentive Disbursements]]</f>
        <v>47701.66</v>
      </c>
      <c r="G194" s="28">
        <f>[1]!Table3[[#This Row],[Incentive Disbursements]]/'[1]1.) CLM Reference'!$B$5</f>
        <v>3.8300337074348239E-4</v>
      </c>
      <c r="H194" s="228">
        <v>46966.932075000004</v>
      </c>
      <c r="I194" s="28">
        <f>[1]!Table3[[#This Row],[Residential CLM $ Collected]]/'[1]1.) CLM Reference'!$B$4</f>
        <v>5.0561650830125717E-4</v>
      </c>
      <c r="J194" s="229">
        <v>47701.66</v>
      </c>
      <c r="K194" s="28">
        <f>[1]!Table3[[#This Row],[Residential Incentive Disbursements]]/'[1]1.) CLM Reference'!$B$5</f>
        <v>3.8300337074348239E-4</v>
      </c>
      <c r="L194" s="229">
        <v>77.038499999999999</v>
      </c>
      <c r="M194" s="28">
        <f>[1]!Table3[[#This Row],[C&amp;I CLM $ Collected]]/'[1]1.) CLM Reference'!$B$4</f>
        <v>8.2934813184232021E-7</v>
      </c>
      <c r="N194" s="229">
        <v>0</v>
      </c>
      <c r="O194" s="28">
        <f>[1]!Table3[[#This Row],[C&amp;I Incentive Disbursements]]/'[1]1.) CLM Reference'!$B$5</f>
        <v>0</v>
      </c>
      <c r="Q194">
        <f>VLOOKUP(Table3[[#This Row],[Census Tract]],'Population and Diversity Data'!$B$2:$K$823,10,FALSE)</f>
        <v>3</v>
      </c>
      <c r="R194" t="str">
        <f>VLOOKUP(Table3[[#This Row],[Census Tract]],'ES Energy Burden'!$B$2:$E$914,4,FALSE)</f>
        <v>No</v>
      </c>
    </row>
    <row r="195" spans="1:18" x14ac:dyDescent="0.2">
      <c r="A195" t="s">
        <v>2772</v>
      </c>
      <c r="B195" s="169">
        <v>9003480900</v>
      </c>
      <c r="C195" t="s">
        <v>944</v>
      </c>
      <c r="D195" s="170">
        <f>[1]!Table3[[#This Row],[Residential CLM $ Collected]]+[1]!Table3[[#This Row],[C&amp;I CLM $ Collected]]</f>
        <v>20318.598152999999</v>
      </c>
      <c r="E195" s="28">
        <f>[1]!Table3[[#This Row],[CLM $ Collected ]]/'[1]1.) CLM Reference'!$B$4</f>
        <v>2.1873727317958382E-4</v>
      </c>
      <c r="F195" s="170">
        <f>[1]!Table3[[#This Row],[Residential Incentive Disbursements]]+[1]!Table3[[#This Row],[C&amp;I Incentive Disbursements]]</f>
        <v>56771.1</v>
      </c>
      <c r="G195" s="28">
        <f>[1]!Table3[[#This Row],[Incentive Disbursements]]/'[1]1.) CLM Reference'!$B$5</f>
        <v>4.5582318646385282E-4</v>
      </c>
      <c r="H195" s="228">
        <v>20318.598152999999</v>
      </c>
      <c r="I195" s="28">
        <f>[1]!Table3[[#This Row],[Residential CLM $ Collected]]/'[1]1.) CLM Reference'!$B$4</f>
        <v>2.1873727317958382E-4</v>
      </c>
      <c r="J195" s="229">
        <v>56771.1</v>
      </c>
      <c r="K195" s="28">
        <f>[1]!Table3[[#This Row],[Residential Incentive Disbursements]]/'[1]1.) CLM Reference'!$B$5</f>
        <v>4.5582318646385282E-4</v>
      </c>
      <c r="L195" s="229">
        <v>0</v>
      </c>
      <c r="M195" s="28">
        <f>[1]!Table3[[#This Row],[C&amp;I CLM $ Collected]]/'[1]1.) CLM Reference'!$B$4</f>
        <v>0</v>
      </c>
      <c r="N195" s="229">
        <v>0</v>
      </c>
      <c r="O195" s="28">
        <f>[1]!Table3[[#This Row],[C&amp;I Incentive Disbursements]]/'[1]1.) CLM Reference'!$B$5</f>
        <v>0</v>
      </c>
      <c r="Q195">
        <f>VLOOKUP(Table3[[#This Row],[Census Tract]],'Population and Diversity Data'!$B$2:$K$823,10,FALSE)</f>
        <v>2</v>
      </c>
      <c r="R195" t="str">
        <f>VLOOKUP(Table3[[#This Row],[Census Tract]],'ES Energy Burden'!$B$2:$E$914,4,FALSE)</f>
        <v>No</v>
      </c>
    </row>
    <row r="196" spans="1:18" x14ac:dyDescent="0.2">
      <c r="A196" t="s">
        <v>2772</v>
      </c>
      <c r="B196" s="169">
        <v>9003481000</v>
      </c>
      <c r="C196" t="s">
        <v>944</v>
      </c>
      <c r="D196" s="170">
        <f>[1]!Table3[[#This Row],[Residential CLM $ Collected]]+[1]!Table3[[#This Row],[C&amp;I CLM $ Collected]]</f>
        <v>38592.376199999999</v>
      </c>
      <c r="E196" s="28">
        <f>[1]!Table3[[#This Row],[CLM $ Collected ]]/'[1]1.) CLM Reference'!$B$4</f>
        <v>4.154612966870593E-4</v>
      </c>
      <c r="F196" s="170">
        <f>[1]!Table3[[#This Row],[Residential Incentive Disbursements]]+[1]!Table3[[#This Row],[C&amp;I Incentive Disbursements]]</f>
        <v>23707.200000000001</v>
      </c>
      <c r="G196" s="28">
        <f>[1]!Table3[[#This Row],[Incentive Disbursements]]/'[1]1.) CLM Reference'!$B$5</f>
        <v>1.9034845979971945E-4</v>
      </c>
      <c r="H196" s="228">
        <v>38592.376199999999</v>
      </c>
      <c r="I196" s="28">
        <f>[1]!Table3[[#This Row],[Residential CLM $ Collected]]/'[1]1.) CLM Reference'!$B$4</f>
        <v>4.154612966870593E-4</v>
      </c>
      <c r="J196" s="229">
        <v>23707.200000000001</v>
      </c>
      <c r="K196" s="28">
        <f>[1]!Table3[[#This Row],[Residential Incentive Disbursements]]/'[1]1.) CLM Reference'!$B$5</f>
        <v>1.9034845979971945E-4</v>
      </c>
      <c r="L196" s="229">
        <v>0</v>
      </c>
      <c r="M196" s="28">
        <f>[1]!Table3[[#This Row],[C&amp;I CLM $ Collected]]/'[1]1.) CLM Reference'!$B$4</f>
        <v>0</v>
      </c>
      <c r="N196" s="229">
        <v>0</v>
      </c>
      <c r="O196" s="28">
        <f>[1]!Table3[[#This Row],[C&amp;I Incentive Disbursements]]/'[1]1.) CLM Reference'!$B$5</f>
        <v>0</v>
      </c>
      <c r="Q196">
        <f>VLOOKUP(Table3[[#This Row],[Census Tract]],'Population and Diversity Data'!$B$2:$K$823,10,FALSE)</f>
        <v>1</v>
      </c>
      <c r="R196" t="str">
        <f>VLOOKUP(Table3[[#This Row],[Census Tract]],'ES Energy Burden'!$B$2:$E$914,4,FALSE)</f>
        <v>No</v>
      </c>
    </row>
    <row r="197" spans="1:18" x14ac:dyDescent="0.2">
      <c r="A197" t="s">
        <v>2772</v>
      </c>
      <c r="B197" s="169">
        <v>9003481100</v>
      </c>
      <c r="C197" t="s">
        <v>944</v>
      </c>
      <c r="D197" s="170">
        <f>[1]!Table3[[#This Row],[Residential CLM $ Collected]]+[1]!Table3[[#This Row],[C&amp;I CLM $ Collected]]</f>
        <v>38324.079360000003</v>
      </c>
      <c r="E197" s="28">
        <f>[1]!Table3[[#This Row],[CLM $ Collected ]]/'[1]1.) CLM Reference'!$B$4</f>
        <v>4.1257298132482884E-4</v>
      </c>
      <c r="F197" s="170">
        <f>[1]!Table3[[#This Row],[Residential Incentive Disbursements]]+[1]!Table3[[#This Row],[C&amp;I Incentive Disbursements]]</f>
        <v>36395.019999999997</v>
      </c>
      <c r="G197" s="28">
        <f>[1]!Table3[[#This Row],[Incentive Disbursements]]/'[1]1.) CLM Reference'!$B$5</f>
        <v>2.9222075999611865E-4</v>
      </c>
      <c r="H197" s="228">
        <v>38324.079360000003</v>
      </c>
      <c r="I197" s="28">
        <f>[1]!Table3[[#This Row],[Residential CLM $ Collected]]/'[1]1.) CLM Reference'!$B$4</f>
        <v>4.1257298132482884E-4</v>
      </c>
      <c r="J197" s="229">
        <v>36395.019999999997</v>
      </c>
      <c r="K197" s="28">
        <f>[1]!Table3[[#This Row],[Residential Incentive Disbursements]]/'[1]1.) CLM Reference'!$B$5</f>
        <v>2.9222075999611865E-4</v>
      </c>
      <c r="L197" s="229">
        <v>0</v>
      </c>
      <c r="M197" s="28">
        <f>[1]!Table3[[#This Row],[C&amp;I CLM $ Collected]]/'[1]1.) CLM Reference'!$B$4</f>
        <v>0</v>
      </c>
      <c r="N197" s="229">
        <v>0</v>
      </c>
      <c r="O197" s="28">
        <f>[1]!Table3[[#This Row],[C&amp;I Incentive Disbursements]]/'[1]1.) CLM Reference'!$B$5</f>
        <v>0</v>
      </c>
      <c r="Q197">
        <f>VLOOKUP(Table3[[#This Row],[Census Tract]],'Population and Diversity Data'!$B$2:$K$823,10,FALSE)</f>
        <v>2</v>
      </c>
      <c r="R197" t="str">
        <f>VLOOKUP(Table3[[#This Row],[Census Tract]],'ES Energy Burden'!$B$2:$E$914,4,FALSE)</f>
        <v>No</v>
      </c>
    </row>
    <row r="198" spans="1:18" x14ac:dyDescent="0.2">
      <c r="A198" t="s">
        <v>2772</v>
      </c>
      <c r="B198" s="169">
        <v>9003481200</v>
      </c>
      <c r="C198" t="s">
        <v>944</v>
      </c>
      <c r="D198" s="170">
        <f>[1]!Table3[[#This Row],[Residential CLM $ Collected]]+[1]!Table3[[#This Row],[C&amp;I CLM $ Collected]]</f>
        <v>36800.439921000005</v>
      </c>
      <c r="E198" s="28">
        <f>[1]!Table3[[#This Row],[CLM $ Collected ]]/'[1]1.) CLM Reference'!$B$4</f>
        <v>3.9617043555439029E-4</v>
      </c>
      <c r="F198" s="170">
        <f>[1]!Table3[[#This Row],[Residential Incentive Disbursements]]+[1]!Table3[[#This Row],[C&amp;I Incentive Disbursements]]</f>
        <v>31198.084999999999</v>
      </c>
      <c r="G198" s="28">
        <f>[1]!Table3[[#This Row],[Incentive Disbursements]]/'[1]1.) CLM Reference'!$B$5</f>
        <v>2.5049383429720631E-4</v>
      </c>
      <c r="H198" s="228">
        <v>36800.439921000005</v>
      </c>
      <c r="I198" s="28">
        <f>[1]!Table3[[#This Row],[Residential CLM $ Collected]]/'[1]1.) CLM Reference'!$B$4</f>
        <v>3.9617043555439029E-4</v>
      </c>
      <c r="J198" s="229">
        <v>31198.084999999999</v>
      </c>
      <c r="K198" s="28">
        <f>[1]!Table3[[#This Row],[Residential Incentive Disbursements]]/'[1]1.) CLM Reference'!$B$5</f>
        <v>2.5049383429720631E-4</v>
      </c>
      <c r="L198" s="229">
        <v>0</v>
      </c>
      <c r="M198" s="28">
        <f>[1]!Table3[[#This Row],[C&amp;I CLM $ Collected]]/'[1]1.) CLM Reference'!$B$4</f>
        <v>0</v>
      </c>
      <c r="N198" s="229">
        <v>0</v>
      </c>
      <c r="O198" s="28">
        <f>[1]!Table3[[#This Row],[C&amp;I Incentive Disbursements]]/'[1]1.) CLM Reference'!$B$5</f>
        <v>0</v>
      </c>
      <c r="Q198">
        <f>VLOOKUP(Table3[[#This Row],[Census Tract]],'Population and Diversity Data'!$B$2:$K$823,10,FALSE)</f>
        <v>3</v>
      </c>
      <c r="R198" t="str">
        <f>VLOOKUP(Table3[[#This Row],[Census Tract]],'ES Energy Burden'!$B$2:$E$914,4,FALSE)</f>
        <v>No</v>
      </c>
    </row>
    <row r="199" spans="1:18" x14ac:dyDescent="0.2">
      <c r="A199" t="s">
        <v>2772</v>
      </c>
      <c r="B199" s="169">
        <v>9003481300</v>
      </c>
      <c r="C199" t="s">
        <v>944</v>
      </c>
      <c r="D199" s="170">
        <f>[1]!Table3[[#This Row],[Residential CLM $ Collected]]+[1]!Table3[[#This Row],[C&amp;I CLM $ Collected]]</f>
        <v>29139.315618000001</v>
      </c>
      <c r="E199" s="28">
        <f>[1]!Table3[[#This Row],[CLM $ Collected ]]/'[1]1.) CLM Reference'!$B$4</f>
        <v>3.1369558040398042E-4</v>
      </c>
      <c r="F199" s="170">
        <f>[1]!Table3[[#This Row],[Residential Incentive Disbursements]]+[1]!Table3[[#This Row],[C&amp;I Incentive Disbursements]]</f>
        <v>35687.379999999997</v>
      </c>
      <c r="G199" s="28">
        <f>[1]!Table3[[#This Row],[Incentive Disbursements]]/'[1]1.) CLM Reference'!$B$5</f>
        <v>2.8653901841159271E-4</v>
      </c>
      <c r="H199" s="228">
        <v>29139.315618000001</v>
      </c>
      <c r="I199" s="28">
        <f>[1]!Table3[[#This Row],[Residential CLM $ Collected]]/'[1]1.) CLM Reference'!$B$4</f>
        <v>3.1369558040398042E-4</v>
      </c>
      <c r="J199" s="229">
        <v>35687.379999999997</v>
      </c>
      <c r="K199" s="28">
        <f>[1]!Table3[[#This Row],[Residential Incentive Disbursements]]/'[1]1.) CLM Reference'!$B$5</f>
        <v>2.8653901841159271E-4</v>
      </c>
      <c r="L199" s="229">
        <v>0</v>
      </c>
      <c r="M199" s="28">
        <f>[1]!Table3[[#This Row],[C&amp;I CLM $ Collected]]/'[1]1.) CLM Reference'!$B$4</f>
        <v>0</v>
      </c>
      <c r="N199" s="229">
        <v>0</v>
      </c>
      <c r="O199" s="28">
        <f>[1]!Table3[[#This Row],[C&amp;I Incentive Disbursements]]/'[1]1.) CLM Reference'!$B$5</f>
        <v>0</v>
      </c>
      <c r="Q199">
        <f>VLOOKUP(Table3[[#This Row],[Census Tract]],'Population and Diversity Data'!$B$2:$K$823,10,FALSE)</f>
        <v>1</v>
      </c>
      <c r="R199" t="str">
        <f>VLOOKUP(Table3[[#This Row],[Census Tract]],'ES Energy Burden'!$B$2:$E$914,4,FALSE)</f>
        <v>No</v>
      </c>
    </row>
    <row r="200" spans="1:18" x14ac:dyDescent="0.2">
      <c r="A200" t="s">
        <v>2772</v>
      </c>
      <c r="B200" s="169">
        <v>9003484200</v>
      </c>
      <c r="C200" t="s">
        <v>944</v>
      </c>
      <c r="D200" s="170">
        <f>[1]!Table3[[#This Row],[Residential CLM $ Collected]]+[1]!Table3[[#This Row],[C&amp;I CLM $ Collected]]</f>
        <v>468.67905000000002</v>
      </c>
      <c r="E200" s="28">
        <f>[1]!Table3[[#This Row],[CLM $ Collected ]]/'[1]1.) CLM Reference'!$B$4</f>
        <v>5.0455044497379027E-6</v>
      </c>
      <c r="F200" s="170">
        <f>[1]!Table3[[#This Row],[Residential Incentive Disbursements]]+[1]!Table3[[#This Row],[C&amp;I Incentive Disbursements]]</f>
        <v>0</v>
      </c>
      <c r="G200" s="28">
        <f>[1]!Table3[[#This Row],[Incentive Disbursements]]/'[1]1.) CLM Reference'!$B$5</f>
        <v>0</v>
      </c>
      <c r="H200" s="228">
        <v>468.67905000000002</v>
      </c>
      <c r="I200" s="28">
        <f>[1]!Table3[[#This Row],[Residential CLM $ Collected]]/'[1]1.) CLM Reference'!$B$4</f>
        <v>5.0455044497379027E-6</v>
      </c>
      <c r="J200" s="229">
        <v>0</v>
      </c>
      <c r="K200" s="28">
        <f>[1]!Table3[[#This Row],[Residential Incentive Disbursements]]/'[1]1.) CLM Reference'!$B$5</f>
        <v>0</v>
      </c>
      <c r="L200" s="229">
        <v>0</v>
      </c>
      <c r="M200" s="28">
        <f>[1]!Table3[[#This Row],[C&amp;I CLM $ Collected]]/'[1]1.) CLM Reference'!$B$4</f>
        <v>0</v>
      </c>
      <c r="N200" s="229">
        <v>0</v>
      </c>
      <c r="O200" s="28">
        <f>[1]!Table3[[#This Row],[C&amp;I Incentive Disbursements]]/'[1]1.) CLM Reference'!$B$5</f>
        <v>0</v>
      </c>
      <c r="Q200">
        <f>VLOOKUP(Table3[[#This Row],[Census Tract]],'Population and Diversity Data'!$B$2:$K$823,10,FALSE)</f>
        <v>3</v>
      </c>
      <c r="R200" t="str">
        <f>VLOOKUP(Table3[[#This Row],[Census Tract]],'ES Energy Burden'!$B$2:$E$914,4,FALSE)</f>
        <v>No</v>
      </c>
    </row>
    <row r="201" spans="1:18" x14ac:dyDescent="0.2">
      <c r="A201" t="s">
        <v>2772</v>
      </c>
      <c r="B201" s="169">
        <v>9003524300</v>
      </c>
      <c r="C201" t="s">
        <v>944</v>
      </c>
      <c r="D201" s="170">
        <f>[1]!Table3[[#This Row],[Residential CLM $ Collected]]+[1]!Table3[[#This Row],[C&amp;I CLM $ Collected]]</f>
        <v>457203.40228500002</v>
      </c>
      <c r="E201" s="28">
        <f>[1]!Table3[[#This Row],[CLM $ Collected ]]/'[1]1.) CLM Reference'!$B$4</f>
        <v>4.921964830013793E-3</v>
      </c>
      <c r="F201" s="170">
        <f>[1]!Table3[[#This Row],[Residential Incentive Disbursements]]+[1]!Table3[[#This Row],[C&amp;I Incentive Disbursements]]</f>
        <v>666890.85</v>
      </c>
      <c r="G201" s="28">
        <f>[1]!Table3[[#This Row],[Incentive Disbursements]]/'[1]1.) CLM Reference'!$B$5</f>
        <v>5.3545608993059374E-3</v>
      </c>
      <c r="H201" s="228">
        <v>229546.22382300001</v>
      </c>
      <c r="I201" s="28">
        <f>[1]!Table3[[#This Row],[Residential CLM $ Collected]]/'[1]1.) CLM Reference'!$B$4</f>
        <v>2.4711505532826333E-3</v>
      </c>
      <c r="J201" s="229">
        <v>444913</v>
      </c>
      <c r="K201" s="28">
        <f>[1]!Table3[[#This Row],[Residential Incentive Disbursements]]/'[1]1.) CLM Reference'!$B$5</f>
        <v>3.5722693652085686E-3</v>
      </c>
      <c r="L201" s="229">
        <v>227657.17846200001</v>
      </c>
      <c r="M201" s="28">
        <f>[1]!Table3[[#This Row],[C&amp;I CLM $ Collected]]/'[1]1.) CLM Reference'!$B$4</f>
        <v>2.4508142767311592E-3</v>
      </c>
      <c r="N201" s="229">
        <v>221977.85</v>
      </c>
      <c r="O201" s="28">
        <f>[1]!Table3[[#This Row],[C&amp;I Incentive Disbursements]]/'[1]1.) CLM Reference'!$B$5</f>
        <v>1.7822915340973693E-3</v>
      </c>
      <c r="Q201">
        <f>VLOOKUP(Table3[[#This Row],[Census Tract]],'Population and Diversity Data'!$B$2:$K$823,10,FALSE)</f>
        <v>4</v>
      </c>
      <c r="R201" t="str">
        <f>VLOOKUP(Table3[[#This Row],[Census Tract]],'ES Energy Burden'!$B$2:$E$914,4,FALSE)</f>
        <v>No</v>
      </c>
    </row>
    <row r="202" spans="1:18" x14ac:dyDescent="0.2">
      <c r="A202" t="s">
        <v>2773</v>
      </c>
      <c r="B202" s="169">
        <v>9007630100</v>
      </c>
      <c r="C202" t="s">
        <v>944</v>
      </c>
      <c r="D202" s="170">
        <f>[1]!Table3[[#This Row],[Residential CLM $ Collected]]+[1]!Table3[[#This Row],[C&amp;I CLM $ Collected]]</f>
        <v>202175.40014700001</v>
      </c>
      <c r="E202" s="28">
        <f>[1]!Table3[[#This Row],[CLM $ Collected ]]/'[1]1.) CLM Reference'!$B$4</f>
        <v>2.1764934469958269E-3</v>
      </c>
      <c r="F202" s="170">
        <f>[1]!Table3[[#This Row],[Residential Incentive Disbursements]]+[1]!Table3[[#This Row],[C&amp;I Incentive Disbursements]]</f>
        <v>210298.77</v>
      </c>
      <c r="G202" s="28">
        <f>[1]!Table3[[#This Row],[Incentive Disbursements]]/'[1]1.) CLM Reference'!$B$5</f>
        <v>1.6885185499458156E-3</v>
      </c>
      <c r="H202" s="228">
        <v>145559.57948700001</v>
      </c>
      <c r="I202" s="28">
        <f>[1]!Table3[[#This Row],[Residential CLM $ Collected]]/'[1]1.) CLM Reference'!$B$4</f>
        <v>1.5670030610577461E-3</v>
      </c>
      <c r="J202" s="229">
        <v>195969.81</v>
      </c>
      <c r="K202" s="28">
        <f>[1]!Table3[[#This Row],[Residential Incentive Disbursements]]/'[1]1.) CLM Reference'!$B$5</f>
        <v>1.5734693047151774E-3</v>
      </c>
      <c r="L202" s="229">
        <v>56615.820659999998</v>
      </c>
      <c r="M202" s="28">
        <f>[1]!Table3[[#This Row],[C&amp;I CLM $ Collected]]/'[1]1.) CLM Reference'!$B$4</f>
        <v>6.0949038593808072E-4</v>
      </c>
      <c r="N202" s="229">
        <v>14328.96</v>
      </c>
      <c r="O202" s="28">
        <f>[1]!Table3[[#This Row],[C&amp;I Incentive Disbursements]]/'[1]1.) CLM Reference'!$B$5</f>
        <v>1.1504924523063828E-4</v>
      </c>
      <c r="Q202">
        <f>VLOOKUP(Table3[[#This Row],[Census Tract]],'Population and Diversity Data'!$B$2:$K$823,10,FALSE)</f>
        <v>2</v>
      </c>
      <c r="R202" t="str">
        <f>VLOOKUP(Table3[[#This Row],[Census Tract]],'ES Energy Burden'!$B$2:$E$914,4,FALSE)</f>
        <v>No</v>
      </c>
    </row>
    <row r="203" spans="1:18" x14ac:dyDescent="0.2">
      <c r="A203" t="s">
        <v>2773</v>
      </c>
      <c r="B203" s="169">
        <v>9007670100</v>
      </c>
      <c r="C203" t="s">
        <v>944</v>
      </c>
      <c r="D203" s="170">
        <f>[1]!Table3[[#This Row],[Residential CLM $ Collected]]+[1]!Table3[[#This Row],[C&amp;I CLM $ Collected]]</f>
        <v>165.36954</v>
      </c>
      <c r="E203" s="28">
        <f>[1]!Table3[[#This Row],[CLM $ Collected ]]/'[1]1.) CLM Reference'!$B$4</f>
        <v>1.7802646606907436E-6</v>
      </c>
      <c r="F203" s="170">
        <f>[1]!Table3[[#This Row],[Residential Incentive Disbursements]]+[1]!Table3[[#This Row],[C&amp;I Incentive Disbursements]]</f>
        <v>0</v>
      </c>
      <c r="G203" s="28">
        <f>[1]!Table3[[#This Row],[Incentive Disbursements]]/'[1]1.) CLM Reference'!$B$5</f>
        <v>0</v>
      </c>
      <c r="H203" s="228">
        <v>165.36954</v>
      </c>
      <c r="I203" s="28">
        <f>[1]!Table3[[#This Row],[Residential CLM $ Collected]]/'[1]1.) CLM Reference'!$B$4</f>
        <v>1.7802646606907436E-6</v>
      </c>
      <c r="J203" s="229">
        <v>0</v>
      </c>
      <c r="K203" s="28">
        <f>[1]!Table3[[#This Row],[Residential Incentive Disbursements]]/'[1]1.) CLM Reference'!$B$5</f>
        <v>0</v>
      </c>
      <c r="L203" s="229">
        <v>0</v>
      </c>
      <c r="M203" s="28">
        <f>[1]!Table3[[#This Row],[C&amp;I CLM $ Collected]]/'[1]1.) CLM Reference'!$B$4</f>
        <v>0</v>
      </c>
      <c r="N203" s="229">
        <v>0</v>
      </c>
      <c r="O203" s="28">
        <f>[1]!Table3[[#This Row],[C&amp;I Incentive Disbursements]]/'[1]1.) CLM Reference'!$B$5</f>
        <v>0</v>
      </c>
      <c r="Q203">
        <f>VLOOKUP(Table3[[#This Row],[Census Tract]],'Population and Diversity Data'!$B$2:$K$823,10,FALSE)</f>
        <v>2</v>
      </c>
      <c r="R203" t="str">
        <f>VLOOKUP(Table3[[#This Row],[Census Tract]],'ES Energy Burden'!$B$2:$E$914,4,FALSE)</f>
        <v>No</v>
      </c>
    </row>
    <row r="204" spans="1:18" x14ac:dyDescent="0.2">
      <c r="A204" t="s">
        <v>2774</v>
      </c>
      <c r="B204" s="169">
        <v>9003406002</v>
      </c>
      <c r="C204" t="s">
        <v>944</v>
      </c>
      <c r="D204" s="170">
        <f>[1]!Table3[[#This Row],[Residential CLM $ Collected]]+[1]!Table3[[#This Row],[C&amp;I CLM $ Collected]]</f>
        <v>393.05090999999999</v>
      </c>
      <c r="E204" s="28">
        <f>[1]!Table3[[#This Row],[CLM $ Collected ]]/'[1]1.) CLM Reference'!$B$4</f>
        <v>4.2313393683343257E-6</v>
      </c>
      <c r="F204" s="170">
        <f>[1]!Table3[[#This Row],[Residential Incentive Disbursements]]+[1]!Table3[[#This Row],[C&amp;I Incentive Disbursements]]</f>
        <v>21630.89</v>
      </c>
      <c r="G204" s="28">
        <f>[1]!Table3[[#This Row],[Incentive Disbursements]]/'[1]1.) CLM Reference'!$B$5</f>
        <v>1.7367747332443955E-4</v>
      </c>
      <c r="H204" s="228">
        <v>393.05090999999999</v>
      </c>
      <c r="I204" s="28">
        <f>[1]!Table3[[#This Row],[Residential CLM $ Collected]]/'[1]1.) CLM Reference'!$B$4</f>
        <v>4.2313393683343257E-6</v>
      </c>
      <c r="J204" s="229">
        <v>21630.89</v>
      </c>
      <c r="K204" s="28">
        <f>[1]!Table3[[#This Row],[Residential Incentive Disbursements]]/'[1]1.) CLM Reference'!$B$5</f>
        <v>1.7367747332443955E-4</v>
      </c>
      <c r="L204" s="229">
        <v>0</v>
      </c>
      <c r="M204" s="28">
        <f>[1]!Table3[[#This Row],[C&amp;I CLM $ Collected]]/'[1]1.) CLM Reference'!$B$4</f>
        <v>0</v>
      </c>
      <c r="N204" s="229">
        <v>0</v>
      </c>
      <c r="O204" s="28">
        <f>[1]!Table3[[#This Row],[C&amp;I Incentive Disbursements]]/'[1]1.) CLM Reference'!$B$5</f>
        <v>0</v>
      </c>
      <c r="Q204">
        <f>VLOOKUP(Table3[[#This Row],[Census Tract]],'Population and Diversity Data'!$B$2:$K$823,10,FALSE)</f>
        <v>2</v>
      </c>
      <c r="R204" t="str">
        <f>VLOOKUP(Table3[[#This Row],[Census Tract]],'ES Energy Burden'!$B$2:$E$914,4,FALSE)</f>
        <v>No</v>
      </c>
    </row>
    <row r="205" spans="1:18" x14ac:dyDescent="0.2">
      <c r="A205" t="s">
        <v>2774</v>
      </c>
      <c r="B205" s="169">
        <v>9003410102</v>
      </c>
      <c r="C205" t="s">
        <v>944</v>
      </c>
      <c r="D205" s="170">
        <f>[1]!Table3[[#This Row],[Residential CLM $ Collected]]+[1]!Table3[[#This Row],[C&amp;I CLM $ Collected]]</f>
        <v>35.911050000000003</v>
      </c>
      <c r="E205" s="28">
        <f>[1]!Table3[[#This Row],[CLM $ Collected ]]/'[1]1.) CLM Reference'!$B$4</f>
        <v>3.865958219591004E-7</v>
      </c>
      <c r="F205" s="170">
        <f>[1]!Table3[[#This Row],[Residential Incentive Disbursements]]+[1]!Table3[[#This Row],[C&amp;I Incentive Disbursements]]</f>
        <v>0</v>
      </c>
      <c r="G205" s="28">
        <f>[1]!Table3[[#This Row],[Incentive Disbursements]]/'[1]1.) CLM Reference'!$B$5</f>
        <v>0</v>
      </c>
      <c r="H205" s="228">
        <v>35.911050000000003</v>
      </c>
      <c r="I205" s="28">
        <f>[1]!Table3[[#This Row],[Residential CLM $ Collected]]/'[1]1.) CLM Reference'!$B$4</f>
        <v>3.865958219591004E-7</v>
      </c>
      <c r="J205" s="229">
        <v>0</v>
      </c>
      <c r="K205" s="28">
        <f>[1]!Table3[[#This Row],[Residential Incentive Disbursements]]/'[1]1.) CLM Reference'!$B$5</f>
        <v>0</v>
      </c>
      <c r="L205" s="229">
        <v>0</v>
      </c>
      <c r="M205" s="28">
        <f>[1]!Table3[[#This Row],[C&amp;I CLM $ Collected]]/'[1]1.) CLM Reference'!$B$4</f>
        <v>0</v>
      </c>
      <c r="N205" s="229">
        <v>0</v>
      </c>
      <c r="O205" s="28">
        <f>[1]!Table3[[#This Row],[C&amp;I Incentive Disbursements]]/'[1]1.) CLM Reference'!$B$5</f>
        <v>0</v>
      </c>
      <c r="Q205">
        <f>VLOOKUP(Table3[[#This Row],[Census Tract]],'Population and Diversity Data'!$B$2:$K$823,10,FALSE)</f>
        <v>2</v>
      </c>
      <c r="R205" t="str">
        <f>VLOOKUP(Table3[[#This Row],[Census Tract]],'ES Energy Burden'!$B$2:$E$914,4,FALSE)</f>
        <v>No</v>
      </c>
    </row>
    <row r="206" spans="1:18" x14ac:dyDescent="0.2">
      <c r="A206" t="s">
        <v>2774</v>
      </c>
      <c r="B206" s="169">
        <v>9003420600</v>
      </c>
      <c r="C206" t="s">
        <v>944</v>
      </c>
      <c r="D206" s="170">
        <f>[1]!Table3[[#This Row],[Residential CLM $ Collected]]+[1]!Table3[[#This Row],[C&amp;I CLM $ Collected]]</f>
        <v>319691.62337699998</v>
      </c>
      <c r="E206" s="28">
        <f>[1]!Table3[[#This Row],[CLM $ Collected ]]/'[1]1.) CLM Reference'!$B$4</f>
        <v>3.441599338166677E-3</v>
      </c>
      <c r="F206" s="170">
        <f>[1]!Table3[[#This Row],[Residential Incentive Disbursements]]+[1]!Table3[[#This Row],[C&amp;I Incentive Disbursements]]</f>
        <v>254854.47500000001</v>
      </c>
      <c r="G206" s="28">
        <f>[1]!Table3[[#This Row],[Incentive Disbursements]]/'[1]1.) CLM Reference'!$B$5</f>
        <v>2.0462626033152841E-3</v>
      </c>
      <c r="H206" s="228">
        <v>138176.202402</v>
      </c>
      <c r="I206" s="28">
        <f>[1]!Table3[[#This Row],[Residential CLM $ Collected]]/'[1]1.) CLM Reference'!$B$4</f>
        <v>1.4875182581068559E-3</v>
      </c>
      <c r="J206" s="229">
        <v>207955.245</v>
      </c>
      <c r="K206" s="28">
        <f>[1]!Table3[[#This Row],[Residential Incentive Disbursements]]/'[1]1.) CLM Reference'!$B$5</f>
        <v>1.6697020564648423E-3</v>
      </c>
      <c r="L206" s="229">
        <v>181515.42097500002</v>
      </c>
      <c r="M206" s="28">
        <f>[1]!Table3[[#This Row],[C&amp;I CLM $ Collected]]/'[1]1.) CLM Reference'!$B$4</f>
        <v>1.9540810800598215E-3</v>
      </c>
      <c r="N206" s="229">
        <v>46899.23</v>
      </c>
      <c r="O206" s="28">
        <f>[1]!Table3[[#This Row],[C&amp;I Incentive Disbursements]]/'[1]1.) CLM Reference'!$B$5</f>
        <v>3.765605468504419E-4</v>
      </c>
      <c r="Q206">
        <f>VLOOKUP(Table3[[#This Row],[Census Tract]],'Population and Diversity Data'!$B$2:$K$823,10,FALSE)</f>
        <v>3</v>
      </c>
      <c r="R206" t="str">
        <f>VLOOKUP(Table3[[#This Row],[Census Tract]],'ES Energy Burden'!$B$2:$E$914,4,FALSE)</f>
        <v>No</v>
      </c>
    </row>
    <row r="207" spans="1:18" x14ac:dyDescent="0.2">
      <c r="A207" t="s">
        <v>2774</v>
      </c>
      <c r="B207" s="169">
        <v>9003460100</v>
      </c>
      <c r="C207" t="s">
        <v>944</v>
      </c>
      <c r="D207" s="170">
        <f>[1]!Table3[[#This Row],[Residential CLM $ Collected]]+[1]!Table3[[#This Row],[C&amp;I CLM $ Collected]]</f>
        <v>35116.892705999999</v>
      </c>
      <c r="E207" s="28">
        <f>[1]!Table3[[#This Row],[CLM $ Collected ]]/'[1]1.) CLM Reference'!$B$4</f>
        <v>3.7804642304598739E-4</v>
      </c>
      <c r="F207" s="170">
        <f>[1]!Table3[[#This Row],[Residential Incentive Disbursements]]+[1]!Table3[[#This Row],[C&amp;I Incentive Disbursements]]</f>
        <v>77123.25</v>
      </c>
      <c r="G207" s="28">
        <f>[1]!Table3[[#This Row],[Incentive Disbursements]]/'[1]1.) CLM Reference'!$B$5</f>
        <v>6.1923347557909462E-4</v>
      </c>
      <c r="H207" s="228">
        <v>35116.892705999999</v>
      </c>
      <c r="I207" s="28">
        <f>[1]!Table3[[#This Row],[Residential CLM $ Collected]]/'[1]1.) CLM Reference'!$B$4</f>
        <v>3.7804642304598739E-4</v>
      </c>
      <c r="J207" s="229">
        <v>77123.25</v>
      </c>
      <c r="K207" s="28">
        <f>[1]!Table3[[#This Row],[Residential Incentive Disbursements]]/'[1]1.) CLM Reference'!$B$5</f>
        <v>6.1923347557909462E-4</v>
      </c>
      <c r="L207" s="229">
        <v>0</v>
      </c>
      <c r="M207" s="28">
        <f>[1]!Table3[[#This Row],[C&amp;I CLM $ Collected]]/'[1]1.) CLM Reference'!$B$4</f>
        <v>0</v>
      </c>
      <c r="N207" s="229">
        <v>0</v>
      </c>
      <c r="O207" s="28">
        <f>[1]!Table3[[#This Row],[C&amp;I Incentive Disbursements]]/'[1]1.) CLM Reference'!$B$5</f>
        <v>0</v>
      </c>
      <c r="Q207">
        <f>VLOOKUP(Table3[[#This Row],[Census Tract]],'Population and Diversity Data'!$B$2:$K$823,10,FALSE)</f>
        <v>3</v>
      </c>
      <c r="R207" t="str">
        <f>VLOOKUP(Table3[[#This Row],[Census Tract]],'ES Energy Burden'!$B$2:$E$914,4,FALSE)</f>
        <v>No</v>
      </c>
    </row>
    <row r="208" spans="1:18" x14ac:dyDescent="0.2">
      <c r="A208" t="s">
        <v>2774</v>
      </c>
      <c r="B208" s="169">
        <v>9003460202</v>
      </c>
      <c r="C208" t="s">
        <v>944</v>
      </c>
      <c r="D208" s="170">
        <f>[1]!Table3[[#This Row],[Residential CLM $ Collected]]+[1]!Table3[[#This Row],[C&amp;I CLM $ Collected]]</f>
        <v>54975.105402000001</v>
      </c>
      <c r="E208" s="28">
        <f>[1]!Table3[[#This Row],[CLM $ Collected ]]/'[1]1.) CLM Reference'!$B$4</f>
        <v>5.9182747539195785E-4</v>
      </c>
      <c r="F208" s="170">
        <f>[1]!Table3[[#This Row],[Residential Incentive Disbursements]]+[1]!Table3[[#This Row],[C&amp;I Incentive Disbursements]]</f>
        <v>34054.135000000002</v>
      </c>
      <c r="G208" s="28">
        <f>[1]!Table3[[#This Row],[Incentive Disbursements]]/'[1]1.) CLM Reference'!$B$5</f>
        <v>2.7342546344830766E-4</v>
      </c>
      <c r="H208" s="228">
        <v>54784.272102000003</v>
      </c>
      <c r="I208" s="28">
        <f>[1]!Table3[[#This Row],[Residential CLM $ Collected]]/'[1]1.) CLM Reference'!$B$4</f>
        <v>5.8977308387540047E-4</v>
      </c>
      <c r="J208" s="229">
        <v>34054.135000000002</v>
      </c>
      <c r="K208" s="28">
        <f>[1]!Table3[[#This Row],[Residential Incentive Disbursements]]/'[1]1.) CLM Reference'!$B$5</f>
        <v>2.7342546344830766E-4</v>
      </c>
      <c r="L208" s="229">
        <v>190.83330000000001</v>
      </c>
      <c r="M208" s="28">
        <f>[1]!Table3[[#This Row],[C&amp;I CLM $ Collected]]/'[1]1.) CLM Reference'!$B$4</f>
        <v>2.0543915165573713E-6</v>
      </c>
      <c r="N208" s="229">
        <v>0</v>
      </c>
      <c r="O208" s="28">
        <f>[1]!Table3[[#This Row],[C&amp;I Incentive Disbursements]]/'[1]1.) CLM Reference'!$B$5</f>
        <v>0</v>
      </c>
      <c r="Q208">
        <f>VLOOKUP(Table3[[#This Row],[Census Tract]],'Population and Diversity Data'!$B$2:$K$823,10,FALSE)</f>
        <v>4</v>
      </c>
      <c r="R208" t="str">
        <f>VLOOKUP(Table3[[#This Row],[Census Tract]],'ES Energy Burden'!$B$2:$E$914,4,FALSE)</f>
        <v>No</v>
      </c>
    </row>
    <row r="209" spans="1:18" x14ac:dyDescent="0.2">
      <c r="A209" t="s">
        <v>2774</v>
      </c>
      <c r="B209" s="169">
        <v>9003460203</v>
      </c>
      <c r="C209" t="s">
        <v>944</v>
      </c>
      <c r="D209" s="170">
        <f>[1]!Table3[[#This Row],[Residential CLM $ Collected]]+[1]!Table3[[#This Row],[C&amp;I CLM $ Collected]]</f>
        <v>58971.537239999998</v>
      </c>
      <c r="E209" s="28">
        <f>[1]!Table3[[#This Row],[CLM $ Collected ]]/'[1]1.) CLM Reference'!$B$4</f>
        <v>6.3485055189111696E-4</v>
      </c>
      <c r="F209" s="170">
        <f>[1]!Table3[[#This Row],[Residential Incentive Disbursements]]+[1]!Table3[[#This Row],[C&amp;I Incentive Disbursements]]</f>
        <v>25225.73</v>
      </c>
      <c r="G209" s="28">
        <f>[1]!Table3[[#This Row],[Incentive Disbursements]]/'[1]1.) CLM Reference'!$B$5</f>
        <v>2.0254095181310221E-4</v>
      </c>
      <c r="H209" s="228">
        <v>58971.537239999998</v>
      </c>
      <c r="I209" s="28">
        <f>[1]!Table3[[#This Row],[Residential CLM $ Collected]]/'[1]1.) CLM Reference'!$B$4</f>
        <v>6.3485055189111696E-4</v>
      </c>
      <c r="J209" s="229">
        <v>25225.73</v>
      </c>
      <c r="K209" s="28">
        <f>[1]!Table3[[#This Row],[Residential Incentive Disbursements]]/'[1]1.) CLM Reference'!$B$5</f>
        <v>2.0254095181310221E-4</v>
      </c>
      <c r="L209" s="229">
        <v>0</v>
      </c>
      <c r="M209" s="28">
        <f>[1]!Table3[[#This Row],[C&amp;I CLM $ Collected]]/'[1]1.) CLM Reference'!$B$4</f>
        <v>0</v>
      </c>
      <c r="N209" s="229">
        <v>0</v>
      </c>
      <c r="O209" s="28">
        <f>[1]!Table3[[#This Row],[C&amp;I Incentive Disbursements]]/'[1]1.) CLM Reference'!$B$5</f>
        <v>0</v>
      </c>
      <c r="Q209">
        <f>VLOOKUP(Table3[[#This Row],[Census Tract]],'Population and Diversity Data'!$B$2:$K$823,10,FALSE)</f>
        <v>5</v>
      </c>
      <c r="R209" t="str">
        <f>VLOOKUP(Table3[[#This Row],[Census Tract]],'ES Energy Burden'!$B$2:$E$914,4,FALSE)</f>
        <v>No</v>
      </c>
    </row>
    <row r="210" spans="1:18" x14ac:dyDescent="0.2">
      <c r="A210" t="s">
        <v>2774</v>
      </c>
      <c r="B210" s="169">
        <v>9003460204</v>
      </c>
      <c r="C210" t="s">
        <v>944</v>
      </c>
      <c r="D210" s="170">
        <f>[1]!Table3[[#This Row],[Residential CLM $ Collected]]+[1]!Table3[[#This Row],[C&amp;I CLM $ Collected]]</f>
        <v>63185.050047000004</v>
      </c>
      <c r="E210" s="28">
        <f>[1]!Table3[[#This Row],[CLM $ Collected ]]/'[1]1.) CLM Reference'!$B$4</f>
        <v>6.8021058583491324E-4</v>
      </c>
      <c r="F210" s="170">
        <f>[1]!Table3[[#This Row],[Residential Incentive Disbursements]]+[1]!Table3[[#This Row],[C&amp;I Incentive Disbursements]]</f>
        <v>66048.755000000005</v>
      </c>
      <c r="G210" s="28">
        <f>[1]!Table3[[#This Row],[Incentive Disbursements]]/'[1]1.) CLM Reference'!$B$5</f>
        <v>5.3031478985029947E-4</v>
      </c>
      <c r="H210" s="228">
        <v>63185.050047000004</v>
      </c>
      <c r="I210" s="28">
        <f>[1]!Table3[[#This Row],[Residential CLM $ Collected]]/'[1]1.) CLM Reference'!$B$4</f>
        <v>6.8021058583491324E-4</v>
      </c>
      <c r="J210" s="229">
        <v>66048.755000000005</v>
      </c>
      <c r="K210" s="28">
        <f>[1]!Table3[[#This Row],[Residential Incentive Disbursements]]/'[1]1.) CLM Reference'!$B$5</f>
        <v>5.3031478985029947E-4</v>
      </c>
      <c r="L210" s="229">
        <v>0</v>
      </c>
      <c r="M210" s="28">
        <f>[1]!Table3[[#This Row],[C&amp;I CLM $ Collected]]/'[1]1.) CLM Reference'!$B$4</f>
        <v>0</v>
      </c>
      <c r="N210" s="229">
        <v>0</v>
      </c>
      <c r="O210" s="28">
        <f>[1]!Table3[[#This Row],[C&amp;I Incentive Disbursements]]/'[1]1.) CLM Reference'!$B$5</f>
        <v>0</v>
      </c>
      <c r="Q210">
        <f>VLOOKUP(Table3[[#This Row],[Census Tract]],'Population and Diversity Data'!$B$2:$K$823,10,FALSE)</f>
        <v>4</v>
      </c>
      <c r="R210" t="str">
        <f>VLOOKUP(Table3[[#This Row],[Census Tract]],'ES Energy Burden'!$B$2:$E$914,4,FALSE)</f>
        <v>No</v>
      </c>
    </row>
    <row r="211" spans="1:18" x14ac:dyDescent="0.2">
      <c r="A211" t="s">
        <v>2774</v>
      </c>
      <c r="B211" s="169">
        <v>9003460301</v>
      </c>
      <c r="C211" t="s">
        <v>944</v>
      </c>
      <c r="D211" s="170">
        <f>[1]!Table3[[#This Row],[Residential CLM $ Collected]]+[1]!Table3[[#This Row],[C&amp;I CLM $ Collected]]</f>
        <v>51069.916127999997</v>
      </c>
      <c r="E211" s="28">
        <f>[1]!Table3[[#This Row],[CLM $ Collected ]]/'[1]1.) CLM Reference'!$B$4</f>
        <v>5.497866590613885E-4</v>
      </c>
      <c r="F211" s="170">
        <f>[1]!Table3[[#This Row],[Residential Incentive Disbursements]]+[1]!Table3[[#This Row],[C&amp;I Incentive Disbursements]]</f>
        <v>114046.76</v>
      </c>
      <c r="G211" s="28">
        <f>[1]!Table3[[#This Row],[Incentive Disbursements]]/'[1]1.) CLM Reference'!$B$5</f>
        <v>9.15697556486985E-4</v>
      </c>
      <c r="H211" s="228">
        <v>51069.916127999997</v>
      </c>
      <c r="I211" s="28">
        <f>[1]!Table3[[#This Row],[Residential CLM $ Collected]]/'[1]1.) CLM Reference'!$B$4</f>
        <v>5.497866590613885E-4</v>
      </c>
      <c r="J211" s="229">
        <v>114046.76</v>
      </c>
      <c r="K211" s="28">
        <f>[1]!Table3[[#This Row],[Residential Incentive Disbursements]]/'[1]1.) CLM Reference'!$B$5</f>
        <v>9.15697556486985E-4</v>
      </c>
      <c r="L211" s="229">
        <v>0</v>
      </c>
      <c r="M211" s="28">
        <f>[1]!Table3[[#This Row],[C&amp;I CLM $ Collected]]/'[1]1.) CLM Reference'!$B$4</f>
        <v>0</v>
      </c>
      <c r="N211" s="229">
        <v>0</v>
      </c>
      <c r="O211" s="28">
        <f>[1]!Table3[[#This Row],[C&amp;I Incentive Disbursements]]/'[1]1.) CLM Reference'!$B$5</f>
        <v>0</v>
      </c>
      <c r="Q211">
        <f>VLOOKUP(Table3[[#This Row],[Census Tract]],'Population and Diversity Data'!$B$2:$K$823,10,FALSE)</f>
        <v>3</v>
      </c>
      <c r="R211" t="str">
        <f>VLOOKUP(Table3[[#This Row],[Census Tract]],'ES Energy Burden'!$B$2:$E$914,4,FALSE)</f>
        <v>No</v>
      </c>
    </row>
    <row r="212" spans="1:18" x14ac:dyDescent="0.2">
      <c r="A212" t="s">
        <v>2774</v>
      </c>
      <c r="B212" s="169">
        <v>9003460302</v>
      </c>
      <c r="C212" t="s">
        <v>944</v>
      </c>
      <c r="D212" s="170">
        <f>[1]!Table3[[#This Row],[Residential CLM $ Collected]]+[1]!Table3[[#This Row],[C&amp;I CLM $ Collected]]</f>
        <v>37557.588789000001</v>
      </c>
      <c r="E212" s="28">
        <f>[1]!Table3[[#This Row],[CLM $ Collected ]]/'[1]1.) CLM Reference'!$B$4</f>
        <v>4.0432142498438082E-4</v>
      </c>
      <c r="F212" s="170">
        <f>[1]!Table3[[#This Row],[Residential Incentive Disbursements]]+[1]!Table3[[#This Row],[C&amp;I Incentive Disbursements]]</f>
        <v>27330.294999999998</v>
      </c>
      <c r="G212" s="28">
        <f>[1]!Table3[[#This Row],[Incentive Disbursements]]/'[1]1.) CLM Reference'!$B$5</f>
        <v>2.1943880167721083E-4</v>
      </c>
      <c r="H212" s="228">
        <v>37557.588789000001</v>
      </c>
      <c r="I212" s="28">
        <f>[1]!Table3[[#This Row],[Residential CLM $ Collected]]/'[1]1.) CLM Reference'!$B$4</f>
        <v>4.0432142498438082E-4</v>
      </c>
      <c r="J212" s="229">
        <v>27330.294999999998</v>
      </c>
      <c r="K212" s="28">
        <f>[1]!Table3[[#This Row],[Residential Incentive Disbursements]]/'[1]1.) CLM Reference'!$B$5</f>
        <v>2.1943880167721083E-4</v>
      </c>
      <c r="L212" s="229">
        <v>0</v>
      </c>
      <c r="M212" s="28">
        <f>[1]!Table3[[#This Row],[C&amp;I CLM $ Collected]]/'[1]1.) CLM Reference'!$B$4</f>
        <v>0</v>
      </c>
      <c r="N212" s="229">
        <v>0</v>
      </c>
      <c r="O212" s="28">
        <f>[1]!Table3[[#This Row],[C&amp;I Incentive Disbursements]]/'[1]1.) CLM Reference'!$B$5</f>
        <v>0</v>
      </c>
      <c r="Q212">
        <f>VLOOKUP(Table3[[#This Row],[Census Tract]],'Population and Diversity Data'!$B$2:$K$823,10,FALSE)</f>
        <v>3</v>
      </c>
      <c r="R212" t="str">
        <f>VLOOKUP(Table3[[#This Row],[Census Tract]],'ES Energy Burden'!$B$2:$E$914,4,FALSE)</f>
        <v>No</v>
      </c>
    </row>
    <row r="213" spans="1:18" x14ac:dyDescent="0.2">
      <c r="A213" t="s">
        <v>2774</v>
      </c>
      <c r="B213" s="169">
        <v>9003496200</v>
      </c>
      <c r="C213" t="s">
        <v>944</v>
      </c>
      <c r="D213" s="170">
        <f>[1]!Table3[[#This Row],[Residential CLM $ Collected]]+[1]!Table3[[#This Row],[C&amp;I CLM $ Collected]]</f>
        <v>82.89246</v>
      </c>
      <c r="E213" s="28">
        <f>[1]!Table3[[#This Row],[CLM $ Collected ]]/'[1]1.) CLM Reference'!$B$4</f>
        <v>8.9236819051272094E-7</v>
      </c>
      <c r="F213" s="170">
        <f>[1]!Table3[[#This Row],[Residential Incentive Disbursements]]+[1]!Table3[[#This Row],[C&amp;I Incentive Disbursements]]</f>
        <v>0</v>
      </c>
      <c r="G213" s="28">
        <f>[1]!Table3[[#This Row],[Incentive Disbursements]]/'[1]1.) CLM Reference'!$B$5</f>
        <v>0</v>
      </c>
      <c r="H213" s="228">
        <v>82.89246</v>
      </c>
      <c r="I213" s="28">
        <f>[1]!Table3[[#This Row],[Residential CLM $ Collected]]/'[1]1.) CLM Reference'!$B$4</f>
        <v>8.9236819051272094E-7</v>
      </c>
      <c r="J213" s="229">
        <v>0</v>
      </c>
      <c r="K213" s="28">
        <f>[1]!Table3[[#This Row],[Residential Incentive Disbursements]]/'[1]1.) CLM Reference'!$B$5</f>
        <v>0</v>
      </c>
      <c r="L213" s="229">
        <v>0</v>
      </c>
      <c r="M213" s="28">
        <f>[1]!Table3[[#This Row],[C&amp;I CLM $ Collected]]/'[1]1.) CLM Reference'!$B$4</f>
        <v>0</v>
      </c>
      <c r="N213" s="229">
        <v>0</v>
      </c>
      <c r="O213" s="28">
        <f>[1]!Table3[[#This Row],[C&amp;I Incentive Disbursements]]/'[1]1.) CLM Reference'!$B$5</f>
        <v>0</v>
      </c>
      <c r="Q213">
        <f>VLOOKUP(Table3[[#This Row],[Census Tract]],'Population and Diversity Data'!$B$2:$K$823,10,FALSE)</f>
        <v>5</v>
      </c>
      <c r="R213" t="str">
        <f>VLOOKUP(Table3[[#This Row],[Census Tract]],'ES Energy Burden'!$B$2:$E$914,4,FALSE)</f>
        <v>No</v>
      </c>
    </row>
    <row r="214" spans="1:18" x14ac:dyDescent="0.2">
      <c r="A214" t="s">
        <v>2775</v>
      </c>
      <c r="B214" s="169">
        <v>9011712100</v>
      </c>
      <c r="C214" t="s">
        <v>944</v>
      </c>
      <c r="D214" s="170">
        <f>[1]!Table3[[#This Row],[Residential CLM $ Collected]]+[1]!Table3[[#This Row],[C&amp;I CLM $ Collected]]</f>
        <v>58023.950648999999</v>
      </c>
      <c r="E214" s="28">
        <f>[1]!Table3[[#This Row],[CLM $ Collected ]]/'[1]1.) CLM Reference'!$B$4</f>
        <v>6.2464942947823663E-4</v>
      </c>
      <c r="F214" s="170">
        <f>[1]!Table3[[#This Row],[Residential Incentive Disbursements]]+[1]!Table3[[#This Row],[C&amp;I Incentive Disbursements]]</f>
        <v>72191.39499999999</v>
      </c>
      <c r="G214" s="28">
        <f>[1]!Table3[[#This Row],[Incentive Disbursements]]/'[1]1.) CLM Reference'!$B$5</f>
        <v>5.7963491466909479E-4</v>
      </c>
      <c r="H214" s="228">
        <v>33482.483978999997</v>
      </c>
      <c r="I214" s="28">
        <f>[1]!Table3[[#This Row],[Residential CLM $ Collected]]/'[1]1.) CLM Reference'!$B$4</f>
        <v>3.6045140465382978E-4</v>
      </c>
      <c r="J214" s="229">
        <v>57481.254999999997</v>
      </c>
      <c r="K214" s="28">
        <f>[1]!Table3[[#This Row],[Residential Incentive Disbursements]]/'[1]1.) CLM Reference'!$B$5</f>
        <v>4.6152512133887266E-4</v>
      </c>
      <c r="L214" s="229">
        <v>24541.466670000002</v>
      </c>
      <c r="M214" s="28">
        <f>[1]!Table3[[#This Row],[C&amp;I CLM $ Collected]]/'[1]1.) CLM Reference'!$B$4</f>
        <v>2.6419802482440685E-4</v>
      </c>
      <c r="N214" s="229">
        <v>14710.14</v>
      </c>
      <c r="O214" s="28">
        <f>[1]!Table3[[#This Row],[C&amp;I Incentive Disbursements]]/'[1]1.) CLM Reference'!$B$5</f>
        <v>1.1810979333022225E-4</v>
      </c>
      <c r="Q214">
        <f>VLOOKUP(Table3[[#This Row],[Census Tract]],'Population and Diversity Data'!$B$2:$K$823,10,FALSE)</f>
        <v>1</v>
      </c>
      <c r="R214" t="str">
        <f>VLOOKUP(Table3[[#This Row],[Census Tract]],'ES Energy Burden'!$B$2:$E$914,4,FALSE)</f>
        <v>No</v>
      </c>
    </row>
    <row r="215" spans="1:18" x14ac:dyDescent="0.2">
      <c r="A215" t="s">
        <v>2775</v>
      </c>
      <c r="B215" s="169">
        <v>9011870100</v>
      </c>
      <c r="C215" t="s">
        <v>944</v>
      </c>
      <c r="D215" s="170">
        <f>[1]!Table3[[#This Row],[Residential CLM $ Collected]]+[1]!Table3[[#This Row],[C&amp;I CLM $ Collected]]</f>
        <v>72.295439999999999</v>
      </c>
      <c r="E215" s="28">
        <f>[1]!Table3[[#This Row],[CLM $ Collected ]]/'[1]1.) CLM Reference'!$B$4</f>
        <v>7.7828732522983381E-7</v>
      </c>
      <c r="F215" s="170">
        <f>[1]!Table3[[#This Row],[Residential Incentive Disbursements]]+[1]!Table3[[#This Row],[C&amp;I Incentive Disbursements]]</f>
        <v>0</v>
      </c>
      <c r="G215" s="28">
        <f>[1]!Table3[[#This Row],[Incentive Disbursements]]/'[1]1.) CLM Reference'!$B$5</f>
        <v>0</v>
      </c>
      <c r="H215" s="228">
        <v>72.295439999999999</v>
      </c>
      <c r="I215" s="28">
        <f>[1]!Table3[[#This Row],[Residential CLM $ Collected]]/'[1]1.) CLM Reference'!$B$4</f>
        <v>7.7828732522983381E-7</v>
      </c>
      <c r="J215" s="229">
        <v>0</v>
      </c>
      <c r="K215" s="28">
        <f>[1]!Table3[[#This Row],[Residential Incentive Disbursements]]/'[1]1.) CLM Reference'!$B$5</f>
        <v>0</v>
      </c>
      <c r="L215" s="229">
        <v>0</v>
      </c>
      <c r="M215" s="28">
        <f>[1]!Table3[[#This Row],[C&amp;I CLM $ Collected]]/'[1]1.) CLM Reference'!$B$4</f>
        <v>0</v>
      </c>
      <c r="N215" s="229">
        <v>0</v>
      </c>
      <c r="O215" s="28">
        <f>[1]!Table3[[#This Row],[C&amp;I Incentive Disbursements]]/'[1]1.) CLM Reference'!$B$5</f>
        <v>0</v>
      </c>
      <c r="Q215">
        <f>VLOOKUP(Table3[[#This Row],[Census Tract]],'Population and Diversity Data'!$B$2:$K$823,10,FALSE)</f>
        <v>1</v>
      </c>
      <c r="R215" t="str">
        <f>VLOOKUP(Table3[[#This Row],[Census Tract]],'ES Energy Burden'!$B$2:$E$914,4,FALSE)</f>
        <v>No</v>
      </c>
    </row>
    <row r="216" spans="1:18" x14ac:dyDescent="0.2">
      <c r="A216" t="s">
        <v>2776</v>
      </c>
      <c r="B216" s="169">
        <v>9003510700</v>
      </c>
      <c r="C216" t="s">
        <v>944</v>
      </c>
      <c r="D216" s="170">
        <f>[1]!Table3[[#This Row],[Residential CLM $ Collected]]+[1]!Table3[[#This Row],[C&amp;I CLM $ Collected]]</f>
        <v>74.39649</v>
      </c>
      <c r="E216" s="28">
        <f>[1]!Table3[[#This Row],[CLM $ Collected ]]/'[1]1.) CLM Reference'!$B$4</f>
        <v>8.0090591064371526E-7</v>
      </c>
      <c r="F216" s="170">
        <f>[1]!Table3[[#This Row],[Residential Incentive Disbursements]]+[1]!Table3[[#This Row],[C&amp;I Incentive Disbursements]]</f>
        <v>22211.535</v>
      </c>
      <c r="G216" s="28">
        <f>[1]!Table3[[#This Row],[Incentive Disbursements]]/'[1]1.) CLM Reference'!$B$5</f>
        <v>1.7833955410329188E-4</v>
      </c>
      <c r="H216" s="228">
        <v>74.39649</v>
      </c>
      <c r="I216" s="28">
        <f>[1]!Table3[[#This Row],[Residential CLM $ Collected]]/'[1]1.) CLM Reference'!$B$4</f>
        <v>8.0090591064371526E-7</v>
      </c>
      <c r="J216" s="229">
        <v>22211.535</v>
      </c>
      <c r="K216" s="28">
        <f>[1]!Table3[[#This Row],[Residential Incentive Disbursements]]/'[1]1.) CLM Reference'!$B$5</f>
        <v>1.7833955410329188E-4</v>
      </c>
      <c r="L216" s="229">
        <v>0</v>
      </c>
      <c r="M216" s="28">
        <f>[1]!Table3[[#This Row],[C&amp;I CLM $ Collected]]/'[1]1.) CLM Reference'!$B$4</f>
        <v>0</v>
      </c>
      <c r="N216" s="229">
        <v>0</v>
      </c>
      <c r="O216" s="28">
        <f>[1]!Table3[[#This Row],[C&amp;I Incentive Disbursements]]/'[1]1.) CLM Reference'!$B$5</f>
        <v>0</v>
      </c>
      <c r="Q216">
        <f>VLOOKUP(Table3[[#This Row],[Census Tract]],'Population and Diversity Data'!$B$2:$K$823,10,FALSE)</f>
        <v>5</v>
      </c>
      <c r="R216" t="str">
        <f>VLOOKUP(Table3[[#This Row],[Census Tract]],'ES Energy Burden'!$B$2:$E$914,4,FALSE)</f>
        <v>No</v>
      </c>
    </row>
    <row r="217" spans="1:18" x14ac:dyDescent="0.2">
      <c r="A217" t="s">
        <v>2776</v>
      </c>
      <c r="B217" s="169">
        <v>9003520100</v>
      </c>
      <c r="C217" t="s">
        <v>944</v>
      </c>
      <c r="D217" s="170">
        <f>[1]!Table3[[#This Row],[Residential CLM $ Collected]]+[1]!Table3[[#This Row],[C&amp;I CLM $ Collected]]</f>
        <v>58461.325020000004</v>
      </c>
      <c r="E217" s="28">
        <f>[1]!Table3[[#This Row],[CLM $ Collected ]]/'[1]1.) CLM Reference'!$B$4</f>
        <v>6.2935792740465739E-4</v>
      </c>
      <c r="F217" s="170">
        <f>[1]!Table3[[#This Row],[Residential Incentive Disbursements]]+[1]!Table3[[#This Row],[C&amp;I Incentive Disbursements]]</f>
        <v>55031.58</v>
      </c>
      <c r="G217" s="28">
        <f>[1]!Table3[[#This Row],[Incentive Disbursements]]/'[1]1.) CLM Reference'!$B$5</f>
        <v>4.4185633450365478E-4</v>
      </c>
      <c r="H217" s="228">
        <v>58461.325020000004</v>
      </c>
      <c r="I217" s="28">
        <f>[1]!Table3[[#This Row],[Residential CLM $ Collected]]/'[1]1.) CLM Reference'!$B$4</f>
        <v>6.2935792740465739E-4</v>
      </c>
      <c r="J217" s="229">
        <v>55031.58</v>
      </c>
      <c r="K217" s="28">
        <f>[1]!Table3[[#This Row],[Residential Incentive Disbursements]]/'[1]1.) CLM Reference'!$B$5</f>
        <v>4.4185633450365478E-4</v>
      </c>
      <c r="L217" s="229">
        <v>0</v>
      </c>
      <c r="M217" s="28">
        <f>[1]!Table3[[#This Row],[C&amp;I CLM $ Collected]]/'[1]1.) CLM Reference'!$B$4</f>
        <v>0</v>
      </c>
      <c r="N217" s="229">
        <v>0</v>
      </c>
      <c r="O217" s="28">
        <f>[1]!Table3[[#This Row],[C&amp;I Incentive Disbursements]]/'[1]1.) CLM Reference'!$B$5</f>
        <v>0</v>
      </c>
      <c r="Q217">
        <f>VLOOKUP(Table3[[#This Row],[Census Tract]],'Population and Diversity Data'!$B$2:$K$823,10,FALSE)</f>
        <v>4</v>
      </c>
      <c r="R217" t="str">
        <f>VLOOKUP(Table3[[#This Row],[Census Tract]],'ES Energy Burden'!$B$2:$E$914,4,FALSE)</f>
        <v>No</v>
      </c>
    </row>
    <row r="218" spans="1:18" x14ac:dyDescent="0.2">
      <c r="A218" t="s">
        <v>2776</v>
      </c>
      <c r="B218" s="169">
        <v>9003520201</v>
      </c>
      <c r="C218" t="s">
        <v>944</v>
      </c>
      <c r="D218" s="170">
        <f>[1]!Table3[[#This Row],[Residential CLM $ Collected]]+[1]!Table3[[#This Row],[C&amp;I CLM $ Collected]]</f>
        <v>50053.257156</v>
      </c>
      <c r="E218" s="28">
        <f>[1]!Table3[[#This Row],[CLM $ Collected ]]/'[1]1.) CLM Reference'!$B$4</f>
        <v>5.388419467532707E-4</v>
      </c>
      <c r="F218" s="170">
        <f>[1]!Table3[[#This Row],[Residential Incentive Disbursements]]+[1]!Table3[[#This Row],[C&amp;I Incentive Disbursements]]</f>
        <v>32587.47</v>
      </c>
      <c r="G218" s="28">
        <f>[1]!Table3[[#This Row],[Incentive Disbursements]]/'[1]1.) CLM Reference'!$B$5</f>
        <v>2.6164940285101419E-4</v>
      </c>
      <c r="H218" s="228">
        <v>50053.257156</v>
      </c>
      <c r="I218" s="28">
        <f>[1]!Table3[[#This Row],[Residential CLM $ Collected]]/'[1]1.) CLM Reference'!$B$4</f>
        <v>5.388419467532707E-4</v>
      </c>
      <c r="J218" s="229">
        <v>32587.47</v>
      </c>
      <c r="K218" s="28">
        <f>[1]!Table3[[#This Row],[Residential Incentive Disbursements]]/'[1]1.) CLM Reference'!$B$5</f>
        <v>2.6164940285101419E-4</v>
      </c>
      <c r="L218" s="229">
        <v>0</v>
      </c>
      <c r="M218" s="28">
        <f>[1]!Table3[[#This Row],[C&amp;I CLM $ Collected]]/'[1]1.) CLM Reference'!$B$4</f>
        <v>0</v>
      </c>
      <c r="N218" s="229">
        <v>0</v>
      </c>
      <c r="O218" s="28">
        <f>[1]!Table3[[#This Row],[C&amp;I Incentive Disbursements]]/'[1]1.) CLM Reference'!$B$5</f>
        <v>0</v>
      </c>
      <c r="Q218">
        <f>VLOOKUP(Table3[[#This Row],[Census Tract]],'Population and Diversity Data'!$B$2:$K$823,10,FALSE)</f>
        <v>4</v>
      </c>
      <c r="R218" t="str">
        <f>VLOOKUP(Table3[[#This Row],[Census Tract]],'ES Energy Burden'!$B$2:$E$914,4,FALSE)</f>
        <v>No</v>
      </c>
    </row>
    <row r="219" spans="1:18" x14ac:dyDescent="0.2">
      <c r="A219" t="s">
        <v>2776</v>
      </c>
      <c r="B219" s="169">
        <v>9003520202</v>
      </c>
      <c r="C219" t="s">
        <v>944</v>
      </c>
      <c r="D219" s="170">
        <f>[1]!Table3[[#This Row],[Residential CLM $ Collected]]+[1]!Table3[[#This Row],[C&amp;I CLM $ Collected]]</f>
        <v>54415.591440000004</v>
      </c>
      <c r="E219" s="28">
        <f>[1]!Table3[[#This Row],[CLM $ Collected ]]/'[1]1.) CLM Reference'!$B$4</f>
        <v>5.8580409929916805E-4</v>
      </c>
      <c r="F219" s="170">
        <f>[1]!Table3[[#This Row],[Residential Incentive Disbursements]]+[1]!Table3[[#This Row],[C&amp;I Incentive Disbursements]]</f>
        <v>34077.245000000003</v>
      </c>
      <c r="G219" s="28">
        <f>[1]!Table3[[#This Row],[Incentive Disbursements]]/'[1]1.) CLM Reference'!$B$5</f>
        <v>2.7361101690489349E-4</v>
      </c>
      <c r="H219" s="228">
        <v>54415.591440000004</v>
      </c>
      <c r="I219" s="28">
        <f>[1]!Table3[[#This Row],[Residential CLM $ Collected]]/'[1]1.) CLM Reference'!$B$4</f>
        <v>5.8580409929916805E-4</v>
      </c>
      <c r="J219" s="229">
        <v>34077.245000000003</v>
      </c>
      <c r="K219" s="28">
        <f>[1]!Table3[[#This Row],[Residential Incentive Disbursements]]/'[1]1.) CLM Reference'!$B$5</f>
        <v>2.7361101690489349E-4</v>
      </c>
      <c r="L219" s="229">
        <v>0</v>
      </c>
      <c r="M219" s="28">
        <f>[1]!Table3[[#This Row],[C&amp;I CLM $ Collected]]/'[1]1.) CLM Reference'!$B$4</f>
        <v>0</v>
      </c>
      <c r="N219" s="229">
        <v>0</v>
      </c>
      <c r="O219" s="28">
        <f>[1]!Table3[[#This Row],[C&amp;I Incentive Disbursements]]/'[1]1.) CLM Reference'!$B$5</f>
        <v>0</v>
      </c>
      <c r="Q219">
        <f>VLOOKUP(Table3[[#This Row],[Census Tract]],'Population and Diversity Data'!$B$2:$K$823,10,FALSE)</f>
        <v>2</v>
      </c>
      <c r="R219" t="str">
        <f>VLOOKUP(Table3[[#This Row],[Census Tract]],'ES Energy Burden'!$B$2:$E$914,4,FALSE)</f>
        <v>No</v>
      </c>
    </row>
    <row r="220" spans="1:18" x14ac:dyDescent="0.2">
      <c r="A220" t="s">
        <v>2776</v>
      </c>
      <c r="B220" s="169">
        <v>9003520301</v>
      </c>
      <c r="C220" t="s">
        <v>944</v>
      </c>
      <c r="D220" s="170">
        <f>[1]!Table3[[#This Row],[Residential CLM $ Collected]]+[1]!Table3[[#This Row],[C&amp;I CLM $ Collected]]</f>
        <v>54077.215164000001</v>
      </c>
      <c r="E220" s="28">
        <f>[1]!Table3[[#This Row],[CLM $ Collected ]]/'[1]1.) CLM Reference'!$B$4</f>
        <v>5.821613527197257E-4</v>
      </c>
      <c r="F220" s="170">
        <f>[1]!Table3[[#This Row],[Residential Incentive Disbursements]]+[1]!Table3[[#This Row],[C&amp;I Incentive Disbursements]]</f>
        <v>53736.13</v>
      </c>
      <c r="G220" s="28">
        <f>[1]!Table3[[#This Row],[Incentive Disbursements]]/'[1]1.) CLM Reference'!$B$5</f>
        <v>4.3145498334250763E-4</v>
      </c>
      <c r="H220" s="228">
        <v>54077.215164000001</v>
      </c>
      <c r="I220" s="28">
        <f>[1]!Table3[[#This Row],[Residential CLM $ Collected]]/'[1]1.) CLM Reference'!$B$4</f>
        <v>5.821613527197257E-4</v>
      </c>
      <c r="J220" s="229">
        <v>53736.13</v>
      </c>
      <c r="K220" s="28">
        <f>[1]!Table3[[#This Row],[Residential Incentive Disbursements]]/'[1]1.) CLM Reference'!$B$5</f>
        <v>4.3145498334250763E-4</v>
      </c>
      <c r="L220" s="229">
        <v>0</v>
      </c>
      <c r="M220" s="28">
        <f>[1]!Table3[[#This Row],[C&amp;I CLM $ Collected]]/'[1]1.) CLM Reference'!$B$4</f>
        <v>0</v>
      </c>
      <c r="N220" s="229">
        <v>0</v>
      </c>
      <c r="O220" s="28">
        <f>[1]!Table3[[#This Row],[C&amp;I Incentive Disbursements]]/'[1]1.) CLM Reference'!$B$5</f>
        <v>0</v>
      </c>
      <c r="Q220">
        <f>VLOOKUP(Table3[[#This Row],[Census Tract]],'Population and Diversity Data'!$B$2:$K$823,10,FALSE)</f>
        <v>4</v>
      </c>
      <c r="R220" t="str">
        <f>VLOOKUP(Table3[[#This Row],[Census Tract]],'ES Energy Burden'!$B$2:$E$914,4,FALSE)</f>
        <v>No</v>
      </c>
    </row>
    <row r="221" spans="1:18" x14ac:dyDescent="0.2">
      <c r="A221" t="s">
        <v>2776</v>
      </c>
      <c r="B221" s="169">
        <v>9003520302</v>
      </c>
      <c r="C221" t="s">
        <v>944</v>
      </c>
      <c r="D221" s="170">
        <f>[1]!Table3[[#This Row],[Residential CLM $ Collected]]+[1]!Table3[[#This Row],[C&amp;I CLM $ Collected]]</f>
        <v>35292.892110000001</v>
      </c>
      <c r="E221" s="28">
        <f>[1]!Table3[[#This Row],[CLM $ Collected ]]/'[1]1.) CLM Reference'!$B$4</f>
        <v>3.7994112214984798E-4</v>
      </c>
      <c r="F221" s="170">
        <f>[1]!Table3[[#This Row],[Residential Incentive Disbursements]]+[1]!Table3[[#This Row],[C&amp;I Incentive Disbursements]]</f>
        <v>16508.41</v>
      </c>
      <c r="G221" s="28">
        <f>[1]!Table3[[#This Row],[Incentive Disbursements]]/'[1]1.) CLM Reference'!$B$5</f>
        <v>1.3254835734470062E-4</v>
      </c>
      <c r="H221" s="228">
        <v>35264.351640000001</v>
      </c>
      <c r="I221" s="28">
        <f>[1]!Table3[[#This Row],[Residential CLM $ Collected]]/'[1]1.) CLM Reference'!$B$4</f>
        <v>3.7963387336545574E-4</v>
      </c>
      <c r="J221" s="229">
        <v>16508.41</v>
      </c>
      <c r="K221" s="28">
        <f>[1]!Table3[[#This Row],[Residential Incentive Disbursements]]/'[1]1.) CLM Reference'!$B$5</f>
        <v>1.3254835734470062E-4</v>
      </c>
      <c r="L221" s="229">
        <v>28.540469999999999</v>
      </c>
      <c r="M221" s="28">
        <f>[1]!Table3[[#This Row],[C&amp;I CLM $ Collected]]/'[1]1.) CLM Reference'!$B$4</f>
        <v>3.0724878439224263E-7</v>
      </c>
      <c r="N221" s="229">
        <v>0</v>
      </c>
      <c r="O221" s="28">
        <f>[1]!Table3[[#This Row],[C&amp;I Incentive Disbursements]]/'[1]1.) CLM Reference'!$B$5</f>
        <v>0</v>
      </c>
      <c r="Q221">
        <f>VLOOKUP(Table3[[#This Row],[Census Tract]],'Population and Diversity Data'!$B$2:$K$823,10,FALSE)</f>
        <v>5</v>
      </c>
      <c r="R221" t="str">
        <f>VLOOKUP(Table3[[#This Row],[Census Tract]],'ES Energy Burden'!$B$2:$E$914,4,FALSE)</f>
        <v>No</v>
      </c>
    </row>
    <row r="222" spans="1:18" x14ac:dyDescent="0.2">
      <c r="A222" t="s">
        <v>2776</v>
      </c>
      <c r="B222" s="169">
        <v>9003520400</v>
      </c>
      <c r="C222" t="s">
        <v>944</v>
      </c>
      <c r="D222" s="170">
        <f>[1]!Table3[[#This Row],[Residential CLM $ Collected]]+[1]!Table3[[#This Row],[C&amp;I CLM $ Collected]]</f>
        <v>459297.76032</v>
      </c>
      <c r="E222" s="28">
        <f>[1]!Table3[[#This Row],[CLM $ Collected ]]/'[1]1.) CLM Reference'!$B$4</f>
        <v>4.944511373933212E-3</v>
      </c>
      <c r="F222" s="170">
        <f>[1]!Table3[[#This Row],[Residential Incentive Disbursements]]+[1]!Table3[[#This Row],[C&amp;I Incentive Disbursements]]</f>
        <v>465446.95</v>
      </c>
      <c r="G222" s="28">
        <f>[1]!Table3[[#This Row],[Incentive Disbursements]]/'[1]1.) CLM Reference'!$B$5</f>
        <v>3.7371393522211407E-3</v>
      </c>
      <c r="H222" s="228">
        <v>264751.90448700002</v>
      </c>
      <c r="I222" s="28">
        <f>[1]!Table3[[#This Row],[Residential CLM $ Collected]]/'[1]1.) CLM Reference'!$B$4</f>
        <v>2.8501528117498374E-3</v>
      </c>
      <c r="J222" s="229">
        <v>358511.56</v>
      </c>
      <c r="K222" s="28">
        <f>[1]!Table3[[#This Row],[Residential Incentive Disbursements]]/'[1]1.) CLM Reference'!$B$5</f>
        <v>2.8785399906524054E-3</v>
      </c>
      <c r="L222" s="229">
        <v>194545.85583300001</v>
      </c>
      <c r="M222" s="28">
        <f>[1]!Table3[[#This Row],[C&amp;I CLM $ Collected]]/'[1]1.) CLM Reference'!$B$4</f>
        <v>2.0943585621833747E-3</v>
      </c>
      <c r="N222" s="229">
        <v>106935.39</v>
      </c>
      <c r="O222" s="28">
        <f>[1]!Table3[[#This Row],[C&amp;I Incentive Disbursements]]/'[1]1.) CLM Reference'!$B$5</f>
        <v>8.5859936156873528E-4</v>
      </c>
      <c r="Q222">
        <f>VLOOKUP(Table3[[#This Row],[Census Tract]],'Population and Diversity Data'!$B$2:$K$823,10,FALSE)</f>
        <v>3</v>
      </c>
      <c r="R222" t="str">
        <f>VLOOKUP(Table3[[#This Row],[Census Tract]],'ES Energy Burden'!$B$2:$E$914,4,FALSE)</f>
        <v>No</v>
      </c>
    </row>
    <row r="223" spans="1:18" x14ac:dyDescent="0.2">
      <c r="A223" t="s">
        <v>2776</v>
      </c>
      <c r="B223" s="169">
        <v>9003520501</v>
      </c>
      <c r="C223" t="s">
        <v>944</v>
      </c>
      <c r="D223" s="170">
        <f>[1]!Table3[[#This Row],[Residential CLM $ Collected]]+[1]!Table3[[#This Row],[C&amp;I CLM $ Collected]]</f>
        <v>59047.810185000002</v>
      </c>
      <c r="E223" s="28">
        <f>[1]!Table3[[#This Row],[CLM $ Collected ]]/'[1]1.) CLM Reference'!$B$4</f>
        <v>6.3567165853838895E-4</v>
      </c>
      <c r="F223" s="170">
        <f>[1]!Table3[[#This Row],[Residential Incentive Disbursements]]+[1]!Table3[[#This Row],[C&amp;I Incentive Disbursements]]</f>
        <v>23370.735000000001</v>
      </c>
      <c r="G223" s="28">
        <f>[1]!Table3[[#This Row],[Incentive Disbursements]]/'[1]1.) CLM Reference'!$B$5</f>
        <v>1.8764693475557622E-4</v>
      </c>
      <c r="H223" s="228">
        <v>59047.810185000002</v>
      </c>
      <c r="I223" s="28">
        <f>[1]!Table3[[#This Row],[Residential CLM $ Collected]]/'[1]1.) CLM Reference'!$B$4</f>
        <v>6.3567165853838895E-4</v>
      </c>
      <c r="J223" s="229">
        <v>23370.735000000001</v>
      </c>
      <c r="K223" s="28">
        <f>[1]!Table3[[#This Row],[Residential Incentive Disbursements]]/'[1]1.) CLM Reference'!$B$5</f>
        <v>1.8764693475557622E-4</v>
      </c>
      <c r="L223" s="229">
        <v>0</v>
      </c>
      <c r="M223" s="28">
        <f>[1]!Table3[[#This Row],[C&amp;I CLM $ Collected]]/'[1]1.) CLM Reference'!$B$4</f>
        <v>0</v>
      </c>
      <c r="N223" s="229">
        <v>0</v>
      </c>
      <c r="O223" s="28">
        <f>[1]!Table3[[#This Row],[C&amp;I Incentive Disbursements]]/'[1]1.) CLM Reference'!$B$5</f>
        <v>0</v>
      </c>
      <c r="Q223">
        <f>VLOOKUP(Table3[[#This Row],[Census Tract]],'Population and Diversity Data'!$B$2:$K$823,10,FALSE)</f>
        <v>3</v>
      </c>
      <c r="R223" t="str">
        <f>VLOOKUP(Table3[[#This Row],[Census Tract]],'ES Energy Burden'!$B$2:$E$914,4,FALSE)</f>
        <v>No</v>
      </c>
    </row>
    <row r="224" spans="1:18" x14ac:dyDescent="0.2">
      <c r="A224" t="s">
        <v>2776</v>
      </c>
      <c r="B224" s="169">
        <v>9007560100</v>
      </c>
      <c r="C224" t="s">
        <v>944</v>
      </c>
      <c r="D224" s="170">
        <f>[1]!Table3[[#This Row],[Residential CLM $ Collected]]+[1]!Table3[[#This Row],[C&amp;I CLM $ Collected]]</f>
        <v>236.43816000000001</v>
      </c>
      <c r="E224" s="28">
        <f>[1]!Table3[[#This Row],[CLM $ Collected ]]/'[1]1.) CLM Reference'!$B$4</f>
        <v>2.545344811908794E-6</v>
      </c>
      <c r="F224" s="170">
        <f>[1]!Table3[[#This Row],[Residential Incentive Disbursements]]+[1]!Table3[[#This Row],[C&amp;I Incentive Disbursements]]</f>
        <v>0</v>
      </c>
      <c r="G224" s="28">
        <f>[1]!Table3[[#This Row],[Incentive Disbursements]]/'[1]1.) CLM Reference'!$B$5</f>
        <v>0</v>
      </c>
      <c r="H224" s="228">
        <v>236.43816000000001</v>
      </c>
      <c r="I224" s="28">
        <f>[1]!Table3[[#This Row],[Residential CLM $ Collected]]/'[1]1.) CLM Reference'!$B$4</f>
        <v>2.545344811908794E-6</v>
      </c>
      <c r="J224" s="229">
        <v>0</v>
      </c>
      <c r="K224" s="28">
        <f>[1]!Table3[[#This Row],[Residential Incentive Disbursements]]/'[1]1.) CLM Reference'!$B$5</f>
        <v>0</v>
      </c>
      <c r="L224" s="229">
        <v>0</v>
      </c>
      <c r="M224" s="28">
        <f>[1]!Table3[[#This Row],[C&amp;I CLM $ Collected]]/'[1]1.) CLM Reference'!$B$4</f>
        <v>0</v>
      </c>
      <c r="N224" s="229">
        <v>0</v>
      </c>
      <c r="O224" s="28">
        <f>[1]!Table3[[#This Row],[C&amp;I Incentive Disbursements]]/'[1]1.) CLM Reference'!$B$5</f>
        <v>0</v>
      </c>
      <c r="Q224">
        <f>VLOOKUP(Table3[[#This Row],[Census Tract]],'Population and Diversity Data'!$B$2:$K$823,10,FALSE)</f>
        <v>1</v>
      </c>
      <c r="R224" t="str">
        <f>VLOOKUP(Table3[[#This Row],[Census Tract]],'ES Energy Burden'!$B$2:$E$914,4,FALSE)</f>
        <v>No</v>
      </c>
    </row>
    <row r="225" spans="1:18" x14ac:dyDescent="0.2">
      <c r="A225" t="s">
        <v>2777</v>
      </c>
      <c r="B225" s="169">
        <v>9005296100</v>
      </c>
      <c r="C225" t="s">
        <v>944</v>
      </c>
      <c r="D225" s="170">
        <f>[1]!Table3[[#This Row],[Residential CLM $ Collected]]+[1]!Table3[[#This Row],[C&amp;I CLM $ Collected]]</f>
        <v>87434.521965000007</v>
      </c>
      <c r="E225" s="28">
        <f>[1]!Table3[[#This Row],[CLM $ Collected ]]/'[1]1.) CLM Reference'!$B$4</f>
        <v>9.4126517845232014E-4</v>
      </c>
      <c r="F225" s="170">
        <f>[1]!Table3[[#This Row],[Residential Incentive Disbursements]]+[1]!Table3[[#This Row],[C&amp;I Incentive Disbursements]]</f>
        <v>196275.01500000001</v>
      </c>
      <c r="G225" s="28">
        <f>[1]!Table3[[#This Row],[Incentive Disbursements]]/'[1]1.) CLM Reference'!$B$5</f>
        <v>1.575919838800737E-3</v>
      </c>
      <c r="H225" s="228">
        <v>76677.479235000006</v>
      </c>
      <c r="I225" s="28">
        <f>[1]!Table3[[#This Row],[Residential CLM $ Collected]]/'[1]1.) CLM Reference'!$B$4</f>
        <v>8.2546160890886451E-4</v>
      </c>
      <c r="J225" s="229">
        <v>173384.595</v>
      </c>
      <c r="K225" s="28">
        <f>[1]!Table3[[#This Row],[Residential Incentive Disbursements]]/'[1]1.) CLM Reference'!$B$5</f>
        <v>1.3921294210724226E-3</v>
      </c>
      <c r="L225" s="229">
        <v>10757.042730000001</v>
      </c>
      <c r="M225" s="28">
        <f>[1]!Table3[[#This Row],[C&amp;I CLM $ Collected]]/'[1]1.) CLM Reference'!$B$4</f>
        <v>1.1580356954345571E-4</v>
      </c>
      <c r="N225" s="229">
        <v>22890.42</v>
      </c>
      <c r="O225" s="28">
        <f>[1]!Table3[[#This Row],[C&amp;I Incentive Disbursements]]/'[1]1.) CLM Reference'!$B$5</f>
        <v>1.8379041772831434E-4</v>
      </c>
      <c r="Q225">
        <f>VLOOKUP(Table3[[#This Row],[Census Tract]],'Population and Diversity Data'!$B$2:$K$823,10,FALSE)</f>
        <v>3</v>
      </c>
      <c r="R225" t="str">
        <f>VLOOKUP(Table3[[#This Row],[Census Tract]],'ES Energy Burden'!$B$2:$E$914,4,FALSE)</f>
        <v>No</v>
      </c>
    </row>
    <row r="226" spans="1:18" x14ac:dyDescent="0.2">
      <c r="A226" t="s">
        <v>2778</v>
      </c>
      <c r="B226" s="169">
        <v>9003330100</v>
      </c>
      <c r="C226" t="s">
        <v>944</v>
      </c>
      <c r="D226" s="170">
        <f>[1]!Table3[[#This Row],[Residential CLM $ Collected]]+[1]!Table3[[#This Row],[C&amp;I CLM $ Collected]]</f>
        <v>45.397170000000003</v>
      </c>
      <c r="E226" s="28">
        <f>[1]!Table3[[#This Row],[CLM $ Collected ]]/'[1]1.) CLM Reference'!$B$4</f>
        <v>4.8871743518407319E-7</v>
      </c>
      <c r="F226" s="170">
        <f>[1]!Table3[[#This Row],[Residential Incentive Disbursements]]+[1]!Table3[[#This Row],[C&amp;I Incentive Disbursements]]</f>
        <v>13499.575000000001</v>
      </c>
      <c r="G226" s="28">
        <f>[1]!Table3[[#This Row],[Incentive Disbursements]]/'[1]1.) CLM Reference'!$B$5</f>
        <v>1.0838999583252336E-4</v>
      </c>
      <c r="H226" s="228">
        <v>45.397170000000003</v>
      </c>
      <c r="I226" s="28">
        <f>[1]!Table3[[#This Row],[Residential CLM $ Collected]]/'[1]1.) CLM Reference'!$B$4</f>
        <v>4.8871743518407319E-7</v>
      </c>
      <c r="J226" s="229">
        <v>13499.575000000001</v>
      </c>
      <c r="K226" s="28">
        <f>[1]!Table3[[#This Row],[Residential Incentive Disbursements]]/'[1]1.) CLM Reference'!$B$5</f>
        <v>1.0838999583252336E-4</v>
      </c>
      <c r="L226" s="229">
        <v>0</v>
      </c>
      <c r="M226" s="28">
        <f>[1]!Table3[[#This Row],[C&amp;I CLM $ Collected]]/'[1]1.) CLM Reference'!$B$4</f>
        <v>0</v>
      </c>
      <c r="N226" s="229">
        <v>0</v>
      </c>
      <c r="O226" s="28">
        <f>[1]!Table3[[#This Row],[C&amp;I Incentive Disbursements]]/'[1]1.) CLM Reference'!$B$5</f>
        <v>0</v>
      </c>
      <c r="Q226">
        <f>VLOOKUP(Table3[[#This Row],[Census Tract]],'Population and Diversity Data'!$B$2:$K$823,10,FALSE)</f>
        <v>3</v>
      </c>
      <c r="R226" t="str">
        <f>VLOOKUP(Table3[[#This Row],[Census Tract]],'ES Energy Burden'!$B$2:$E$914,4,FALSE)</f>
        <v>No</v>
      </c>
    </row>
    <row r="227" spans="1:18" x14ac:dyDescent="0.2">
      <c r="A227" t="s">
        <v>2778</v>
      </c>
      <c r="B227" s="169">
        <v>9003468101</v>
      </c>
      <c r="C227" t="s">
        <v>944</v>
      </c>
      <c r="D227" s="170">
        <f>[1]!Table3[[#This Row],[Residential CLM $ Collected]]+[1]!Table3[[#This Row],[C&amp;I CLM $ Collected]]</f>
        <v>189905.61397500001</v>
      </c>
      <c r="E227" s="28">
        <f>[1]!Table3[[#This Row],[CLM $ Collected ]]/'[1]1.) CLM Reference'!$B$4</f>
        <v>2.0444046311459216E-3</v>
      </c>
      <c r="F227" s="170">
        <f>[1]!Table3[[#This Row],[Residential Incentive Disbursements]]+[1]!Table3[[#This Row],[C&amp;I Incentive Disbursements]]</f>
        <v>237700.845</v>
      </c>
      <c r="G227" s="28">
        <f>[1]!Table3[[#This Row],[Incentive Disbursements]]/'[1]1.) CLM Reference'!$B$5</f>
        <v>1.9085336833890903E-3</v>
      </c>
      <c r="H227" s="228">
        <v>150424.82206500001</v>
      </c>
      <c r="I227" s="28">
        <f>[1]!Table3[[#This Row],[Residential CLM $ Collected]]/'[1]1.) CLM Reference'!$B$4</f>
        <v>1.6193792086076596E-3</v>
      </c>
      <c r="J227" s="229">
        <v>196532.41500000001</v>
      </c>
      <c r="K227" s="28">
        <f>[1]!Table3[[#This Row],[Residential Incentive Disbursements]]/'[1]1.) CLM Reference'!$B$5</f>
        <v>1.5779865397840859E-3</v>
      </c>
      <c r="L227" s="229">
        <v>39480.79191</v>
      </c>
      <c r="M227" s="28">
        <f>[1]!Table3[[#This Row],[C&amp;I CLM $ Collected]]/'[1]1.) CLM Reference'!$B$4</f>
        <v>4.2502542253826191E-4</v>
      </c>
      <c r="N227" s="229">
        <v>41168.43</v>
      </c>
      <c r="O227" s="28">
        <f>[1]!Table3[[#This Row],[C&amp;I Incentive Disbursements]]/'[1]1.) CLM Reference'!$B$5</f>
        <v>3.3054714360500456E-4</v>
      </c>
      <c r="Q227">
        <f>VLOOKUP(Table3[[#This Row],[Census Tract]],'Population and Diversity Data'!$B$2:$K$823,10,FALSE)</f>
        <v>1</v>
      </c>
      <c r="R227" t="str">
        <f>VLOOKUP(Table3[[#This Row],[Census Tract]],'ES Energy Burden'!$B$2:$E$914,4,FALSE)</f>
        <v>No</v>
      </c>
    </row>
    <row r="228" spans="1:18" x14ac:dyDescent="0.2">
      <c r="A228" t="s">
        <v>2778</v>
      </c>
      <c r="B228" s="169">
        <v>9003468102</v>
      </c>
      <c r="C228" t="s">
        <v>944</v>
      </c>
      <c r="D228" s="170">
        <f>[1]!Table3[[#This Row],[Residential CLM $ Collected]]+[1]!Table3[[#This Row],[C&amp;I CLM $ Collected]]</f>
        <v>47838.119175</v>
      </c>
      <c r="E228" s="28">
        <f>[1]!Table3[[#This Row],[CLM $ Collected ]]/'[1]1.) CLM Reference'!$B$4</f>
        <v>5.1499516175206581E-4</v>
      </c>
      <c r="F228" s="170">
        <f>[1]!Table3[[#This Row],[Residential Incentive Disbursements]]+[1]!Table3[[#This Row],[C&amp;I Incentive Disbursements]]</f>
        <v>48002.415000000001</v>
      </c>
      <c r="G228" s="28">
        <f>[1]!Table3[[#This Row],[Incentive Disbursements]]/'[1]1.) CLM Reference'!$B$5</f>
        <v>3.8541817515003667E-4</v>
      </c>
      <c r="H228" s="228">
        <v>47838.119175</v>
      </c>
      <c r="I228" s="28">
        <f>[1]!Table3[[#This Row],[Residential CLM $ Collected]]/'[1]1.) CLM Reference'!$B$4</f>
        <v>5.1499516175206581E-4</v>
      </c>
      <c r="J228" s="229">
        <v>48002.415000000001</v>
      </c>
      <c r="K228" s="28">
        <f>[1]!Table3[[#This Row],[Residential Incentive Disbursements]]/'[1]1.) CLM Reference'!$B$5</f>
        <v>3.8541817515003667E-4</v>
      </c>
      <c r="L228" s="229">
        <v>0</v>
      </c>
      <c r="M228" s="28">
        <f>[1]!Table3[[#This Row],[C&amp;I CLM $ Collected]]/'[1]1.) CLM Reference'!$B$4</f>
        <v>0</v>
      </c>
      <c r="N228" s="229">
        <v>0</v>
      </c>
      <c r="O228" s="28">
        <f>[1]!Table3[[#This Row],[C&amp;I Incentive Disbursements]]/'[1]1.) CLM Reference'!$B$5</f>
        <v>0</v>
      </c>
      <c r="Q228">
        <f>VLOOKUP(Table3[[#This Row],[Census Tract]],'Population and Diversity Data'!$B$2:$K$823,10,FALSE)</f>
        <v>2</v>
      </c>
      <c r="R228" t="str">
        <f>VLOOKUP(Table3[[#This Row],[Census Tract]],'ES Energy Burden'!$B$2:$E$914,4,FALSE)</f>
        <v>No</v>
      </c>
    </row>
    <row r="229" spans="1:18" x14ac:dyDescent="0.2">
      <c r="A229" t="s">
        <v>2778</v>
      </c>
      <c r="B229" s="169">
        <v>9003470100</v>
      </c>
      <c r="C229" t="s">
        <v>944</v>
      </c>
      <c r="D229" s="170">
        <f>[1]!Table3[[#This Row],[Residential CLM $ Collected]]+[1]!Table3[[#This Row],[C&amp;I CLM $ Collected]]</f>
        <v>433.53113999999999</v>
      </c>
      <c r="E229" s="28">
        <f>[1]!Table3[[#This Row],[CLM $ Collected ]]/'[1]1.) CLM Reference'!$B$4</f>
        <v>4.667124113975108E-6</v>
      </c>
      <c r="F229" s="170">
        <f>[1]!Table3[[#This Row],[Residential Incentive Disbursements]]+[1]!Table3[[#This Row],[C&amp;I Incentive Disbursements]]</f>
        <v>0</v>
      </c>
      <c r="G229" s="28">
        <f>[1]!Table3[[#This Row],[Incentive Disbursements]]/'[1]1.) CLM Reference'!$B$5</f>
        <v>0</v>
      </c>
      <c r="H229" s="228">
        <v>433.53113999999999</v>
      </c>
      <c r="I229" s="28">
        <f>[1]!Table3[[#This Row],[Residential CLM $ Collected]]/'[1]1.) CLM Reference'!$B$4</f>
        <v>4.667124113975108E-6</v>
      </c>
      <c r="J229" s="229">
        <v>0</v>
      </c>
      <c r="K229" s="28">
        <f>[1]!Table3[[#This Row],[Residential Incentive Disbursements]]/'[1]1.) CLM Reference'!$B$5</f>
        <v>0</v>
      </c>
      <c r="L229" s="229">
        <v>0</v>
      </c>
      <c r="M229" s="28">
        <f>[1]!Table3[[#This Row],[C&amp;I CLM $ Collected]]/'[1]1.) CLM Reference'!$B$4</f>
        <v>0</v>
      </c>
      <c r="N229" s="229">
        <v>0</v>
      </c>
      <c r="O229" s="28">
        <f>[1]!Table3[[#This Row],[C&amp;I Incentive Disbursements]]/'[1]1.) CLM Reference'!$B$5</f>
        <v>0</v>
      </c>
      <c r="Q229">
        <f>VLOOKUP(Table3[[#This Row],[Census Tract]],'Population and Diversity Data'!$B$2:$K$823,10,FALSE)</f>
        <v>3</v>
      </c>
      <c r="R229" t="str">
        <f>VLOOKUP(Table3[[#This Row],[Census Tract]],'ES Energy Burden'!$B$2:$E$914,4,FALSE)</f>
        <v>No</v>
      </c>
    </row>
    <row r="230" spans="1:18" x14ac:dyDescent="0.2">
      <c r="A230" t="s">
        <v>2779</v>
      </c>
      <c r="B230" s="169">
        <v>9001010101</v>
      </c>
      <c r="C230" t="s">
        <v>944</v>
      </c>
      <c r="D230" s="170">
        <f>[1]!Table3[[#This Row],[Residential CLM $ Collected]]+[1]!Table3[[#This Row],[C&amp;I CLM $ Collected]]</f>
        <v>141392.73027599999</v>
      </c>
      <c r="E230" s="28">
        <f>[1]!Table3[[#This Row],[CLM $ Collected ]]/'[1]1.) CLM Reference'!$B$4</f>
        <v>1.5221453780964798E-3</v>
      </c>
      <c r="F230" s="170">
        <f>[1]!Table3[[#This Row],[Residential Incentive Disbursements]]+[1]!Table3[[#This Row],[C&amp;I Incentive Disbursements]]</f>
        <v>84065.02</v>
      </c>
      <c r="G230" s="28">
        <f>[1]!Table3[[#This Row],[Incentive Disbursements]]/'[1]1.) CLM Reference'!$B$5</f>
        <v>6.7496992812447743E-4</v>
      </c>
      <c r="H230" s="228">
        <v>141392.73027599999</v>
      </c>
      <c r="I230" s="28">
        <f>[1]!Table3[[#This Row],[Residential CLM $ Collected]]/'[1]1.) CLM Reference'!$B$4</f>
        <v>1.5221453780964798E-3</v>
      </c>
      <c r="J230" s="229">
        <v>84065.02</v>
      </c>
      <c r="K230" s="28">
        <f>[1]!Table3[[#This Row],[Residential Incentive Disbursements]]/'[1]1.) CLM Reference'!$B$5</f>
        <v>6.7496992812447743E-4</v>
      </c>
      <c r="L230" s="229">
        <v>0</v>
      </c>
      <c r="M230" s="28">
        <f>[1]!Table3[[#This Row],[C&amp;I CLM $ Collected]]/'[1]1.) CLM Reference'!$B$4</f>
        <v>0</v>
      </c>
      <c r="N230" s="229">
        <v>0</v>
      </c>
      <c r="O230" s="28">
        <f>[1]!Table3[[#This Row],[C&amp;I Incentive Disbursements]]/'[1]1.) CLM Reference'!$B$5</f>
        <v>0</v>
      </c>
      <c r="Q230">
        <f>VLOOKUP(Table3[[#This Row],[Census Tract]],'Population and Diversity Data'!$B$2:$K$823,10,FALSE)</f>
        <v>2</v>
      </c>
      <c r="R230" t="str">
        <f>VLOOKUP(Table3[[#This Row],[Census Tract]],'ES Energy Burden'!$B$2:$E$914,4,FALSE)</f>
        <v>No</v>
      </c>
    </row>
    <row r="231" spans="1:18" x14ac:dyDescent="0.2">
      <c r="A231" t="s">
        <v>2779</v>
      </c>
      <c r="B231" s="169">
        <v>9001010102</v>
      </c>
      <c r="C231" t="s">
        <v>944</v>
      </c>
      <c r="D231" s="170">
        <f>[1]!Table3[[#This Row],[Residential CLM $ Collected]]+[1]!Table3[[#This Row],[C&amp;I CLM $ Collected]]</f>
        <v>176810.88457200001</v>
      </c>
      <c r="E231" s="28">
        <f>[1]!Table3[[#This Row],[CLM $ Collected ]]/'[1]1.) CLM Reference'!$B$4</f>
        <v>1.9034349943103295E-3</v>
      </c>
      <c r="F231" s="170">
        <f>[1]!Table3[[#This Row],[Residential Incentive Disbursements]]+[1]!Table3[[#This Row],[C&amp;I Incentive Disbursements]]</f>
        <v>23505.93</v>
      </c>
      <c r="G231" s="28">
        <f>[1]!Table3[[#This Row],[Incentive Disbursements]]/'[1]1.) CLM Reference'!$B$5</f>
        <v>1.8873243452031531E-4</v>
      </c>
      <c r="H231" s="228">
        <v>176810.88457200001</v>
      </c>
      <c r="I231" s="28">
        <f>[1]!Table3[[#This Row],[Residential CLM $ Collected]]/'[1]1.) CLM Reference'!$B$4</f>
        <v>1.9034349943103295E-3</v>
      </c>
      <c r="J231" s="229">
        <v>23505.93</v>
      </c>
      <c r="K231" s="28">
        <f>[1]!Table3[[#This Row],[Residential Incentive Disbursements]]/'[1]1.) CLM Reference'!$B$5</f>
        <v>1.8873243452031531E-4</v>
      </c>
      <c r="L231" s="229">
        <v>0</v>
      </c>
      <c r="M231" s="28">
        <f>[1]!Table3[[#This Row],[C&amp;I CLM $ Collected]]/'[1]1.) CLM Reference'!$B$4</f>
        <v>0</v>
      </c>
      <c r="N231" s="229">
        <v>0</v>
      </c>
      <c r="O231" s="28">
        <f>[1]!Table3[[#This Row],[C&amp;I Incentive Disbursements]]/'[1]1.) CLM Reference'!$B$5</f>
        <v>0</v>
      </c>
      <c r="Q231">
        <f>VLOOKUP(Table3[[#This Row],[Census Tract]],'Population and Diversity Data'!$B$2:$K$823,10,FALSE)</f>
        <v>3</v>
      </c>
      <c r="R231" t="str">
        <f>VLOOKUP(Table3[[#This Row],[Census Tract]],'ES Energy Burden'!$B$2:$E$914,4,FALSE)</f>
        <v>No</v>
      </c>
    </row>
    <row r="232" spans="1:18" x14ac:dyDescent="0.2">
      <c r="A232" t="s">
        <v>2779</v>
      </c>
      <c r="B232" s="169">
        <v>9001010201</v>
      </c>
      <c r="C232" t="s">
        <v>944</v>
      </c>
      <c r="D232" s="170">
        <f>[1]!Table3[[#This Row],[Residential CLM $ Collected]]+[1]!Table3[[#This Row],[C&amp;I CLM $ Collected]]</f>
        <v>111301.79067</v>
      </c>
      <c r="E232" s="28">
        <f>[1]!Table3[[#This Row],[CLM $ Collected ]]/'[1]1.) CLM Reference'!$B$4</f>
        <v>1.1982052111979009E-3</v>
      </c>
      <c r="F232" s="170">
        <f>[1]!Table3[[#This Row],[Residential Incentive Disbursements]]+[1]!Table3[[#This Row],[C&amp;I Incentive Disbursements]]</f>
        <v>7785.25</v>
      </c>
      <c r="G232" s="28">
        <f>[1]!Table3[[#This Row],[Incentive Disbursements]]/'[1]1.) CLM Reference'!$B$5</f>
        <v>6.2508872690818229E-5</v>
      </c>
      <c r="H232" s="228">
        <v>111301.79067</v>
      </c>
      <c r="I232" s="28">
        <f>[1]!Table3[[#This Row],[Residential CLM $ Collected]]/'[1]1.) CLM Reference'!$B$4</f>
        <v>1.1982052111979009E-3</v>
      </c>
      <c r="J232" s="229">
        <v>7785.25</v>
      </c>
      <c r="K232" s="28">
        <f>[1]!Table3[[#This Row],[Residential Incentive Disbursements]]/'[1]1.) CLM Reference'!$B$5</f>
        <v>6.2508872690818229E-5</v>
      </c>
      <c r="L232" s="229">
        <v>0</v>
      </c>
      <c r="M232" s="28">
        <f>[1]!Table3[[#This Row],[C&amp;I CLM $ Collected]]/'[1]1.) CLM Reference'!$B$4</f>
        <v>0</v>
      </c>
      <c r="N232" s="229">
        <v>0</v>
      </c>
      <c r="O232" s="28">
        <f>[1]!Table3[[#This Row],[C&amp;I Incentive Disbursements]]/'[1]1.) CLM Reference'!$B$5</f>
        <v>0</v>
      </c>
      <c r="Q232">
        <f>VLOOKUP(Table3[[#This Row],[Census Tract]],'Population and Diversity Data'!$B$2:$K$823,10,FALSE)</f>
        <v>3</v>
      </c>
      <c r="R232" t="str">
        <f>VLOOKUP(Table3[[#This Row],[Census Tract]],'ES Energy Burden'!$B$2:$E$914,4,FALSE)</f>
        <v>No</v>
      </c>
    </row>
    <row r="233" spans="1:18" x14ac:dyDescent="0.2">
      <c r="A233" t="s">
        <v>2779</v>
      </c>
      <c r="B233" s="169">
        <v>9001010202</v>
      </c>
      <c r="C233" t="s">
        <v>944</v>
      </c>
      <c r="D233" s="170">
        <f>[1]!Table3[[#This Row],[Residential CLM $ Collected]]+[1]!Table3[[#This Row],[C&amp;I CLM $ Collected]]</f>
        <v>1039128.936678</v>
      </c>
      <c r="E233" s="28">
        <f>[1]!Table3[[#This Row],[CLM $ Collected ]]/'[1]1.) CLM Reference'!$B$4</f>
        <v>1.1186609842834375E-2</v>
      </c>
      <c r="F233" s="170">
        <f>[1]!Table3[[#This Row],[Residential Incentive Disbursements]]+[1]!Table3[[#This Row],[C&amp;I Incentive Disbursements]]</f>
        <v>383486.15750000003</v>
      </c>
      <c r="G233" s="28">
        <f>[1]!Table3[[#This Row],[Incentive Disbursements]]/'[1]1.) CLM Reference'!$B$5</f>
        <v>3.0790645641255669E-3</v>
      </c>
      <c r="H233" s="228">
        <v>660697.62427200004</v>
      </c>
      <c r="I233" s="28">
        <f>[1]!Table3[[#This Row],[Residential CLM $ Collected]]/'[1]1.) CLM Reference'!$B$4</f>
        <v>7.1126558850787905E-3</v>
      </c>
      <c r="J233" s="229">
        <v>317582.77750000003</v>
      </c>
      <c r="K233" s="28">
        <f>[1]!Table3[[#This Row],[Residential Incentive Disbursements]]/'[1]1.) CLM Reference'!$B$5</f>
        <v>2.5499170106989435E-3</v>
      </c>
      <c r="L233" s="229">
        <v>378431.31240600004</v>
      </c>
      <c r="M233" s="28">
        <f>[1]!Table3[[#This Row],[C&amp;I CLM $ Collected]]/'[1]1.) CLM Reference'!$B$4</f>
        <v>4.073953957755584E-3</v>
      </c>
      <c r="N233" s="229">
        <v>65903.38</v>
      </c>
      <c r="O233" s="28">
        <f>[1]!Table3[[#This Row],[C&amp;I Incentive Disbursements]]/'[1]1.) CLM Reference'!$B$5</f>
        <v>5.2914755342662288E-4</v>
      </c>
      <c r="Q233">
        <f>VLOOKUP(Table3[[#This Row],[Census Tract]],'Population and Diversity Data'!$B$2:$K$823,10,FALSE)</f>
        <v>4</v>
      </c>
      <c r="R233" t="str">
        <f>VLOOKUP(Table3[[#This Row],[Census Tract]],'ES Energy Burden'!$B$2:$E$914,4,FALSE)</f>
        <v>No</v>
      </c>
    </row>
    <row r="234" spans="1:18" x14ac:dyDescent="0.2">
      <c r="A234" t="s">
        <v>2779</v>
      </c>
      <c r="B234" s="169">
        <v>9001010300</v>
      </c>
      <c r="C234" t="s">
        <v>944</v>
      </c>
      <c r="D234" s="170">
        <f>[1]!Table3[[#This Row],[Residential CLM $ Collected]]+[1]!Table3[[#This Row],[C&amp;I CLM $ Collected]]</f>
        <v>130533.600666</v>
      </c>
      <c r="E234" s="28">
        <f>[1]!Table3[[#This Row],[CLM $ Collected ]]/'[1]1.) CLM Reference'!$B$4</f>
        <v>1.4052428052856499E-3</v>
      </c>
      <c r="F234" s="170">
        <f>[1]!Table3[[#This Row],[Residential Incentive Disbursements]]+[1]!Table3[[#This Row],[C&amp;I Incentive Disbursements]]</f>
        <v>15902.12</v>
      </c>
      <c r="G234" s="28">
        <f>[1]!Table3[[#This Row],[Incentive Disbursements]]/'[1]1.) CLM Reference'!$B$5</f>
        <v>1.276803692359416E-4</v>
      </c>
      <c r="H234" s="228">
        <v>130533.600666</v>
      </c>
      <c r="I234" s="28">
        <f>[1]!Table3[[#This Row],[Residential CLM $ Collected]]/'[1]1.) CLM Reference'!$B$4</f>
        <v>1.4052428052856499E-3</v>
      </c>
      <c r="J234" s="229">
        <v>15902.12</v>
      </c>
      <c r="K234" s="28">
        <f>[1]!Table3[[#This Row],[Residential Incentive Disbursements]]/'[1]1.) CLM Reference'!$B$5</f>
        <v>1.276803692359416E-4</v>
      </c>
      <c r="L234" s="229">
        <v>0</v>
      </c>
      <c r="M234" s="28">
        <f>[1]!Table3[[#This Row],[C&amp;I CLM $ Collected]]/'[1]1.) CLM Reference'!$B$4</f>
        <v>0</v>
      </c>
      <c r="N234" s="229">
        <v>0</v>
      </c>
      <c r="O234" s="28">
        <f>[1]!Table3[[#This Row],[C&amp;I Incentive Disbursements]]/'[1]1.) CLM Reference'!$B$5</f>
        <v>0</v>
      </c>
      <c r="Q234">
        <f>VLOOKUP(Table3[[#This Row],[Census Tract]],'Population and Diversity Data'!$B$2:$K$823,10,FALSE)</f>
        <v>2</v>
      </c>
      <c r="R234" t="str">
        <f>VLOOKUP(Table3[[#This Row],[Census Tract]],'ES Energy Burden'!$B$2:$E$914,4,FALSE)</f>
        <v>No</v>
      </c>
    </row>
    <row r="235" spans="1:18" x14ac:dyDescent="0.2">
      <c r="A235" t="s">
        <v>2779</v>
      </c>
      <c r="B235" s="169">
        <v>9001010400</v>
      </c>
      <c r="C235" t="s">
        <v>944</v>
      </c>
      <c r="D235" s="170">
        <f>[1]!Table3[[#This Row],[Residential CLM $ Collected]]+[1]!Table3[[#This Row],[C&amp;I CLM $ Collected]]</f>
        <v>60916.7811</v>
      </c>
      <c r="E235" s="28">
        <f>[1]!Table3[[#This Row],[CLM $ Collected ]]/'[1]1.) CLM Reference'!$B$4</f>
        <v>6.5579182620550188E-4</v>
      </c>
      <c r="F235" s="170">
        <f>[1]!Table3[[#This Row],[Residential Incentive Disbursements]]+[1]!Table3[[#This Row],[C&amp;I Incentive Disbursements]]</f>
        <v>8613.17</v>
      </c>
      <c r="G235" s="28">
        <f>[1]!Table3[[#This Row],[Incentive Disbursements]]/'[1]1.) CLM Reference'!$B$5</f>
        <v>6.9156359396856215E-5</v>
      </c>
      <c r="H235" s="228">
        <v>60916.462319999999</v>
      </c>
      <c r="I235" s="28">
        <f>[1]!Table3[[#This Row],[Residential CLM $ Collected]]/'[1]1.) CLM Reference'!$B$4</f>
        <v>6.5578839442012875E-4</v>
      </c>
      <c r="J235" s="229">
        <v>8613.17</v>
      </c>
      <c r="K235" s="28">
        <f>[1]!Table3[[#This Row],[Residential Incentive Disbursements]]/'[1]1.) CLM Reference'!$B$5</f>
        <v>6.9156359396856215E-5</v>
      </c>
      <c r="L235" s="229">
        <v>0.31878000000000001</v>
      </c>
      <c r="M235" s="28">
        <f>[1]!Table3[[#This Row],[C&amp;I CLM $ Collected]]/'[1]1.) CLM Reference'!$B$4</f>
        <v>3.4317853731406353E-9</v>
      </c>
      <c r="N235" s="229">
        <v>0</v>
      </c>
      <c r="O235" s="28">
        <f>[1]!Table3[[#This Row],[C&amp;I Incentive Disbursements]]/'[1]1.) CLM Reference'!$B$5</f>
        <v>0</v>
      </c>
      <c r="Q235">
        <f>VLOOKUP(Table3[[#This Row],[Census Tract]],'Population and Diversity Data'!$B$2:$K$823,10,FALSE)</f>
        <v>3</v>
      </c>
      <c r="R235" t="str">
        <f>VLOOKUP(Table3[[#This Row],[Census Tract]],'ES Energy Burden'!$B$2:$E$914,4,FALSE)</f>
        <v>No</v>
      </c>
    </row>
    <row r="236" spans="1:18" x14ac:dyDescent="0.2">
      <c r="A236" t="s">
        <v>2779</v>
      </c>
      <c r="B236" s="169">
        <v>9001010500</v>
      </c>
      <c r="C236" t="s">
        <v>944</v>
      </c>
      <c r="D236" s="170">
        <f>[1]!Table3[[#This Row],[Residential CLM $ Collected]]+[1]!Table3[[#This Row],[C&amp;I CLM $ Collected]]</f>
        <v>44756.562269999995</v>
      </c>
      <c r="E236" s="28">
        <f>[1]!Table3[[#This Row],[CLM $ Collected ]]/'[1]1.) CLM Reference'!$B$4</f>
        <v>4.8182105448975473E-4</v>
      </c>
      <c r="F236" s="170">
        <f>[1]!Table3[[#This Row],[Residential Incentive Disbursements]]+[1]!Table3[[#This Row],[C&amp;I Incentive Disbursements]]</f>
        <v>2483.35</v>
      </c>
      <c r="G236" s="28">
        <f>[1]!Table3[[#This Row],[Incentive Disbursements]]/'[1]1.) CLM Reference'!$B$5</f>
        <v>1.9939168170160679E-5</v>
      </c>
      <c r="H236" s="228">
        <v>44654.533349999998</v>
      </c>
      <c r="I236" s="28">
        <f>[1]!Table3[[#This Row],[Residential CLM $ Collected]]/'[1]1.) CLM Reference'!$B$4</f>
        <v>4.8072267518335746E-4</v>
      </c>
      <c r="J236" s="229">
        <v>2378.35</v>
      </c>
      <c r="K236" s="28">
        <f>[1]!Table3[[#This Row],[Residential Incentive Disbursements]]/'[1]1.) CLM Reference'!$B$5</f>
        <v>1.9096108328468261E-5</v>
      </c>
      <c r="L236" s="229">
        <v>102.02892</v>
      </c>
      <c r="M236" s="28">
        <f>[1]!Table3[[#This Row],[C&amp;I CLM $ Collected]]/'[1]1.) CLM Reference'!$B$4</f>
        <v>1.0983793063973148E-6</v>
      </c>
      <c r="N236" s="229">
        <v>105</v>
      </c>
      <c r="O236" s="28">
        <f>[1]!Table3[[#This Row],[C&amp;I Incentive Disbursements]]/'[1]1.) CLM Reference'!$B$5</f>
        <v>8.4305984169242004E-7</v>
      </c>
      <c r="Q236">
        <f>VLOOKUP(Table3[[#This Row],[Census Tract]],'Population and Diversity Data'!$B$2:$K$823,10,FALSE)</f>
        <v>3</v>
      </c>
      <c r="R236" t="str">
        <f>VLOOKUP(Table3[[#This Row],[Census Tract]],'ES Energy Burden'!$B$2:$E$914,4,FALSE)</f>
        <v>No</v>
      </c>
    </row>
    <row r="237" spans="1:18" x14ac:dyDescent="0.2">
      <c r="A237" t="s">
        <v>2779</v>
      </c>
      <c r="B237" s="169">
        <v>9001010600</v>
      </c>
      <c r="C237" t="s">
        <v>944</v>
      </c>
      <c r="D237" s="170">
        <f>[1]!Table3[[#This Row],[Residential CLM $ Collected]]+[1]!Table3[[#This Row],[C&amp;I CLM $ Collected]]</f>
        <v>23517.346313999999</v>
      </c>
      <c r="E237" s="28">
        <f>[1]!Table3[[#This Row],[CLM $ Collected ]]/'[1]1.) CLM Reference'!$B$4</f>
        <v>2.5317298793985831E-4</v>
      </c>
      <c r="F237" s="170">
        <f>[1]!Table3[[#This Row],[Residential Incentive Disbursements]]+[1]!Table3[[#This Row],[C&amp;I Incentive Disbursements]]</f>
        <v>2758.89</v>
      </c>
      <c r="G237" s="28">
        <f>[1]!Table3[[#This Row],[Incentive Disbursements]]/'[1]1.) CLM Reference'!$B$5</f>
        <v>2.2151517777588578E-5</v>
      </c>
      <c r="H237" s="228">
        <v>23517.346313999999</v>
      </c>
      <c r="I237" s="28">
        <f>[1]!Table3[[#This Row],[Residential CLM $ Collected]]/'[1]1.) CLM Reference'!$B$4</f>
        <v>2.5317298793985831E-4</v>
      </c>
      <c r="J237" s="229">
        <v>2758.89</v>
      </c>
      <c r="K237" s="28">
        <f>[1]!Table3[[#This Row],[Residential Incentive Disbursements]]/'[1]1.) CLM Reference'!$B$5</f>
        <v>2.2151517777588578E-5</v>
      </c>
      <c r="L237" s="229">
        <v>0</v>
      </c>
      <c r="M237" s="28">
        <f>[1]!Table3[[#This Row],[C&amp;I CLM $ Collected]]/'[1]1.) CLM Reference'!$B$4</f>
        <v>0</v>
      </c>
      <c r="N237" s="229">
        <v>0</v>
      </c>
      <c r="O237" s="28">
        <f>[1]!Table3[[#This Row],[C&amp;I Incentive Disbursements]]/'[1]1.) CLM Reference'!$B$5</f>
        <v>0</v>
      </c>
      <c r="Q237">
        <f>VLOOKUP(Table3[[#This Row],[Census Tract]],'Population and Diversity Data'!$B$2:$K$823,10,FALSE)</f>
        <v>3</v>
      </c>
      <c r="R237" t="str">
        <f>VLOOKUP(Table3[[#This Row],[Census Tract]],'ES Energy Burden'!$B$2:$E$914,4,FALSE)</f>
        <v>No</v>
      </c>
    </row>
    <row r="238" spans="1:18" x14ac:dyDescent="0.2">
      <c r="A238" t="s">
        <v>2779</v>
      </c>
      <c r="B238" s="169">
        <v>9001010700</v>
      </c>
      <c r="C238" t="s">
        <v>944</v>
      </c>
      <c r="D238" s="170">
        <f>[1]!Table3[[#This Row],[Residential CLM $ Collected]]+[1]!Table3[[#This Row],[C&amp;I CLM $ Collected]]</f>
        <v>39745.541597999996</v>
      </c>
      <c r="E238" s="28">
        <f>[1]!Table3[[#This Row],[CLM $ Collected ]]/'[1]1.) CLM Reference'!$B$4</f>
        <v>4.2787555148870402E-4</v>
      </c>
      <c r="F238" s="170">
        <f>[1]!Table3[[#This Row],[Residential Incentive Disbursements]]+[1]!Table3[[#This Row],[C&amp;I Incentive Disbursements]]</f>
        <v>3129.68</v>
      </c>
      <c r="G238" s="28">
        <f>[1]!Table3[[#This Row],[Incentive Disbursements]]/'[1]1.) CLM Reference'!$B$5</f>
        <v>2.5128643098551744E-5</v>
      </c>
      <c r="H238" s="228">
        <v>39745.541597999996</v>
      </c>
      <c r="I238" s="28">
        <f>[1]!Table3[[#This Row],[Residential CLM $ Collected]]/'[1]1.) CLM Reference'!$B$4</f>
        <v>4.2787555148870402E-4</v>
      </c>
      <c r="J238" s="229">
        <v>3129.68</v>
      </c>
      <c r="K238" s="28">
        <f>[1]!Table3[[#This Row],[Residential Incentive Disbursements]]/'[1]1.) CLM Reference'!$B$5</f>
        <v>2.5128643098551744E-5</v>
      </c>
      <c r="L238" s="229">
        <v>0</v>
      </c>
      <c r="M238" s="28">
        <f>[1]!Table3[[#This Row],[C&amp;I CLM $ Collected]]/'[1]1.) CLM Reference'!$B$4</f>
        <v>0</v>
      </c>
      <c r="N238" s="229">
        <v>0</v>
      </c>
      <c r="O238" s="28">
        <f>[1]!Table3[[#This Row],[C&amp;I Incentive Disbursements]]/'[1]1.) CLM Reference'!$B$5</f>
        <v>0</v>
      </c>
      <c r="Q238">
        <f>VLOOKUP(Table3[[#This Row],[Census Tract]],'Population and Diversity Data'!$B$2:$K$823,10,FALSE)</f>
        <v>3</v>
      </c>
      <c r="R238" t="str">
        <f>VLOOKUP(Table3[[#This Row],[Census Tract]],'ES Energy Burden'!$B$2:$E$914,4,FALSE)</f>
        <v>No</v>
      </c>
    </row>
    <row r="239" spans="1:18" x14ac:dyDescent="0.2">
      <c r="A239" t="s">
        <v>2779</v>
      </c>
      <c r="B239" s="169">
        <v>9001010800</v>
      </c>
      <c r="C239" t="s">
        <v>944</v>
      </c>
      <c r="D239" s="170">
        <f>[1]!Table3[[#This Row],[Residential CLM $ Collected]]+[1]!Table3[[#This Row],[C&amp;I CLM $ Collected]]</f>
        <v>40025.012159999998</v>
      </c>
      <c r="E239" s="28">
        <f>[1]!Table3[[#This Row],[CLM $ Collected ]]/'[1]1.) CLM Reference'!$B$4</f>
        <v>4.3088415612793797E-4</v>
      </c>
      <c r="F239" s="170">
        <f>[1]!Table3[[#This Row],[Residential Incentive Disbursements]]+[1]!Table3[[#This Row],[C&amp;I Incentive Disbursements]]</f>
        <v>15845.91</v>
      </c>
      <c r="G239" s="28">
        <f>[1]!Table3[[#This Row],[Incentive Disbursements]]/'[1]1.) CLM Reference'!$B$5</f>
        <v>1.2722905120068892E-4</v>
      </c>
      <c r="H239" s="228">
        <v>40025.012159999998</v>
      </c>
      <c r="I239" s="28">
        <f>[1]!Table3[[#This Row],[Residential CLM $ Collected]]/'[1]1.) CLM Reference'!$B$4</f>
        <v>4.3088415612793797E-4</v>
      </c>
      <c r="J239" s="229">
        <v>15845.91</v>
      </c>
      <c r="K239" s="28">
        <f>[1]!Table3[[#This Row],[Residential Incentive Disbursements]]/'[1]1.) CLM Reference'!$B$5</f>
        <v>1.2722905120068892E-4</v>
      </c>
      <c r="L239" s="229">
        <v>0</v>
      </c>
      <c r="M239" s="28">
        <f>[1]!Table3[[#This Row],[C&amp;I CLM $ Collected]]/'[1]1.) CLM Reference'!$B$4</f>
        <v>0</v>
      </c>
      <c r="N239" s="229">
        <v>0</v>
      </c>
      <c r="O239" s="28">
        <f>[1]!Table3[[#This Row],[C&amp;I Incentive Disbursements]]/'[1]1.) CLM Reference'!$B$5</f>
        <v>0</v>
      </c>
      <c r="Q239">
        <f>VLOOKUP(Table3[[#This Row],[Census Tract]],'Population and Diversity Data'!$B$2:$K$823,10,FALSE)</f>
        <v>3</v>
      </c>
      <c r="R239" t="str">
        <f>VLOOKUP(Table3[[#This Row],[Census Tract]],'ES Energy Burden'!$B$2:$E$914,4,FALSE)</f>
        <v>No</v>
      </c>
    </row>
    <row r="240" spans="1:18" x14ac:dyDescent="0.2">
      <c r="A240" t="s">
        <v>2779</v>
      </c>
      <c r="B240" s="169">
        <v>9001010900</v>
      </c>
      <c r="C240" t="s">
        <v>944</v>
      </c>
      <c r="D240" s="170">
        <f>[1]!Table3[[#This Row],[Residential CLM $ Collected]]+[1]!Table3[[#This Row],[C&amp;I CLM $ Collected]]</f>
        <v>59732.721089999999</v>
      </c>
      <c r="E240" s="28">
        <f>[1]!Table3[[#This Row],[CLM $ Collected ]]/'[1]1.) CLM Reference'!$B$4</f>
        <v>6.430449794044518E-4</v>
      </c>
      <c r="F240" s="170">
        <f>[1]!Table3[[#This Row],[Residential Incentive Disbursements]]+[1]!Table3[[#This Row],[C&amp;I Incentive Disbursements]]</f>
        <v>7675.62</v>
      </c>
      <c r="G240" s="28">
        <f>[1]!Table3[[#This Row],[Incentive Disbursements]]/'[1]1.) CLM Reference'!$B$5</f>
        <v>6.1628637924677845E-5</v>
      </c>
      <c r="H240" s="228">
        <v>59732.721089999999</v>
      </c>
      <c r="I240" s="28">
        <f>[1]!Table3[[#This Row],[Residential CLM $ Collected]]/'[1]1.) CLM Reference'!$B$4</f>
        <v>6.430449794044518E-4</v>
      </c>
      <c r="J240" s="229">
        <v>7675.62</v>
      </c>
      <c r="K240" s="28">
        <f>[1]!Table3[[#This Row],[Residential Incentive Disbursements]]/'[1]1.) CLM Reference'!$B$5</f>
        <v>6.1628637924677845E-5</v>
      </c>
      <c r="L240" s="229">
        <v>0</v>
      </c>
      <c r="M240" s="28">
        <f>[1]!Table3[[#This Row],[C&amp;I CLM $ Collected]]/'[1]1.) CLM Reference'!$B$4</f>
        <v>0</v>
      </c>
      <c r="N240" s="229">
        <v>0</v>
      </c>
      <c r="O240" s="28">
        <f>[1]!Table3[[#This Row],[C&amp;I Incentive Disbursements]]/'[1]1.) CLM Reference'!$B$5</f>
        <v>0</v>
      </c>
      <c r="Q240">
        <f>VLOOKUP(Table3[[#This Row],[Census Tract]],'Population and Diversity Data'!$B$2:$K$823,10,FALSE)</f>
        <v>5</v>
      </c>
      <c r="R240" t="str">
        <f>VLOOKUP(Table3[[#This Row],[Census Tract]],'ES Energy Burden'!$B$2:$E$914,4,FALSE)</f>
        <v>No</v>
      </c>
    </row>
    <row r="241" spans="1:18" x14ac:dyDescent="0.2">
      <c r="A241" t="s">
        <v>2779</v>
      </c>
      <c r="B241" s="169">
        <v>9001011000</v>
      </c>
      <c r="C241" t="s">
        <v>944</v>
      </c>
      <c r="D241" s="170">
        <f>[1]!Table3[[#This Row],[Residential CLM $ Collected]]+[1]!Table3[[#This Row],[C&amp;I CLM $ Collected]]</f>
        <v>87643.639230000001</v>
      </c>
      <c r="E241" s="28">
        <f>[1]!Table3[[#This Row],[CLM $ Collected ]]/'[1]1.) CLM Reference'!$B$4</f>
        <v>9.4351640365872627E-4</v>
      </c>
      <c r="F241" s="170">
        <f>[1]!Table3[[#This Row],[Residential Incentive Disbursements]]+[1]!Table3[[#This Row],[C&amp;I Incentive Disbursements]]</f>
        <v>8048.34</v>
      </c>
      <c r="G241" s="28">
        <f>[1]!Table3[[#This Row],[Incentive Disbursements]]/'[1]1.) CLM Reference'!$B$5</f>
        <v>6.4621259488445451E-5</v>
      </c>
      <c r="H241" s="228">
        <v>87643.639230000001</v>
      </c>
      <c r="I241" s="28">
        <f>[1]!Table3[[#This Row],[Residential CLM $ Collected]]/'[1]1.) CLM Reference'!$B$4</f>
        <v>9.4351640365872627E-4</v>
      </c>
      <c r="J241" s="229">
        <v>8048.34</v>
      </c>
      <c r="K241" s="28">
        <f>[1]!Table3[[#This Row],[Residential Incentive Disbursements]]/'[1]1.) CLM Reference'!$B$5</f>
        <v>6.4621259488445451E-5</v>
      </c>
      <c r="L241" s="229">
        <v>0</v>
      </c>
      <c r="M241" s="28">
        <f>[1]!Table3[[#This Row],[C&amp;I CLM $ Collected]]/'[1]1.) CLM Reference'!$B$4</f>
        <v>0</v>
      </c>
      <c r="N241" s="229">
        <v>0</v>
      </c>
      <c r="O241" s="28">
        <f>[1]!Table3[[#This Row],[C&amp;I Incentive Disbursements]]/'[1]1.) CLM Reference'!$B$5</f>
        <v>0</v>
      </c>
      <c r="Q241">
        <f>VLOOKUP(Table3[[#This Row],[Census Tract]],'Population and Diversity Data'!$B$2:$K$823,10,FALSE)</f>
        <v>2</v>
      </c>
      <c r="R241" t="str">
        <f>VLOOKUP(Table3[[#This Row],[Census Tract]],'ES Energy Burden'!$B$2:$E$914,4,FALSE)</f>
        <v>No</v>
      </c>
    </row>
    <row r="242" spans="1:18" x14ac:dyDescent="0.2">
      <c r="A242" t="s">
        <v>2779</v>
      </c>
      <c r="B242" s="169">
        <v>9001011100</v>
      </c>
      <c r="C242" t="s">
        <v>944</v>
      </c>
      <c r="D242" s="170">
        <f>[1]!Table3[[#This Row],[Residential CLM $ Collected]]+[1]!Table3[[#This Row],[C&amp;I CLM $ Collected]]</f>
        <v>92110.181729999997</v>
      </c>
      <c r="E242" s="28">
        <f>[1]!Table3[[#This Row],[CLM $ Collected ]]/'[1]1.) CLM Reference'!$B$4</f>
        <v>9.9160039644375351E-4</v>
      </c>
      <c r="F242" s="170">
        <f>[1]!Table3[[#This Row],[Residential Incentive Disbursements]]+[1]!Table3[[#This Row],[C&amp;I Incentive Disbursements]]</f>
        <v>7329.38</v>
      </c>
      <c r="G242" s="28">
        <f>[1]!Table3[[#This Row],[Incentive Disbursements]]/'[1]1.) CLM Reference'!$B$5</f>
        <v>5.8848628023843714E-5</v>
      </c>
      <c r="H242" s="228">
        <v>92110.181729999997</v>
      </c>
      <c r="I242" s="28">
        <f>[1]!Table3[[#This Row],[Residential CLM $ Collected]]/'[1]1.) CLM Reference'!$B$4</f>
        <v>9.9160039644375351E-4</v>
      </c>
      <c r="J242" s="229">
        <v>7329.38</v>
      </c>
      <c r="K242" s="28">
        <f>[1]!Table3[[#This Row],[Residential Incentive Disbursements]]/'[1]1.) CLM Reference'!$B$5</f>
        <v>5.8848628023843714E-5</v>
      </c>
      <c r="L242" s="229">
        <v>0</v>
      </c>
      <c r="M242" s="28">
        <f>[1]!Table3[[#This Row],[C&amp;I CLM $ Collected]]/'[1]1.) CLM Reference'!$B$4</f>
        <v>0</v>
      </c>
      <c r="N242" s="229">
        <v>0</v>
      </c>
      <c r="O242" s="28">
        <f>[1]!Table3[[#This Row],[C&amp;I Incentive Disbursements]]/'[1]1.) CLM Reference'!$B$5</f>
        <v>0</v>
      </c>
      <c r="Q242">
        <f>VLOOKUP(Table3[[#This Row],[Census Tract]],'Population and Diversity Data'!$B$2:$K$823,10,FALSE)</f>
        <v>3</v>
      </c>
      <c r="R242" t="str">
        <f>VLOOKUP(Table3[[#This Row],[Census Tract]],'ES Energy Burden'!$B$2:$E$914,4,FALSE)</f>
        <v>No</v>
      </c>
    </row>
    <row r="243" spans="1:18" x14ac:dyDescent="0.2">
      <c r="A243" t="s">
        <v>2779</v>
      </c>
      <c r="B243" s="169">
        <v>9001011200</v>
      </c>
      <c r="C243" t="s">
        <v>944</v>
      </c>
      <c r="D243" s="170">
        <f>[1]!Table3[[#This Row],[Residential CLM $ Collected]]+[1]!Table3[[#This Row],[C&amp;I CLM $ Collected]]</f>
        <v>64131.090072000006</v>
      </c>
      <c r="E243" s="28">
        <f>[1]!Table3[[#This Row],[CLM $ Collected ]]/'[1]1.) CLM Reference'!$B$4</f>
        <v>6.90395058889059E-4</v>
      </c>
      <c r="F243" s="170">
        <f>[1]!Table3[[#This Row],[Residential Incentive Disbursements]]+[1]!Table3[[#This Row],[C&amp;I Incentive Disbursements]]</f>
        <v>1433.6</v>
      </c>
      <c r="G243" s="28">
        <f>[1]!Table3[[#This Row],[Incentive Disbursements]]/'[1]1.) CLM Reference'!$B$5</f>
        <v>1.1510577038573841E-5</v>
      </c>
      <c r="H243" s="228">
        <v>64131.090072000006</v>
      </c>
      <c r="I243" s="28">
        <f>[1]!Table3[[#This Row],[Residential CLM $ Collected]]/'[1]1.) CLM Reference'!$B$4</f>
        <v>6.90395058889059E-4</v>
      </c>
      <c r="J243" s="229">
        <v>1433.6</v>
      </c>
      <c r="K243" s="28">
        <f>[1]!Table3[[#This Row],[Residential Incentive Disbursements]]/'[1]1.) CLM Reference'!$B$5</f>
        <v>1.1510577038573841E-5</v>
      </c>
      <c r="L243" s="229">
        <v>0</v>
      </c>
      <c r="M243" s="28">
        <f>[1]!Table3[[#This Row],[C&amp;I CLM $ Collected]]/'[1]1.) CLM Reference'!$B$4</f>
        <v>0</v>
      </c>
      <c r="N243" s="229">
        <v>0</v>
      </c>
      <c r="O243" s="28">
        <f>[1]!Table3[[#This Row],[C&amp;I Incentive Disbursements]]/'[1]1.) CLM Reference'!$B$5</f>
        <v>0</v>
      </c>
      <c r="Q243">
        <f>VLOOKUP(Table3[[#This Row],[Census Tract]],'Population and Diversity Data'!$B$2:$K$823,10,FALSE)</f>
        <v>4</v>
      </c>
      <c r="R243" t="str">
        <f>VLOOKUP(Table3[[#This Row],[Census Tract]],'ES Energy Burden'!$B$2:$E$914,4,FALSE)</f>
        <v>No</v>
      </c>
    </row>
    <row r="244" spans="1:18" x14ac:dyDescent="0.2">
      <c r="A244" t="s">
        <v>2779</v>
      </c>
      <c r="B244" s="169">
        <v>9001011300</v>
      </c>
      <c r="C244" t="s">
        <v>944</v>
      </c>
      <c r="D244" s="170">
        <f>[1]!Table3[[#This Row],[Residential CLM $ Collected]]+[1]!Table3[[#This Row],[C&amp;I CLM $ Collected]]</f>
        <v>35309.309280000001</v>
      </c>
      <c r="E244" s="28">
        <f>[1]!Table3[[#This Row],[CLM $ Collected ]]/'[1]1.) CLM Reference'!$B$4</f>
        <v>3.8011785909656474E-4</v>
      </c>
      <c r="F244" s="170">
        <f>[1]!Table3[[#This Row],[Residential Incentive Disbursements]]+[1]!Table3[[#This Row],[C&amp;I Incentive Disbursements]]</f>
        <v>1255.0899999999999</v>
      </c>
      <c r="G244" s="28">
        <f>[1]!Table3[[#This Row],[Incentive Disbursements]]/'[1]1.) CLM Reference'!$B$5</f>
        <v>1.0077295016283233E-5</v>
      </c>
      <c r="H244" s="228">
        <v>35309.309280000001</v>
      </c>
      <c r="I244" s="28">
        <f>[1]!Table3[[#This Row],[Residential CLM $ Collected]]/'[1]1.) CLM Reference'!$B$4</f>
        <v>3.8011785909656474E-4</v>
      </c>
      <c r="J244" s="229">
        <v>1255.0899999999999</v>
      </c>
      <c r="K244" s="28">
        <f>[1]!Table3[[#This Row],[Residential Incentive Disbursements]]/'[1]1.) CLM Reference'!$B$5</f>
        <v>1.0077295016283233E-5</v>
      </c>
      <c r="L244" s="229">
        <v>0</v>
      </c>
      <c r="M244" s="28">
        <f>[1]!Table3[[#This Row],[C&amp;I CLM $ Collected]]/'[1]1.) CLM Reference'!$B$4</f>
        <v>0</v>
      </c>
      <c r="N244" s="229">
        <v>0</v>
      </c>
      <c r="O244" s="28">
        <f>[1]!Table3[[#This Row],[C&amp;I Incentive Disbursements]]/'[1]1.) CLM Reference'!$B$5</f>
        <v>0</v>
      </c>
      <c r="Q244">
        <f>VLOOKUP(Table3[[#This Row],[Census Tract]],'Population and Diversity Data'!$B$2:$K$823,10,FALSE)</f>
        <v>5</v>
      </c>
      <c r="R244" t="str">
        <f>VLOOKUP(Table3[[#This Row],[Census Tract]],'ES Energy Burden'!$B$2:$E$914,4,FALSE)</f>
        <v>No</v>
      </c>
    </row>
    <row r="245" spans="1:18" x14ac:dyDescent="0.2">
      <c r="A245" t="s">
        <v>2779</v>
      </c>
      <c r="B245" s="169">
        <v>9001020200</v>
      </c>
      <c r="C245" t="s">
        <v>944</v>
      </c>
      <c r="D245" s="170">
        <f>[1]!Table3[[#This Row],[Residential CLM $ Collected]]+[1]!Table3[[#This Row],[C&amp;I CLM $ Collected]]</f>
        <v>8792.2711799999997</v>
      </c>
      <c r="E245" s="28">
        <f>[1]!Table3[[#This Row],[CLM $ Collected ]]/'[1]1.) CLM Reference'!$B$4</f>
        <v>9.4652072376591863E-5</v>
      </c>
      <c r="F245" s="170">
        <f>[1]!Table3[[#This Row],[Residential Incentive Disbursements]]+[1]!Table3[[#This Row],[C&amp;I Incentive Disbursements]]</f>
        <v>77</v>
      </c>
      <c r="G245" s="28">
        <f>[1]!Table3[[#This Row],[Incentive Disbursements]]/'[1]1.) CLM Reference'!$B$5</f>
        <v>6.1824388390777475E-7</v>
      </c>
      <c r="H245" s="228">
        <v>8792.2711799999997</v>
      </c>
      <c r="I245" s="28">
        <f>[1]!Table3[[#This Row],[Residential CLM $ Collected]]/'[1]1.) CLM Reference'!$B$4</f>
        <v>9.4652072376591863E-5</v>
      </c>
      <c r="J245" s="229">
        <v>77</v>
      </c>
      <c r="K245" s="28">
        <f>[1]!Table3[[#This Row],[Residential Incentive Disbursements]]/'[1]1.) CLM Reference'!$B$5</f>
        <v>6.1824388390777475E-7</v>
      </c>
      <c r="L245" s="229">
        <v>0</v>
      </c>
      <c r="M245" s="28">
        <f>[1]!Table3[[#This Row],[C&amp;I CLM $ Collected]]/'[1]1.) CLM Reference'!$B$4</f>
        <v>0</v>
      </c>
      <c r="N245" s="229">
        <v>0</v>
      </c>
      <c r="O245" s="28">
        <f>[1]!Table3[[#This Row],[C&amp;I Incentive Disbursements]]/'[1]1.) CLM Reference'!$B$5</f>
        <v>0</v>
      </c>
      <c r="Q245">
        <f>VLOOKUP(Table3[[#This Row],[Census Tract]],'Population and Diversity Data'!$B$2:$K$823,10,FALSE)</f>
        <v>4</v>
      </c>
      <c r="R245" t="str">
        <f>VLOOKUP(Table3[[#This Row],[Census Tract]],'ES Energy Burden'!$B$2:$E$914,4,FALSE)</f>
        <v>No</v>
      </c>
    </row>
    <row r="246" spans="1:18" x14ac:dyDescent="0.2">
      <c r="A246" t="s">
        <v>2779</v>
      </c>
      <c r="B246" s="169">
        <v>9001021400</v>
      </c>
      <c r="C246" t="s">
        <v>944</v>
      </c>
      <c r="D246" s="170">
        <f>[1]!Table3[[#This Row],[Residential CLM $ Collected]]+[1]!Table3[[#This Row],[C&amp;I CLM $ Collected]]</f>
        <v>633.09708000000001</v>
      </c>
      <c r="E246" s="28">
        <f>[1]!Table3[[#This Row],[CLM $ Collected ]]/'[1]1.) CLM Reference'!$B$4</f>
        <v>6.8155257510573019E-6</v>
      </c>
      <c r="F246" s="170">
        <f>[1]!Table3[[#This Row],[Residential Incentive Disbursements]]+[1]!Table3[[#This Row],[C&amp;I Incentive Disbursements]]</f>
        <v>105</v>
      </c>
      <c r="G246" s="28">
        <f>[1]!Table3[[#This Row],[Incentive Disbursements]]/'[1]1.) CLM Reference'!$B$5</f>
        <v>8.4305984169242004E-7</v>
      </c>
      <c r="H246" s="228">
        <v>633.09708000000001</v>
      </c>
      <c r="I246" s="28">
        <f>[1]!Table3[[#This Row],[Residential CLM $ Collected]]/'[1]1.) CLM Reference'!$B$4</f>
        <v>6.8155257510573019E-6</v>
      </c>
      <c r="J246" s="229">
        <v>105</v>
      </c>
      <c r="K246" s="28">
        <f>[1]!Table3[[#This Row],[Residential Incentive Disbursements]]/'[1]1.) CLM Reference'!$B$5</f>
        <v>8.4305984169242004E-7</v>
      </c>
      <c r="L246" s="229">
        <v>0</v>
      </c>
      <c r="M246" s="28">
        <f>[1]!Table3[[#This Row],[C&amp;I CLM $ Collected]]/'[1]1.) CLM Reference'!$B$4</f>
        <v>0</v>
      </c>
      <c r="N246" s="229">
        <v>0</v>
      </c>
      <c r="O246" s="28">
        <f>[1]!Table3[[#This Row],[C&amp;I Incentive Disbursements]]/'[1]1.) CLM Reference'!$B$5</f>
        <v>0</v>
      </c>
      <c r="Q246">
        <f>VLOOKUP(Table3[[#This Row],[Census Tract]],'Population and Diversity Data'!$B$2:$K$823,10,FALSE)</f>
        <v>4</v>
      </c>
      <c r="R246" t="str">
        <f>VLOOKUP(Table3[[#This Row],[Census Tract]],'ES Energy Burden'!$B$2:$E$914,4,FALSE)</f>
        <v>No</v>
      </c>
    </row>
    <row r="247" spans="1:18" x14ac:dyDescent="0.2">
      <c r="A247" t="s">
        <v>2780</v>
      </c>
      <c r="B247" s="169">
        <v>9011709100</v>
      </c>
      <c r="C247" t="s">
        <v>944</v>
      </c>
      <c r="D247" s="170">
        <f>[1]!Table3[[#This Row],[Residential CLM $ Collected]]+[1]!Table3[[#This Row],[C&amp;I CLM $ Collected]]</f>
        <v>123302.365683</v>
      </c>
      <c r="E247" s="28">
        <f>[1]!Table3[[#This Row],[CLM $ Collected ]]/'[1]1.) CLM Reference'!$B$4</f>
        <v>1.3273958687011645E-3</v>
      </c>
      <c r="F247" s="170">
        <f>[1]!Table3[[#This Row],[Residential Incentive Disbursements]]+[1]!Table3[[#This Row],[C&amp;I Incentive Disbursements]]</f>
        <v>485526.73500000004</v>
      </c>
      <c r="G247" s="28">
        <f>[1]!Table3[[#This Row],[Incentive Disbursements]]/'[1]1.) CLM Reference'!$B$5</f>
        <v>3.8983627842527394E-3</v>
      </c>
      <c r="H247" s="228">
        <v>116285.206443</v>
      </c>
      <c r="I247" s="28">
        <f>[1]!Table3[[#This Row],[Residential CLM $ Collected]]/'[1]1.) CLM Reference'!$B$4</f>
        <v>1.251853537184662E-3</v>
      </c>
      <c r="J247" s="229">
        <v>470072.58500000002</v>
      </c>
      <c r="K247" s="28">
        <f>[1]!Table3[[#This Row],[Residential Incentive Disbursements]]/'[1]1.) CLM Reference'!$B$5</f>
        <v>3.7742792294671113E-3</v>
      </c>
      <c r="L247" s="229">
        <v>7017.15924</v>
      </c>
      <c r="M247" s="28">
        <f>[1]!Table3[[#This Row],[C&amp;I CLM $ Collected]]/'[1]1.) CLM Reference'!$B$4</f>
        <v>7.5542331516502471E-5</v>
      </c>
      <c r="N247" s="229">
        <v>15454.15</v>
      </c>
      <c r="O247" s="28">
        <f>[1]!Table3[[#This Row],[C&amp;I Incentive Disbursements]]/'[1]1.) CLM Reference'!$B$5</f>
        <v>1.2408355478562774E-4</v>
      </c>
      <c r="Q247">
        <f>VLOOKUP(Table3[[#This Row],[Census Tract]],'Population and Diversity Data'!$B$2:$K$823,10,FALSE)</f>
        <v>3</v>
      </c>
      <c r="R247" t="str">
        <f>VLOOKUP(Table3[[#This Row],[Census Tract]],'ES Energy Burden'!$B$2:$E$914,4,FALSE)</f>
        <v>No</v>
      </c>
    </row>
    <row r="248" spans="1:18" x14ac:dyDescent="0.2">
      <c r="A248" t="s">
        <v>2780</v>
      </c>
      <c r="B248" s="169">
        <v>9011709200</v>
      </c>
      <c r="C248" t="s">
        <v>936</v>
      </c>
      <c r="D248" s="170">
        <f>[1]!Table3[[#This Row],[Residential CLM $ Collected]]+[1]!Table3[[#This Row],[C&amp;I CLM $ Collected]]</f>
        <v>14157.543372</v>
      </c>
      <c r="E248" s="28">
        <f>[1]!Table3[[#This Row],[CLM $ Collected ]]/'[1]1.) CLM Reference'!$B$4</f>
        <v>1.5241122486866725E-4</v>
      </c>
      <c r="F248" s="170">
        <f>[1]!Table3[[#This Row],[Residential Incentive Disbursements]]+[1]!Table3[[#This Row],[C&amp;I Incentive Disbursements]]</f>
        <v>7324.16</v>
      </c>
      <c r="G248" s="28">
        <f>[1]!Table3[[#This Row],[Incentive Disbursements]]/'[1]1.) CLM Reference'!$B$5</f>
        <v>5.8806715905999574E-5</v>
      </c>
      <c r="H248" s="228">
        <v>14157.543372</v>
      </c>
      <c r="I248" s="28">
        <f>[1]!Table3[[#This Row],[Residential CLM $ Collected]]/'[1]1.) CLM Reference'!$B$4</f>
        <v>1.5241122486866725E-4</v>
      </c>
      <c r="J248" s="229">
        <v>7324.16</v>
      </c>
      <c r="K248" s="28">
        <f>[1]!Table3[[#This Row],[Residential Incentive Disbursements]]/'[1]1.) CLM Reference'!$B$5</f>
        <v>5.8806715905999574E-5</v>
      </c>
      <c r="L248" s="229">
        <v>0</v>
      </c>
      <c r="M248" s="28">
        <f>[1]!Table3[[#This Row],[C&amp;I CLM $ Collected]]/'[1]1.) CLM Reference'!$B$4</f>
        <v>0</v>
      </c>
      <c r="N248" s="229">
        <v>0</v>
      </c>
      <c r="O248" s="28">
        <f>[1]!Table3[[#This Row],[C&amp;I Incentive Disbursements]]/'[1]1.) CLM Reference'!$B$5</f>
        <v>0</v>
      </c>
      <c r="Q248">
        <f>VLOOKUP(Table3[[#This Row],[Census Tract]],'Population and Diversity Data'!$B$2:$K$823,10,FALSE)</f>
        <v>5</v>
      </c>
      <c r="R248" t="str">
        <f>VLOOKUP(Table3[[#This Row],[Census Tract]],'ES Energy Burden'!$B$2:$E$914,4,FALSE)</f>
        <v>No</v>
      </c>
    </row>
    <row r="249" spans="1:18" x14ac:dyDescent="0.2">
      <c r="A249" t="s">
        <v>2781</v>
      </c>
      <c r="B249" s="169">
        <v>9011702100</v>
      </c>
      <c r="C249" t="s">
        <v>944</v>
      </c>
      <c r="D249" s="170">
        <f>[1]!Table3[[#This Row],[Residential CLM $ Collected]]+[1]!Table3[[#This Row],[C&amp;I CLM $ Collected]]</f>
        <v>807.47456999999997</v>
      </c>
      <c r="E249" s="28">
        <f>[1]!Table3[[#This Row],[CLM $ Collected ]]/'[1]1.) CLM Reference'!$B$4</f>
        <v>8.6927643469133066E-6</v>
      </c>
      <c r="F249" s="170">
        <f>[1]!Table3[[#This Row],[Residential Incentive Disbursements]]+[1]!Table3[[#This Row],[C&amp;I Incentive Disbursements]]</f>
        <v>0</v>
      </c>
      <c r="G249" s="28">
        <f>[1]!Table3[[#This Row],[Incentive Disbursements]]/'[1]1.) CLM Reference'!$B$5</f>
        <v>0</v>
      </c>
      <c r="H249" s="228">
        <v>807.47456999999997</v>
      </c>
      <c r="I249" s="28">
        <f>[1]!Table3[[#This Row],[Residential CLM $ Collected]]/'[1]1.) CLM Reference'!$B$4</f>
        <v>8.6927643469133066E-6</v>
      </c>
      <c r="J249" s="229">
        <v>0</v>
      </c>
      <c r="K249" s="28">
        <f>[1]!Table3[[#This Row],[Residential Incentive Disbursements]]/'[1]1.) CLM Reference'!$B$5</f>
        <v>0</v>
      </c>
      <c r="L249" s="229">
        <v>0</v>
      </c>
      <c r="M249" s="28">
        <f>[1]!Table3[[#This Row],[C&amp;I CLM $ Collected]]/'[1]1.) CLM Reference'!$B$4</f>
        <v>0</v>
      </c>
      <c r="N249" s="229">
        <v>0</v>
      </c>
      <c r="O249" s="28">
        <f>[1]!Table3[[#This Row],[C&amp;I Incentive Disbursements]]/'[1]1.) CLM Reference'!$B$5</f>
        <v>0</v>
      </c>
      <c r="Q249">
        <f>VLOOKUP(Table3[[#This Row],[Census Tract]],'Population and Diversity Data'!$B$2:$K$823,10,FALSE)</f>
        <v>4</v>
      </c>
      <c r="R249" t="str">
        <f>VLOOKUP(Table3[[#This Row],[Census Tract]],'ES Energy Burden'!$B$2:$E$914,4,FALSE)</f>
        <v>No</v>
      </c>
    </row>
    <row r="250" spans="1:18" x14ac:dyDescent="0.2">
      <c r="A250" t="s">
        <v>2781</v>
      </c>
      <c r="B250" s="169">
        <v>9011702400</v>
      </c>
      <c r="C250" t="s">
        <v>944</v>
      </c>
      <c r="D250" s="170">
        <f>[1]!Table3[[#This Row],[Residential CLM $ Collected]]+[1]!Table3[[#This Row],[C&amp;I CLM $ Collected]]</f>
        <v>98.039339999999996</v>
      </c>
      <c r="E250" s="28">
        <f>[1]!Table3[[#This Row],[CLM $ Collected ]]/'[1]1.) CLM Reference'!$B$4</f>
        <v>1.0554299924849789E-6</v>
      </c>
      <c r="F250" s="170">
        <f>[1]!Table3[[#This Row],[Residential Incentive Disbursements]]+[1]!Table3[[#This Row],[C&amp;I Incentive Disbursements]]</f>
        <v>0</v>
      </c>
      <c r="G250" s="28">
        <f>[1]!Table3[[#This Row],[Incentive Disbursements]]/'[1]1.) CLM Reference'!$B$5</f>
        <v>0</v>
      </c>
      <c r="H250" s="228">
        <v>98.039339999999996</v>
      </c>
      <c r="I250" s="28">
        <f>[1]!Table3[[#This Row],[Residential CLM $ Collected]]/'[1]1.) CLM Reference'!$B$4</f>
        <v>1.0554299924849789E-6</v>
      </c>
      <c r="J250" s="229">
        <v>0</v>
      </c>
      <c r="K250" s="28">
        <f>[1]!Table3[[#This Row],[Residential Incentive Disbursements]]/'[1]1.) CLM Reference'!$B$5</f>
        <v>0</v>
      </c>
      <c r="L250" s="229">
        <v>0</v>
      </c>
      <c r="M250" s="28">
        <f>[1]!Table3[[#This Row],[C&amp;I CLM $ Collected]]/'[1]1.) CLM Reference'!$B$4</f>
        <v>0</v>
      </c>
      <c r="N250" s="229">
        <v>0</v>
      </c>
      <c r="O250" s="28">
        <f>[1]!Table3[[#This Row],[C&amp;I Incentive Disbursements]]/'[1]1.) CLM Reference'!$B$5</f>
        <v>0</v>
      </c>
      <c r="Q250">
        <f>VLOOKUP(Table3[[#This Row],[Census Tract]],'Population and Diversity Data'!$B$2:$K$823,10,FALSE)</f>
        <v>5</v>
      </c>
      <c r="R250" t="str">
        <f>VLOOKUP(Table3[[#This Row],[Census Tract]],'ES Energy Burden'!$B$2:$E$914,4,FALSE)</f>
        <v>No</v>
      </c>
    </row>
    <row r="251" spans="1:18" x14ac:dyDescent="0.2">
      <c r="A251" t="s">
        <v>2781</v>
      </c>
      <c r="B251" s="169">
        <v>9011702600</v>
      </c>
      <c r="C251" t="s">
        <v>944</v>
      </c>
      <c r="D251" s="170">
        <f>[1]!Table3[[#This Row],[Residential CLM $ Collected]]+[1]!Table3[[#This Row],[C&amp;I CLM $ Collected]]</f>
        <v>24.04374</v>
      </c>
      <c r="E251" s="28">
        <f>[1]!Table3[[#This Row],[CLM $ Collected ]]/'[1]1.) CLM Reference'!$B$4</f>
        <v>2.5883981193172852E-7</v>
      </c>
      <c r="F251" s="170">
        <f>[1]!Table3[[#This Row],[Residential Incentive Disbursements]]+[1]!Table3[[#This Row],[C&amp;I Incentive Disbursements]]</f>
        <v>0</v>
      </c>
      <c r="G251" s="28">
        <f>[1]!Table3[[#This Row],[Incentive Disbursements]]/'[1]1.) CLM Reference'!$B$5</f>
        <v>0</v>
      </c>
      <c r="H251" s="228">
        <v>24.04374</v>
      </c>
      <c r="I251" s="28">
        <f>[1]!Table3[[#This Row],[Residential CLM $ Collected]]/'[1]1.) CLM Reference'!$B$4</f>
        <v>2.5883981193172852E-7</v>
      </c>
      <c r="J251" s="229">
        <v>0</v>
      </c>
      <c r="K251" s="28">
        <f>[1]!Table3[[#This Row],[Residential Incentive Disbursements]]/'[1]1.) CLM Reference'!$B$5</f>
        <v>0</v>
      </c>
      <c r="L251" s="229">
        <v>0</v>
      </c>
      <c r="M251" s="28">
        <f>[1]!Table3[[#This Row],[C&amp;I CLM $ Collected]]/'[1]1.) CLM Reference'!$B$4</f>
        <v>0</v>
      </c>
      <c r="N251" s="229">
        <v>0</v>
      </c>
      <c r="O251" s="28">
        <f>[1]!Table3[[#This Row],[C&amp;I Incentive Disbursements]]/'[1]1.) CLM Reference'!$B$5</f>
        <v>0</v>
      </c>
      <c r="Q251">
        <f>VLOOKUP(Table3[[#This Row],[Census Tract]],'Population and Diversity Data'!$B$2:$K$823,10,FALSE)</f>
        <v>3</v>
      </c>
      <c r="R251" t="str">
        <f>VLOOKUP(Table3[[#This Row],[Census Tract]],'ES Energy Burden'!$B$2:$E$914,4,FALSE)</f>
        <v>No</v>
      </c>
    </row>
    <row r="252" spans="1:18" x14ac:dyDescent="0.2">
      <c r="A252" t="s">
        <v>2781</v>
      </c>
      <c r="B252" s="169">
        <v>9011702700</v>
      </c>
      <c r="C252" t="s">
        <v>944</v>
      </c>
      <c r="D252" s="170">
        <f>[1]!Table3[[#This Row],[Residential CLM $ Collected]]+[1]!Table3[[#This Row],[C&amp;I CLM $ Collected]]</f>
        <v>1837.5686700000001</v>
      </c>
      <c r="E252" s="28">
        <f>[1]!Table3[[#This Row],[CLM $ Collected ]]/'[1]1.) CLM Reference'!$B$4</f>
        <v>1.9782110809484572E-5</v>
      </c>
      <c r="F252" s="170">
        <f>[1]!Table3[[#This Row],[Residential Incentive Disbursements]]+[1]!Table3[[#This Row],[C&amp;I Incentive Disbursements]]</f>
        <v>660.59</v>
      </c>
      <c r="G252" s="28">
        <f>[1]!Table3[[#This Row],[Incentive Disbursements]]/'[1]1.) CLM Reference'!$B$5</f>
        <v>5.303970484034246E-6</v>
      </c>
      <c r="H252" s="228">
        <v>1837.5686700000001</v>
      </c>
      <c r="I252" s="28">
        <f>[1]!Table3[[#This Row],[Residential CLM $ Collected]]/'[1]1.) CLM Reference'!$B$4</f>
        <v>1.9782110809484572E-5</v>
      </c>
      <c r="J252" s="229">
        <v>660.59</v>
      </c>
      <c r="K252" s="28">
        <f>[1]!Table3[[#This Row],[Residential Incentive Disbursements]]/'[1]1.) CLM Reference'!$B$5</f>
        <v>5.303970484034246E-6</v>
      </c>
      <c r="L252" s="229">
        <v>0</v>
      </c>
      <c r="M252" s="28">
        <f>[1]!Table3[[#This Row],[C&amp;I CLM $ Collected]]/'[1]1.) CLM Reference'!$B$4</f>
        <v>0</v>
      </c>
      <c r="N252" s="229">
        <v>0</v>
      </c>
      <c r="O252" s="28">
        <f>[1]!Table3[[#This Row],[C&amp;I Incentive Disbursements]]/'[1]1.) CLM Reference'!$B$5</f>
        <v>0</v>
      </c>
      <c r="Q252">
        <f>VLOOKUP(Table3[[#This Row],[Census Tract]],'Population and Diversity Data'!$B$2:$K$823,10,FALSE)</f>
        <v>5</v>
      </c>
      <c r="R252" t="str">
        <f>VLOOKUP(Table3[[#This Row],[Census Tract]],'ES Energy Burden'!$B$2:$E$914,4,FALSE)</f>
        <v>No</v>
      </c>
    </row>
    <row r="253" spans="1:18" x14ac:dyDescent="0.2">
      <c r="A253" t="s">
        <v>2781</v>
      </c>
      <c r="B253" s="169">
        <v>9011702800</v>
      </c>
      <c r="C253" t="s">
        <v>944</v>
      </c>
      <c r="D253" s="170">
        <f>[1]!Table3[[#This Row],[Residential CLM $ Collected]]+[1]!Table3[[#This Row],[C&amp;I CLM $ Collected]]</f>
        <v>2615.9473200000002</v>
      </c>
      <c r="E253" s="28">
        <f>[1]!Table3[[#This Row],[CLM $ Collected ]]/'[1]1.) CLM Reference'!$B$4</f>
        <v>2.8161646745976679E-5</v>
      </c>
      <c r="F253" s="170">
        <f>[1]!Table3[[#This Row],[Residential Incentive Disbursements]]+[1]!Table3[[#This Row],[C&amp;I Incentive Disbursements]]</f>
        <v>2581.37</v>
      </c>
      <c r="G253" s="28">
        <f>[1]!Table3[[#This Row],[Incentive Disbursements]]/'[1]1.) CLM Reference'!$B$5</f>
        <v>2.0726184605233926E-5</v>
      </c>
      <c r="H253" s="228">
        <v>2615.9473200000002</v>
      </c>
      <c r="I253" s="28">
        <f>[1]!Table3[[#This Row],[Residential CLM $ Collected]]/'[1]1.) CLM Reference'!$B$4</f>
        <v>2.8161646745976679E-5</v>
      </c>
      <c r="J253" s="229">
        <v>2581.37</v>
      </c>
      <c r="K253" s="28">
        <f>[1]!Table3[[#This Row],[Residential Incentive Disbursements]]/'[1]1.) CLM Reference'!$B$5</f>
        <v>2.0726184605233926E-5</v>
      </c>
      <c r="L253" s="229">
        <v>0</v>
      </c>
      <c r="M253" s="28">
        <f>[1]!Table3[[#This Row],[C&amp;I CLM $ Collected]]/'[1]1.) CLM Reference'!$B$4</f>
        <v>0</v>
      </c>
      <c r="N253" s="229">
        <v>0</v>
      </c>
      <c r="O253" s="28">
        <f>[1]!Table3[[#This Row],[C&amp;I Incentive Disbursements]]/'[1]1.) CLM Reference'!$B$5</f>
        <v>0</v>
      </c>
      <c r="Q253">
        <f>VLOOKUP(Table3[[#This Row],[Census Tract]],'Population and Diversity Data'!$B$2:$K$823,10,FALSE)</f>
        <v>5</v>
      </c>
      <c r="R253" t="str">
        <f>VLOOKUP(Table3[[#This Row],[Census Tract]],'ES Energy Burden'!$B$2:$E$914,4,FALSE)</f>
        <v>No</v>
      </c>
    </row>
    <row r="254" spans="1:18" x14ac:dyDescent="0.2">
      <c r="A254" t="s">
        <v>2781</v>
      </c>
      <c r="B254" s="169">
        <v>9011702900</v>
      </c>
      <c r="C254" t="s">
        <v>944</v>
      </c>
      <c r="D254" s="170">
        <f>[1]!Table3[[#This Row],[Residential CLM $ Collected]]+[1]!Table3[[#This Row],[C&amp;I CLM $ Collected]]</f>
        <v>20660.035200000002</v>
      </c>
      <c r="E254" s="28">
        <f>[1]!Table3[[#This Row],[CLM $ Collected ]]/'[1]1.) CLM Reference'!$B$4</f>
        <v>2.2241297009828305E-4</v>
      </c>
      <c r="F254" s="170">
        <f>[1]!Table3[[#This Row],[Residential Incentive Disbursements]]+[1]!Table3[[#This Row],[C&amp;I Incentive Disbursements]]</f>
        <v>13564.31</v>
      </c>
      <c r="G254" s="28">
        <f>[1]!Table3[[#This Row],[Incentive Disbursements]]/'[1]1.) CLM Reference'!$B$5</f>
        <v>1.089097622977801E-4</v>
      </c>
      <c r="H254" s="228">
        <v>20660.035200000002</v>
      </c>
      <c r="I254" s="28">
        <f>[1]!Table3[[#This Row],[Residential CLM $ Collected]]/'[1]1.) CLM Reference'!$B$4</f>
        <v>2.2241297009828305E-4</v>
      </c>
      <c r="J254" s="229">
        <v>13564.31</v>
      </c>
      <c r="K254" s="28">
        <f>[1]!Table3[[#This Row],[Residential Incentive Disbursements]]/'[1]1.) CLM Reference'!$B$5</f>
        <v>1.089097622977801E-4</v>
      </c>
      <c r="L254" s="229">
        <v>0</v>
      </c>
      <c r="M254" s="28">
        <f>[1]!Table3[[#This Row],[C&amp;I CLM $ Collected]]/'[1]1.) CLM Reference'!$B$4</f>
        <v>0</v>
      </c>
      <c r="N254" s="229">
        <v>0</v>
      </c>
      <c r="O254" s="28">
        <f>[1]!Table3[[#This Row],[C&amp;I Incentive Disbursements]]/'[1]1.) CLM Reference'!$B$5</f>
        <v>0</v>
      </c>
      <c r="Q254">
        <f>VLOOKUP(Table3[[#This Row],[Census Tract]],'Population and Diversity Data'!$B$2:$K$823,10,FALSE)</f>
        <v>2</v>
      </c>
      <c r="R254" t="str">
        <f>VLOOKUP(Table3[[#This Row],[Census Tract]],'ES Energy Burden'!$B$2:$E$914,4,FALSE)</f>
        <v>No</v>
      </c>
    </row>
    <row r="255" spans="1:18" x14ac:dyDescent="0.2">
      <c r="A255" t="s">
        <v>2781</v>
      </c>
      <c r="B255" s="169">
        <v>9011703000</v>
      </c>
      <c r="C255" t="s">
        <v>944</v>
      </c>
      <c r="D255" s="170">
        <f>[1]!Table3[[#This Row],[Residential CLM $ Collected]]+[1]!Table3[[#This Row],[C&amp;I CLM $ Collected]]</f>
        <v>36.080100000000002</v>
      </c>
      <c r="E255" s="28">
        <f>[1]!Table3[[#This Row],[CLM $ Collected ]]/'[1]1.) CLM Reference'!$B$4</f>
        <v>3.8841570814182648E-7</v>
      </c>
      <c r="F255" s="170">
        <f>[1]!Table3[[#This Row],[Residential Incentive Disbursements]]+[1]!Table3[[#This Row],[C&amp;I Incentive Disbursements]]</f>
        <v>0</v>
      </c>
      <c r="G255" s="28">
        <f>[1]!Table3[[#This Row],[Incentive Disbursements]]/'[1]1.) CLM Reference'!$B$5</f>
        <v>0</v>
      </c>
      <c r="H255" s="228">
        <v>36.080100000000002</v>
      </c>
      <c r="I255" s="28">
        <f>[1]!Table3[[#This Row],[Residential CLM $ Collected]]/'[1]1.) CLM Reference'!$B$4</f>
        <v>3.8841570814182648E-7</v>
      </c>
      <c r="J255" s="229">
        <v>0</v>
      </c>
      <c r="K255" s="28">
        <f>[1]!Table3[[#This Row],[Residential Incentive Disbursements]]/'[1]1.) CLM Reference'!$B$5</f>
        <v>0</v>
      </c>
      <c r="L255" s="229">
        <v>0</v>
      </c>
      <c r="M255" s="28">
        <f>[1]!Table3[[#This Row],[C&amp;I CLM $ Collected]]/'[1]1.) CLM Reference'!$B$4</f>
        <v>0</v>
      </c>
      <c r="N255" s="229">
        <v>0</v>
      </c>
      <c r="O255" s="28">
        <f>[1]!Table3[[#This Row],[C&amp;I Incentive Disbursements]]/'[1]1.) CLM Reference'!$B$5</f>
        <v>0</v>
      </c>
      <c r="Q255">
        <f>VLOOKUP(Table3[[#This Row],[Census Tract]],'Population and Diversity Data'!$B$2:$K$823,10,FALSE)</f>
        <v>2</v>
      </c>
      <c r="R255" t="str">
        <f>VLOOKUP(Table3[[#This Row],[Census Tract]],'ES Energy Burden'!$B$2:$E$914,4,FALSE)</f>
        <v>No</v>
      </c>
    </row>
    <row r="256" spans="1:18" x14ac:dyDescent="0.2">
      <c r="A256" t="s">
        <v>2781</v>
      </c>
      <c r="B256" s="169">
        <v>9011870200</v>
      </c>
      <c r="C256" t="s">
        <v>936</v>
      </c>
      <c r="D256" s="170">
        <f>[1]!Table3[[#This Row],[Residential CLM $ Collected]]+[1]!Table3[[#This Row],[C&amp;I CLM $ Collected]]</f>
        <v>369948.19165499997</v>
      </c>
      <c r="E256" s="28">
        <f>[1]!Table3[[#This Row],[CLM $ Collected ]]/'[1]1.) CLM Reference'!$B$4</f>
        <v>3.9826300048354897E-3</v>
      </c>
      <c r="F256" s="170">
        <f>[1]!Table3[[#This Row],[Residential Incentive Disbursements]]+[1]!Table3[[#This Row],[C&amp;I Incentive Disbursements]]</f>
        <v>446534.24</v>
      </c>
      <c r="G256" s="28">
        <f>[1]!Table3[[#This Row],[Incentive Disbursements]]/'[1]1.) CLM Reference'!$B$5</f>
        <v>3.5852865303299536E-3</v>
      </c>
      <c r="H256" s="228">
        <v>241109.830185</v>
      </c>
      <c r="I256" s="28">
        <f>[1]!Table3[[#This Row],[Residential CLM $ Collected]]/'[1]1.) CLM Reference'!$B$4</f>
        <v>2.595637080586315E-3</v>
      </c>
      <c r="J256" s="229">
        <v>432965.52</v>
      </c>
      <c r="K256" s="28">
        <f>[1]!Table3[[#This Row],[Residential Incentive Disbursements]]/'[1]1.) CLM Reference'!$B$5</f>
        <v>3.4763413595188222E-3</v>
      </c>
      <c r="L256" s="229">
        <v>128838.36147</v>
      </c>
      <c r="M256" s="28">
        <f>[1]!Table3[[#This Row],[C&amp;I CLM $ Collected]]/'[1]1.) CLM Reference'!$B$4</f>
        <v>1.3869929242491751E-3</v>
      </c>
      <c r="N256" s="229">
        <v>13568.72</v>
      </c>
      <c r="O256" s="28">
        <f>[1]!Table3[[#This Row],[C&amp;I Incentive Disbursements]]/'[1]1.) CLM Reference'!$B$5</f>
        <v>1.0894517081113117E-4</v>
      </c>
      <c r="Q256">
        <f>VLOOKUP(Table3[[#This Row],[Census Tract]],'Population and Diversity Data'!$B$2:$K$823,10,FALSE)</f>
        <v>4</v>
      </c>
      <c r="R256" t="e">
        <f>VLOOKUP(Table3[[#This Row],[Census Tract]],'ES Energy Burden'!$B$2:$E$914,4,FALSE)</f>
        <v>#N/A</v>
      </c>
    </row>
    <row r="257" spans="1:18" x14ac:dyDescent="0.2">
      <c r="A257" t="s">
        <v>2782</v>
      </c>
      <c r="B257" s="169">
        <v>9009190100</v>
      </c>
      <c r="C257" t="s">
        <v>944</v>
      </c>
      <c r="D257" s="170">
        <f>[1]!Table3[[#This Row],[Residential CLM $ Collected]]+[1]!Table3[[#This Row],[C&amp;I CLM $ Collected]]</f>
        <v>43672.442204999999</v>
      </c>
      <c r="E257" s="28">
        <f>[1]!Table3[[#This Row],[CLM $ Collected ]]/'[1]1.) CLM Reference'!$B$4</f>
        <v>4.7015009840155829E-4</v>
      </c>
      <c r="F257" s="170">
        <f>[1]!Table3[[#This Row],[Residential Incentive Disbursements]]+[1]!Table3[[#This Row],[C&amp;I Incentive Disbursements]]</f>
        <v>43882.18</v>
      </c>
      <c r="G257" s="28">
        <f>[1]!Table3[[#This Row],[Incentive Disbursements]]/'[1]1.) CLM Reference'!$B$5</f>
        <v>3.5233622594207887E-4</v>
      </c>
      <c r="H257" s="228">
        <v>43672.442204999999</v>
      </c>
      <c r="I257" s="28">
        <f>[1]!Table3[[#This Row],[Residential CLM $ Collected]]/'[1]1.) CLM Reference'!$B$4</f>
        <v>4.7015009840155829E-4</v>
      </c>
      <c r="J257" s="229">
        <v>43882.18</v>
      </c>
      <c r="K257" s="28">
        <f>[1]!Table3[[#This Row],[Residential Incentive Disbursements]]/'[1]1.) CLM Reference'!$B$5</f>
        <v>3.5233622594207887E-4</v>
      </c>
      <c r="L257" s="229">
        <v>0</v>
      </c>
      <c r="M257" s="28">
        <f>[1]!Table3[[#This Row],[C&amp;I CLM $ Collected]]/'[1]1.) CLM Reference'!$B$4</f>
        <v>0</v>
      </c>
      <c r="N257" s="229">
        <v>0</v>
      </c>
      <c r="O257" s="28">
        <f>[1]!Table3[[#This Row],[C&amp;I Incentive Disbursements]]/'[1]1.) CLM Reference'!$B$5</f>
        <v>0</v>
      </c>
      <c r="Q257">
        <f>VLOOKUP(Table3[[#This Row],[Census Tract]],'Population and Diversity Data'!$B$2:$K$823,10,FALSE)</f>
        <v>2</v>
      </c>
      <c r="R257" t="str">
        <f>VLOOKUP(Table3[[#This Row],[Census Tract]],'ES Energy Burden'!$B$2:$E$914,4,FALSE)</f>
        <v>No</v>
      </c>
    </row>
    <row r="258" spans="1:18" x14ac:dyDescent="0.2">
      <c r="A258" t="s">
        <v>2782</v>
      </c>
      <c r="B258" s="169">
        <v>9009190200</v>
      </c>
      <c r="C258" t="s">
        <v>944</v>
      </c>
      <c r="D258" s="170">
        <f>[1]!Table3[[#This Row],[Residential CLM $ Collected]]+[1]!Table3[[#This Row],[C&amp;I CLM $ Collected]]</f>
        <v>59868.95607</v>
      </c>
      <c r="E258" s="28">
        <f>[1]!Table3[[#This Row],[CLM $ Collected ]]/'[1]1.) CLM Reference'!$B$4</f>
        <v>6.4451159968073677E-4</v>
      </c>
      <c r="F258" s="170">
        <f>[1]!Table3[[#This Row],[Residential Incentive Disbursements]]+[1]!Table3[[#This Row],[C&amp;I Incentive Disbursements]]</f>
        <v>57093.065000000002</v>
      </c>
      <c r="G258" s="28">
        <f>[1]!Table3[[#This Row],[Incentive Disbursements]]/'[1]1.) CLM Reference'!$B$5</f>
        <v>4.5840828895842906E-4</v>
      </c>
      <c r="H258" s="228">
        <v>59868.95607</v>
      </c>
      <c r="I258" s="28">
        <f>[1]!Table3[[#This Row],[Residential CLM $ Collected]]/'[1]1.) CLM Reference'!$B$4</f>
        <v>6.4451159968073677E-4</v>
      </c>
      <c r="J258" s="229">
        <v>57093.065000000002</v>
      </c>
      <c r="K258" s="28">
        <f>[1]!Table3[[#This Row],[Residential Incentive Disbursements]]/'[1]1.) CLM Reference'!$B$5</f>
        <v>4.5840828895842906E-4</v>
      </c>
      <c r="L258" s="229">
        <v>0</v>
      </c>
      <c r="M258" s="28">
        <f>[1]!Table3[[#This Row],[C&amp;I CLM $ Collected]]/'[1]1.) CLM Reference'!$B$4</f>
        <v>0</v>
      </c>
      <c r="N258" s="229">
        <v>0</v>
      </c>
      <c r="O258" s="28">
        <f>[1]!Table3[[#This Row],[C&amp;I Incentive Disbursements]]/'[1]1.) CLM Reference'!$B$5</f>
        <v>0</v>
      </c>
      <c r="Q258">
        <f>VLOOKUP(Table3[[#This Row],[Census Tract]],'Population and Diversity Data'!$B$2:$K$823,10,FALSE)</f>
        <v>3</v>
      </c>
      <c r="R258" t="str">
        <f>VLOOKUP(Table3[[#This Row],[Census Tract]],'ES Energy Burden'!$B$2:$E$914,4,FALSE)</f>
        <v>No</v>
      </c>
    </row>
    <row r="259" spans="1:18" x14ac:dyDescent="0.2">
      <c r="A259" t="s">
        <v>2782</v>
      </c>
      <c r="B259" s="169">
        <v>9009190301</v>
      </c>
      <c r="C259" t="s">
        <v>944</v>
      </c>
      <c r="D259" s="170">
        <f>[1]!Table3[[#This Row],[Residential CLM $ Collected]]+[1]!Table3[[#This Row],[C&amp;I CLM $ Collected]]</f>
        <v>343182.465066</v>
      </c>
      <c r="E259" s="28">
        <f>[1]!Table3[[#This Row],[CLM $ Collected ]]/'[1]1.) CLM Reference'!$B$4</f>
        <v>3.6944869939514583E-3</v>
      </c>
      <c r="F259" s="170">
        <f>[1]!Table3[[#This Row],[Residential Incentive Disbursements]]+[1]!Table3[[#This Row],[C&amp;I Incentive Disbursements]]</f>
        <v>615962.19849999994</v>
      </c>
      <c r="G259" s="28">
        <f>[1]!Table3[[#This Row],[Incentive Disbursements]]/'[1]1.) CLM Reference'!$B$5</f>
        <v>4.9456475576754762E-3</v>
      </c>
      <c r="H259" s="228">
        <v>228549.54897600002</v>
      </c>
      <c r="I259" s="28">
        <f>[1]!Table3[[#This Row],[Residential CLM $ Collected]]/'[1]1.) CLM Reference'!$B$4</f>
        <v>2.4604209775196881E-3</v>
      </c>
      <c r="J259" s="229">
        <v>567840.30249999999</v>
      </c>
      <c r="K259" s="28">
        <f>[1]!Table3[[#This Row],[Residential Incentive Disbursements]]/'[1]1.) CLM Reference'!$B$5</f>
        <v>4.559270052687866E-3</v>
      </c>
      <c r="L259" s="229">
        <v>114632.91609</v>
      </c>
      <c r="M259" s="28">
        <f>[1]!Table3[[#This Row],[C&amp;I CLM $ Collected]]/'[1]1.) CLM Reference'!$B$4</f>
        <v>1.2340660164317705E-3</v>
      </c>
      <c r="N259" s="229">
        <v>48121.896000000001</v>
      </c>
      <c r="O259" s="28">
        <f>[1]!Table3[[#This Row],[C&amp;I Incentive Disbursements]]/'[1]1.) CLM Reference'!$B$5</f>
        <v>3.8637750498761052E-4</v>
      </c>
      <c r="Q259">
        <f>VLOOKUP(Table3[[#This Row],[Census Tract]],'Population and Diversity Data'!$B$2:$K$823,10,FALSE)</f>
        <v>3</v>
      </c>
      <c r="R259" t="str">
        <f>VLOOKUP(Table3[[#This Row],[Census Tract]],'ES Energy Burden'!$B$2:$E$914,4,FALSE)</f>
        <v>No</v>
      </c>
    </row>
    <row r="260" spans="1:18" x14ac:dyDescent="0.2">
      <c r="A260" t="s">
        <v>2782</v>
      </c>
      <c r="B260" s="169">
        <v>9009190302</v>
      </c>
      <c r="C260" t="s">
        <v>944</v>
      </c>
      <c r="D260" s="170">
        <f>[1]!Table3[[#This Row],[Residential CLM $ Collected]]+[1]!Table3[[#This Row],[C&amp;I CLM $ Collected]]</f>
        <v>67232.588115000006</v>
      </c>
      <c r="E260" s="28">
        <f>[1]!Table3[[#This Row],[CLM $ Collected ]]/'[1]1.) CLM Reference'!$B$4</f>
        <v>7.237838399254845E-4</v>
      </c>
      <c r="F260" s="170">
        <f>[1]!Table3[[#This Row],[Residential Incentive Disbursements]]+[1]!Table3[[#This Row],[C&amp;I Incentive Disbursements]]</f>
        <v>57196.65</v>
      </c>
      <c r="G260" s="28">
        <f>[1]!Table3[[#This Row],[Incentive Disbursements]]/'[1]1.) CLM Reference'!$B$5</f>
        <v>4.59239987565112E-4</v>
      </c>
      <c r="H260" s="228">
        <v>67232.588115000006</v>
      </c>
      <c r="I260" s="28">
        <f>[1]!Table3[[#This Row],[Residential CLM $ Collected]]/'[1]1.) CLM Reference'!$B$4</f>
        <v>7.237838399254845E-4</v>
      </c>
      <c r="J260" s="229">
        <v>57196.65</v>
      </c>
      <c r="K260" s="28">
        <f>[1]!Table3[[#This Row],[Residential Incentive Disbursements]]/'[1]1.) CLM Reference'!$B$5</f>
        <v>4.59239987565112E-4</v>
      </c>
      <c r="L260" s="229">
        <v>0</v>
      </c>
      <c r="M260" s="28">
        <f>[1]!Table3[[#This Row],[C&amp;I CLM $ Collected]]/'[1]1.) CLM Reference'!$B$4</f>
        <v>0</v>
      </c>
      <c r="N260" s="229">
        <v>0</v>
      </c>
      <c r="O260" s="28">
        <f>[1]!Table3[[#This Row],[C&amp;I Incentive Disbursements]]/'[1]1.) CLM Reference'!$B$5</f>
        <v>0</v>
      </c>
      <c r="Q260">
        <f>VLOOKUP(Table3[[#This Row],[Census Tract]],'Population and Diversity Data'!$B$2:$K$823,10,FALSE)</f>
        <v>2</v>
      </c>
      <c r="R260" t="str">
        <f>VLOOKUP(Table3[[#This Row],[Census Tract]],'ES Energy Burden'!$B$2:$E$914,4,FALSE)</f>
        <v>No</v>
      </c>
    </row>
    <row r="261" spans="1:18" x14ac:dyDescent="0.2">
      <c r="A261" t="s">
        <v>2782</v>
      </c>
      <c r="B261" s="169">
        <v>9009190303</v>
      </c>
      <c r="C261" t="s">
        <v>944</v>
      </c>
      <c r="D261" s="170">
        <f>[1]!Table3[[#This Row],[Residential CLM $ Collected]]+[1]!Table3[[#This Row],[C&amp;I CLM $ Collected]]</f>
        <v>46999.486275000003</v>
      </c>
      <c r="E261" s="28">
        <f>[1]!Table3[[#This Row],[CLM $ Collected ]]/'[1]1.) CLM Reference'!$B$4</f>
        <v>5.059669663833021E-4</v>
      </c>
      <c r="F261" s="170">
        <f>[1]!Table3[[#This Row],[Residential Incentive Disbursements]]+[1]!Table3[[#This Row],[C&amp;I Incentive Disbursements]]</f>
        <v>51159.535000000003</v>
      </c>
      <c r="G261" s="28">
        <f>[1]!Table3[[#This Row],[Incentive Disbursements]]/'[1]1.) CLM Reference'!$B$5</f>
        <v>4.1076713788721741E-4</v>
      </c>
      <c r="H261" s="228">
        <v>46999.486275000003</v>
      </c>
      <c r="I261" s="28">
        <f>[1]!Table3[[#This Row],[Residential CLM $ Collected]]/'[1]1.) CLM Reference'!$B$4</f>
        <v>5.059669663833021E-4</v>
      </c>
      <c r="J261" s="229">
        <v>51159.535000000003</v>
      </c>
      <c r="K261" s="28">
        <f>[1]!Table3[[#This Row],[Residential Incentive Disbursements]]/'[1]1.) CLM Reference'!$B$5</f>
        <v>4.1076713788721741E-4</v>
      </c>
      <c r="L261" s="229">
        <v>0</v>
      </c>
      <c r="M261" s="28">
        <f>[1]!Table3[[#This Row],[C&amp;I CLM $ Collected]]/'[1]1.) CLM Reference'!$B$4</f>
        <v>0</v>
      </c>
      <c r="N261" s="229">
        <v>0</v>
      </c>
      <c r="O261" s="28">
        <f>[1]!Table3[[#This Row],[C&amp;I Incentive Disbursements]]/'[1]1.) CLM Reference'!$B$5</f>
        <v>0</v>
      </c>
      <c r="Q261">
        <f>VLOOKUP(Table3[[#This Row],[Census Tract]],'Population and Diversity Data'!$B$2:$K$823,10,FALSE)</f>
        <v>2</v>
      </c>
      <c r="R261" t="str">
        <f>VLOOKUP(Table3[[#This Row],[Census Tract]],'ES Energy Burden'!$B$2:$E$914,4,FALSE)</f>
        <v>No</v>
      </c>
    </row>
    <row r="262" spans="1:18" x14ac:dyDescent="0.2">
      <c r="A262" t="s">
        <v>2782</v>
      </c>
      <c r="B262" s="169">
        <v>9009194201</v>
      </c>
      <c r="C262" t="s">
        <v>944</v>
      </c>
      <c r="D262" s="170">
        <f>[1]!Table3[[#This Row],[Residential CLM $ Collected]]+[1]!Table3[[#This Row],[C&amp;I CLM $ Collected]]</f>
        <v>369.45152999999999</v>
      </c>
      <c r="E262" s="28">
        <f>[1]!Table3[[#This Row],[CLM $ Collected ]]/'[1]1.) CLM Reference'!$B$4</f>
        <v>3.9772832572257628E-6</v>
      </c>
      <c r="F262" s="170">
        <f>[1]!Table3[[#This Row],[Residential Incentive Disbursements]]+[1]!Table3[[#This Row],[C&amp;I Incentive Disbursements]]</f>
        <v>0</v>
      </c>
      <c r="G262" s="28">
        <f>[1]!Table3[[#This Row],[Incentive Disbursements]]/'[1]1.) CLM Reference'!$B$5</f>
        <v>0</v>
      </c>
      <c r="H262" s="228">
        <v>369.45152999999999</v>
      </c>
      <c r="I262" s="28">
        <f>[1]!Table3[[#This Row],[Residential CLM $ Collected]]/'[1]1.) CLM Reference'!$B$4</f>
        <v>3.9772832572257628E-6</v>
      </c>
      <c r="J262" s="229">
        <v>0</v>
      </c>
      <c r="K262" s="28">
        <f>[1]!Table3[[#This Row],[Residential Incentive Disbursements]]/'[1]1.) CLM Reference'!$B$5</f>
        <v>0</v>
      </c>
      <c r="L262" s="229">
        <v>0</v>
      </c>
      <c r="M262" s="28">
        <f>[1]!Table3[[#This Row],[C&amp;I CLM $ Collected]]/'[1]1.) CLM Reference'!$B$4</f>
        <v>0</v>
      </c>
      <c r="N262" s="229">
        <v>0</v>
      </c>
      <c r="O262" s="28">
        <f>[1]!Table3[[#This Row],[C&amp;I Incentive Disbursements]]/'[1]1.) CLM Reference'!$B$5</f>
        <v>0</v>
      </c>
      <c r="Q262">
        <f>VLOOKUP(Table3[[#This Row],[Census Tract]],'Population and Diversity Data'!$B$2:$K$823,10,FALSE)</f>
        <v>3</v>
      </c>
      <c r="R262" t="str">
        <f>VLOOKUP(Table3[[#This Row],[Census Tract]],'ES Energy Burden'!$B$2:$E$914,4,FALSE)</f>
        <v>No</v>
      </c>
    </row>
    <row r="263" spans="1:18" x14ac:dyDescent="0.2">
      <c r="A263" t="s">
        <v>2783</v>
      </c>
      <c r="B263" s="169">
        <v>9007590100</v>
      </c>
      <c r="C263" t="s">
        <v>944</v>
      </c>
      <c r="D263" s="170">
        <f>[1]!Table3[[#This Row],[Residential CLM $ Collected]]+[1]!Table3[[#This Row],[C&amp;I CLM $ Collected]]</f>
        <v>172625.88180599999</v>
      </c>
      <c r="E263" s="28">
        <f>[1]!Table3[[#This Row],[CLM $ Collected ]]/'[1]1.) CLM Reference'!$B$4</f>
        <v>1.8583818815714125E-3</v>
      </c>
      <c r="F263" s="170">
        <f>[1]!Table3[[#This Row],[Residential Incentive Disbursements]]+[1]!Table3[[#This Row],[C&amp;I Incentive Disbursements]]</f>
        <v>223609.76499999998</v>
      </c>
      <c r="G263" s="28">
        <f>[1]!Table3[[#This Row],[Incentive Disbursements]]/'[1]1.) CLM Reference'!$B$5</f>
        <v>1.7953944103026595E-3</v>
      </c>
      <c r="H263" s="228">
        <v>147879.598986</v>
      </c>
      <c r="I263" s="28">
        <f>[1]!Table3[[#This Row],[Residential CLM $ Collected]]/'[1]1.) CLM Reference'!$B$4</f>
        <v>1.5919789346447628E-3</v>
      </c>
      <c r="J263" s="229">
        <v>200859.745</v>
      </c>
      <c r="K263" s="28">
        <f>[1]!Table3[[#This Row],[Residential Incentive Disbursements]]/'[1]1.) CLM Reference'!$B$5</f>
        <v>1.6127312840198082E-3</v>
      </c>
      <c r="L263" s="229">
        <v>24746.28282</v>
      </c>
      <c r="M263" s="28">
        <f>[1]!Table3[[#This Row],[C&amp;I CLM $ Collected]]/'[1]1.) CLM Reference'!$B$4</f>
        <v>2.6640294692664972E-4</v>
      </c>
      <c r="N263" s="229">
        <v>22750.02</v>
      </c>
      <c r="O263" s="28">
        <f>[1]!Table3[[#This Row],[C&amp;I Incentive Disbursements]]/'[1]1.) CLM Reference'!$B$5</f>
        <v>1.8266312628285135E-4</v>
      </c>
      <c r="Q263">
        <f>VLOOKUP(Table3[[#This Row],[Census Tract]],'Population and Diversity Data'!$B$2:$K$823,10,FALSE)</f>
        <v>1</v>
      </c>
      <c r="R263" t="str">
        <f>VLOOKUP(Table3[[#This Row],[Census Tract]],'ES Energy Burden'!$B$2:$E$914,4,FALSE)</f>
        <v>No</v>
      </c>
    </row>
    <row r="264" spans="1:18" x14ac:dyDescent="0.2">
      <c r="A264" t="s">
        <v>2784</v>
      </c>
      <c r="B264" s="169">
        <v>9015820000</v>
      </c>
      <c r="C264" t="s">
        <v>944</v>
      </c>
      <c r="D264" s="170">
        <f>[1]!Table3[[#This Row],[Residential CLM $ Collected]]+[1]!Table3[[#This Row],[C&amp;I CLM $ Collected]]</f>
        <v>7196.0315280000032</v>
      </c>
      <c r="E264" s="28">
        <f>[1]!Table3[[#This Row],[CLM $ Collected ]]/'[1]1.) CLM Reference'!$B$4</f>
        <v>7.7467958286119791E-5</v>
      </c>
      <c r="F264" s="170">
        <f>[1]!Table3[[#This Row],[Residential Incentive Disbursements]]+[1]!Table3[[#This Row],[C&amp;I Incentive Disbursements]]</f>
        <v>33583.324999999997</v>
      </c>
      <c r="G264" s="28">
        <f>[1]!Table3[[#This Row],[Incentive Disbursements]]/'[1]1.) CLM Reference'!$B$5</f>
        <v>2.6964526340957231E-4</v>
      </c>
      <c r="H264" s="228">
        <v>33612.504198000002</v>
      </c>
      <c r="I264" s="28">
        <f>[1]!Table3[[#This Row],[Residential CLM $ Collected]]/'[1]1.) CLM Reference'!$B$4</f>
        <v>3.6185112071436293E-4</v>
      </c>
      <c r="J264" s="229">
        <v>28052.445</v>
      </c>
      <c r="K264" s="28">
        <f>[1]!Table3[[#This Row],[Residential Incentive Disbursements]]/'[1]1.) CLM Reference'!$B$5</f>
        <v>2.2523704610271733E-4</v>
      </c>
      <c r="L264" s="229">
        <v>-26416.472669999999</v>
      </c>
      <c r="M264" s="28">
        <f>[1]!Table3[[#This Row],[C&amp;I CLM $ Collected]]/'[1]1.) CLM Reference'!$B$4</f>
        <v>-2.8438316242824314E-4</v>
      </c>
      <c r="N264" s="229">
        <v>5530.88</v>
      </c>
      <c r="O264" s="28">
        <f>[1]!Table3[[#This Row],[C&amp;I Incentive Disbursements]]/'[1]1.) CLM Reference'!$B$5</f>
        <v>4.4408217306854977E-5</v>
      </c>
      <c r="Q264">
        <f>VLOOKUP(Table3[[#This Row],[Census Tract]],'Population and Diversity Data'!$B$2:$K$823,10,FALSE)</f>
        <v>4</v>
      </c>
      <c r="R264" t="str">
        <f>VLOOKUP(Table3[[#This Row],[Census Tract]],'ES Energy Burden'!$B$2:$E$914,4,FALSE)</f>
        <v>No</v>
      </c>
    </row>
    <row r="265" spans="1:18" x14ac:dyDescent="0.2">
      <c r="A265" t="s">
        <v>979</v>
      </c>
      <c r="B265" s="169">
        <v>9003471100</v>
      </c>
      <c r="C265" t="s">
        <v>944</v>
      </c>
      <c r="D265" s="170">
        <f>[1]!Table3[[#This Row],[Residential CLM $ Collected]]+[1]!Table3[[#This Row],[C&amp;I CLM $ Collected]]</f>
        <v>15.71199</v>
      </c>
      <c r="E265" s="28">
        <f>[1]!Table3[[#This Row],[CLM $ Collected ]]/'[1]1.) CLM Reference'!$B$4</f>
        <v>1.6914542149737101E-7</v>
      </c>
      <c r="F265" s="170">
        <f>[1]!Table3[[#This Row],[Residential Incentive Disbursements]]+[1]!Table3[[#This Row],[C&amp;I Incentive Disbursements]]</f>
        <v>0</v>
      </c>
      <c r="G265" s="28">
        <f>[1]!Table3[[#This Row],[Incentive Disbursements]]/'[1]1.) CLM Reference'!$B$5</f>
        <v>0</v>
      </c>
      <c r="H265" s="228">
        <v>15.71199</v>
      </c>
      <c r="I265" s="28">
        <f>[1]!Table3[[#This Row],[Residential CLM $ Collected]]/'[1]1.) CLM Reference'!$B$4</f>
        <v>1.6914542149737101E-7</v>
      </c>
      <c r="J265" s="229">
        <v>0</v>
      </c>
      <c r="K265" s="28">
        <f>[1]!Table3[[#This Row],[Residential Incentive Disbursements]]/'[1]1.) CLM Reference'!$B$5</f>
        <v>0</v>
      </c>
      <c r="L265" s="229">
        <v>0</v>
      </c>
      <c r="M265" s="28">
        <f>[1]!Table3[[#This Row],[C&amp;I CLM $ Collected]]/'[1]1.) CLM Reference'!$B$4</f>
        <v>0</v>
      </c>
      <c r="N265" s="229">
        <v>0</v>
      </c>
      <c r="O265" s="28">
        <f>[1]!Table3[[#This Row],[C&amp;I Incentive Disbursements]]/'[1]1.) CLM Reference'!$B$5</f>
        <v>0</v>
      </c>
      <c r="Q265">
        <f>VLOOKUP(Table3[[#This Row],[Census Tract]],'Population and Diversity Data'!$B$2:$K$823,10,FALSE)</f>
        <v>3</v>
      </c>
      <c r="R265" t="str">
        <f>VLOOKUP(Table3[[#This Row],[Census Tract]],'ES Energy Burden'!$B$2:$E$914,4,FALSE)</f>
        <v>No</v>
      </c>
    </row>
    <row r="266" spans="1:18" x14ac:dyDescent="0.2">
      <c r="A266" t="s">
        <v>979</v>
      </c>
      <c r="B266" s="169">
        <v>9003500100</v>
      </c>
      <c r="C266" t="s">
        <v>936</v>
      </c>
      <c r="D266" s="170">
        <f>[1]!Table3[[#This Row],[Residential CLM $ Collected]]+[1]!Table3[[#This Row],[C&amp;I CLM $ Collected]]</f>
        <v>16225.699140000001</v>
      </c>
      <c r="E266" s="28">
        <f>[1]!Table3[[#This Row],[CLM $ Collected ]]/'[1]1.) CLM Reference'!$B$4</f>
        <v>1.7467569162943908E-4</v>
      </c>
      <c r="F266" s="170">
        <f>[1]!Table3[[#This Row],[Residential Incentive Disbursements]]+[1]!Table3[[#This Row],[C&amp;I Incentive Disbursements]]</f>
        <v>3414.78</v>
      </c>
      <c r="G266" s="28">
        <f>[1]!Table3[[#This Row],[Incentive Disbursements]]/'[1]1.) CLM Reference'!$B$5</f>
        <v>2.7417751297280405E-5</v>
      </c>
      <c r="H266" s="228">
        <v>16225.699140000001</v>
      </c>
      <c r="I266" s="28">
        <f>[1]!Table3[[#This Row],[Residential CLM $ Collected]]/'[1]1.) CLM Reference'!$B$4</f>
        <v>1.7467569162943908E-4</v>
      </c>
      <c r="J266" s="229">
        <v>3414.78</v>
      </c>
      <c r="K266" s="28">
        <f>[1]!Table3[[#This Row],[Residential Incentive Disbursements]]/'[1]1.) CLM Reference'!$B$5</f>
        <v>2.7417751297280405E-5</v>
      </c>
      <c r="L266" s="229">
        <v>0</v>
      </c>
      <c r="M266" s="28">
        <f>[1]!Table3[[#This Row],[C&amp;I CLM $ Collected]]/'[1]1.) CLM Reference'!$B$4</f>
        <v>0</v>
      </c>
      <c r="N266" s="229">
        <v>0</v>
      </c>
      <c r="O266" s="28">
        <f>[1]!Table3[[#This Row],[C&amp;I Incentive Disbursements]]/'[1]1.) CLM Reference'!$B$5</f>
        <v>0</v>
      </c>
      <c r="Q266">
        <f>VLOOKUP(Table3[[#This Row],[Census Tract]],'Population and Diversity Data'!$B$2:$K$823,10,FALSE)</f>
        <v>5</v>
      </c>
      <c r="R266" t="str">
        <f>VLOOKUP(Table3[[#This Row],[Census Tract]],'ES Energy Burden'!$B$2:$E$914,4,FALSE)</f>
        <v>Yes</v>
      </c>
    </row>
    <row r="267" spans="1:18" x14ac:dyDescent="0.2">
      <c r="A267" t="s">
        <v>979</v>
      </c>
      <c r="B267" s="169">
        <v>9003500200</v>
      </c>
      <c r="C267" t="s">
        <v>944</v>
      </c>
      <c r="D267" s="170">
        <f>[1]!Table3[[#This Row],[Residential CLM $ Collected]]+[1]!Table3[[#This Row],[C&amp;I CLM $ Collected]]</f>
        <v>9887.69103</v>
      </c>
      <c r="E267" s="28">
        <f>[1]!Table3[[#This Row],[CLM $ Collected ]]/'[1]1.) CLM Reference'!$B$4</f>
        <v>1.0644467485691656E-4</v>
      </c>
      <c r="F267" s="170">
        <f>[1]!Table3[[#This Row],[Residential Incentive Disbursements]]+[1]!Table3[[#This Row],[C&amp;I Incentive Disbursements]]</f>
        <v>1933.42</v>
      </c>
      <c r="G267" s="28">
        <f>[1]!Table3[[#This Row],[Incentive Disbursements]]/'[1]1.) CLM Reference'!$B$5</f>
        <v>1.5523702467856752E-5</v>
      </c>
      <c r="H267" s="228">
        <v>9887.69103</v>
      </c>
      <c r="I267" s="28">
        <f>[1]!Table3[[#This Row],[Residential CLM $ Collected]]/'[1]1.) CLM Reference'!$B$4</f>
        <v>1.0644467485691656E-4</v>
      </c>
      <c r="J267" s="229">
        <v>1933.42</v>
      </c>
      <c r="K267" s="28">
        <f>[1]!Table3[[#This Row],[Residential Incentive Disbursements]]/'[1]1.) CLM Reference'!$B$5</f>
        <v>1.5523702467856752E-5</v>
      </c>
      <c r="L267" s="229">
        <v>0</v>
      </c>
      <c r="M267" s="28">
        <f>[1]!Table3[[#This Row],[C&amp;I CLM $ Collected]]/'[1]1.) CLM Reference'!$B$4</f>
        <v>0</v>
      </c>
      <c r="N267" s="229">
        <v>0</v>
      </c>
      <c r="O267" s="28">
        <f>[1]!Table3[[#This Row],[C&amp;I Incentive Disbursements]]/'[1]1.) CLM Reference'!$B$5</f>
        <v>0</v>
      </c>
      <c r="Q267">
        <f>VLOOKUP(Table3[[#This Row],[Census Tract]],'Population and Diversity Data'!$B$2:$K$823,10,FALSE)</f>
        <v>5</v>
      </c>
      <c r="R267" t="str">
        <f>VLOOKUP(Table3[[#This Row],[Census Tract]],'ES Energy Burden'!$B$2:$E$914,4,FALSE)</f>
        <v>Yes</v>
      </c>
    </row>
    <row r="268" spans="1:18" x14ac:dyDescent="0.2">
      <c r="A268" t="s">
        <v>979</v>
      </c>
      <c r="B268" s="169">
        <v>9003500300</v>
      </c>
      <c r="C268" t="s">
        <v>944</v>
      </c>
      <c r="D268" s="170">
        <f>[1]!Table3[[#This Row],[Residential CLM $ Collected]]+[1]!Table3[[#This Row],[C&amp;I CLM $ Collected]]</f>
        <v>11628.97848</v>
      </c>
      <c r="E268" s="28">
        <f>[1]!Table3[[#This Row],[CLM $ Collected ]]/'[1]1.) CLM Reference'!$B$4</f>
        <v>1.2519028249021651E-4</v>
      </c>
      <c r="F268" s="170">
        <f>[1]!Table3[[#This Row],[Residential Incentive Disbursements]]+[1]!Table3[[#This Row],[C&amp;I Incentive Disbursements]]</f>
        <v>250.27</v>
      </c>
      <c r="G268" s="28">
        <f>[1]!Table3[[#This Row],[Incentive Disbursements]]/'[1]1.) CLM Reference'!$B$5</f>
        <v>2.0094532055272568E-6</v>
      </c>
      <c r="H268" s="228">
        <v>11628.97848</v>
      </c>
      <c r="I268" s="28">
        <f>[1]!Table3[[#This Row],[Residential CLM $ Collected]]/'[1]1.) CLM Reference'!$B$4</f>
        <v>1.2519028249021651E-4</v>
      </c>
      <c r="J268" s="229">
        <v>250.27</v>
      </c>
      <c r="K268" s="28">
        <f>[1]!Table3[[#This Row],[Residential Incentive Disbursements]]/'[1]1.) CLM Reference'!$B$5</f>
        <v>2.0094532055272568E-6</v>
      </c>
      <c r="L268" s="229">
        <v>0</v>
      </c>
      <c r="M268" s="28">
        <f>[1]!Table3[[#This Row],[C&amp;I CLM $ Collected]]/'[1]1.) CLM Reference'!$B$4</f>
        <v>0</v>
      </c>
      <c r="N268" s="229">
        <v>0</v>
      </c>
      <c r="O268" s="28">
        <f>[1]!Table3[[#This Row],[C&amp;I Incentive Disbursements]]/'[1]1.) CLM Reference'!$B$5</f>
        <v>0</v>
      </c>
      <c r="Q268">
        <f>VLOOKUP(Table3[[#This Row],[Census Tract]],'Population and Diversity Data'!$B$2:$K$823,10,FALSE)</f>
        <v>5</v>
      </c>
      <c r="R268" t="e">
        <f>VLOOKUP(Table3[[#This Row],[Census Tract]],'ES Energy Burden'!$B$2:$E$914,4,FALSE)</f>
        <v>#N/A</v>
      </c>
    </row>
    <row r="269" spans="1:18" x14ac:dyDescent="0.2">
      <c r="A269" t="s">
        <v>979</v>
      </c>
      <c r="B269" s="169">
        <v>9003500400</v>
      </c>
      <c r="C269" t="s">
        <v>944</v>
      </c>
      <c r="D269" s="170">
        <f>[1]!Table3[[#This Row],[Residential CLM $ Collected]]+[1]!Table3[[#This Row],[C&amp;I CLM $ Collected]]</f>
        <v>11627.871443999999</v>
      </c>
      <c r="E269" s="28">
        <f>[1]!Table3[[#This Row],[CLM $ Collected ]]/'[1]1.) CLM Reference'!$B$4</f>
        <v>1.2517836483555704E-4</v>
      </c>
      <c r="F269" s="170">
        <f>[1]!Table3[[#This Row],[Residential Incentive Disbursements]]+[1]!Table3[[#This Row],[C&amp;I Incentive Disbursements]]</f>
        <v>530.79999999999995</v>
      </c>
      <c r="G269" s="28">
        <f>[1]!Table3[[#This Row],[Incentive Disbursements]]/'[1]1.) CLM Reference'!$B$5</f>
        <v>4.2618682282889197E-6</v>
      </c>
      <c r="H269" s="228">
        <v>11627.871443999999</v>
      </c>
      <c r="I269" s="28">
        <f>[1]!Table3[[#This Row],[Residential CLM $ Collected]]/'[1]1.) CLM Reference'!$B$4</f>
        <v>1.2517836483555704E-4</v>
      </c>
      <c r="J269" s="229">
        <v>530.79999999999995</v>
      </c>
      <c r="K269" s="28">
        <f>[1]!Table3[[#This Row],[Residential Incentive Disbursements]]/'[1]1.) CLM Reference'!$B$5</f>
        <v>4.2618682282889197E-6</v>
      </c>
      <c r="L269" s="229">
        <v>0</v>
      </c>
      <c r="M269" s="28">
        <f>[1]!Table3[[#This Row],[C&amp;I CLM $ Collected]]/'[1]1.) CLM Reference'!$B$4</f>
        <v>0</v>
      </c>
      <c r="N269" s="229">
        <v>0</v>
      </c>
      <c r="O269" s="28">
        <f>[1]!Table3[[#This Row],[C&amp;I Incentive Disbursements]]/'[1]1.) CLM Reference'!$B$5</f>
        <v>0</v>
      </c>
      <c r="Q269">
        <f>VLOOKUP(Table3[[#This Row],[Census Tract]],'Population and Diversity Data'!$B$2:$K$823,10,FALSE)</f>
        <v>5</v>
      </c>
      <c r="R269" t="str">
        <f>VLOOKUP(Table3[[#This Row],[Census Tract]],'ES Energy Burden'!$B$2:$E$914,4,FALSE)</f>
        <v>Yes</v>
      </c>
    </row>
    <row r="270" spans="1:18" x14ac:dyDescent="0.2">
      <c r="A270" t="s">
        <v>979</v>
      </c>
      <c r="B270" s="169">
        <v>9003500500</v>
      </c>
      <c r="C270" t="s">
        <v>944</v>
      </c>
      <c r="D270" s="170">
        <f>[1]!Table3[[#This Row],[Residential CLM $ Collected]]+[1]!Table3[[#This Row],[C&amp;I CLM $ Collected]]</f>
        <v>6738.7821899999999</v>
      </c>
      <c r="E270" s="28">
        <f>[1]!Table3[[#This Row],[CLM $ Collected ]]/'[1]1.) CLM Reference'!$B$4</f>
        <v>7.2545498941033363E-5</v>
      </c>
      <c r="F270" s="170">
        <f>[1]!Table3[[#This Row],[Residential Incentive Disbursements]]+[1]!Table3[[#This Row],[C&amp;I Incentive Disbursements]]</f>
        <v>231</v>
      </c>
      <c r="G270" s="28">
        <f>[1]!Table3[[#This Row],[Incentive Disbursements]]/'[1]1.) CLM Reference'!$B$5</f>
        <v>1.8547316517233241E-6</v>
      </c>
      <c r="H270" s="228">
        <v>6738.7821899999999</v>
      </c>
      <c r="I270" s="28">
        <f>[1]!Table3[[#This Row],[Residential CLM $ Collected]]/'[1]1.) CLM Reference'!$B$4</f>
        <v>7.2545498941033363E-5</v>
      </c>
      <c r="J270" s="229">
        <v>231</v>
      </c>
      <c r="K270" s="28">
        <f>[1]!Table3[[#This Row],[Residential Incentive Disbursements]]/'[1]1.) CLM Reference'!$B$5</f>
        <v>1.8547316517233241E-6</v>
      </c>
      <c r="L270" s="229">
        <v>0</v>
      </c>
      <c r="M270" s="28">
        <f>[1]!Table3[[#This Row],[C&amp;I CLM $ Collected]]/'[1]1.) CLM Reference'!$B$4</f>
        <v>0</v>
      </c>
      <c r="N270" s="229">
        <v>0</v>
      </c>
      <c r="O270" s="28">
        <f>[1]!Table3[[#This Row],[C&amp;I Incentive Disbursements]]/'[1]1.) CLM Reference'!$B$5</f>
        <v>0</v>
      </c>
      <c r="Q270">
        <f>VLOOKUP(Table3[[#This Row],[Census Tract]],'Population and Diversity Data'!$B$2:$K$823,10,FALSE)</f>
        <v>5</v>
      </c>
      <c r="R270" t="str">
        <f>VLOOKUP(Table3[[#This Row],[Census Tract]],'ES Energy Burden'!$B$2:$E$914,4,FALSE)</f>
        <v>No</v>
      </c>
    </row>
    <row r="271" spans="1:18" x14ac:dyDescent="0.2">
      <c r="A271" t="s">
        <v>979</v>
      </c>
      <c r="B271" s="169">
        <v>9003500900</v>
      </c>
      <c r="C271" t="s">
        <v>944</v>
      </c>
      <c r="D271" s="170">
        <f>[1]!Table3[[#This Row],[Residential CLM $ Collected]]+[1]!Table3[[#This Row],[C&amp;I CLM $ Collected]]</f>
        <v>1124688.102951</v>
      </c>
      <c r="E271" s="28">
        <f>[1]!Table3[[#This Row],[CLM $ Collected ]]/'[1]1.) CLM Reference'!$B$4</f>
        <v>1.2107686119118296E-2</v>
      </c>
      <c r="F271" s="170">
        <f>[1]!Table3[[#This Row],[Residential Incentive Disbursements]]+[1]!Table3[[#This Row],[C&amp;I Incentive Disbursements]]</f>
        <v>2335528.6349999998</v>
      </c>
      <c r="G271" s="28">
        <f>[1]!Table3[[#This Row],[Incentive Disbursements]]/'[1]1.) CLM Reference'!$B$5</f>
        <v>1.8752289536106796E-2</v>
      </c>
      <c r="H271" s="228">
        <v>437004.05393399997</v>
      </c>
      <c r="I271" s="28">
        <f>[1]!Table3[[#This Row],[Residential CLM $ Collected]]/'[1]1.) CLM Reference'!$B$4</f>
        <v>4.704511325346202E-3</v>
      </c>
      <c r="J271" s="229">
        <v>1116356.625</v>
      </c>
      <c r="K271" s="28">
        <f>[1]!Table3[[#This Row],[Residential Incentive Disbursements]]/'[1]1.) CLM Reference'!$B$5</f>
        <v>8.9633851385217556E-3</v>
      </c>
      <c r="L271" s="229">
        <v>687684.04901700001</v>
      </c>
      <c r="M271" s="28">
        <f>[1]!Table3[[#This Row],[C&amp;I CLM $ Collected]]/'[1]1.) CLM Reference'!$B$4</f>
        <v>7.4031747937720943E-3</v>
      </c>
      <c r="N271" s="229">
        <v>1219172.01</v>
      </c>
      <c r="O271" s="28">
        <f>[1]!Table3[[#This Row],[C&amp;I Incentive Disbursements]]/'[1]1.) CLM Reference'!$B$5</f>
        <v>9.7889043975850441E-3</v>
      </c>
      <c r="Q271">
        <f>VLOOKUP(Table3[[#This Row],[Census Tract]],'Population and Diversity Data'!$B$2:$K$823,10,FALSE)</f>
        <v>5</v>
      </c>
      <c r="R271" t="str">
        <f>VLOOKUP(Table3[[#This Row],[Census Tract]],'ES Energy Burden'!$B$2:$E$914,4,FALSE)</f>
        <v>Yes</v>
      </c>
    </row>
    <row r="272" spans="1:18" x14ac:dyDescent="0.2">
      <c r="A272" t="s">
        <v>979</v>
      </c>
      <c r="B272" s="169">
        <v>9003501200</v>
      </c>
      <c r="C272" t="s">
        <v>944</v>
      </c>
      <c r="D272" s="170">
        <f>[1]!Table3[[#This Row],[Residential CLM $ Collected]]+[1]!Table3[[#This Row],[C&amp;I CLM $ Collected]]</f>
        <v>14103.97674</v>
      </c>
      <c r="E272" s="28">
        <f>[1]!Table3[[#This Row],[CLM $ Collected ]]/'[1]1.) CLM Reference'!$B$4</f>
        <v>1.5183456013378424E-4</v>
      </c>
      <c r="F272" s="170">
        <f>[1]!Table3[[#This Row],[Residential Incentive Disbursements]]+[1]!Table3[[#This Row],[C&amp;I Incentive Disbursements]]</f>
        <v>1903.16</v>
      </c>
      <c r="G272" s="28">
        <f>[1]!Table3[[#This Row],[Incentive Disbursements]]/'[1]1.) CLM Reference'!$B$5</f>
        <v>1.5280740650622345E-5</v>
      </c>
      <c r="H272" s="228">
        <v>14103.97674</v>
      </c>
      <c r="I272" s="28">
        <f>[1]!Table3[[#This Row],[Residential CLM $ Collected]]/'[1]1.) CLM Reference'!$B$4</f>
        <v>1.5183456013378424E-4</v>
      </c>
      <c r="J272" s="229">
        <v>1903.16</v>
      </c>
      <c r="K272" s="28">
        <f>[1]!Table3[[#This Row],[Residential Incentive Disbursements]]/'[1]1.) CLM Reference'!$B$5</f>
        <v>1.5280740650622345E-5</v>
      </c>
      <c r="L272" s="229">
        <v>0</v>
      </c>
      <c r="M272" s="28">
        <f>[1]!Table3[[#This Row],[C&amp;I CLM $ Collected]]/'[1]1.) CLM Reference'!$B$4</f>
        <v>0</v>
      </c>
      <c r="N272" s="229">
        <v>0</v>
      </c>
      <c r="O272" s="28">
        <f>[1]!Table3[[#This Row],[C&amp;I Incentive Disbursements]]/'[1]1.) CLM Reference'!$B$5</f>
        <v>0</v>
      </c>
      <c r="Q272">
        <f>VLOOKUP(Table3[[#This Row],[Census Tract]],'Population and Diversity Data'!$B$2:$K$823,10,FALSE)</f>
        <v>4</v>
      </c>
      <c r="R272" t="str">
        <f>VLOOKUP(Table3[[#This Row],[Census Tract]],'ES Energy Burden'!$B$2:$E$914,4,FALSE)</f>
        <v>Yes</v>
      </c>
    </row>
    <row r="273" spans="1:18" x14ac:dyDescent="0.2">
      <c r="A273" t="s">
        <v>979</v>
      </c>
      <c r="B273" s="169">
        <v>9003501300</v>
      </c>
      <c r="C273" t="s">
        <v>936</v>
      </c>
      <c r="D273" s="170">
        <f>[1]!Table3[[#This Row],[Residential CLM $ Collected]]+[1]!Table3[[#This Row],[C&amp;I CLM $ Collected]]</f>
        <v>8398.3899930000007</v>
      </c>
      <c r="E273" s="28">
        <f>[1]!Table3[[#This Row],[CLM $ Collected ]]/'[1]1.) CLM Reference'!$B$4</f>
        <v>9.041179476726296E-5</v>
      </c>
      <c r="F273" s="170">
        <f>[1]!Table3[[#This Row],[Residential Incentive Disbursements]]+[1]!Table3[[#This Row],[C&amp;I Incentive Disbursements]]</f>
        <v>15374.87</v>
      </c>
      <c r="G273" s="28">
        <f>[1]!Table3[[#This Row],[Incentive Disbursements]]/'[1]1.) CLM Reference'!$B$5</f>
        <v>1.2344700445944323E-4</v>
      </c>
      <c r="H273" s="228">
        <v>8398.3899930000007</v>
      </c>
      <c r="I273" s="28">
        <f>[1]!Table3[[#This Row],[Residential CLM $ Collected]]/'[1]1.) CLM Reference'!$B$4</f>
        <v>9.041179476726296E-5</v>
      </c>
      <c r="J273" s="229">
        <v>15374.87</v>
      </c>
      <c r="K273" s="28">
        <f>[1]!Table3[[#This Row],[Residential Incentive Disbursements]]/'[1]1.) CLM Reference'!$B$5</f>
        <v>1.2344700445944323E-4</v>
      </c>
      <c r="L273" s="229">
        <v>0</v>
      </c>
      <c r="M273" s="28">
        <f>[1]!Table3[[#This Row],[C&amp;I CLM $ Collected]]/'[1]1.) CLM Reference'!$B$4</f>
        <v>0</v>
      </c>
      <c r="N273" s="229">
        <v>0</v>
      </c>
      <c r="O273" s="28">
        <f>[1]!Table3[[#This Row],[C&amp;I Incentive Disbursements]]/'[1]1.) CLM Reference'!$B$5</f>
        <v>0</v>
      </c>
      <c r="Q273">
        <f>VLOOKUP(Table3[[#This Row],[Census Tract]],'Population and Diversity Data'!$B$2:$K$823,10,FALSE)</f>
        <v>4</v>
      </c>
      <c r="R273" t="str">
        <f>VLOOKUP(Table3[[#This Row],[Census Tract]],'ES Energy Burden'!$B$2:$E$914,4,FALSE)</f>
        <v>Yes</v>
      </c>
    </row>
    <row r="274" spans="1:18" x14ac:dyDescent="0.2">
      <c r="A274" t="s">
        <v>979</v>
      </c>
      <c r="B274" s="169">
        <v>9003501400</v>
      </c>
      <c r="C274" t="s">
        <v>936</v>
      </c>
      <c r="D274" s="170">
        <f>[1]!Table3[[#This Row],[Residential CLM $ Collected]]+[1]!Table3[[#This Row],[C&amp;I CLM $ Collected]]</f>
        <v>17261.758290000002</v>
      </c>
      <c r="E274" s="28">
        <f>[1]!Table3[[#This Row],[CLM $ Collected ]]/'[1]1.) CLM Reference'!$B$4</f>
        <v>1.8582925407588654E-4</v>
      </c>
      <c r="F274" s="170">
        <f>[1]!Table3[[#This Row],[Residential Incentive Disbursements]]+[1]!Table3[[#This Row],[C&amp;I Incentive Disbursements]]</f>
        <v>6238.03</v>
      </c>
      <c r="G274" s="28">
        <f>[1]!Table3[[#This Row],[Incentive Disbursements]]/'[1]1.) CLM Reference'!$B$5</f>
        <v>5.0086024612119683E-5</v>
      </c>
      <c r="H274" s="228">
        <v>17261.758290000002</v>
      </c>
      <c r="I274" s="28">
        <f>[1]!Table3[[#This Row],[Residential CLM $ Collected]]/'[1]1.) CLM Reference'!$B$4</f>
        <v>1.8582925407588654E-4</v>
      </c>
      <c r="J274" s="229">
        <v>6238.03</v>
      </c>
      <c r="K274" s="28">
        <f>[1]!Table3[[#This Row],[Residential Incentive Disbursements]]/'[1]1.) CLM Reference'!$B$5</f>
        <v>5.0086024612119683E-5</v>
      </c>
      <c r="L274" s="229">
        <v>0</v>
      </c>
      <c r="M274" s="28">
        <f>[1]!Table3[[#This Row],[C&amp;I CLM $ Collected]]/'[1]1.) CLM Reference'!$B$4</f>
        <v>0</v>
      </c>
      <c r="N274" s="229">
        <v>0</v>
      </c>
      <c r="O274" s="28">
        <f>[1]!Table3[[#This Row],[C&amp;I Incentive Disbursements]]/'[1]1.) CLM Reference'!$B$5</f>
        <v>0</v>
      </c>
      <c r="Q274">
        <f>VLOOKUP(Table3[[#This Row],[Census Tract]],'Population and Diversity Data'!$B$2:$K$823,10,FALSE)</f>
        <v>4</v>
      </c>
      <c r="R274" t="str">
        <f>VLOOKUP(Table3[[#This Row],[Census Tract]],'ES Energy Burden'!$B$2:$E$914,4,FALSE)</f>
        <v>Yes</v>
      </c>
    </row>
    <row r="275" spans="1:18" x14ac:dyDescent="0.2">
      <c r="A275" t="s">
        <v>979</v>
      </c>
      <c r="B275" s="169">
        <v>9003501500</v>
      </c>
      <c r="C275" t="s">
        <v>944</v>
      </c>
      <c r="D275" s="170">
        <f>[1]!Table3[[#This Row],[Residential CLM $ Collected]]+[1]!Table3[[#This Row],[C&amp;I CLM $ Collected]]</f>
        <v>21551.207391</v>
      </c>
      <c r="E275" s="28">
        <f>[1]!Table3[[#This Row],[CLM $ Collected ]]/'[1]1.) CLM Reference'!$B$4</f>
        <v>2.3200677049361364E-4</v>
      </c>
      <c r="F275" s="170">
        <f>[1]!Table3[[#This Row],[Residential Incentive Disbursements]]+[1]!Table3[[#This Row],[C&amp;I Incentive Disbursements]]</f>
        <v>2502.5</v>
      </c>
      <c r="G275" s="28">
        <f>[1]!Table3[[#This Row],[Incentive Disbursements]]/'[1]1.) CLM Reference'!$B$5</f>
        <v>2.0092926227002678E-5</v>
      </c>
      <c r="H275" s="228">
        <v>21551.207391</v>
      </c>
      <c r="I275" s="28">
        <f>[1]!Table3[[#This Row],[Residential CLM $ Collected]]/'[1]1.) CLM Reference'!$B$4</f>
        <v>2.3200677049361364E-4</v>
      </c>
      <c r="J275" s="229">
        <v>2502.5</v>
      </c>
      <c r="K275" s="28">
        <f>[1]!Table3[[#This Row],[Residential Incentive Disbursements]]/'[1]1.) CLM Reference'!$B$5</f>
        <v>2.0092926227002678E-5</v>
      </c>
      <c r="L275" s="229">
        <v>0</v>
      </c>
      <c r="M275" s="28">
        <f>[1]!Table3[[#This Row],[C&amp;I CLM $ Collected]]/'[1]1.) CLM Reference'!$B$4</f>
        <v>0</v>
      </c>
      <c r="N275" s="229">
        <v>0</v>
      </c>
      <c r="O275" s="28">
        <f>[1]!Table3[[#This Row],[C&amp;I Incentive Disbursements]]/'[1]1.) CLM Reference'!$B$5</f>
        <v>0</v>
      </c>
      <c r="Q275">
        <f>VLOOKUP(Table3[[#This Row],[Census Tract]],'Population and Diversity Data'!$B$2:$K$823,10,FALSE)</f>
        <v>3</v>
      </c>
      <c r="R275" t="str">
        <f>VLOOKUP(Table3[[#This Row],[Census Tract]],'ES Energy Burden'!$B$2:$E$914,4,FALSE)</f>
        <v>Yes</v>
      </c>
    </row>
    <row r="276" spans="1:18" x14ac:dyDescent="0.2">
      <c r="A276" t="s">
        <v>979</v>
      </c>
      <c r="B276" s="169">
        <v>9003501700</v>
      </c>
      <c r="C276" t="s">
        <v>944</v>
      </c>
      <c r="D276" s="170">
        <f>[1]!Table3[[#This Row],[Residential CLM $ Collected]]+[1]!Table3[[#This Row],[C&amp;I CLM $ Collected]]</f>
        <v>7227.5298900000007</v>
      </c>
      <c r="E276" s="28">
        <f>[1]!Table3[[#This Row],[CLM $ Collected ]]/'[1]1.) CLM Reference'!$B$4</f>
        <v>7.7807049879034912E-5</v>
      </c>
      <c r="F276" s="170">
        <f>[1]!Table3[[#This Row],[Residential Incentive Disbursements]]+[1]!Table3[[#This Row],[C&amp;I Incentive Disbursements]]</f>
        <v>125.51</v>
      </c>
      <c r="G276" s="28">
        <f>[1]!Table3[[#This Row],[Incentive Disbursements]]/'[1]1.) CLM Reference'!$B$5</f>
        <v>1.0077375307696729E-6</v>
      </c>
      <c r="H276" s="228">
        <v>7155.1620000000003</v>
      </c>
      <c r="I276" s="28">
        <f>[1]!Table3[[#This Row],[Residential CLM $ Collected]]/'[1]1.) CLM Reference'!$B$4</f>
        <v>7.70279826025839E-5</v>
      </c>
      <c r="J276" s="229">
        <v>125.51</v>
      </c>
      <c r="K276" s="28">
        <f>[1]!Table3[[#This Row],[Residential Incentive Disbursements]]/'[1]1.) CLM Reference'!$B$5</f>
        <v>1.0077375307696729E-6</v>
      </c>
      <c r="L276" s="229">
        <v>72.367890000000003</v>
      </c>
      <c r="M276" s="28">
        <f>[1]!Table3[[#This Row],[C&amp;I CLM $ Collected]]/'[1]1.) CLM Reference'!$B$4</f>
        <v>7.7906727645100213E-7</v>
      </c>
      <c r="N276" s="229">
        <v>0</v>
      </c>
      <c r="O276" s="28">
        <f>[1]!Table3[[#This Row],[C&amp;I Incentive Disbursements]]/'[1]1.) CLM Reference'!$B$5</f>
        <v>0</v>
      </c>
      <c r="Q276">
        <f>VLOOKUP(Table3[[#This Row],[Census Tract]],'Population and Diversity Data'!$B$2:$K$823,10,FALSE)</f>
        <v>5</v>
      </c>
      <c r="R276" t="str">
        <f>VLOOKUP(Table3[[#This Row],[Census Tract]],'ES Energy Burden'!$B$2:$E$914,4,FALSE)</f>
        <v>Yes</v>
      </c>
    </row>
    <row r="277" spans="1:18" x14ac:dyDescent="0.2">
      <c r="A277" t="s">
        <v>979</v>
      </c>
      <c r="B277" s="169">
        <v>9003501800</v>
      </c>
      <c r="C277" t="s">
        <v>944</v>
      </c>
      <c r="D277" s="170">
        <f>[1]!Table3[[#This Row],[Residential CLM $ Collected]]+[1]!Table3[[#This Row],[C&amp;I CLM $ Collected]]</f>
        <v>12538.790123999999</v>
      </c>
      <c r="E277" s="28">
        <f>[1]!Table3[[#This Row],[CLM $ Collected ]]/'[1]1.) CLM Reference'!$B$4</f>
        <v>1.349847435360545E-4</v>
      </c>
      <c r="F277" s="170">
        <f>[1]!Table3[[#This Row],[Residential Incentive Disbursements]]+[1]!Table3[[#This Row],[C&amp;I Incentive Disbursements]]</f>
        <v>24086.51</v>
      </c>
      <c r="G277" s="28">
        <f>[1]!Table3[[#This Row],[Incentive Disbursements]]/'[1]1.) CLM Reference'!$B$5</f>
        <v>1.9339399340497992E-4</v>
      </c>
      <c r="H277" s="228">
        <v>12538.790123999999</v>
      </c>
      <c r="I277" s="28">
        <f>[1]!Table3[[#This Row],[Residential CLM $ Collected]]/'[1]1.) CLM Reference'!$B$4</f>
        <v>1.349847435360545E-4</v>
      </c>
      <c r="J277" s="229">
        <v>24086.51</v>
      </c>
      <c r="K277" s="28">
        <f>[1]!Table3[[#This Row],[Residential Incentive Disbursements]]/'[1]1.) CLM Reference'!$B$5</f>
        <v>1.9339399340497992E-4</v>
      </c>
      <c r="L277" s="229">
        <v>0</v>
      </c>
      <c r="M277" s="28">
        <f>[1]!Table3[[#This Row],[C&amp;I CLM $ Collected]]/'[1]1.) CLM Reference'!$B$4</f>
        <v>0</v>
      </c>
      <c r="N277" s="229">
        <v>0</v>
      </c>
      <c r="O277" s="28">
        <f>[1]!Table3[[#This Row],[C&amp;I Incentive Disbursements]]/'[1]1.) CLM Reference'!$B$5</f>
        <v>0</v>
      </c>
      <c r="Q277">
        <f>VLOOKUP(Table3[[#This Row],[Census Tract]],'Population and Diversity Data'!$B$2:$K$823,10,FALSE)</f>
        <v>5</v>
      </c>
      <c r="R277" t="e">
        <f>VLOOKUP(Table3[[#This Row],[Census Tract]],'ES Energy Burden'!$B$2:$E$914,4,FALSE)</f>
        <v>#N/A</v>
      </c>
    </row>
    <row r="278" spans="1:18" x14ac:dyDescent="0.2">
      <c r="A278" t="s">
        <v>979</v>
      </c>
      <c r="B278" s="169">
        <v>9003502100</v>
      </c>
      <c r="C278" t="s">
        <v>944</v>
      </c>
      <c r="D278" s="170">
        <f>[1]!Table3[[#This Row],[Residential CLM $ Collected]]+[1]!Table3[[#This Row],[C&amp;I CLM $ Collected]]</f>
        <v>10140.710580000001</v>
      </c>
      <c r="E278" s="28">
        <f>[1]!Table3[[#This Row],[CLM $ Collected ]]/'[1]1.) CLM Reference'!$B$4</f>
        <v>1.0916852450497676E-4</v>
      </c>
      <c r="F278" s="170">
        <f>[1]!Table3[[#This Row],[Residential Incentive Disbursements]]+[1]!Table3[[#This Row],[C&amp;I Incentive Disbursements]]</f>
        <v>196.43</v>
      </c>
      <c r="G278" s="28">
        <f>[1]!Table3[[#This Row],[Incentive Disbursements]]/'[1]1.) CLM Reference'!$B$5</f>
        <v>1.5771642352727818E-6</v>
      </c>
      <c r="H278" s="228">
        <v>10140.710580000001</v>
      </c>
      <c r="I278" s="28">
        <f>[1]!Table3[[#This Row],[Residential CLM $ Collected]]/'[1]1.) CLM Reference'!$B$4</f>
        <v>1.0916852450497676E-4</v>
      </c>
      <c r="J278" s="229">
        <v>196.43</v>
      </c>
      <c r="K278" s="28">
        <f>[1]!Table3[[#This Row],[Residential Incentive Disbursements]]/'[1]1.) CLM Reference'!$B$5</f>
        <v>1.5771642352727818E-6</v>
      </c>
      <c r="L278" s="229">
        <v>0</v>
      </c>
      <c r="M278" s="28">
        <f>[1]!Table3[[#This Row],[C&amp;I CLM $ Collected]]/'[1]1.) CLM Reference'!$B$4</f>
        <v>0</v>
      </c>
      <c r="N278" s="229">
        <v>0</v>
      </c>
      <c r="O278" s="28">
        <f>[1]!Table3[[#This Row],[C&amp;I Incentive Disbursements]]/'[1]1.) CLM Reference'!$B$5</f>
        <v>0</v>
      </c>
      <c r="Q278">
        <f>VLOOKUP(Table3[[#This Row],[Census Tract]],'Population and Diversity Data'!$B$2:$K$823,10,FALSE)</f>
        <v>5</v>
      </c>
      <c r="R278" t="str">
        <f>VLOOKUP(Table3[[#This Row],[Census Tract]],'ES Energy Burden'!$B$2:$E$914,4,FALSE)</f>
        <v>No</v>
      </c>
    </row>
    <row r="279" spans="1:18" x14ac:dyDescent="0.2">
      <c r="A279" t="s">
        <v>979</v>
      </c>
      <c r="B279" s="169">
        <v>9003502300</v>
      </c>
      <c r="C279" t="s">
        <v>936</v>
      </c>
      <c r="D279" s="170">
        <f>[1]!Table3[[#This Row],[Residential CLM $ Collected]]+[1]!Table3[[#This Row],[C&amp;I CLM $ Collected]]</f>
        <v>34379.988299999997</v>
      </c>
      <c r="E279" s="28">
        <f>[1]!Table3[[#This Row],[CLM $ Collected ]]/'[1]1.) CLM Reference'!$B$4</f>
        <v>3.7011337278589047E-4</v>
      </c>
      <c r="F279" s="170">
        <f>[1]!Table3[[#This Row],[Residential Incentive Disbursements]]+[1]!Table3[[#This Row],[C&amp;I Incentive Disbursements]]</f>
        <v>13878.08</v>
      </c>
      <c r="G279" s="28">
        <f>[1]!Table3[[#This Row],[Incentive Disbursements]]/'[1]1.) CLM Reference'!$B$5</f>
        <v>1.1142906597899754E-4</v>
      </c>
      <c r="H279" s="228">
        <v>34379.988299999997</v>
      </c>
      <c r="I279" s="28">
        <f>[1]!Table3[[#This Row],[Residential CLM $ Collected]]/'[1]1.) CLM Reference'!$B$4</f>
        <v>3.7011337278589047E-4</v>
      </c>
      <c r="J279" s="229">
        <v>13878.08</v>
      </c>
      <c r="K279" s="28">
        <f>[1]!Table3[[#This Row],[Residential Incentive Disbursements]]/'[1]1.) CLM Reference'!$B$5</f>
        <v>1.1142906597899754E-4</v>
      </c>
      <c r="L279" s="229">
        <v>0</v>
      </c>
      <c r="M279" s="28">
        <f>[1]!Table3[[#This Row],[C&amp;I CLM $ Collected]]/'[1]1.) CLM Reference'!$B$4</f>
        <v>0</v>
      </c>
      <c r="N279" s="229">
        <v>0</v>
      </c>
      <c r="O279" s="28">
        <f>[1]!Table3[[#This Row],[C&amp;I Incentive Disbursements]]/'[1]1.) CLM Reference'!$B$5</f>
        <v>0</v>
      </c>
      <c r="Q279">
        <f>VLOOKUP(Table3[[#This Row],[Census Tract]],'Population and Diversity Data'!$B$2:$K$823,10,FALSE)</f>
        <v>5</v>
      </c>
      <c r="R279" t="str">
        <f>VLOOKUP(Table3[[#This Row],[Census Tract]],'ES Energy Burden'!$B$2:$E$914,4,FALSE)</f>
        <v>No</v>
      </c>
    </row>
    <row r="280" spans="1:18" x14ac:dyDescent="0.2">
      <c r="A280" t="s">
        <v>979</v>
      </c>
      <c r="B280" s="169">
        <v>9003502400</v>
      </c>
      <c r="C280" t="s">
        <v>936</v>
      </c>
      <c r="D280" s="170">
        <f>[1]!Table3[[#This Row],[Residential CLM $ Collected]]+[1]!Table3[[#This Row],[C&amp;I CLM $ Collected]]</f>
        <v>38627.038211999999</v>
      </c>
      <c r="E280" s="28">
        <f>[1]!Table3[[#This Row],[CLM $ Collected ]]/'[1]1.) CLM Reference'!$B$4</f>
        <v>4.1583444614996551E-4</v>
      </c>
      <c r="F280" s="170">
        <f>[1]!Table3[[#This Row],[Residential Incentive Disbursements]]+[1]!Table3[[#This Row],[C&amp;I Incentive Disbursements]]</f>
        <v>4868.3599999999997</v>
      </c>
      <c r="G280" s="28">
        <f>[1]!Table3[[#This Row],[Incentive Disbursements]]/'[1]1.) CLM Reference'!$B$5</f>
        <v>3.9088750580016288E-5</v>
      </c>
      <c r="H280" s="228">
        <v>38627.038211999999</v>
      </c>
      <c r="I280" s="28">
        <f>[1]!Table3[[#This Row],[Residential CLM $ Collected]]/'[1]1.) CLM Reference'!$B$4</f>
        <v>4.1583444614996551E-4</v>
      </c>
      <c r="J280" s="229">
        <v>4868.3599999999997</v>
      </c>
      <c r="K280" s="28">
        <f>[1]!Table3[[#This Row],[Residential Incentive Disbursements]]/'[1]1.) CLM Reference'!$B$5</f>
        <v>3.9088750580016288E-5</v>
      </c>
      <c r="L280" s="229">
        <v>0</v>
      </c>
      <c r="M280" s="28">
        <f>[1]!Table3[[#This Row],[C&amp;I CLM $ Collected]]/'[1]1.) CLM Reference'!$B$4</f>
        <v>0</v>
      </c>
      <c r="N280" s="229">
        <v>0</v>
      </c>
      <c r="O280" s="28">
        <f>[1]!Table3[[#This Row],[C&amp;I Incentive Disbursements]]/'[1]1.) CLM Reference'!$B$5</f>
        <v>0</v>
      </c>
      <c r="Q280">
        <f>VLOOKUP(Table3[[#This Row],[Census Tract]],'Population and Diversity Data'!$B$2:$K$823,10,FALSE)</f>
        <v>5</v>
      </c>
      <c r="R280" t="str">
        <f>VLOOKUP(Table3[[#This Row],[Census Tract]],'ES Energy Burden'!$B$2:$E$914,4,FALSE)</f>
        <v>Yes</v>
      </c>
    </row>
    <row r="281" spans="1:18" x14ac:dyDescent="0.2">
      <c r="A281" t="s">
        <v>979</v>
      </c>
      <c r="B281" s="169">
        <v>9003502500</v>
      </c>
      <c r="C281" t="s">
        <v>944</v>
      </c>
      <c r="D281" s="170">
        <f>[1]!Table3[[#This Row],[Residential CLM $ Collected]]+[1]!Table3[[#This Row],[C&amp;I CLM $ Collected]]</f>
        <v>10825.247160000001</v>
      </c>
      <c r="E281" s="28">
        <f>[1]!Table3[[#This Row],[CLM $ Collected ]]/'[1]1.) CLM Reference'!$B$4</f>
        <v>1.1653781562306357E-4</v>
      </c>
      <c r="F281" s="170">
        <f>[1]!Table3[[#This Row],[Residential Incentive Disbursements]]+[1]!Table3[[#This Row],[C&amp;I Incentive Disbursements]]</f>
        <v>1648.5</v>
      </c>
      <c r="G281" s="28">
        <f>[1]!Table3[[#This Row],[Incentive Disbursements]]/'[1]1.) CLM Reference'!$B$5</f>
        <v>1.3236039514570996E-5</v>
      </c>
      <c r="H281" s="228">
        <v>10825.247160000001</v>
      </c>
      <c r="I281" s="28">
        <f>[1]!Table3[[#This Row],[Residential CLM $ Collected]]/'[1]1.) CLM Reference'!$B$4</f>
        <v>1.1653781562306357E-4</v>
      </c>
      <c r="J281" s="229">
        <v>1648.5</v>
      </c>
      <c r="K281" s="28">
        <f>[1]!Table3[[#This Row],[Residential Incentive Disbursements]]/'[1]1.) CLM Reference'!$B$5</f>
        <v>1.3236039514570996E-5</v>
      </c>
      <c r="L281" s="229">
        <v>0</v>
      </c>
      <c r="M281" s="28">
        <f>[1]!Table3[[#This Row],[C&amp;I CLM $ Collected]]/'[1]1.) CLM Reference'!$B$4</f>
        <v>0</v>
      </c>
      <c r="N281" s="229">
        <v>0</v>
      </c>
      <c r="O281" s="28">
        <f>[1]!Table3[[#This Row],[C&amp;I Incentive Disbursements]]/'[1]1.) CLM Reference'!$B$5</f>
        <v>0</v>
      </c>
      <c r="Q281">
        <f>VLOOKUP(Table3[[#This Row],[Census Tract]],'Population and Diversity Data'!$B$2:$K$823,10,FALSE)</f>
        <v>5</v>
      </c>
      <c r="R281" t="str">
        <f>VLOOKUP(Table3[[#This Row],[Census Tract]],'ES Energy Burden'!$B$2:$E$914,4,FALSE)</f>
        <v>Yes</v>
      </c>
    </row>
    <row r="282" spans="1:18" x14ac:dyDescent="0.2">
      <c r="A282" t="s">
        <v>979</v>
      </c>
      <c r="B282" s="169">
        <v>9003502600</v>
      </c>
      <c r="C282" t="s">
        <v>944</v>
      </c>
      <c r="D282" s="170">
        <f>[1]!Table3[[#This Row],[Residential CLM $ Collected]]+[1]!Table3[[#This Row],[C&amp;I CLM $ Collected]]</f>
        <v>20582.632034999999</v>
      </c>
      <c r="E282" s="28">
        <f>[1]!Table3[[#This Row],[CLM $ Collected ]]/'[1]1.) CLM Reference'!$B$4</f>
        <v>2.2157969621196079E-4</v>
      </c>
      <c r="F282" s="170">
        <f>[1]!Table3[[#This Row],[Residential Incentive Disbursements]]+[1]!Table3[[#This Row],[C&amp;I Incentive Disbursements]]</f>
        <v>27258.65</v>
      </c>
      <c r="G282" s="28">
        <f>[1]!Table3[[#This Row],[Incentive Disbursements]]/'[1]1.) CLM Reference'!$B$5</f>
        <v>2.1886355384522941E-4</v>
      </c>
      <c r="H282" s="228">
        <v>20582.632034999999</v>
      </c>
      <c r="I282" s="28">
        <f>[1]!Table3[[#This Row],[Residential CLM $ Collected]]/'[1]1.) CLM Reference'!$B$4</f>
        <v>2.2157969621196079E-4</v>
      </c>
      <c r="J282" s="229">
        <v>27258.65</v>
      </c>
      <c r="K282" s="28">
        <f>[1]!Table3[[#This Row],[Residential Incentive Disbursements]]/'[1]1.) CLM Reference'!$B$5</f>
        <v>2.1886355384522941E-4</v>
      </c>
      <c r="L282" s="229">
        <v>0</v>
      </c>
      <c r="M282" s="28">
        <f>[1]!Table3[[#This Row],[C&amp;I CLM $ Collected]]/'[1]1.) CLM Reference'!$B$4</f>
        <v>0</v>
      </c>
      <c r="N282" s="229">
        <v>0</v>
      </c>
      <c r="O282" s="28">
        <f>[1]!Table3[[#This Row],[C&amp;I Incentive Disbursements]]/'[1]1.) CLM Reference'!$B$5</f>
        <v>0</v>
      </c>
      <c r="Q282">
        <f>VLOOKUP(Table3[[#This Row],[Census Tract]],'Population and Diversity Data'!$B$2:$K$823,10,FALSE)</f>
        <v>5</v>
      </c>
      <c r="R282" t="str">
        <f>VLOOKUP(Table3[[#This Row],[Census Tract]],'ES Energy Burden'!$B$2:$E$914,4,FALSE)</f>
        <v>Yes</v>
      </c>
    </row>
    <row r="283" spans="1:18" x14ac:dyDescent="0.2">
      <c r="A283" t="s">
        <v>979</v>
      </c>
      <c r="B283" s="169">
        <v>9003502700</v>
      </c>
      <c r="C283" t="s">
        <v>936</v>
      </c>
      <c r="D283" s="170">
        <f>[1]!Table3[[#This Row],[Residential CLM $ Collected]]+[1]!Table3[[#This Row],[C&amp;I CLM $ Collected]]</f>
        <v>19065.961320000002</v>
      </c>
      <c r="E283" s="28">
        <f>[1]!Table3[[#This Row],[CLM $ Collected ]]/'[1]1.) CLM Reference'!$B$4</f>
        <v>2.0525217134964905E-4</v>
      </c>
      <c r="F283" s="170">
        <f>[1]!Table3[[#This Row],[Residential Incentive Disbursements]]+[1]!Table3[[#This Row],[C&amp;I Incentive Disbursements]]</f>
        <v>2277.9899999999998</v>
      </c>
      <c r="G283" s="28">
        <f>[1]!Table3[[#This Row],[Incentive Disbursements]]/'[1]1.) CLM Reference'!$B$5</f>
        <v>1.8290303702637294E-5</v>
      </c>
      <c r="H283" s="228">
        <v>19065.961320000002</v>
      </c>
      <c r="I283" s="28">
        <f>[1]!Table3[[#This Row],[Residential CLM $ Collected]]/'[1]1.) CLM Reference'!$B$4</f>
        <v>2.0525217134964905E-4</v>
      </c>
      <c r="J283" s="229">
        <v>2277.9899999999998</v>
      </c>
      <c r="K283" s="28">
        <f>[1]!Table3[[#This Row],[Residential Incentive Disbursements]]/'[1]1.) CLM Reference'!$B$5</f>
        <v>1.8290303702637294E-5</v>
      </c>
      <c r="L283" s="229">
        <v>0</v>
      </c>
      <c r="M283" s="28">
        <f>[1]!Table3[[#This Row],[C&amp;I CLM $ Collected]]/'[1]1.) CLM Reference'!$B$4</f>
        <v>0</v>
      </c>
      <c r="N283" s="229">
        <v>0</v>
      </c>
      <c r="O283" s="28">
        <f>[1]!Table3[[#This Row],[C&amp;I Incentive Disbursements]]/'[1]1.) CLM Reference'!$B$5</f>
        <v>0</v>
      </c>
      <c r="Q283">
        <f>VLOOKUP(Table3[[#This Row],[Census Tract]],'Population and Diversity Data'!$B$2:$K$823,10,FALSE)</f>
        <v>5</v>
      </c>
      <c r="R283" t="str">
        <f>VLOOKUP(Table3[[#This Row],[Census Tract]],'ES Energy Burden'!$B$2:$E$914,4,FALSE)</f>
        <v>Yes</v>
      </c>
    </row>
    <row r="284" spans="1:18" x14ac:dyDescent="0.2">
      <c r="A284" t="s">
        <v>979</v>
      </c>
      <c r="B284" s="169">
        <v>9003502800</v>
      </c>
      <c r="C284" t="s">
        <v>936</v>
      </c>
      <c r="D284" s="170">
        <f>[1]!Table3[[#This Row],[Residential CLM $ Collected]]+[1]!Table3[[#This Row],[C&amp;I CLM $ Collected]]</f>
        <v>21049.97076</v>
      </c>
      <c r="E284" s="28">
        <f>[1]!Table3[[#This Row],[CLM $ Collected ]]/'[1]1.) CLM Reference'!$B$4</f>
        <v>2.2661077156410712E-4</v>
      </c>
      <c r="F284" s="170">
        <f>[1]!Table3[[#This Row],[Residential Incentive Disbursements]]+[1]!Table3[[#This Row],[C&amp;I Incentive Disbursements]]</f>
        <v>1798.66</v>
      </c>
      <c r="G284" s="28">
        <f>[1]!Table3[[#This Row],[Incentive Disbursements]]/'[1]1.) CLM Reference'!$B$5</f>
        <v>1.4441695379604652E-5</v>
      </c>
      <c r="H284" s="228">
        <v>21049.97076</v>
      </c>
      <c r="I284" s="28">
        <f>[1]!Table3[[#This Row],[Residential CLM $ Collected]]/'[1]1.) CLM Reference'!$B$4</f>
        <v>2.2661077156410712E-4</v>
      </c>
      <c r="J284" s="229">
        <v>1798.66</v>
      </c>
      <c r="K284" s="28">
        <f>[1]!Table3[[#This Row],[Residential Incentive Disbursements]]/'[1]1.) CLM Reference'!$B$5</f>
        <v>1.4441695379604652E-5</v>
      </c>
      <c r="L284" s="229">
        <v>0</v>
      </c>
      <c r="M284" s="28">
        <f>[1]!Table3[[#This Row],[C&amp;I CLM $ Collected]]/'[1]1.) CLM Reference'!$B$4</f>
        <v>0</v>
      </c>
      <c r="N284" s="229">
        <v>0</v>
      </c>
      <c r="O284" s="28">
        <f>[1]!Table3[[#This Row],[C&amp;I Incentive Disbursements]]/'[1]1.) CLM Reference'!$B$5</f>
        <v>0</v>
      </c>
      <c r="Q284">
        <f>VLOOKUP(Table3[[#This Row],[Census Tract]],'Population and Diversity Data'!$B$2:$K$823,10,FALSE)</f>
        <v>5</v>
      </c>
      <c r="R284" t="e">
        <f>VLOOKUP(Table3[[#This Row],[Census Tract]],'ES Energy Burden'!$B$2:$E$914,4,FALSE)</f>
        <v>#N/A</v>
      </c>
    </row>
    <row r="285" spans="1:18" x14ac:dyDescent="0.2">
      <c r="A285" t="s">
        <v>979</v>
      </c>
      <c r="B285" s="169">
        <v>9003502900</v>
      </c>
      <c r="C285" t="s">
        <v>944</v>
      </c>
      <c r="D285" s="170">
        <f>[1]!Table3[[#This Row],[Residential CLM $ Collected]]+[1]!Table3[[#This Row],[C&amp;I CLM $ Collected]]</f>
        <v>12910.225335000001</v>
      </c>
      <c r="E285" s="28">
        <f>[1]!Table3[[#This Row],[CLM $ Collected ]]/'[1]1.) CLM Reference'!$B$4</f>
        <v>1.3898338185771585E-4</v>
      </c>
      <c r="F285" s="170">
        <f>[1]!Table3[[#This Row],[Residential Incentive Disbursements]]+[1]!Table3[[#This Row],[C&amp;I Incentive Disbursements]]</f>
        <v>296.17</v>
      </c>
      <c r="G285" s="28">
        <f>[1]!Table3[[#This Row],[Incentive Disbursements]]/'[1]1.) CLM Reference'!$B$5</f>
        <v>2.3779907934670865E-6</v>
      </c>
      <c r="H285" s="228">
        <v>12910.225335000001</v>
      </c>
      <c r="I285" s="28">
        <f>[1]!Table3[[#This Row],[Residential CLM $ Collected]]/'[1]1.) CLM Reference'!$B$4</f>
        <v>1.3898338185771585E-4</v>
      </c>
      <c r="J285" s="229">
        <v>296.17</v>
      </c>
      <c r="K285" s="28">
        <f>[1]!Table3[[#This Row],[Residential Incentive Disbursements]]/'[1]1.) CLM Reference'!$B$5</f>
        <v>2.3779907934670865E-6</v>
      </c>
      <c r="L285" s="229">
        <v>0</v>
      </c>
      <c r="M285" s="28">
        <f>[1]!Table3[[#This Row],[C&amp;I CLM $ Collected]]/'[1]1.) CLM Reference'!$B$4</f>
        <v>0</v>
      </c>
      <c r="N285" s="229">
        <v>0</v>
      </c>
      <c r="O285" s="28">
        <f>[1]!Table3[[#This Row],[C&amp;I Incentive Disbursements]]/'[1]1.) CLM Reference'!$B$5</f>
        <v>0</v>
      </c>
      <c r="Q285">
        <f>VLOOKUP(Table3[[#This Row],[Census Tract]],'Population and Diversity Data'!$B$2:$K$823,10,FALSE)</f>
        <v>5</v>
      </c>
      <c r="R285" t="str">
        <f>VLOOKUP(Table3[[#This Row],[Census Tract]],'ES Energy Burden'!$B$2:$E$914,4,FALSE)</f>
        <v>No</v>
      </c>
    </row>
    <row r="286" spans="1:18" x14ac:dyDescent="0.2">
      <c r="A286" t="s">
        <v>979</v>
      </c>
      <c r="B286" s="169">
        <v>9003503000</v>
      </c>
      <c r="C286" t="s">
        <v>936</v>
      </c>
      <c r="D286" s="170">
        <f>[1]!Table3[[#This Row],[Residential CLM $ Collected]]+[1]!Table3[[#This Row],[C&amp;I CLM $ Collected]]</f>
        <v>17912.302778999998</v>
      </c>
      <c r="E286" s="28">
        <f>[1]!Table3[[#This Row],[CLM $ Collected ]]/'[1]1.) CLM Reference'!$B$4</f>
        <v>1.9283260768002556E-4</v>
      </c>
      <c r="F286" s="170">
        <f>[1]!Table3[[#This Row],[Residential Incentive Disbursements]]+[1]!Table3[[#This Row],[C&amp;I Incentive Disbursements]]</f>
        <v>159.18</v>
      </c>
      <c r="G286" s="28">
        <f>[1]!Table3[[#This Row],[Incentive Disbursements]]/'[1]1.) CLM Reference'!$B$5</f>
        <v>1.278078720005709E-6</v>
      </c>
      <c r="H286" s="228">
        <v>17912.302778999998</v>
      </c>
      <c r="I286" s="28">
        <f>[1]!Table3[[#This Row],[Residential CLM $ Collected]]/'[1]1.) CLM Reference'!$B$4</f>
        <v>1.9283260768002556E-4</v>
      </c>
      <c r="J286" s="229">
        <v>159.18</v>
      </c>
      <c r="K286" s="28">
        <f>[1]!Table3[[#This Row],[Residential Incentive Disbursements]]/'[1]1.) CLM Reference'!$B$5</f>
        <v>1.278078720005709E-6</v>
      </c>
      <c r="L286" s="229">
        <v>0</v>
      </c>
      <c r="M286" s="28">
        <f>[1]!Table3[[#This Row],[C&amp;I CLM $ Collected]]/'[1]1.) CLM Reference'!$B$4</f>
        <v>0</v>
      </c>
      <c r="N286" s="229">
        <v>0</v>
      </c>
      <c r="O286" s="28">
        <f>[1]!Table3[[#This Row],[C&amp;I Incentive Disbursements]]/'[1]1.) CLM Reference'!$B$5</f>
        <v>0</v>
      </c>
      <c r="Q286">
        <f>VLOOKUP(Table3[[#This Row],[Census Tract]],'Population and Diversity Data'!$B$2:$K$823,10,FALSE)</f>
        <v>5</v>
      </c>
      <c r="R286" t="e">
        <f>VLOOKUP(Table3[[#This Row],[Census Tract]],'ES Energy Burden'!$B$2:$E$914,4,FALSE)</f>
        <v>#N/A</v>
      </c>
    </row>
    <row r="287" spans="1:18" x14ac:dyDescent="0.2">
      <c r="A287" t="s">
        <v>979</v>
      </c>
      <c r="B287" s="169">
        <v>9003503100</v>
      </c>
      <c r="C287" t="s">
        <v>936</v>
      </c>
      <c r="D287" s="170">
        <f>[1]!Table3[[#This Row],[Residential CLM $ Collected]]+[1]!Table3[[#This Row],[C&amp;I CLM $ Collected]]</f>
        <v>21726.811217999999</v>
      </c>
      <c r="E287" s="28">
        <f>[1]!Table3[[#This Row],[CLM $ Collected ]]/'[1]1.) CLM Reference'!$B$4</f>
        <v>2.338972110638066E-4</v>
      </c>
      <c r="F287" s="170">
        <f>[1]!Table3[[#This Row],[Residential Incentive Disbursements]]+[1]!Table3[[#This Row],[C&amp;I Incentive Disbursements]]</f>
        <v>1722.11</v>
      </c>
      <c r="G287" s="28">
        <f>[1]!Table3[[#This Row],[Incentive Disbursements]]/'[1]1.) CLM Reference'!$B$5</f>
        <v>1.3827064609304128E-5</v>
      </c>
      <c r="H287" s="228">
        <v>21726.811217999999</v>
      </c>
      <c r="I287" s="28">
        <f>[1]!Table3[[#This Row],[Residential CLM $ Collected]]/'[1]1.) CLM Reference'!$B$4</f>
        <v>2.338972110638066E-4</v>
      </c>
      <c r="J287" s="229">
        <v>1722.11</v>
      </c>
      <c r="K287" s="28">
        <f>[1]!Table3[[#This Row],[Residential Incentive Disbursements]]/'[1]1.) CLM Reference'!$B$5</f>
        <v>1.3827064609304128E-5</v>
      </c>
      <c r="L287" s="229">
        <v>0</v>
      </c>
      <c r="M287" s="28">
        <f>[1]!Table3[[#This Row],[C&amp;I CLM $ Collected]]/'[1]1.) CLM Reference'!$B$4</f>
        <v>0</v>
      </c>
      <c r="N287" s="229">
        <v>0</v>
      </c>
      <c r="O287" s="28">
        <f>[1]!Table3[[#This Row],[C&amp;I Incentive Disbursements]]/'[1]1.) CLM Reference'!$B$5</f>
        <v>0</v>
      </c>
      <c r="Q287">
        <f>VLOOKUP(Table3[[#This Row],[Census Tract]],'Population and Diversity Data'!$B$2:$K$823,10,FALSE)</f>
        <v>5</v>
      </c>
      <c r="R287" t="str">
        <f>VLOOKUP(Table3[[#This Row],[Census Tract]],'ES Energy Burden'!$B$2:$E$914,4,FALSE)</f>
        <v>No</v>
      </c>
    </row>
    <row r="288" spans="1:18" x14ac:dyDescent="0.2">
      <c r="A288" t="s">
        <v>979</v>
      </c>
      <c r="B288" s="169">
        <v>9003503300</v>
      </c>
      <c r="C288" t="s">
        <v>944</v>
      </c>
      <c r="D288" s="170">
        <f>[1]!Table3[[#This Row],[Residential CLM $ Collected]]+[1]!Table3[[#This Row],[C&amp;I CLM $ Collected]]</f>
        <v>15415.710555</v>
      </c>
      <c r="E288" s="28">
        <f>[1]!Table3[[#This Row],[CLM $ Collected ]]/'[1]1.) CLM Reference'!$B$4</f>
        <v>1.6595586297515121E-4</v>
      </c>
      <c r="F288" s="170">
        <f>[1]!Table3[[#This Row],[Residential Incentive Disbursements]]+[1]!Table3[[#This Row],[C&amp;I Incentive Disbursements]]</f>
        <v>358.51</v>
      </c>
      <c r="G288" s="28">
        <f>[1]!Table3[[#This Row],[Incentive Disbursements]]/'[1]1.) CLM Reference'!$B$5</f>
        <v>2.8785274651919E-6</v>
      </c>
      <c r="H288" s="228">
        <v>15415.710555</v>
      </c>
      <c r="I288" s="28">
        <f>[1]!Table3[[#This Row],[Residential CLM $ Collected]]/'[1]1.) CLM Reference'!$B$4</f>
        <v>1.6595586297515121E-4</v>
      </c>
      <c r="J288" s="229">
        <v>358.51</v>
      </c>
      <c r="K288" s="28">
        <f>[1]!Table3[[#This Row],[Residential Incentive Disbursements]]/'[1]1.) CLM Reference'!$B$5</f>
        <v>2.8785274651919E-6</v>
      </c>
      <c r="L288" s="229">
        <v>0</v>
      </c>
      <c r="M288" s="28">
        <f>[1]!Table3[[#This Row],[C&amp;I CLM $ Collected]]/'[1]1.) CLM Reference'!$B$4</f>
        <v>0</v>
      </c>
      <c r="N288" s="229">
        <v>0</v>
      </c>
      <c r="O288" s="28">
        <f>[1]!Table3[[#This Row],[C&amp;I Incentive Disbursements]]/'[1]1.) CLM Reference'!$B$5</f>
        <v>0</v>
      </c>
      <c r="Q288">
        <f>VLOOKUP(Table3[[#This Row],[Census Tract]],'Population and Diversity Data'!$B$2:$K$823,10,FALSE)</f>
        <v>5</v>
      </c>
      <c r="R288" t="str">
        <f>VLOOKUP(Table3[[#This Row],[Census Tract]],'ES Energy Burden'!$B$2:$E$914,4,FALSE)</f>
        <v>Yes</v>
      </c>
    </row>
    <row r="289" spans="1:18" x14ac:dyDescent="0.2">
      <c r="A289" t="s">
        <v>979</v>
      </c>
      <c r="B289" s="169">
        <v>9003503500</v>
      </c>
      <c r="C289" t="s">
        <v>944</v>
      </c>
      <c r="D289" s="170">
        <f>[1]!Table3[[#This Row],[Residential CLM $ Collected]]+[1]!Table3[[#This Row],[C&amp;I CLM $ Collected]]</f>
        <v>9440.2446600000003</v>
      </c>
      <c r="E289" s="28">
        <f>[1]!Table3[[#This Row],[CLM $ Collected ]]/'[1]1.) CLM Reference'!$B$4</f>
        <v>1.0162774811172907E-4</v>
      </c>
      <c r="F289" s="170">
        <f>[1]!Table3[[#This Row],[Residential Incentive Disbursements]]+[1]!Table3[[#This Row],[C&amp;I Incentive Disbursements]]</f>
        <v>6189.88</v>
      </c>
      <c r="G289" s="28">
        <f>[1]!Table3[[#This Row],[Incentive Disbursements]]/'[1]1.) CLM Reference'!$B$5</f>
        <v>4.9699421456143591E-5</v>
      </c>
      <c r="H289" s="228">
        <v>9440.2446600000003</v>
      </c>
      <c r="I289" s="28">
        <f>[1]!Table3[[#This Row],[Residential CLM $ Collected]]/'[1]1.) CLM Reference'!$B$4</f>
        <v>1.0162774811172907E-4</v>
      </c>
      <c r="J289" s="229">
        <v>6189.88</v>
      </c>
      <c r="K289" s="28">
        <f>[1]!Table3[[#This Row],[Residential Incentive Disbursements]]/'[1]1.) CLM Reference'!$B$5</f>
        <v>4.9699421456143591E-5</v>
      </c>
      <c r="L289" s="229">
        <v>0</v>
      </c>
      <c r="M289" s="28">
        <f>[1]!Table3[[#This Row],[C&amp;I CLM $ Collected]]/'[1]1.) CLM Reference'!$B$4</f>
        <v>0</v>
      </c>
      <c r="N289" s="229">
        <v>0</v>
      </c>
      <c r="O289" s="28">
        <f>[1]!Table3[[#This Row],[C&amp;I Incentive Disbursements]]/'[1]1.) CLM Reference'!$B$5</f>
        <v>0</v>
      </c>
      <c r="Q289">
        <f>VLOOKUP(Table3[[#This Row],[Census Tract]],'Population and Diversity Data'!$B$2:$K$823,10,FALSE)</f>
        <v>4</v>
      </c>
      <c r="R289" t="str">
        <f>VLOOKUP(Table3[[#This Row],[Census Tract]],'ES Energy Burden'!$B$2:$E$914,4,FALSE)</f>
        <v>Yes</v>
      </c>
    </row>
    <row r="290" spans="1:18" x14ac:dyDescent="0.2">
      <c r="A290" t="s">
        <v>979</v>
      </c>
      <c r="B290" s="169">
        <v>9003503700</v>
      </c>
      <c r="C290" t="s">
        <v>944</v>
      </c>
      <c r="D290" s="170">
        <f>[1]!Table3[[#This Row],[Residential CLM $ Collected]]+[1]!Table3[[#This Row],[C&amp;I CLM $ Collected]]</f>
        <v>21963.401040000001</v>
      </c>
      <c r="E290" s="28">
        <f>[1]!Table3[[#This Row],[CLM $ Collected ]]/'[1]1.) CLM Reference'!$B$4</f>
        <v>2.3644418857360507E-4</v>
      </c>
      <c r="F290" s="170">
        <f>[1]!Table3[[#This Row],[Residential Incentive Disbursements]]+[1]!Table3[[#This Row],[C&amp;I Incentive Disbursements]]</f>
        <v>3479.46</v>
      </c>
      <c r="G290" s="28">
        <f>[1]!Table3[[#This Row],[Incentive Disbursements]]/'[1]1.) CLM Reference'!$B$5</f>
        <v>2.7937076159762935E-5</v>
      </c>
      <c r="H290" s="228">
        <v>21963.401040000001</v>
      </c>
      <c r="I290" s="28">
        <f>[1]!Table3[[#This Row],[Residential CLM $ Collected]]/'[1]1.) CLM Reference'!$B$4</f>
        <v>2.3644418857360507E-4</v>
      </c>
      <c r="J290" s="229">
        <v>3479.46</v>
      </c>
      <c r="K290" s="28">
        <f>[1]!Table3[[#This Row],[Residential Incentive Disbursements]]/'[1]1.) CLM Reference'!$B$5</f>
        <v>2.7937076159762935E-5</v>
      </c>
      <c r="L290" s="229">
        <v>0</v>
      </c>
      <c r="M290" s="28">
        <f>[1]!Table3[[#This Row],[C&amp;I CLM $ Collected]]/'[1]1.) CLM Reference'!$B$4</f>
        <v>0</v>
      </c>
      <c r="N290" s="229">
        <v>0</v>
      </c>
      <c r="O290" s="28">
        <f>[1]!Table3[[#This Row],[C&amp;I Incentive Disbursements]]/'[1]1.) CLM Reference'!$B$5</f>
        <v>0</v>
      </c>
      <c r="Q290">
        <f>VLOOKUP(Table3[[#This Row],[Census Tract]],'Population and Diversity Data'!$B$2:$K$823,10,FALSE)</f>
        <v>2</v>
      </c>
      <c r="R290" t="str">
        <f>VLOOKUP(Table3[[#This Row],[Census Tract]],'ES Energy Burden'!$B$2:$E$914,4,FALSE)</f>
        <v>Yes</v>
      </c>
    </row>
    <row r="291" spans="1:18" x14ac:dyDescent="0.2">
      <c r="A291" t="s">
        <v>979</v>
      </c>
      <c r="B291" s="169">
        <v>9003503800</v>
      </c>
      <c r="C291" t="s">
        <v>944</v>
      </c>
      <c r="D291" s="170">
        <f>[1]!Table3[[#This Row],[Residential CLM $ Collected]]+[1]!Table3[[#This Row],[C&amp;I CLM $ Collected]]</f>
        <v>3741.4397159999999</v>
      </c>
      <c r="E291" s="28">
        <f>[1]!Table3[[#This Row],[CLM $ Collected ]]/'[1]1.) CLM Reference'!$B$4</f>
        <v>4.0277991379183926E-5</v>
      </c>
      <c r="F291" s="170">
        <f>[1]!Table3[[#This Row],[Residential Incentive Disbursements]]+[1]!Table3[[#This Row],[C&amp;I Incentive Disbursements]]</f>
        <v>1283.46</v>
      </c>
      <c r="G291" s="28">
        <f>[1]!Table3[[#This Row],[Incentive Disbursements]]/'[1]1.) CLM Reference'!$B$5</f>
        <v>1.0305081756367176E-5</v>
      </c>
      <c r="H291" s="228">
        <v>3741.4397159999999</v>
      </c>
      <c r="I291" s="28">
        <f>[1]!Table3[[#This Row],[Residential CLM $ Collected]]/'[1]1.) CLM Reference'!$B$4</f>
        <v>4.0277991379183926E-5</v>
      </c>
      <c r="J291" s="229">
        <v>1283.46</v>
      </c>
      <c r="K291" s="28">
        <f>[1]!Table3[[#This Row],[Residential Incentive Disbursements]]/'[1]1.) CLM Reference'!$B$5</f>
        <v>1.0305081756367176E-5</v>
      </c>
      <c r="L291" s="229">
        <v>0</v>
      </c>
      <c r="M291" s="28">
        <f>[1]!Table3[[#This Row],[C&amp;I CLM $ Collected]]/'[1]1.) CLM Reference'!$B$4</f>
        <v>0</v>
      </c>
      <c r="N291" s="229">
        <v>0</v>
      </c>
      <c r="O291" s="28">
        <f>[1]!Table3[[#This Row],[C&amp;I Incentive Disbursements]]/'[1]1.) CLM Reference'!$B$5</f>
        <v>0</v>
      </c>
      <c r="Q291">
        <f>VLOOKUP(Table3[[#This Row],[Census Tract]],'Population and Diversity Data'!$B$2:$K$823,10,FALSE)</f>
        <v>4</v>
      </c>
      <c r="R291" t="str">
        <f>VLOOKUP(Table3[[#This Row],[Census Tract]],'ES Energy Burden'!$B$2:$E$914,4,FALSE)</f>
        <v>Yes</v>
      </c>
    </row>
    <row r="292" spans="1:18" x14ac:dyDescent="0.2">
      <c r="A292" t="s">
        <v>979</v>
      </c>
      <c r="B292" s="169">
        <v>9003503900</v>
      </c>
      <c r="C292" t="s">
        <v>944</v>
      </c>
      <c r="D292" s="170">
        <f>[1]!Table3[[#This Row],[Residential CLM $ Collected]]+[1]!Table3[[#This Row],[C&amp;I CLM $ Collected]]</f>
        <v>35238.607739999999</v>
      </c>
      <c r="E292" s="28">
        <f>[1]!Table3[[#This Row],[CLM $ Collected ]]/'[1]1.) CLM Reference'!$B$4</f>
        <v>3.7935673069820059E-4</v>
      </c>
      <c r="F292" s="170">
        <f>[1]!Table3[[#This Row],[Residential Incentive Disbursements]]+[1]!Table3[[#This Row],[C&amp;I Incentive Disbursements]]</f>
        <v>43001.09</v>
      </c>
      <c r="G292" s="28">
        <f>[1]!Table3[[#This Row],[Incentive Disbursements]]/'[1]1.) CLM Reference'!$B$5</f>
        <v>3.4526182979049052E-4</v>
      </c>
      <c r="H292" s="228">
        <v>35238.607739999999</v>
      </c>
      <c r="I292" s="28">
        <f>[1]!Table3[[#This Row],[Residential CLM $ Collected]]/'[1]1.) CLM Reference'!$B$4</f>
        <v>3.7935673069820059E-4</v>
      </c>
      <c r="J292" s="229">
        <v>43001.09</v>
      </c>
      <c r="K292" s="28">
        <f>[1]!Table3[[#This Row],[Residential Incentive Disbursements]]/'[1]1.) CLM Reference'!$B$5</f>
        <v>3.4526182979049052E-4</v>
      </c>
      <c r="L292" s="229">
        <v>0</v>
      </c>
      <c r="M292" s="28">
        <f>[1]!Table3[[#This Row],[C&amp;I CLM $ Collected]]/'[1]1.) CLM Reference'!$B$4</f>
        <v>0</v>
      </c>
      <c r="N292" s="229">
        <v>0</v>
      </c>
      <c r="O292" s="28">
        <f>[1]!Table3[[#This Row],[C&amp;I Incentive Disbursements]]/'[1]1.) CLM Reference'!$B$5</f>
        <v>0</v>
      </c>
      <c r="Q292">
        <f>VLOOKUP(Table3[[#This Row],[Census Tract]],'Population and Diversity Data'!$B$2:$K$823,10,FALSE)</f>
        <v>2</v>
      </c>
      <c r="R292" t="str">
        <f>VLOOKUP(Table3[[#This Row],[Census Tract]],'ES Energy Burden'!$B$2:$E$914,4,FALSE)</f>
        <v>No</v>
      </c>
    </row>
    <row r="293" spans="1:18" x14ac:dyDescent="0.2">
      <c r="A293" t="s">
        <v>979</v>
      </c>
      <c r="B293" s="169">
        <v>9003504000</v>
      </c>
      <c r="C293" t="s">
        <v>944</v>
      </c>
      <c r="D293" s="170">
        <f>[1]!Table3[[#This Row],[Residential CLM $ Collected]]+[1]!Table3[[#This Row],[C&amp;I CLM $ Collected]]</f>
        <v>21857.042024999999</v>
      </c>
      <c r="E293" s="28">
        <f>[1]!Table3[[#This Row],[CLM $ Collected ]]/'[1]1.) CLM Reference'!$B$4</f>
        <v>2.352991941825559E-4</v>
      </c>
      <c r="F293" s="170">
        <f>[1]!Table3[[#This Row],[Residential Incentive Disbursements]]+[1]!Table3[[#This Row],[C&amp;I Incentive Disbursements]]</f>
        <v>15681.03</v>
      </c>
      <c r="G293" s="28">
        <f>[1]!Table3[[#This Row],[Incentive Disbursements]]/'[1]1.) CLM Reference'!$B$5</f>
        <v>1.2590520637499134E-4</v>
      </c>
      <c r="H293" s="228">
        <v>21857.042024999999</v>
      </c>
      <c r="I293" s="28">
        <f>[1]!Table3[[#This Row],[Residential CLM $ Collected]]/'[1]1.) CLM Reference'!$B$4</f>
        <v>2.352991941825559E-4</v>
      </c>
      <c r="J293" s="229">
        <v>15681.03</v>
      </c>
      <c r="K293" s="28">
        <f>[1]!Table3[[#This Row],[Residential Incentive Disbursements]]/'[1]1.) CLM Reference'!$B$5</f>
        <v>1.2590520637499134E-4</v>
      </c>
      <c r="L293" s="229">
        <v>0</v>
      </c>
      <c r="M293" s="28">
        <f>[1]!Table3[[#This Row],[C&amp;I CLM $ Collected]]/'[1]1.) CLM Reference'!$B$4</f>
        <v>0</v>
      </c>
      <c r="N293" s="229">
        <v>0</v>
      </c>
      <c r="O293" s="28">
        <f>[1]!Table3[[#This Row],[C&amp;I Incentive Disbursements]]/'[1]1.) CLM Reference'!$B$5</f>
        <v>0</v>
      </c>
      <c r="Q293">
        <f>VLOOKUP(Table3[[#This Row],[Census Tract]],'Population and Diversity Data'!$B$2:$K$823,10,FALSE)</f>
        <v>1</v>
      </c>
      <c r="R293" t="str">
        <f>VLOOKUP(Table3[[#This Row],[Census Tract]],'ES Energy Burden'!$B$2:$E$914,4,FALSE)</f>
        <v>Yes</v>
      </c>
    </row>
    <row r="294" spans="1:18" x14ac:dyDescent="0.2">
      <c r="A294" t="s">
        <v>979</v>
      </c>
      <c r="B294" s="169">
        <v>9003504100</v>
      </c>
      <c r="C294" t="s">
        <v>944</v>
      </c>
      <c r="D294" s="170">
        <f>[1]!Table3[[#This Row],[Residential CLM $ Collected]]+[1]!Table3[[#This Row],[C&amp;I CLM $ Collected]]</f>
        <v>8361.1019099999994</v>
      </c>
      <c r="E294" s="28">
        <f>[1]!Table3[[#This Row],[CLM $ Collected ]]/'[1]1.) CLM Reference'!$B$4</f>
        <v>9.0010374672426833E-5</v>
      </c>
      <c r="F294" s="170">
        <f>[1]!Table3[[#This Row],[Residential Incentive Disbursements]]+[1]!Table3[[#This Row],[C&amp;I Incentive Disbursements]]</f>
        <v>946.23</v>
      </c>
      <c r="G294" s="28">
        <f>[1]!Table3[[#This Row],[Incentive Disbursements]]/'[1]1.) CLM Reference'!$B$5</f>
        <v>7.597414419091606E-6</v>
      </c>
      <c r="H294" s="228">
        <v>8361.1019099999994</v>
      </c>
      <c r="I294" s="28">
        <f>[1]!Table3[[#This Row],[Residential CLM $ Collected]]/'[1]1.) CLM Reference'!$B$4</f>
        <v>9.0010374672426833E-5</v>
      </c>
      <c r="J294" s="229">
        <v>946.23</v>
      </c>
      <c r="K294" s="28">
        <f>[1]!Table3[[#This Row],[Residential Incentive Disbursements]]/'[1]1.) CLM Reference'!$B$5</f>
        <v>7.597414419091606E-6</v>
      </c>
      <c r="L294" s="229">
        <v>0</v>
      </c>
      <c r="M294" s="28">
        <f>[1]!Table3[[#This Row],[C&amp;I CLM $ Collected]]/'[1]1.) CLM Reference'!$B$4</f>
        <v>0</v>
      </c>
      <c r="N294" s="229">
        <v>0</v>
      </c>
      <c r="O294" s="28">
        <f>[1]!Table3[[#This Row],[C&amp;I Incentive Disbursements]]/'[1]1.) CLM Reference'!$B$5</f>
        <v>0</v>
      </c>
      <c r="Q294">
        <f>VLOOKUP(Table3[[#This Row],[Census Tract]],'Population and Diversity Data'!$B$2:$K$823,10,FALSE)</f>
        <v>5</v>
      </c>
      <c r="R294" t="str">
        <f>VLOOKUP(Table3[[#This Row],[Census Tract]],'ES Energy Burden'!$B$2:$E$914,4,FALSE)</f>
        <v>Yes</v>
      </c>
    </row>
    <row r="295" spans="1:18" x14ac:dyDescent="0.2">
      <c r="A295" t="s">
        <v>979</v>
      </c>
      <c r="B295" s="169">
        <v>9003504200</v>
      </c>
      <c r="C295" t="s">
        <v>936</v>
      </c>
      <c r="D295" s="170">
        <f>[1]!Table3[[#This Row],[Residential CLM $ Collected]]+[1]!Table3[[#This Row],[C&amp;I CLM $ Collected]]</f>
        <v>27450.560697000001</v>
      </c>
      <c r="E295" s="28">
        <f>[1]!Table3[[#This Row],[CLM $ Collected ]]/'[1]1.) CLM Reference'!$B$4</f>
        <v>2.9551550500180003E-4</v>
      </c>
      <c r="F295" s="170">
        <f>[1]!Table3[[#This Row],[Residential Incentive Disbursements]]+[1]!Table3[[#This Row],[C&amp;I Incentive Disbursements]]</f>
        <v>4524.21</v>
      </c>
      <c r="G295" s="28">
        <f>[1]!Table3[[#This Row],[Incentive Disbursements]]/'[1]1.) CLM Reference'!$B$5</f>
        <v>3.632552158460251E-5</v>
      </c>
      <c r="H295" s="228">
        <v>27450.560697000001</v>
      </c>
      <c r="I295" s="28">
        <f>[1]!Table3[[#This Row],[Residential CLM $ Collected]]/'[1]1.) CLM Reference'!$B$4</f>
        <v>2.9551550500180003E-4</v>
      </c>
      <c r="J295" s="229">
        <v>4524.21</v>
      </c>
      <c r="K295" s="28">
        <f>[1]!Table3[[#This Row],[Residential Incentive Disbursements]]/'[1]1.) CLM Reference'!$B$5</f>
        <v>3.632552158460251E-5</v>
      </c>
      <c r="L295" s="229">
        <v>0</v>
      </c>
      <c r="M295" s="28">
        <f>[1]!Table3[[#This Row],[C&amp;I CLM $ Collected]]/'[1]1.) CLM Reference'!$B$4</f>
        <v>0</v>
      </c>
      <c r="N295" s="229">
        <v>0</v>
      </c>
      <c r="O295" s="28">
        <f>[1]!Table3[[#This Row],[C&amp;I Incentive Disbursements]]/'[1]1.) CLM Reference'!$B$5</f>
        <v>0</v>
      </c>
      <c r="Q295">
        <f>VLOOKUP(Table3[[#This Row],[Census Tract]],'Population and Diversity Data'!$B$2:$K$823,10,FALSE)</f>
        <v>5</v>
      </c>
      <c r="R295" t="str">
        <f>VLOOKUP(Table3[[#This Row],[Census Tract]],'ES Energy Burden'!$B$2:$E$914,4,FALSE)</f>
        <v>No</v>
      </c>
    </row>
    <row r="296" spans="1:18" x14ac:dyDescent="0.2">
      <c r="A296" t="s">
        <v>979</v>
      </c>
      <c r="B296" s="169">
        <v>9003504300</v>
      </c>
      <c r="C296" t="s">
        <v>944</v>
      </c>
      <c r="D296" s="170">
        <f>[1]!Table3[[#This Row],[Residential CLM $ Collected]]+[1]!Table3[[#This Row],[C&amp;I CLM $ Collected]]</f>
        <v>13611.832101000002</v>
      </c>
      <c r="E296" s="28">
        <f>[1]!Table3[[#This Row],[CLM $ Collected ]]/'[1]1.) CLM Reference'!$B$4</f>
        <v>1.4653643988285956E-4</v>
      </c>
      <c r="F296" s="170">
        <f>[1]!Table3[[#This Row],[Residential Incentive Disbursements]]+[1]!Table3[[#This Row],[C&amp;I Incentive Disbursements]]</f>
        <v>3193.16</v>
      </c>
      <c r="G296" s="28">
        <f>[1]!Table3[[#This Row],[Incentive Disbursements]]/'[1]1.) CLM Reference'!$B$5</f>
        <v>2.5638332991414933E-5</v>
      </c>
      <c r="H296" s="228">
        <v>13611.832101000002</v>
      </c>
      <c r="I296" s="28">
        <f>[1]!Table3[[#This Row],[Residential CLM $ Collected]]/'[1]1.) CLM Reference'!$B$4</f>
        <v>1.4653643988285956E-4</v>
      </c>
      <c r="J296" s="229">
        <v>3193.16</v>
      </c>
      <c r="K296" s="28">
        <f>[1]!Table3[[#This Row],[Residential Incentive Disbursements]]/'[1]1.) CLM Reference'!$B$5</f>
        <v>2.5638332991414933E-5</v>
      </c>
      <c r="L296" s="229">
        <v>0</v>
      </c>
      <c r="M296" s="28">
        <f>[1]!Table3[[#This Row],[C&amp;I CLM $ Collected]]/'[1]1.) CLM Reference'!$B$4</f>
        <v>0</v>
      </c>
      <c r="N296" s="229">
        <v>0</v>
      </c>
      <c r="O296" s="28">
        <f>[1]!Table3[[#This Row],[C&amp;I Incentive Disbursements]]/'[1]1.) CLM Reference'!$B$5</f>
        <v>0</v>
      </c>
      <c r="Q296">
        <f>VLOOKUP(Table3[[#This Row],[Census Tract]],'Population and Diversity Data'!$B$2:$K$823,10,FALSE)</f>
        <v>5</v>
      </c>
      <c r="R296" t="str">
        <f>VLOOKUP(Table3[[#This Row],[Census Tract]],'ES Energy Burden'!$B$2:$E$914,4,FALSE)</f>
        <v>Yes</v>
      </c>
    </row>
    <row r="297" spans="1:18" x14ac:dyDescent="0.2">
      <c r="A297" t="s">
        <v>979</v>
      </c>
      <c r="B297" s="169">
        <v>9003504500</v>
      </c>
      <c r="C297" t="s">
        <v>944</v>
      </c>
      <c r="D297" s="170">
        <f>[1]!Table3[[#This Row],[Residential CLM $ Collected]]+[1]!Table3[[#This Row],[C&amp;I CLM $ Collected]]</f>
        <v>21935.32908</v>
      </c>
      <c r="E297" s="28">
        <f>[1]!Table3[[#This Row],[CLM $ Collected ]]/'[1]1.) CLM Reference'!$B$4</f>
        <v>2.3614198347377636E-4</v>
      </c>
      <c r="F297" s="170">
        <f>[1]!Table3[[#This Row],[Residential Incentive Disbursements]]+[1]!Table3[[#This Row],[C&amp;I Incentive Disbursements]]</f>
        <v>9635.0300000000007</v>
      </c>
      <c r="G297" s="28">
        <f>[1]!Table3[[#This Row],[Incentive Disbursements]]/'[1]1.) CLM Reference'!$B$5</f>
        <v>7.7361017776206851E-5</v>
      </c>
      <c r="H297" s="228">
        <v>21935.32908</v>
      </c>
      <c r="I297" s="28">
        <f>[1]!Table3[[#This Row],[Residential CLM $ Collected]]/'[1]1.) CLM Reference'!$B$4</f>
        <v>2.3614198347377636E-4</v>
      </c>
      <c r="J297" s="229">
        <v>9635.0300000000007</v>
      </c>
      <c r="K297" s="28">
        <f>[1]!Table3[[#This Row],[Residential Incentive Disbursements]]/'[1]1.) CLM Reference'!$B$5</f>
        <v>7.7361017776206851E-5</v>
      </c>
      <c r="L297" s="229">
        <v>0</v>
      </c>
      <c r="M297" s="28">
        <f>[1]!Table3[[#This Row],[C&amp;I CLM $ Collected]]/'[1]1.) CLM Reference'!$B$4</f>
        <v>0</v>
      </c>
      <c r="N297" s="229">
        <v>0</v>
      </c>
      <c r="O297" s="28">
        <f>[1]!Table3[[#This Row],[C&amp;I Incentive Disbursements]]/'[1]1.) CLM Reference'!$B$5</f>
        <v>0</v>
      </c>
      <c r="Q297">
        <f>VLOOKUP(Table3[[#This Row],[Census Tract]],'Population and Diversity Data'!$B$2:$K$823,10,FALSE)</f>
        <v>5</v>
      </c>
      <c r="R297" t="str">
        <f>VLOOKUP(Table3[[#This Row],[Census Tract]],'ES Energy Burden'!$B$2:$E$914,4,FALSE)</f>
        <v>Yes</v>
      </c>
    </row>
    <row r="298" spans="1:18" x14ac:dyDescent="0.2">
      <c r="A298" t="s">
        <v>979</v>
      </c>
      <c r="B298" s="169">
        <v>9003504800</v>
      </c>
      <c r="C298" t="s">
        <v>936</v>
      </c>
      <c r="D298" s="170">
        <f>[1]!Table3[[#This Row],[Residential CLM $ Collected]]+[1]!Table3[[#This Row],[C&amp;I CLM $ Collected]]</f>
        <v>34630.234464000001</v>
      </c>
      <c r="E298" s="28">
        <f>[1]!Table3[[#This Row],[CLM $ Collected ]]/'[1]1.) CLM Reference'!$B$4</f>
        <v>3.7280736590120437E-4</v>
      </c>
      <c r="F298" s="170">
        <f>[1]!Table3[[#This Row],[Residential Incentive Disbursements]]+[1]!Table3[[#This Row],[C&amp;I Incentive Disbursements]]</f>
        <v>73478.880000000005</v>
      </c>
      <c r="G298" s="28">
        <f>[1]!Table3[[#This Row],[Incentive Disbursements]]/'[1]1.) CLM Reference'!$B$5</f>
        <v>5.8997231371939369E-4</v>
      </c>
      <c r="H298" s="228">
        <v>34630.234464000001</v>
      </c>
      <c r="I298" s="28">
        <f>[1]!Table3[[#This Row],[Residential CLM $ Collected]]/'[1]1.) CLM Reference'!$B$4</f>
        <v>3.7280736590120437E-4</v>
      </c>
      <c r="J298" s="229">
        <v>73478.880000000005</v>
      </c>
      <c r="K298" s="28">
        <f>[1]!Table3[[#This Row],[Residential Incentive Disbursements]]/'[1]1.) CLM Reference'!$B$5</f>
        <v>5.8997231371939369E-4</v>
      </c>
      <c r="L298" s="229">
        <v>0</v>
      </c>
      <c r="M298" s="28">
        <f>[1]!Table3[[#This Row],[C&amp;I CLM $ Collected]]/'[1]1.) CLM Reference'!$B$4</f>
        <v>0</v>
      </c>
      <c r="N298" s="229">
        <v>0</v>
      </c>
      <c r="O298" s="28">
        <f>[1]!Table3[[#This Row],[C&amp;I Incentive Disbursements]]/'[1]1.) CLM Reference'!$B$5</f>
        <v>0</v>
      </c>
      <c r="Q298">
        <f>VLOOKUP(Table3[[#This Row],[Census Tract]],'Population and Diversity Data'!$B$2:$K$823,10,FALSE)</f>
        <v>5</v>
      </c>
      <c r="R298" t="str">
        <f>VLOOKUP(Table3[[#This Row],[Census Tract]],'ES Energy Burden'!$B$2:$E$914,4,FALSE)</f>
        <v>Yes</v>
      </c>
    </row>
    <row r="299" spans="1:18" x14ac:dyDescent="0.2">
      <c r="A299" t="s">
        <v>979</v>
      </c>
      <c r="B299" s="169">
        <v>9003504900</v>
      </c>
      <c r="C299" t="s">
        <v>944</v>
      </c>
      <c r="D299" s="170">
        <f>[1]!Table3[[#This Row],[Residential CLM $ Collected]]+[1]!Table3[[#This Row],[C&amp;I CLM $ Collected]]</f>
        <v>25292.758679999999</v>
      </c>
      <c r="E299" s="28">
        <f>[1]!Table3[[#This Row],[CLM $ Collected ]]/'[1]1.) CLM Reference'!$B$4</f>
        <v>2.7228596299767817E-4</v>
      </c>
      <c r="F299" s="170">
        <f>[1]!Table3[[#This Row],[Residential Incentive Disbursements]]+[1]!Table3[[#This Row],[C&amp;I Incentive Disbursements]]</f>
        <v>13193.14</v>
      </c>
      <c r="G299" s="28">
        <f>[1]!Table3[[#This Row],[Incentive Disbursements]]/'[1]1.) CLM Reference'!$B$5</f>
        <v>1.0592958590310415E-4</v>
      </c>
      <c r="H299" s="228">
        <v>25292.758679999999</v>
      </c>
      <c r="I299" s="28">
        <f>[1]!Table3[[#This Row],[Residential CLM $ Collected]]/'[1]1.) CLM Reference'!$B$4</f>
        <v>2.7228596299767817E-4</v>
      </c>
      <c r="J299" s="229">
        <v>13193.14</v>
      </c>
      <c r="K299" s="28">
        <f>[1]!Table3[[#This Row],[Residential Incentive Disbursements]]/'[1]1.) CLM Reference'!$B$5</f>
        <v>1.0592958590310415E-4</v>
      </c>
      <c r="L299" s="229">
        <v>0</v>
      </c>
      <c r="M299" s="28">
        <f>[1]!Table3[[#This Row],[C&amp;I CLM $ Collected]]/'[1]1.) CLM Reference'!$B$4</f>
        <v>0</v>
      </c>
      <c r="N299" s="229">
        <v>0</v>
      </c>
      <c r="O299" s="28">
        <f>[1]!Table3[[#This Row],[C&amp;I Incentive Disbursements]]/'[1]1.) CLM Reference'!$B$5</f>
        <v>0</v>
      </c>
      <c r="Q299">
        <f>VLOOKUP(Table3[[#This Row],[Census Tract]],'Population and Diversity Data'!$B$2:$K$823,10,FALSE)</f>
        <v>5</v>
      </c>
      <c r="R299" t="str">
        <f>VLOOKUP(Table3[[#This Row],[Census Tract]],'ES Energy Burden'!$B$2:$E$914,4,FALSE)</f>
        <v>Yes</v>
      </c>
    </row>
    <row r="300" spans="1:18" x14ac:dyDescent="0.2">
      <c r="A300" t="s">
        <v>979</v>
      </c>
      <c r="B300" s="169">
        <v>9003524400</v>
      </c>
      <c r="C300" t="s">
        <v>944</v>
      </c>
      <c r="D300" s="170">
        <f>[1]!Table3[[#This Row],[Residential CLM $ Collected]]+[1]!Table3[[#This Row],[C&amp;I CLM $ Collected]]</f>
        <v>22269.482970000001</v>
      </c>
      <c r="E300" s="28">
        <f>[1]!Table3[[#This Row],[CLM $ Collected ]]/'[1]1.) CLM Reference'!$B$4</f>
        <v>2.3973927449604893E-4</v>
      </c>
      <c r="F300" s="170">
        <f>[1]!Table3[[#This Row],[Residential Incentive Disbursements]]+[1]!Table3[[#This Row],[C&amp;I Incentive Disbursements]]</f>
        <v>2969.41</v>
      </c>
      <c r="G300" s="28">
        <f>[1]!Table3[[#This Row],[Incentive Disbursements]]/'[1]1.) CLM Reference'!$B$5</f>
        <v>2.3841812614475134E-5</v>
      </c>
      <c r="H300" s="228">
        <v>22269.482970000001</v>
      </c>
      <c r="I300" s="28">
        <f>[1]!Table3[[#This Row],[Residential CLM $ Collected]]/'[1]1.) CLM Reference'!$B$4</f>
        <v>2.3973927449604893E-4</v>
      </c>
      <c r="J300" s="229">
        <v>2969.41</v>
      </c>
      <c r="K300" s="28">
        <f>[1]!Table3[[#This Row],[Residential Incentive Disbursements]]/'[1]1.) CLM Reference'!$B$5</f>
        <v>2.3841812614475134E-5</v>
      </c>
      <c r="L300" s="229">
        <v>0</v>
      </c>
      <c r="M300" s="28">
        <f>[1]!Table3[[#This Row],[C&amp;I CLM $ Collected]]/'[1]1.) CLM Reference'!$B$4</f>
        <v>0</v>
      </c>
      <c r="N300" s="229">
        <v>0</v>
      </c>
      <c r="O300" s="28">
        <f>[1]!Table3[[#This Row],[C&amp;I Incentive Disbursements]]/'[1]1.) CLM Reference'!$B$5</f>
        <v>0</v>
      </c>
      <c r="Q300">
        <f>VLOOKUP(Table3[[#This Row],[Census Tract]],'Population and Diversity Data'!$B$2:$K$823,10,FALSE)</f>
        <v>5</v>
      </c>
      <c r="R300" t="str">
        <f>VLOOKUP(Table3[[#This Row],[Census Tract]],'ES Energy Burden'!$B$2:$E$914,4,FALSE)</f>
        <v>Yes</v>
      </c>
    </row>
    <row r="301" spans="1:18" x14ac:dyDescent="0.2">
      <c r="A301" t="s">
        <v>979</v>
      </c>
      <c r="B301" s="169">
        <v>9003524501</v>
      </c>
      <c r="C301" t="s">
        <v>944</v>
      </c>
      <c r="D301" s="170">
        <f>[1]!Table3[[#This Row],[Residential CLM $ Collected]]+[1]!Table3[[#This Row],[C&amp;I CLM $ Collected]]</f>
        <v>14079.380448</v>
      </c>
      <c r="E301" s="28">
        <f>[1]!Table3[[#This Row],[CLM $ Collected ]]/'[1]1.) CLM Reference'!$B$4</f>
        <v>1.5156977189387241E-4</v>
      </c>
      <c r="F301" s="170">
        <f>[1]!Table3[[#This Row],[Residential Incentive Disbursements]]+[1]!Table3[[#This Row],[C&amp;I Incentive Disbursements]]</f>
        <v>3308.66</v>
      </c>
      <c r="G301" s="28">
        <f>[1]!Table3[[#This Row],[Incentive Disbursements]]/'[1]1.) CLM Reference'!$B$5</f>
        <v>2.6565698817276595E-5</v>
      </c>
      <c r="H301" s="228">
        <v>14079.380448</v>
      </c>
      <c r="I301" s="28">
        <f>[1]!Table3[[#This Row],[Residential CLM $ Collected]]/'[1]1.) CLM Reference'!$B$4</f>
        <v>1.5156977189387241E-4</v>
      </c>
      <c r="J301" s="229">
        <v>3308.66</v>
      </c>
      <c r="K301" s="28">
        <f>[1]!Table3[[#This Row],[Residential Incentive Disbursements]]/'[1]1.) CLM Reference'!$B$5</f>
        <v>2.6565698817276595E-5</v>
      </c>
      <c r="L301" s="229">
        <v>0</v>
      </c>
      <c r="M301" s="28">
        <f>[1]!Table3[[#This Row],[C&amp;I CLM $ Collected]]/'[1]1.) CLM Reference'!$B$4</f>
        <v>0</v>
      </c>
      <c r="N301" s="229">
        <v>0</v>
      </c>
      <c r="O301" s="28">
        <f>[1]!Table3[[#This Row],[C&amp;I Incentive Disbursements]]/'[1]1.) CLM Reference'!$B$5</f>
        <v>0</v>
      </c>
      <c r="Q301">
        <f>VLOOKUP(Table3[[#This Row],[Census Tract]],'Population and Diversity Data'!$B$2:$K$823,10,FALSE)</f>
        <v>5</v>
      </c>
      <c r="R301" t="str">
        <f>VLOOKUP(Table3[[#This Row],[Census Tract]],'ES Energy Burden'!$B$2:$E$914,4,FALSE)</f>
        <v>No</v>
      </c>
    </row>
    <row r="302" spans="1:18" x14ac:dyDescent="0.2">
      <c r="A302" t="s">
        <v>979</v>
      </c>
      <c r="B302" s="169">
        <v>9003524502</v>
      </c>
      <c r="C302" t="s">
        <v>944</v>
      </c>
      <c r="D302" s="170">
        <f>[1]!Table3[[#This Row],[Residential CLM $ Collected]]+[1]!Table3[[#This Row],[C&amp;I CLM $ Collected]]</f>
        <v>22402.98417</v>
      </c>
      <c r="E302" s="28">
        <f>[1]!Table3[[#This Row],[CLM $ Collected ]]/'[1]1.) CLM Reference'!$B$4</f>
        <v>2.4117646461292174E-4</v>
      </c>
      <c r="F302" s="170">
        <f>[1]!Table3[[#This Row],[Residential Incentive Disbursements]]+[1]!Table3[[#This Row],[C&amp;I Incentive Disbursements]]</f>
        <v>7336.67</v>
      </c>
      <c r="G302" s="28">
        <f>[1]!Table3[[#This Row],[Incentive Disbursements]]/'[1]1.) CLM Reference'!$B$5</f>
        <v>5.8907160464281216E-5</v>
      </c>
      <c r="H302" s="228">
        <v>22402.98417</v>
      </c>
      <c r="I302" s="28">
        <f>[1]!Table3[[#This Row],[Residential CLM $ Collected]]/'[1]1.) CLM Reference'!$B$4</f>
        <v>2.4117646461292174E-4</v>
      </c>
      <c r="J302" s="229">
        <v>7336.67</v>
      </c>
      <c r="K302" s="28">
        <f>[1]!Table3[[#This Row],[Residential Incentive Disbursements]]/'[1]1.) CLM Reference'!$B$5</f>
        <v>5.8907160464281216E-5</v>
      </c>
      <c r="L302" s="229">
        <v>0</v>
      </c>
      <c r="M302" s="28">
        <f>[1]!Table3[[#This Row],[C&amp;I CLM $ Collected]]/'[1]1.) CLM Reference'!$B$4</f>
        <v>0</v>
      </c>
      <c r="N302" s="229">
        <v>0</v>
      </c>
      <c r="O302" s="28">
        <f>[1]!Table3[[#This Row],[C&amp;I Incentive Disbursements]]/'[1]1.) CLM Reference'!$B$5</f>
        <v>0</v>
      </c>
      <c r="Q302">
        <f>VLOOKUP(Table3[[#This Row],[Census Tract]],'Population and Diversity Data'!$B$2:$K$823,10,FALSE)</f>
        <v>5</v>
      </c>
      <c r="R302" t="str">
        <f>VLOOKUP(Table3[[#This Row],[Census Tract]],'ES Energy Burden'!$B$2:$E$914,4,FALSE)</f>
        <v>No</v>
      </c>
    </row>
    <row r="303" spans="1:18" x14ac:dyDescent="0.2">
      <c r="A303" t="s">
        <v>979</v>
      </c>
      <c r="B303" s="169">
        <v>9003524600</v>
      </c>
      <c r="C303" t="s">
        <v>944</v>
      </c>
      <c r="D303" s="170">
        <f>[1]!Table3[[#This Row],[Residential CLM $ Collected]]+[1]!Table3[[#This Row],[C&amp;I CLM $ Collected]]</f>
        <v>16407.574722000001</v>
      </c>
      <c r="E303" s="28">
        <f>[1]!Table3[[#This Row],[CLM $ Collected ]]/'[1]1.) CLM Reference'!$B$4</f>
        <v>1.7663364997701119E-4</v>
      </c>
      <c r="F303" s="170">
        <f>[1]!Table3[[#This Row],[Residential Incentive Disbursements]]+[1]!Table3[[#This Row],[C&amp;I Incentive Disbursements]]</f>
        <v>3823.23</v>
      </c>
      <c r="G303" s="28">
        <f>[1]!Table3[[#This Row],[Incentive Disbursements]]/'[1]1.) CLM Reference'!$B$5</f>
        <v>3.0697254081463918E-5</v>
      </c>
      <c r="H303" s="228">
        <v>16407.574722000001</v>
      </c>
      <c r="I303" s="28">
        <f>[1]!Table3[[#This Row],[Residential CLM $ Collected]]/'[1]1.) CLM Reference'!$B$4</f>
        <v>1.7663364997701119E-4</v>
      </c>
      <c r="J303" s="229">
        <v>3823.23</v>
      </c>
      <c r="K303" s="28">
        <f>[1]!Table3[[#This Row],[Residential Incentive Disbursements]]/'[1]1.) CLM Reference'!$B$5</f>
        <v>3.0697254081463918E-5</v>
      </c>
      <c r="L303" s="229">
        <v>0</v>
      </c>
      <c r="M303" s="28">
        <f>[1]!Table3[[#This Row],[C&amp;I CLM $ Collected]]/'[1]1.) CLM Reference'!$B$4</f>
        <v>0</v>
      </c>
      <c r="N303" s="229">
        <v>0</v>
      </c>
      <c r="O303" s="28">
        <f>[1]!Table3[[#This Row],[C&amp;I Incentive Disbursements]]/'[1]1.) CLM Reference'!$B$5</f>
        <v>0</v>
      </c>
      <c r="Q303">
        <f>VLOOKUP(Table3[[#This Row],[Census Tract]],'Population and Diversity Data'!$B$2:$K$823,10,FALSE)</f>
        <v>5</v>
      </c>
      <c r="R303" t="str">
        <f>VLOOKUP(Table3[[#This Row],[Census Tract]],'ES Energy Burden'!$B$2:$E$914,4,FALSE)</f>
        <v>No</v>
      </c>
    </row>
    <row r="304" spans="1:18" x14ac:dyDescent="0.2">
      <c r="A304" t="s">
        <v>979</v>
      </c>
      <c r="B304" s="169">
        <v>9003524700</v>
      </c>
      <c r="C304" t="s">
        <v>944</v>
      </c>
      <c r="D304" s="170">
        <f>[1]!Table3[[#This Row],[Residential CLM $ Collected]]+[1]!Table3[[#This Row],[C&amp;I CLM $ Collected]]</f>
        <v>21960.522359999999</v>
      </c>
      <c r="E304" s="28">
        <f>[1]!Table3[[#This Row],[CLM $ Collected ]]/'[1]1.) CLM Reference'!$B$4</f>
        <v>2.3641319851175062E-4</v>
      </c>
      <c r="F304" s="170">
        <f>[1]!Table3[[#This Row],[Residential Incentive Disbursements]]+[1]!Table3[[#This Row],[C&amp;I Incentive Disbursements]]</f>
        <v>29626.66</v>
      </c>
      <c r="G304" s="28">
        <f>[1]!Table3[[#This Row],[Incentive Disbursements]]/'[1]1.) CLM Reference'!$B$5</f>
        <v>2.3787664085214431E-4</v>
      </c>
      <c r="H304" s="228">
        <v>21960.522359999999</v>
      </c>
      <c r="I304" s="28">
        <f>[1]!Table3[[#This Row],[Residential CLM $ Collected]]/'[1]1.) CLM Reference'!$B$4</f>
        <v>2.3641319851175062E-4</v>
      </c>
      <c r="J304" s="229">
        <v>29626.66</v>
      </c>
      <c r="K304" s="28">
        <f>[1]!Table3[[#This Row],[Residential Incentive Disbursements]]/'[1]1.) CLM Reference'!$B$5</f>
        <v>2.3787664085214431E-4</v>
      </c>
      <c r="L304" s="229">
        <v>0</v>
      </c>
      <c r="M304" s="28">
        <f>[1]!Table3[[#This Row],[C&amp;I CLM $ Collected]]/'[1]1.) CLM Reference'!$B$4</f>
        <v>0</v>
      </c>
      <c r="N304" s="229">
        <v>0</v>
      </c>
      <c r="O304" s="28">
        <f>[1]!Table3[[#This Row],[C&amp;I Incentive Disbursements]]/'[1]1.) CLM Reference'!$B$5</f>
        <v>0</v>
      </c>
      <c r="Q304">
        <f>VLOOKUP(Table3[[#This Row],[Census Tract]],'Population and Diversity Data'!$B$2:$K$823,10,FALSE)</f>
        <v>5</v>
      </c>
      <c r="R304" t="str">
        <f>VLOOKUP(Table3[[#This Row],[Census Tract]],'ES Energy Burden'!$B$2:$E$914,4,FALSE)</f>
        <v>No</v>
      </c>
    </row>
    <row r="305" spans="1:18" x14ac:dyDescent="0.2">
      <c r="A305" t="s">
        <v>2785</v>
      </c>
      <c r="B305" s="169">
        <v>9003330100</v>
      </c>
      <c r="C305" t="s">
        <v>944</v>
      </c>
      <c r="D305" s="170">
        <f>[1]!Table3[[#This Row],[Residential CLM $ Collected]]+[1]!Table3[[#This Row],[C&amp;I CLM $ Collected]]</f>
        <v>36044.890748999998</v>
      </c>
      <c r="E305" s="28">
        <f>[1]!Table3[[#This Row],[CLM $ Collected ]]/'[1]1.) CLM Reference'!$B$4</f>
        <v>3.8803666744736303E-4</v>
      </c>
      <c r="F305" s="170">
        <f>[1]!Table3[[#This Row],[Residential Incentive Disbursements]]+[1]!Table3[[#This Row],[C&amp;I Incentive Disbursements]]</f>
        <v>52911.740000000005</v>
      </c>
      <c r="G305" s="28">
        <f>[1]!Table3[[#This Row],[Incentive Disbursements]]/'[1]1.) CLM Reference'!$B$5</f>
        <v>4.248358395054333E-4</v>
      </c>
      <c r="H305" s="228">
        <v>32880.825368999998</v>
      </c>
      <c r="I305" s="28">
        <f>[1]!Table3[[#This Row],[Residential CLM $ Collected]]/'[1]1.) CLM Reference'!$B$4</f>
        <v>3.5397432573601147E-4</v>
      </c>
      <c r="J305" s="229">
        <v>49310.12</v>
      </c>
      <c r="K305" s="28">
        <f>[1]!Table3[[#This Row],[Residential Incentive Disbursements]]/'[1]1.) CLM Reference'!$B$5</f>
        <v>3.9591792343842135E-4</v>
      </c>
      <c r="L305" s="229">
        <v>3164.06538</v>
      </c>
      <c r="M305" s="28">
        <f>[1]!Table3[[#This Row],[C&amp;I CLM $ Collected]]/'[1]1.) CLM Reference'!$B$4</f>
        <v>3.4062341711351611E-5</v>
      </c>
      <c r="N305" s="229">
        <v>3601.62</v>
      </c>
      <c r="O305" s="28">
        <f>[1]!Table3[[#This Row],[C&amp;I Incentive Disbursements]]/'[1]1.) CLM Reference'!$B$5</f>
        <v>2.8917916067011941E-5</v>
      </c>
      <c r="Q305">
        <f>VLOOKUP(Table3[[#This Row],[Census Tract]],'Population and Diversity Data'!$B$2:$K$823,10,FALSE)</f>
        <v>3</v>
      </c>
      <c r="R305" t="str">
        <f>VLOOKUP(Table3[[#This Row],[Census Tract]],'ES Energy Burden'!$B$2:$E$914,4,FALSE)</f>
        <v>No</v>
      </c>
    </row>
    <row r="306" spans="1:18" x14ac:dyDescent="0.2">
      <c r="A306" t="s">
        <v>2786</v>
      </c>
      <c r="B306" s="169">
        <v>9003410102</v>
      </c>
      <c r="C306" t="s">
        <v>944</v>
      </c>
      <c r="D306" s="170">
        <f>[1]!Table3[[#This Row],[Residential CLM $ Collected]]+[1]!Table3[[#This Row],[C&amp;I CLM $ Collected]]</f>
        <v>424.61496</v>
      </c>
      <c r="E306" s="28">
        <f>[1]!Table3[[#This Row],[CLM $ Collected ]]/'[1]1.) CLM Reference'!$B$4</f>
        <v>4.5711381170233259E-6</v>
      </c>
      <c r="F306" s="170">
        <f>[1]!Table3[[#This Row],[Residential Incentive Disbursements]]+[1]!Table3[[#This Row],[C&amp;I Incentive Disbursements]]</f>
        <v>750</v>
      </c>
      <c r="G306" s="28">
        <f>[1]!Table3[[#This Row],[Incentive Disbursements]]/'[1]1.) CLM Reference'!$B$5</f>
        <v>6.0218560120887148E-6</v>
      </c>
      <c r="H306" s="228">
        <v>424.61496</v>
      </c>
      <c r="I306" s="28">
        <f>[1]!Table3[[#This Row],[Residential CLM $ Collected]]/'[1]1.) CLM Reference'!$B$4</f>
        <v>4.5711381170233259E-6</v>
      </c>
      <c r="J306" s="229">
        <v>750</v>
      </c>
      <c r="K306" s="28">
        <f>[1]!Table3[[#This Row],[Residential Incentive Disbursements]]/'[1]1.) CLM Reference'!$B$5</f>
        <v>6.0218560120887148E-6</v>
      </c>
      <c r="L306" s="229">
        <v>0</v>
      </c>
      <c r="M306" s="28">
        <f>[1]!Table3[[#This Row],[C&amp;I CLM $ Collected]]/'[1]1.) CLM Reference'!$B$4</f>
        <v>0</v>
      </c>
      <c r="N306" s="229">
        <v>0</v>
      </c>
      <c r="O306" s="28">
        <f>[1]!Table3[[#This Row],[C&amp;I Incentive Disbursements]]/'[1]1.) CLM Reference'!$B$5</f>
        <v>0</v>
      </c>
      <c r="Q306">
        <f>VLOOKUP(Table3[[#This Row],[Census Tract]],'Population and Diversity Data'!$B$2:$K$823,10,FALSE)</f>
        <v>2</v>
      </c>
      <c r="R306" t="str">
        <f>VLOOKUP(Table3[[#This Row],[Census Tract]],'ES Energy Burden'!$B$2:$E$914,4,FALSE)</f>
        <v>No</v>
      </c>
    </row>
    <row r="307" spans="1:18" x14ac:dyDescent="0.2">
      <c r="A307" t="s">
        <v>2786</v>
      </c>
      <c r="B307" s="169">
        <v>9005298300</v>
      </c>
      <c r="C307" t="s">
        <v>944</v>
      </c>
      <c r="D307" s="170">
        <f>[1]!Table3[[#This Row],[Residential CLM $ Collected]]+[1]!Table3[[#This Row],[C&amp;I CLM $ Collected]]</f>
        <v>78619.591805999997</v>
      </c>
      <c r="E307" s="28">
        <f>[1]!Table3[[#This Row],[CLM $ Collected ]]/'[1]1.) CLM Reference'!$B$4</f>
        <v>8.4636917373147043E-4</v>
      </c>
      <c r="F307" s="170">
        <f>[1]!Table3[[#This Row],[Residential Incentive Disbursements]]+[1]!Table3[[#This Row],[C&amp;I Incentive Disbursements]]</f>
        <v>130502.37</v>
      </c>
      <c r="G307" s="28">
        <f>[1]!Table3[[#This Row],[Incentive Disbursements]]/'[1]1.) CLM Reference'!$B$5</f>
        <v>1.0478219751684345E-3</v>
      </c>
      <c r="H307" s="228">
        <v>65216.394935999997</v>
      </c>
      <c r="I307" s="28">
        <f>[1]!Table3[[#This Row],[Residential CLM $ Collected]]/'[1]1.) CLM Reference'!$B$4</f>
        <v>7.0207876977955897E-4</v>
      </c>
      <c r="J307" s="229">
        <v>95981.52</v>
      </c>
      <c r="K307" s="28">
        <f>[1]!Table3[[#This Row],[Residential Incentive Disbursements]]/'[1]1.) CLM Reference'!$B$5</f>
        <v>7.7064919101521763E-4</v>
      </c>
      <c r="L307" s="229">
        <v>13403.19687</v>
      </c>
      <c r="M307" s="28">
        <f>[1]!Table3[[#This Row],[C&amp;I CLM $ Collected]]/'[1]1.) CLM Reference'!$B$4</f>
        <v>1.4429040395191149E-4</v>
      </c>
      <c r="N307" s="229">
        <v>34520.85</v>
      </c>
      <c r="O307" s="28">
        <f>[1]!Table3[[#This Row],[C&amp;I Incentive Disbursements]]/'[1]1.) CLM Reference'!$B$5</f>
        <v>2.7717278415321692E-4</v>
      </c>
      <c r="Q307">
        <f>VLOOKUP(Table3[[#This Row],[Census Tract]],'Population and Diversity Data'!$B$2:$K$823,10,FALSE)</f>
        <v>1</v>
      </c>
      <c r="R307" t="str">
        <f>VLOOKUP(Table3[[#This Row],[Census Tract]],'ES Energy Burden'!$B$2:$E$914,4,FALSE)</f>
        <v>No</v>
      </c>
    </row>
    <row r="308" spans="1:18" x14ac:dyDescent="0.2">
      <c r="A308" t="s">
        <v>2786</v>
      </c>
      <c r="B308" s="169">
        <v>9005298400</v>
      </c>
      <c r="C308" t="s">
        <v>944</v>
      </c>
      <c r="D308" s="170">
        <f>[1]!Table3[[#This Row],[Residential CLM $ Collected]]+[1]!Table3[[#This Row],[C&amp;I CLM $ Collected]]</f>
        <v>38389.077636000002</v>
      </c>
      <c r="E308" s="28">
        <f>[1]!Table3[[#This Row],[CLM $ Collected ]]/'[1]1.) CLM Reference'!$B$4</f>
        <v>4.1327271196306257E-4</v>
      </c>
      <c r="F308" s="170">
        <f>[1]!Table3[[#This Row],[Residential Incentive Disbursements]]+[1]!Table3[[#This Row],[C&amp;I Incentive Disbursements]]</f>
        <v>18386.88</v>
      </c>
      <c r="G308" s="28">
        <f>[1]!Table3[[#This Row],[Incentive Disbursements]]/'[1]1.) CLM Reference'!$B$5</f>
        <v>1.4763085849540499E-4</v>
      </c>
      <c r="H308" s="228">
        <v>38389.077636000002</v>
      </c>
      <c r="I308" s="28">
        <f>[1]!Table3[[#This Row],[Residential CLM $ Collected]]/'[1]1.) CLM Reference'!$B$4</f>
        <v>4.1327271196306257E-4</v>
      </c>
      <c r="J308" s="229">
        <v>18386.88</v>
      </c>
      <c r="K308" s="28">
        <f>[1]!Table3[[#This Row],[Residential Incentive Disbursements]]/'[1]1.) CLM Reference'!$B$5</f>
        <v>1.4763085849540499E-4</v>
      </c>
      <c r="L308" s="229">
        <v>0</v>
      </c>
      <c r="M308" s="28">
        <f>[1]!Table3[[#This Row],[C&amp;I CLM $ Collected]]/'[1]1.) CLM Reference'!$B$4</f>
        <v>0</v>
      </c>
      <c r="N308" s="229">
        <v>0</v>
      </c>
      <c r="O308" s="28">
        <f>[1]!Table3[[#This Row],[C&amp;I Incentive Disbursements]]/'[1]1.) CLM Reference'!$B$5</f>
        <v>0</v>
      </c>
      <c r="Q308">
        <f>VLOOKUP(Table3[[#This Row],[Census Tract]],'Population and Diversity Data'!$B$2:$K$823,10,FALSE)</f>
        <v>1</v>
      </c>
      <c r="R308" t="str">
        <f>VLOOKUP(Table3[[#This Row],[Census Tract]],'ES Energy Burden'!$B$2:$E$914,4,FALSE)</f>
        <v>No</v>
      </c>
    </row>
    <row r="309" spans="1:18" x14ac:dyDescent="0.2">
      <c r="A309" t="s">
        <v>2786</v>
      </c>
      <c r="B309" s="169">
        <v>9005310400</v>
      </c>
      <c r="C309" t="s">
        <v>944</v>
      </c>
      <c r="D309" s="170">
        <f>[1]!Table3[[#This Row],[Residential CLM $ Collected]]+[1]!Table3[[#This Row],[C&amp;I CLM $ Collected]]</f>
        <v>263.18670000000003</v>
      </c>
      <c r="E309" s="28">
        <f>[1]!Table3[[#This Row],[CLM $ Collected ]]/'[1]1.) CLM Reference'!$B$4</f>
        <v>2.83330280276414E-6</v>
      </c>
      <c r="F309" s="170">
        <f>[1]!Table3[[#This Row],[Residential Incentive Disbursements]]+[1]!Table3[[#This Row],[C&amp;I Incentive Disbursements]]</f>
        <v>0</v>
      </c>
      <c r="G309" s="28">
        <f>[1]!Table3[[#This Row],[Incentive Disbursements]]/'[1]1.) CLM Reference'!$B$5</f>
        <v>0</v>
      </c>
      <c r="H309" s="228">
        <v>263.18670000000003</v>
      </c>
      <c r="I309" s="28">
        <f>[1]!Table3[[#This Row],[Residential CLM $ Collected]]/'[1]1.) CLM Reference'!$B$4</f>
        <v>2.83330280276414E-6</v>
      </c>
      <c r="J309" s="229">
        <v>0</v>
      </c>
      <c r="K309" s="28">
        <f>[1]!Table3[[#This Row],[Residential Incentive Disbursements]]/'[1]1.) CLM Reference'!$B$5</f>
        <v>0</v>
      </c>
      <c r="L309" s="229">
        <v>0</v>
      </c>
      <c r="M309" s="28">
        <f>[1]!Table3[[#This Row],[C&amp;I CLM $ Collected]]/'[1]1.) CLM Reference'!$B$4</f>
        <v>0</v>
      </c>
      <c r="N309" s="229">
        <v>0</v>
      </c>
      <c r="O309" s="28">
        <f>[1]!Table3[[#This Row],[C&amp;I Incentive Disbursements]]/'[1]1.) CLM Reference'!$B$5</f>
        <v>0</v>
      </c>
      <c r="Q309">
        <f>VLOOKUP(Table3[[#This Row],[Census Tract]],'Population and Diversity Data'!$B$2:$K$823,10,FALSE)</f>
        <v>3</v>
      </c>
      <c r="R309" t="str">
        <f>VLOOKUP(Table3[[#This Row],[Census Tract]],'ES Energy Burden'!$B$2:$E$914,4,FALSE)</f>
        <v>No</v>
      </c>
    </row>
    <row r="310" spans="1:18" x14ac:dyDescent="0.2">
      <c r="A310" t="s">
        <v>2786</v>
      </c>
      <c r="B310" s="169">
        <v>9005349200</v>
      </c>
      <c r="C310" t="s">
        <v>944</v>
      </c>
      <c r="D310" s="170">
        <f>[1]!Table3[[#This Row],[Residential CLM $ Collected]]+[1]!Table3[[#This Row],[C&amp;I CLM $ Collected]]</f>
        <v>29.762460000000001</v>
      </c>
      <c r="E310" s="28">
        <f>[1]!Table3[[#This Row],[CLM $ Collected ]]/'[1]1.) CLM Reference'!$B$4</f>
        <v>3.2040396165594841E-7</v>
      </c>
      <c r="F310" s="170">
        <f>[1]!Table3[[#This Row],[Residential Incentive Disbursements]]+[1]!Table3[[#This Row],[C&amp;I Incentive Disbursements]]</f>
        <v>0</v>
      </c>
      <c r="G310" s="28">
        <f>[1]!Table3[[#This Row],[Incentive Disbursements]]/'[1]1.) CLM Reference'!$B$5</f>
        <v>0</v>
      </c>
      <c r="H310" s="228">
        <v>29.762460000000001</v>
      </c>
      <c r="I310" s="28">
        <f>[1]!Table3[[#This Row],[Residential CLM $ Collected]]/'[1]1.) CLM Reference'!$B$4</f>
        <v>3.2040396165594841E-7</v>
      </c>
      <c r="J310" s="229">
        <v>0</v>
      </c>
      <c r="K310" s="28">
        <f>[1]!Table3[[#This Row],[Residential Incentive Disbursements]]/'[1]1.) CLM Reference'!$B$5</f>
        <v>0</v>
      </c>
      <c r="L310" s="229">
        <v>0</v>
      </c>
      <c r="M310" s="28">
        <f>[1]!Table3[[#This Row],[C&amp;I CLM $ Collected]]/'[1]1.) CLM Reference'!$B$4</f>
        <v>0</v>
      </c>
      <c r="N310" s="229">
        <v>0</v>
      </c>
      <c r="O310" s="28">
        <f>[1]!Table3[[#This Row],[C&amp;I Incentive Disbursements]]/'[1]1.) CLM Reference'!$B$5</f>
        <v>0</v>
      </c>
      <c r="Q310">
        <f>VLOOKUP(Table3[[#This Row],[Census Tract]],'Population and Diversity Data'!$B$2:$K$823,10,FALSE)</f>
        <v>1</v>
      </c>
      <c r="R310" t="str">
        <f>VLOOKUP(Table3[[#This Row],[Census Tract]],'ES Energy Burden'!$B$2:$E$914,4,FALSE)</f>
        <v>No</v>
      </c>
    </row>
    <row r="311" spans="1:18" x14ac:dyDescent="0.2">
      <c r="A311" t="s">
        <v>2786</v>
      </c>
      <c r="B311" s="169">
        <v>9005425300</v>
      </c>
      <c r="C311" t="s">
        <v>944</v>
      </c>
      <c r="D311" s="170">
        <f>[1]!Table3[[#This Row],[Residential CLM $ Collected]]+[1]!Table3[[#This Row],[C&amp;I CLM $ Collected]]</f>
        <v>45.991260000000004</v>
      </c>
      <c r="E311" s="28">
        <f>[1]!Table3[[#This Row],[CLM $ Collected ]]/'[1]1.) CLM Reference'!$B$4</f>
        <v>4.9511303519765354E-7</v>
      </c>
      <c r="F311" s="170">
        <f>[1]!Table3[[#This Row],[Residential Incentive Disbursements]]+[1]!Table3[[#This Row],[C&amp;I Incentive Disbursements]]</f>
        <v>0</v>
      </c>
      <c r="G311" s="28">
        <f>[1]!Table3[[#This Row],[Incentive Disbursements]]/'[1]1.) CLM Reference'!$B$5</f>
        <v>0</v>
      </c>
      <c r="H311" s="228">
        <v>45.991260000000004</v>
      </c>
      <c r="I311" s="28">
        <f>[1]!Table3[[#This Row],[Residential CLM $ Collected]]/'[1]1.) CLM Reference'!$B$4</f>
        <v>4.9511303519765354E-7</v>
      </c>
      <c r="J311" s="229">
        <v>0</v>
      </c>
      <c r="K311" s="28">
        <f>[1]!Table3[[#This Row],[Residential Incentive Disbursements]]/'[1]1.) CLM Reference'!$B$5</f>
        <v>0</v>
      </c>
      <c r="L311" s="229">
        <v>0</v>
      </c>
      <c r="M311" s="28">
        <f>[1]!Table3[[#This Row],[C&amp;I CLM $ Collected]]/'[1]1.) CLM Reference'!$B$4</f>
        <v>0</v>
      </c>
      <c r="N311" s="229">
        <v>0</v>
      </c>
      <c r="O311" s="28">
        <f>[1]!Table3[[#This Row],[C&amp;I Incentive Disbursements]]/'[1]1.) CLM Reference'!$B$5</f>
        <v>0</v>
      </c>
      <c r="Q311">
        <f>VLOOKUP(Table3[[#This Row],[Census Tract]],'Population and Diversity Data'!$B$2:$K$823,10,FALSE)</f>
        <v>1</v>
      </c>
      <c r="R311" t="str">
        <f>VLOOKUP(Table3[[#This Row],[Census Tract]],'ES Energy Burden'!$B$2:$E$914,4,FALSE)</f>
        <v>No</v>
      </c>
    </row>
    <row r="312" spans="1:18" x14ac:dyDescent="0.2">
      <c r="A312" t="s">
        <v>2787</v>
      </c>
      <c r="B312" s="169">
        <v>9011714104</v>
      </c>
      <c r="C312" t="s">
        <v>944</v>
      </c>
      <c r="D312" s="170">
        <f>[1]!Table3[[#This Row],[Residential CLM $ Collected]]+[1]!Table3[[#This Row],[C&amp;I CLM $ Collected]]</f>
        <v>370.47066000000001</v>
      </c>
      <c r="E312" s="28">
        <f>[1]!Table3[[#This Row],[CLM $ Collected ]]/'[1]1.) CLM Reference'!$B$4</f>
        <v>3.9882545710701971E-6</v>
      </c>
      <c r="F312" s="170">
        <f>[1]!Table3[[#This Row],[Residential Incentive Disbursements]]+[1]!Table3[[#This Row],[C&amp;I Incentive Disbursements]]</f>
        <v>9206.4500000000007</v>
      </c>
      <c r="G312" s="28">
        <f>[1]!Table3[[#This Row],[Incentive Disbursements]]/'[1]1.) CLM Reference'!$B$5</f>
        <v>7.3919888376658866E-5</v>
      </c>
      <c r="H312" s="228">
        <v>370.47066000000001</v>
      </c>
      <c r="I312" s="28">
        <f>[1]!Table3[[#This Row],[Residential CLM $ Collected]]/'[1]1.) CLM Reference'!$B$4</f>
        <v>3.9882545710701971E-6</v>
      </c>
      <c r="J312" s="229">
        <v>9206.4500000000007</v>
      </c>
      <c r="K312" s="28">
        <f>[1]!Table3[[#This Row],[Residential Incentive Disbursements]]/'[1]1.) CLM Reference'!$B$5</f>
        <v>7.3919888376658866E-5</v>
      </c>
      <c r="L312" s="229">
        <v>0</v>
      </c>
      <c r="M312" s="28">
        <f>[1]!Table3[[#This Row],[C&amp;I CLM $ Collected]]/'[1]1.) CLM Reference'!$B$4</f>
        <v>0</v>
      </c>
      <c r="N312" s="229">
        <v>0</v>
      </c>
      <c r="O312" s="28">
        <f>[1]!Table3[[#This Row],[C&amp;I Incentive Disbursements]]/'[1]1.) CLM Reference'!$B$5</f>
        <v>0</v>
      </c>
      <c r="Q312">
        <f>VLOOKUP(Table3[[#This Row],[Census Tract]],'Population and Diversity Data'!$B$2:$K$823,10,FALSE)</f>
        <v>1</v>
      </c>
      <c r="R312" t="str">
        <f>VLOOKUP(Table3[[#This Row],[Census Tract]],'ES Energy Burden'!$B$2:$E$914,4,FALSE)</f>
        <v>No</v>
      </c>
    </row>
    <row r="313" spans="1:18" x14ac:dyDescent="0.2">
      <c r="A313" t="s">
        <v>2787</v>
      </c>
      <c r="B313" s="169">
        <v>9013526101</v>
      </c>
      <c r="C313" t="s">
        <v>944</v>
      </c>
      <c r="D313" s="170">
        <f>[1]!Table3[[#This Row],[Residential CLM $ Collected]]+[1]!Table3[[#This Row],[C&amp;I CLM $ Collected]]</f>
        <v>27626.121053999999</v>
      </c>
      <c r="E313" s="28">
        <f>[1]!Table3[[#This Row],[CLM $ Collected ]]/'[1]1.) CLM Reference'!$B$4</f>
        <v>2.9740547760126029E-4</v>
      </c>
      <c r="F313" s="170">
        <f>[1]!Table3[[#This Row],[Residential Incentive Disbursements]]+[1]!Table3[[#This Row],[C&amp;I Incentive Disbursements]]</f>
        <v>33265.18</v>
      </c>
      <c r="G313" s="28">
        <f>[1]!Table3[[#This Row],[Incentive Disbursements]]/'[1]1.) CLM Reference'!$B$5</f>
        <v>2.6709083223495103E-4</v>
      </c>
      <c r="H313" s="228">
        <v>27626.121053999999</v>
      </c>
      <c r="I313" s="28">
        <f>[1]!Table3[[#This Row],[Residential CLM $ Collected]]/'[1]1.) CLM Reference'!$B$4</f>
        <v>2.9740547760126029E-4</v>
      </c>
      <c r="J313" s="229">
        <v>33265.18</v>
      </c>
      <c r="K313" s="28">
        <f>[1]!Table3[[#This Row],[Residential Incentive Disbursements]]/'[1]1.) CLM Reference'!$B$5</f>
        <v>2.6709083223495103E-4</v>
      </c>
      <c r="L313" s="229">
        <v>0</v>
      </c>
      <c r="M313" s="28">
        <f>[1]!Table3[[#This Row],[C&amp;I CLM $ Collected]]/'[1]1.) CLM Reference'!$B$4</f>
        <v>0</v>
      </c>
      <c r="N313" s="229">
        <v>0</v>
      </c>
      <c r="O313" s="28">
        <f>[1]!Table3[[#This Row],[C&amp;I Incentive Disbursements]]/'[1]1.) CLM Reference'!$B$5</f>
        <v>0</v>
      </c>
      <c r="Q313">
        <f>VLOOKUP(Table3[[#This Row],[Census Tract]],'Population and Diversity Data'!$B$2:$K$823,10,FALSE)</f>
        <v>2</v>
      </c>
      <c r="R313" t="str">
        <f>VLOOKUP(Table3[[#This Row],[Census Tract]],'ES Energy Burden'!$B$2:$E$914,4,FALSE)</f>
        <v>No</v>
      </c>
    </row>
    <row r="314" spans="1:18" x14ac:dyDescent="0.2">
      <c r="A314" t="s">
        <v>2787</v>
      </c>
      <c r="B314" s="169">
        <v>9013526102</v>
      </c>
      <c r="C314" t="s">
        <v>944</v>
      </c>
      <c r="D314" s="170">
        <f>[1]!Table3[[#This Row],[Residential CLM $ Collected]]+[1]!Table3[[#This Row],[C&amp;I CLM $ Collected]]</f>
        <v>153614.660325</v>
      </c>
      <c r="E314" s="28">
        <f>[1]!Table3[[#This Row],[CLM $ Collected ]]/'[1]1.) CLM Reference'!$B$4</f>
        <v>1.6537190049667548E-3</v>
      </c>
      <c r="F314" s="170">
        <f>[1]!Table3[[#This Row],[Residential Incentive Disbursements]]+[1]!Table3[[#This Row],[C&amp;I Incentive Disbursements]]</f>
        <v>209915.63999999998</v>
      </c>
      <c r="G314" s="28">
        <f>[1]!Table3[[#This Row],[Incentive Disbursements]]/'[1]1.) CLM Reference'!$B$5</f>
        <v>1.6854423450206003E-3</v>
      </c>
      <c r="H314" s="228">
        <v>129425.947875</v>
      </c>
      <c r="I314" s="28">
        <f>[1]!Table3[[#This Row],[Residential CLM $ Collected]]/'[1]1.) CLM Reference'!$B$4</f>
        <v>1.3933185106414683E-3</v>
      </c>
      <c r="J314" s="229">
        <v>180299.86</v>
      </c>
      <c r="K314" s="28">
        <f>[1]!Table3[[#This Row],[Residential Incentive Disbursements]]/'[1]1.) CLM Reference'!$B$5</f>
        <v>1.4476530612263379E-3</v>
      </c>
      <c r="L314" s="229">
        <v>24188.712449999999</v>
      </c>
      <c r="M314" s="28">
        <f>[1]!Table3[[#This Row],[C&amp;I CLM $ Collected]]/'[1]1.) CLM Reference'!$B$4</f>
        <v>2.6040049432528631E-4</v>
      </c>
      <c r="N314" s="229">
        <v>29615.78</v>
      </c>
      <c r="O314" s="28">
        <f>[1]!Table3[[#This Row],[C&amp;I Incentive Disbursements]]/'[1]1.) CLM Reference'!$B$5</f>
        <v>2.3778928379426228E-4</v>
      </c>
      <c r="Q314">
        <f>VLOOKUP(Table3[[#This Row],[Census Tract]],'Population and Diversity Data'!$B$2:$K$823,10,FALSE)</f>
        <v>1</v>
      </c>
      <c r="R314" t="str">
        <f>VLOOKUP(Table3[[#This Row],[Census Tract]],'ES Energy Burden'!$B$2:$E$914,4,FALSE)</f>
        <v>No</v>
      </c>
    </row>
    <row r="315" spans="1:18" x14ac:dyDescent="0.2">
      <c r="A315" t="s">
        <v>2787</v>
      </c>
      <c r="B315" s="169">
        <v>9013860100</v>
      </c>
      <c r="C315" t="s">
        <v>944</v>
      </c>
      <c r="D315" s="170">
        <f>[1]!Table3[[#This Row],[Residential CLM $ Collected]]+[1]!Table3[[#This Row],[C&amp;I CLM $ Collected]]</f>
        <v>58.795590000000004</v>
      </c>
      <c r="E315" s="28">
        <f>[1]!Table3[[#This Row],[CLM $ Collected ]]/'[1]1.) CLM Reference'!$B$4</f>
        <v>6.3295641435213572E-7</v>
      </c>
      <c r="F315" s="170">
        <f>[1]!Table3[[#This Row],[Residential Incentive Disbursements]]+[1]!Table3[[#This Row],[C&amp;I Incentive Disbursements]]</f>
        <v>0</v>
      </c>
      <c r="G315" s="28">
        <f>[1]!Table3[[#This Row],[Incentive Disbursements]]/'[1]1.) CLM Reference'!$B$5</f>
        <v>0</v>
      </c>
      <c r="H315" s="228">
        <v>58.795590000000004</v>
      </c>
      <c r="I315" s="28">
        <f>[1]!Table3[[#This Row],[Residential CLM $ Collected]]/'[1]1.) CLM Reference'!$B$4</f>
        <v>6.3295641435213572E-7</v>
      </c>
      <c r="J315" s="229">
        <v>0</v>
      </c>
      <c r="K315" s="28">
        <f>[1]!Table3[[#This Row],[Residential Incentive Disbursements]]/'[1]1.) CLM Reference'!$B$5</f>
        <v>0</v>
      </c>
      <c r="L315" s="229">
        <v>0</v>
      </c>
      <c r="M315" s="28">
        <f>[1]!Table3[[#This Row],[C&amp;I CLM $ Collected]]/'[1]1.) CLM Reference'!$B$4</f>
        <v>0</v>
      </c>
      <c r="N315" s="229">
        <v>0</v>
      </c>
      <c r="O315" s="28">
        <f>[1]!Table3[[#This Row],[C&amp;I Incentive Disbursements]]/'[1]1.) CLM Reference'!$B$5</f>
        <v>0</v>
      </c>
      <c r="Q315">
        <f>VLOOKUP(Table3[[#This Row],[Census Tract]],'Population and Diversity Data'!$B$2:$K$823,10,FALSE)</f>
        <v>1</v>
      </c>
      <c r="R315" t="str">
        <f>VLOOKUP(Table3[[#This Row],[Census Tract]],'ES Energy Burden'!$B$2:$E$914,4,FALSE)</f>
        <v>No</v>
      </c>
    </row>
    <row r="316" spans="1:18" x14ac:dyDescent="0.2">
      <c r="A316" t="s">
        <v>2788</v>
      </c>
      <c r="B316" s="169">
        <v>9005253500</v>
      </c>
      <c r="C316" t="s">
        <v>944</v>
      </c>
      <c r="D316" s="170">
        <f>[1]!Table3[[#This Row],[Residential CLM $ Collected]]+[1]!Table3[[#This Row],[C&amp;I CLM $ Collected]]</f>
        <v>23.927820000000001</v>
      </c>
      <c r="E316" s="28">
        <f>[1]!Table3[[#This Row],[CLM $ Collected ]]/'[1]1.) CLM Reference'!$B$4</f>
        <v>2.5759188997785919E-7</v>
      </c>
      <c r="F316" s="170">
        <f>[1]!Table3[[#This Row],[Residential Incentive Disbursements]]+[1]!Table3[[#This Row],[C&amp;I Incentive Disbursements]]</f>
        <v>835</v>
      </c>
      <c r="G316" s="28">
        <f>[1]!Table3[[#This Row],[Incentive Disbursements]]/'[1]1.) CLM Reference'!$B$5</f>
        <v>6.7043330267921025E-6</v>
      </c>
      <c r="H316" s="228">
        <v>23.927820000000001</v>
      </c>
      <c r="I316" s="28">
        <f>[1]!Table3[[#This Row],[Residential CLM $ Collected]]/'[1]1.) CLM Reference'!$B$4</f>
        <v>2.5759188997785919E-7</v>
      </c>
      <c r="J316" s="229">
        <v>835</v>
      </c>
      <c r="K316" s="28">
        <f>[1]!Table3[[#This Row],[Residential Incentive Disbursements]]/'[1]1.) CLM Reference'!$B$5</f>
        <v>6.7043330267921025E-6</v>
      </c>
      <c r="L316" s="229">
        <v>0</v>
      </c>
      <c r="M316" s="28">
        <f>[1]!Table3[[#This Row],[C&amp;I CLM $ Collected]]/'[1]1.) CLM Reference'!$B$4</f>
        <v>0</v>
      </c>
      <c r="N316" s="229">
        <v>0</v>
      </c>
      <c r="O316" s="28">
        <f>[1]!Table3[[#This Row],[C&amp;I Incentive Disbursements]]/'[1]1.) CLM Reference'!$B$5</f>
        <v>0</v>
      </c>
      <c r="Q316">
        <f>VLOOKUP(Table3[[#This Row],[Census Tract]],'Population and Diversity Data'!$B$2:$K$823,10,FALSE)</f>
        <v>4</v>
      </c>
      <c r="R316" t="str">
        <f>VLOOKUP(Table3[[#This Row],[Census Tract]],'ES Energy Burden'!$B$2:$E$914,4,FALSE)</f>
        <v>No</v>
      </c>
    </row>
    <row r="317" spans="1:18" x14ac:dyDescent="0.2">
      <c r="A317" t="s">
        <v>2788</v>
      </c>
      <c r="B317" s="169">
        <v>9005266100</v>
      </c>
      <c r="C317" t="s">
        <v>944</v>
      </c>
      <c r="D317" s="170">
        <f>[1]!Table3[[#This Row],[Residential CLM $ Collected]]+[1]!Table3[[#This Row],[C&amp;I CLM $ Collected]]</f>
        <v>129200.50955699998</v>
      </c>
      <c r="E317" s="28">
        <f>[1]!Table3[[#This Row],[CLM $ Collected ]]/'[1]1.) CLM Reference'!$B$4</f>
        <v>1.3908915832236319E-3</v>
      </c>
      <c r="F317" s="170">
        <f>[1]!Table3[[#This Row],[Residential Incentive Disbursements]]+[1]!Table3[[#This Row],[C&amp;I Incentive Disbursements]]</f>
        <v>160736.25</v>
      </c>
      <c r="G317" s="28">
        <f>[1]!Table3[[#This Row],[Incentive Disbursements]]/'[1]1.) CLM Reference'!$B$5</f>
        <v>1.290574071230793E-3</v>
      </c>
      <c r="H317" s="228">
        <v>93031.011086999992</v>
      </c>
      <c r="I317" s="28">
        <f>[1]!Table3[[#This Row],[Residential CLM $ Collected]]/'[1]1.) CLM Reference'!$B$4</f>
        <v>1.0015134672716321E-3</v>
      </c>
      <c r="J317" s="229">
        <v>127363.23</v>
      </c>
      <c r="K317" s="28">
        <f>[1]!Table3[[#This Row],[Residential Incentive Disbursements]]/'[1]1.) CLM Reference'!$B$5</f>
        <v>1.0226173763927171E-3</v>
      </c>
      <c r="L317" s="229">
        <v>36169.498469999999</v>
      </c>
      <c r="M317" s="28">
        <f>[1]!Table3[[#This Row],[C&amp;I CLM $ Collected]]/'[1]1.) CLM Reference'!$B$4</f>
        <v>3.8937811595200007E-4</v>
      </c>
      <c r="N317" s="229">
        <v>33373.019999999997</v>
      </c>
      <c r="O317" s="28">
        <f>[1]!Table3[[#This Row],[C&amp;I Incentive Disbursements]]/'[1]1.) CLM Reference'!$B$5</f>
        <v>2.6795669483807588E-4</v>
      </c>
      <c r="Q317">
        <f>VLOOKUP(Table3[[#This Row],[Census Tract]],'Population and Diversity Data'!$B$2:$K$823,10,FALSE)</f>
        <v>2</v>
      </c>
      <c r="R317" t="str">
        <f>VLOOKUP(Table3[[#This Row],[Census Tract]],'ES Energy Burden'!$B$2:$E$914,4,FALSE)</f>
        <v>No</v>
      </c>
    </row>
    <row r="318" spans="1:18" x14ac:dyDescent="0.2">
      <c r="A318" t="s">
        <v>2789</v>
      </c>
      <c r="B318" s="169">
        <v>9015904100</v>
      </c>
      <c r="C318" t="s">
        <v>944</v>
      </c>
      <c r="D318" s="170">
        <f>[1]!Table3[[#This Row],[Residential CLM $ Collected]]+[1]!Table3[[#This Row],[C&amp;I CLM $ Collected]]</f>
        <v>87179.223620999997</v>
      </c>
      <c r="E318" s="28">
        <f>[1]!Table3[[#This Row],[CLM $ Collected ]]/'[1]1.) CLM Reference'!$B$4</f>
        <v>9.3851679673851677E-4</v>
      </c>
      <c r="F318" s="170">
        <f>[1]!Table3[[#This Row],[Residential Incentive Disbursements]]+[1]!Table3[[#This Row],[C&amp;I Incentive Disbursements]]</f>
        <v>126251.705</v>
      </c>
      <c r="G318" s="28">
        <f>[1]!Table3[[#This Row],[Incentive Disbursements]]/'[1]1.) CLM Reference'!$B$5</f>
        <v>1.0136927850542678E-3</v>
      </c>
      <c r="H318" s="228">
        <v>87179.223620999997</v>
      </c>
      <c r="I318" s="28">
        <f>[1]!Table3[[#This Row],[Residential CLM $ Collected]]/'[1]1.) CLM Reference'!$B$4</f>
        <v>9.3851679673851677E-4</v>
      </c>
      <c r="J318" s="229">
        <v>126251.705</v>
      </c>
      <c r="K318" s="28">
        <f>[1]!Table3[[#This Row],[Residential Incentive Disbursements]]/'[1]1.) CLM Reference'!$B$5</f>
        <v>1.0136927850542678E-3</v>
      </c>
      <c r="L318" s="229">
        <v>0</v>
      </c>
      <c r="M318" s="28">
        <f>[1]!Table3[[#This Row],[C&amp;I CLM $ Collected]]/'[1]1.) CLM Reference'!$B$4</f>
        <v>0</v>
      </c>
      <c r="N318" s="229">
        <v>0</v>
      </c>
      <c r="O318" s="28">
        <f>[1]!Table3[[#This Row],[C&amp;I Incentive Disbursements]]/'[1]1.) CLM Reference'!$B$5</f>
        <v>0</v>
      </c>
      <c r="Q318">
        <f>VLOOKUP(Table3[[#This Row],[Census Tract]],'Population and Diversity Data'!$B$2:$K$823,10,FALSE)</f>
        <v>2</v>
      </c>
      <c r="R318" t="str">
        <f>VLOOKUP(Table3[[#This Row],[Census Tract]],'ES Energy Burden'!$B$2:$E$914,4,FALSE)</f>
        <v>No</v>
      </c>
    </row>
    <row r="319" spans="1:18" x14ac:dyDescent="0.2">
      <c r="A319" t="s">
        <v>2789</v>
      </c>
      <c r="B319" s="169">
        <v>9015904400</v>
      </c>
      <c r="C319" t="s">
        <v>944</v>
      </c>
      <c r="D319" s="170">
        <f>[1]!Table3[[#This Row],[Residential CLM $ Collected]]+[1]!Table3[[#This Row],[C&amp;I CLM $ Collected]]</f>
        <v>209768.796741</v>
      </c>
      <c r="E319" s="28">
        <f>[1]!Table3[[#This Row],[CLM $ Collected ]]/'[1]1.) CLM Reference'!$B$4</f>
        <v>2.258239188145664E-3</v>
      </c>
      <c r="F319" s="170">
        <f>[1]!Table3[[#This Row],[Residential Incentive Disbursements]]+[1]!Table3[[#This Row],[C&amp;I Incentive Disbursements]]</f>
        <v>451334.16799999995</v>
      </c>
      <c r="G319" s="28">
        <f>[1]!Table3[[#This Row],[Incentive Disbursements]]/'[1]1.) CLM Reference'!$B$5</f>
        <v>3.6238258307091436E-3</v>
      </c>
      <c r="H319" s="228">
        <v>123855.857601</v>
      </c>
      <c r="I319" s="28">
        <f>[1]!Table3[[#This Row],[Residential CLM $ Collected]]/'[1]1.) CLM Reference'!$B$4</f>
        <v>1.3333544152484508E-3</v>
      </c>
      <c r="J319" s="229">
        <v>161450.32999999999</v>
      </c>
      <c r="K319" s="28">
        <f>[1]!Table3[[#This Row],[Residential Incentive Disbursements]]/'[1]1.) CLM Reference'!$B$5</f>
        <v>1.2963075204856093E-3</v>
      </c>
      <c r="L319" s="229">
        <v>85912.939140000002</v>
      </c>
      <c r="M319" s="28">
        <f>[1]!Table3[[#This Row],[C&amp;I CLM $ Collected]]/'[1]1.) CLM Reference'!$B$4</f>
        <v>9.2488477289721309E-4</v>
      </c>
      <c r="N319" s="229">
        <v>289883.83799999999</v>
      </c>
      <c r="O319" s="28">
        <f>[1]!Table3[[#This Row],[C&amp;I Incentive Disbursements]]/'[1]1.) CLM Reference'!$B$5</f>
        <v>2.3275183102235346E-3</v>
      </c>
      <c r="Q319">
        <f>VLOOKUP(Table3[[#This Row],[Census Tract]],'Population and Diversity Data'!$B$2:$K$823,10,FALSE)</f>
        <v>3</v>
      </c>
      <c r="R319" t="str">
        <f>VLOOKUP(Table3[[#This Row],[Census Tract]],'ES Energy Burden'!$B$2:$E$914,4,FALSE)</f>
        <v>No</v>
      </c>
    </row>
    <row r="320" spans="1:18" x14ac:dyDescent="0.2">
      <c r="A320" t="s">
        <v>2789</v>
      </c>
      <c r="B320" s="169">
        <v>9015904500</v>
      </c>
      <c r="C320" t="s">
        <v>944</v>
      </c>
      <c r="D320" s="170">
        <f>[1]!Table3[[#This Row],[Residential CLM $ Collected]]+[1]!Table3[[#This Row],[C&amp;I CLM $ Collected]]</f>
        <v>61979.582511000001</v>
      </c>
      <c r="E320" s="28">
        <f>[1]!Table3[[#This Row],[CLM $ Collected ]]/'[1]1.) CLM Reference'!$B$4</f>
        <v>6.6723327904703227E-4</v>
      </c>
      <c r="F320" s="170">
        <f>[1]!Table3[[#This Row],[Residential Incentive Disbursements]]+[1]!Table3[[#This Row],[C&amp;I Incentive Disbursements]]</f>
        <v>145968.62</v>
      </c>
      <c r="G320" s="28">
        <f>[1]!Table3[[#This Row],[Incentive Disbursements]]/'[1]1.) CLM Reference'!$B$5</f>
        <v>1.1720026825643908E-3</v>
      </c>
      <c r="H320" s="228">
        <v>61979.582511000001</v>
      </c>
      <c r="I320" s="28">
        <f>[1]!Table3[[#This Row],[Residential CLM $ Collected]]/'[1]1.) CLM Reference'!$B$4</f>
        <v>6.6723327904703227E-4</v>
      </c>
      <c r="J320" s="229">
        <v>145968.62</v>
      </c>
      <c r="K320" s="28">
        <f>[1]!Table3[[#This Row],[Residential Incentive Disbursements]]/'[1]1.) CLM Reference'!$B$5</f>
        <v>1.1720026825643908E-3</v>
      </c>
      <c r="L320" s="229">
        <v>0</v>
      </c>
      <c r="M320" s="28">
        <f>[1]!Table3[[#This Row],[C&amp;I CLM $ Collected]]/'[1]1.) CLM Reference'!$B$4</f>
        <v>0</v>
      </c>
      <c r="N320" s="229">
        <v>0</v>
      </c>
      <c r="O320" s="28">
        <f>[1]!Table3[[#This Row],[C&amp;I Incentive Disbursements]]/'[1]1.) CLM Reference'!$B$5</f>
        <v>0</v>
      </c>
      <c r="Q320">
        <f>VLOOKUP(Table3[[#This Row],[Census Tract]],'Population and Diversity Data'!$B$2:$K$823,10,FALSE)</f>
        <v>5</v>
      </c>
      <c r="R320" t="str">
        <f>VLOOKUP(Table3[[#This Row],[Census Tract]],'ES Energy Burden'!$B$2:$E$914,4,FALSE)</f>
        <v>No</v>
      </c>
    </row>
    <row r="321" spans="1:18" x14ac:dyDescent="0.2">
      <c r="A321" t="s">
        <v>2789</v>
      </c>
      <c r="B321" s="169">
        <v>9015907100</v>
      </c>
      <c r="C321" t="s">
        <v>944</v>
      </c>
      <c r="D321" s="170">
        <f>[1]!Table3[[#This Row],[Residential CLM $ Collected]]+[1]!Table3[[#This Row],[C&amp;I CLM $ Collected]]</f>
        <v>1025.75676</v>
      </c>
      <c r="E321" s="28">
        <f>[1]!Table3[[#This Row],[CLM $ Collected ]]/'[1]1.) CLM Reference'!$B$4</f>
        <v>1.1042653382797318E-5</v>
      </c>
      <c r="F321" s="170">
        <f>[1]!Table3[[#This Row],[Residential Incentive Disbursements]]+[1]!Table3[[#This Row],[C&amp;I Incentive Disbursements]]</f>
        <v>0</v>
      </c>
      <c r="G321" s="28">
        <f>[1]!Table3[[#This Row],[Incentive Disbursements]]/'[1]1.) CLM Reference'!$B$5</f>
        <v>0</v>
      </c>
      <c r="H321" s="228">
        <v>1025.75676</v>
      </c>
      <c r="I321" s="28">
        <f>[1]!Table3[[#This Row],[Residential CLM $ Collected]]/'[1]1.) CLM Reference'!$B$4</f>
        <v>1.1042653382797318E-5</v>
      </c>
      <c r="J321" s="229">
        <v>0</v>
      </c>
      <c r="K321" s="28">
        <f>[1]!Table3[[#This Row],[Residential Incentive Disbursements]]/'[1]1.) CLM Reference'!$B$5</f>
        <v>0</v>
      </c>
      <c r="L321" s="229">
        <v>0</v>
      </c>
      <c r="M321" s="28">
        <f>[1]!Table3[[#This Row],[C&amp;I CLM $ Collected]]/'[1]1.) CLM Reference'!$B$4</f>
        <v>0</v>
      </c>
      <c r="N321" s="229">
        <v>0</v>
      </c>
      <c r="O321" s="28">
        <f>[1]!Table3[[#This Row],[C&amp;I Incentive Disbursements]]/'[1]1.) CLM Reference'!$B$5</f>
        <v>0</v>
      </c>
      <c r="Q321">
        <f>VLOOKUP(Table3[[#This Row],[Census Tract]],'Population and Diversity Data'!$B$2:$K$823,10,FALSE)</f>
        <v>4</v>
      </c>
      <c r="R321" t="str">
        <f>VLOOKUP(Table3[[#This Row],[Census Tract]],'ES Energy Burden'!$B$2:$E$914,4,FALSE)</f>
        <v>No</v>
      </c>
    </row>
    <row r="322" spans="1:18" x14ac:dyDescent="0.2">
      <c r="A322" t="s">
        <v>2789</v>
      </c>
      <c r="B322" s="169">
        <v>9015907200</v>
      </c>
      <c r="C322" t="s">
        <v>944</v>
      </c>
      <c r="D322" s="170">
        <f>[1]!Table3[[#This Row],[Residential CLM $ Collected]]+[1]!Table3[[#This Row],[C&amp;I CLM $ Collected]]</f>
        <v>44.160690000000002</v>
      </c>
      <c r="E322" s="28">
        <f>[1]!Table3[[#This Row],[CLM $ Collected ]]/'[1]1.) CLM Reference'!$B$4</f>
        <v>4.7540626767613378E-7</v>
      </c>
      <c r="F322" s="170">
        <f>[1]!Table3[[#This Row],[Residential Incentive Disbursements]]+[1]!Table3[[#This Row],[C&amp;I Incentive Disbursements]]</f>
        <v>0</v>
      </c>
      <c r="G322" s="28">
        <f>[1]!Table3[[#This Row],[Incentive Disbursements]]/'[1]1.) CLM Reference'!$B$5</f>
        <v>0</v>
      </c>
      <c r="H322" s="228">
        <v>44.160690000000002</v>
      </c>
      <c r="I322" s="28">
        <f>[1]!Table3[[#This Row],[Residential CLM $ Collected]]/'[1]1.) CLM Reference'!$B$4</f>
        <v>4.7540626767613378E-7</v>
      </c>
      <c r="J322" s="229">
        <v>0</v>
      </c>
      <c r="K322" s="28">
        <f>[1]!Table3[[#This Row],[Residential Incentive Disbursements]]/'[1]1.) CLM Reference'!$B$5</f>
        <v>0</v>
      </c>
      <c r="L322" s="229">
        <v>0</v>
      </c>
      <c r="M322" s="28">
        <f>[1]!Table3[[#This Row],[C&amp;I CLM $ Collected]]/'[1]1.) CLM Reference'!$B$4</f>
        <v>0</v>
      </c>
      <c r="N322" s="229">
        <v>0</v>
      </c>
      <c r="O322" s="28">
        <f>[1]!Table3[[#This Row],[C&amp;I Incentive Disbursements]]/'[1]1.) CLM Reference'!$B$5</f>
        <v>0</v>
      </c>
      <c r="Q322">
        <f>VLOOKUP(Table3[[#This Row],[Census Tract]],'Population and Diversity Data'!$B$2:$K$823,10,FALSE)</f>
        <v>3</v>
      </c>
      <c r="R322" t="str">
        <f>VLOOKUP(Table3[[#This Row],[Census Tract]],'ES Energy Burden'!$B$2:$E$914,4,FALSE)</f>
        <v>No</v>
      </c>
    </row>
    <row r="323" spans="1:18" x14ac:dyDescent="0.2">
      <c r="A323" t="s">
        <v>2789</v>
      </c>
      <c r="B323" s="169">
        <v>9015908100</v>
      </c>
      <c r="C323" t="s">
        <v>944</v>
      </c>
      <c r="D323" s="170">
        <f>[1]!Table3[[#This Row],[Residential CLM $ Collected]]+[1]!Table3[[#This Row],[C&amp;I CLM $ Collected]]</f>
        <v>2.83521</v>
      </c>
      <c r="E323" s="28">
        <f>[1]!Table3[[#This Row],[CLM $ Collected ]]/'[1]1.) CLM Reference'!$B$4</f>
        <v>3.05220911217205E-8</v>
      </c>
      <c r="F323" s="170">
        <f>[1]!Table3[[#This Row],[Residential Incentive Disbursements]]+[1]!Table3[[#This Row],[C&amp;I Incentive Disbursements]]</f>
        <v>0</v>
      </c>
      <c r="G323" s="28">
        <f>[1]!Table3[[#This Row],[Incentive Disbursements]]/'[1]1.) CLM Reference'!$B$5</f>
        <v>0</v>
      </c>
      <c r="H323" s="228">
        <v>2.83521</v>
      </c>
      <c r="I323" s="28">
        <f>[1]!Table3[[#This Row],[Residential CLM $ Collected]]/'[1]1.) CLM Reference'!$B$4</f>
        <v>3.05220911217205E-8</v>
      </c>
      <c r="J323" s="229">
        <v>0</v>
      </c>
      <c r="K323" s="28">
        <f>[1]!Table3[[#This Row],[Residential Incentive Disbursements]]/'[1]1.) CLM Reference'!$B$5</f>
        <v>0</v>
      </c>
      <c r="L323" s="229">
        <v>0</v>
      </c>
      <c r="M323" s="28">
        <f>[1]!Table3[[#This Row],[C&amp;I CLM $ Collected]]/'[1]1.) CLM Reference'!$B$4</f>
        <v>0</v>
      </c>
      <c r="N323" s="229">
        <v>0</v>
      </c>
      <c r="O323" s="28">
        <f>[1]!Table3[[#This Row],[C&amp;I Incentive Disbursements]]/'[1]1.) CLM Reference'!$B$5</f>
        <v>0</v>
      </c>
      <c r="Q323" t="e">
        <f>VLOOKUP(Table3[[#This Row],[Census Tract]],'Population and Diversity Data'!$B$2:$K$823,10,FALSE)</f>
        <v>#N/A</v>
      </c>
      <c r="R323" t="e">
        <f>VLOOKUP(Table3[[#This Row],[Census Tract]],'ES Energy Burden'!$B$2:$E$914,4,FALSE)</f>
        <v>#N/A</v>
      </c>
    </row>
    <row r="324" spans="1:18" x14ac:dyDescent="0.2">
      <c r="A324" t="s">
        <v>2790</v>
      </c>
      <c r="B324" s="169">
        <v>9007590100</v>
      </c>
      <c r="C324" t="s">
        <v>944</v>
      </c>
      <c r="D324" s="170">
        <f>[1]!Table3[[#This Row],[Residential CLM $ Collected]]+[1]!Table3[[#This Row],[C&amp;I CLM $ Collected]]</f>
        <v>344.35002000000003</v>
      </c>
      <c r="E324" s="28">
        <f>[1]!Table3[[#This Row],[CLM $ Collected ]]/'[1]1.) CLM Reference'!$B$4</f>
        <v>3.7070561574649768E-6</v>
      </c>
      <c r="F324" s="170">
        <f>[1]!Table3[[#This Row],[Residential Incentive Disbursements]]+[1]!Table3[[#This Row],[C&amp;I Incentive Disbursements]]</f>
        <v>0</v>
      </c>
      <c r="G324" s="28">
        <f>[1]!Table3[[#This Row],[Incentive Disbursements]]/'[1]1.) CLM Reference'!$B$5</f>
        <v>0</v>
      </c>
      <c r="H324" s="228">
        <v>344.35002000000003</v>
      </c>
      <c r="I324" s="28">
        <f>[1]!Table3[[#This Row],[Residential CLM $ Collected]]/'[1]1.) CLM Reference'!$B$4</f>
        <v>3.7070561574649768E-6</v>
      </c>
      <c r="J324" s="229">
        <v>0</v>
      </c>
      <c r="K324" s="28">
        <f>[1]!Table3[[#This Row],[Residential Incentive Disbursements]]/'[1]1.) CLM Reference'!$B$5</f>
        <v>0</v>
      </c>
      <c r="L324" s="229">
        <v>0</v>
      </c>
      <c r="M324" s="28">
        <f>[1]!Table3[[#This Row],[C&amp;I CLM $ Collected]]/'[1]1.) CLM Reference'!$B$4</f>
        <v>0</v>
      </c>
      <c r="N324" s="229">
        <v>0</v>
      </c>
      <c r="O324" s="28">
        <f>[1]!Table3[[#This Row],[C&amp;I Incentive Disbursements]]/'[1]1.) CLM Reference'!$B$5</f>
        <v>0</v>
      </c>
      <c r="Q324">
        <f>VLOOKUP(Table3[[#This Row],[Census Tract]],'Population and Diversity Data'!$B$2:$K$823,10,FALSE)</f>
        <v>1</v>
      </c>
      <c r="R324" t="str">
        <f>VLOOKUP(Table3[[#This Row],[Census Tract]],'ES Energy Burden'!$B$2:$E$914,4,FALSE)</f>
        <v>No</v>
      </c>
    </row>
    <row r="325" spans="1:18" x14ac:dyDescent="0.2">
      <c r="A325" t="s">
        <v>2790</v>
      </c>
      <c r="B325" s="169">
        <v>9007640100</v>
      </c>
      <c r="C325" t="s">
        <v>944</v>
      </c>
      <c r="D325" s="170">
        <f>[1]!Table3[[#This Row],[Residential CLM $ Collected]]+[1]!Table3[[#This Row],[C&amp;I CLM $ Collected]]</f>
        <v>142457.52454499999</v>
      </c>
      <c r="E325" s="28">
        <f>[1]!Table3[[#This Row],[CLM $ Collected ]]/'[1]1.) CLM Reference'!$B$4</f>
        <v>1.533608284796267E-3</v>
      </c>
      <c r="F325" s="170">
        <f>[1]!Table3[[#This Row],[Residential Incentive Disbursements]]+[1]!Table3[[#This Row],[C&amp;I Incentive Disbursements]]</f>
        <v>142546.16500000001</v>
      </c>
      <c r="G325" s="28">
        <f>[1]!Table3[[#This Row],[Incentive Disbursements]]/'[1]1.) CLM Reference'!$B$5</f>
        <v>1.1445233076072534E-3</v>
      </c>
      <c r="H325" s="228">
        <v>124905.985575</v>
      </c>
      <c r="I325" s="28">
        <f>[1]!Table3[[#This Row],[Residential CLM $ Collected]]/'[1]1.) CLM Reference'!$B$4</f>
        <v>1.3446594338226996E-3</v>
      </c>
      <c r="J325" s="229">
        <v>136718.97500000001</v>
      </c>
      <c r="K325" s="28">
        <f>[1]!Table3[[#This Row],[Residential Incentive Disbursements]]/'[1]1.) CLM Reference'!$B$5</f>
        <v>1.0977359754271423E-3</v>
      </c>
      <c r="L325" s="229">
        <v>17551.538970000001</v>
      </c>
      <c r="M325" s="28">
        <f>[1]!Table3[[#This Row],[C&amp;I CLM $ Collected]]/'[1]1.) CLM Reference'!$B$4</f>
        <v>1.8894885097356753E-4</v>
      </c>
      <c r="N325" s="229">
        <v>5827.19</v>
      </c>
      <c r="O325" s="28">
        <f>[1]!Table3[[#This Row],[C&amp;I Incentive Disbursements]]/'[1]1.) CLM Reference'!$B$5</f>
        <v>4.6787332180110978E-5</v>
      </c>
      <c r="Q325">
        <f>VLOOKUP(Table3[[#This Row],[Census Tract]],'Population and Diversity Data'!$B$2:$K$823,10,FALSE)</f>
        <v>1</v>
      </c>
      <c r="R325" t="str">
        <f>VLOOKUP(Table3[[#This Row],[Census Tract]],'ES Energy Burden'!$B$2:$E$914,4,FALSE)</f>
        <v>No</v>
      </c>
    </row>
    <row r="326" spans="1:18" x14ac:dyDescent="0.2">
      <c r="A326" t="s">
        <v>2791</v>
      </c>
      <c r="B326" s="169">
        <v>9011714104</v>
      </c>
      <c r="C326" t="s">
        <v>944</v>
      </c>
      <c r="D326" s="170">
        <f>[1]!Table3[[#This Row],[Residential CLM $ Collected]]+[1]!Table3[[#This Row],[C&amp;I CLM $ Collected]]</f>
        <v>82.390140000000002</v>
      </c>
      <c r="E326" s="28">
        <f>[1]!Table3[[#This Row],[CLM $ Collected ]]/'[1]1.) CLM Reference'!$B$4</f>
        <v>8.8696052871262058E-7</v>
      </c>
      <c r="F326" s="170">
        <f>[1]!Table3[[#This Row],[Residential Incentive Disbursements]]+[1]!Table3[[#This Row],[C&amp;I Incentive Disbursements]]</f>
        <v>0</v>
      </c>
      <c r="G326" s="28">
        <f>[1]!Table3[[#This Row],[Incentive Disbursements]]/'[1]1.) CLM Reference'!$B$5</f>
        <v>0</v>
      </c>
      <c r="H326" s="228">
        <v>82.390140000000002</v>
      </c>
      <c r="I326" s="28">
        <f>[1]!Table3[[#This Row],[Residential CLM $ Collected]]/'[1]1.) CLM Reference'!$B$4</f>
        <v>8.8696052871262058E-7</v>
      </c>
      <c r="J326" s="229">
        <v>0</v>
      </c>
      <c r="K326" s="28">
        <f>[1]!Table3[[#This Row],[Residential Incentive Disbursements]]/'[1]1.) CLM Reference'!$B$5</f>
        <v>0</v>
      </c>
      <c r="L326" s="229">
        <v>0</v>
      </c>
      <c r="M326" s="28">
        <f>[1]!Table3[[#This Row],[C&amp;I CLM $ Collected]]/'[1]1.) CLM Reference'!$B$4</f>
        <v>0</v>
      </c>
      <c r="N326" s="229">
        <v>0</v>
      </c>
      <c r="O326" s="28">
        <f>[1]!Table3[[#This Row],[C&amp;I Incentive Disbursements]]/'[1]1.) CLM Reference'!$B$5</f>
        <v>0</v>
      </c>
      <c r="Q326">
        <f>VLOOKUP(Table3[[#This Row],[Census Tract]],'Population and Diversity Data'!$B$2:$K$823,10,FALSE)</f>
        <v>1</v>
      </c>
      <c r="R326" t="str">
        <f>VLOOKUP(Table3[[#This Row],[Census Tract]],'ES Energy Burden'!$B$2:$E$914,4,FALSE)</f>
        <v>No</v>
      </c>
    </row>
    <row r="327" spans="1:18" x14ac:dyDescent="0.2">
      <c r="A327" t="s">
        <v>2791</v>
      </c>
      <c r="B327" s="169">
        <v>9011870100</v>
      </c>
      <c r="C327" t="s">
        <v>944</v>
      </c>
      <c r="D327" s="170">
        <f>[1]!Table3[[#This Row],[Residential CLM $ Collected]]+[1]!Table3[[#This Row],[C&amp;I CLM $ Collected]]</f>
        <v>58991.637768000001</v>
      </c>
      <c r="E327" s="28">
        <f>[1]!Table3[[#This Row],[CLM $ Collected ]]/'[1]1.) CLM Reference'!$B$4</f>
        <v>6.3506694155791789E-4</v>
      </c>
      <c r="F327" s="170">
        <f>[1]!Table3[[#This Row],[Residential Incentive Disbursements]]+[1]!Table3[[#This Row],[C&amp;I Incentive Disbursements]]</f>
        <v>109243.23</v>
      </c>
      <c r="G327" s="28">
        <f>[1]!Table3[[#This Row],[Incentive Disbursements]]/'[1]1.) CLM Reference'!$B$5</f>
        <v>8.7712933514065366E-4</v>
      </c>
      <c r="H327" s="228">
        <v>78141.071148000003</v>
      </c>
      <c r="I327" s="28">
        <f>[1]!Table3[[#This Row],[Residential CLM $ Collected]]/'[1]1.) CLM Reference'!$B$4</f>
        <v>8.4121772070784909E-4</v>
      </c>
      <c r="J327" s="229">
        <v>106701.43</v>
      </c>
      <c r="K327" s="28">
        <f>[1]!Table3[[#This Row],[Residential Incentive Disbursements]]/'[1]1.) CLM Reference'!$B$5</f>
        <v>8.5672086365861744E-4</v>
      </c>
      <c r="L327" s="229">
        <v>-19149.433379999999</v>
      </c>
      <c r="M327" s="28">
        <f>[1]!Table3[[#This Row],[C&amp;I CLM $ Collected]]/'[1]1.) CLM Reference'!$B$4</f>
        <v>-2.0615077914993109E-4</v>
      </c>
      <c r="N327" s="229">
        <v>2541.8000000000002</v>
      </c>
      <c r="O327" s="28">
        <f>[1]!Table3[[#This Row],[C&amp;I Incentive Disbursements]]/'[1]1.) CLM Reference'!$B$5</f>
        <v>2.040847148203613E-5</v>
      </c>
      <c r="Q327">
        <f>VLOOKUP(Table3[[#This Row],[Census Tract]],'Population and Diversity Data'!$B$2:$K$823,10,FALSE)</f>
        <v>1</v>
      </c>
      <c r="R327" t="str">
        <f>VLOOKUP(Table3[[#This Row],[Census Tract]],'ES Energy Burden'!$B$2:$E$914,4,FALSE)</f>
        <v>No</v>
      </c>
    </row>
    <row r="328" spans="1:18" x14ac:dyDescent="0.2">
      <c r="A328" t="s">
        <v>2792</v>
      </c>
      <c r="B328" s="169">
        <v>9011701100</v>
      </c>
      <c r="C328" t="s">
        <v>944</v>
      </c>
      <c r="D328" s="170">
        <f>[1]!Table3[[#This Row],[Residential CLM $ Collected]]+[1]!Table3[[#This Row],[C&amp;I CLM $ Collected]]</f>
        <v>97629.566181000002</v>
      </c>
      <c r="E328" s="28">
        <f>[1]!Table3[[#This Row],[CLM $ Collected ]]/'[1]1.) CLM Reference'!$B$4</f>
        <v>1.0510186247757747E-3</v>
      </c>
      <c r="F328" s="170">
        <f>[1]!Table3[[#This Row],[Residential Incentive Disbursements]]+[1]!Table3[[#This Row],[C&amp;I Incentive Disbursements]]</f>
        <v>89949.494999999995</v>
      </c>
      <c r="G328" s="28">
        <f>[1]!Table3[[#This Row],[Incentive Disbursements]]/'[1]1.) CLM Reference'!$B$5</f>
        <v>7.2221720966679167E-4</v>
      </c>
      <c r="H328" s="228">
        <v>97629.566181000002</v>
      </c>
      <c r="I328" s="28">
        <f>[1]!Table3[[#This Row],[Residential CLM $ Collected]]/'[1]1.) CLM Reference'!$B$4</f>
        <v>1.0510186247757747E-3</v>
      </c>
      <c r="J328" s="229">
        <v>89949.494999999995</v>
      </c>
      <c r="K328" s="28">
        <f>[1]!Table3[[#This Row],[Residential Incentive Disbursements]]/'[1]1.) CLM Reference'!$B$5</f>
        <v>7.2221720966679167E-4</v>
      </c>
      <c r="L328" s="229">
        <v>0</v>
      </c>
      <c r="M328" s="28">
        <f>[1]!Table3[[#This Row],[C&amp;I CLM $ Collected]]/'[1]1.) CLM Reference'!$B$4</f>
        <v>0</v>
      </c>
      <c r="N328" s="229">
        <v>0</v>
      </c>
      <c r="O328" s="28">
        <f>[1]!Table3[[#This Row],[C&amp;I Incentive Disbursements]]/'[1]1.) CLM Reference'!$B$5</f>
        <v>0</v>
      </c>
      <c r="Q328">
        <f>VLOOKUP(Table3[[#This Row],[Census Tract]],'Population and Diversity Data'!$B$2:$K$823,10,FALSE)</f>
        <v>4</v>
      </c>
      <c r="R328" t="str">
        <f>VLOOKUP(Table3[[#This Row],[Census Tract]],'ES Energy Burden'!$B$2:$E$914,4,FALSE)</f>
        <v>No</v>
      </c>
    </row>
    <row r="329" spans="1:18" x14ac:dyDescent="0.2">
      <c r="A329" t="s">
        <v>2792</v>
      </c>
      <c r="B329" s="169">
        <v>9011701200</v>
      </c>
      <c r="C329" t="s">
        <v>944</v>
      </c>
      <c r="D329" s="170">
        <f>[1]!Table3[[#This Row],[Residential CLM $ Collected]]+[1]!Table3[[#This Row],[C&amp;I CLM $ Collected]]</f>
        <v>211283.46493800002</v>
      </c>
      <c r="E329" s="28">
        <f>[1]!Table3[[#This Row],[CLM $ Collected ]]/'[1]1.) CLM Reference'!$B$4</f>
        <v>2.2745451551562227E-3</v>
      </c>
      <c r="F329" s="170">
        <f>[1]!Table3[[#This Row],[Residential Incentive Disbursements]]+[1]!Table3[[#This Row],[C&amp;I Incentive Disbursements]]</f>
        <v>230318.37599999999</v>
      </c>
      <c r="G329" s="28">
        <f>[1]!Table3[[#This Row],[Incentive Disbursements]]/'[1]1.) CLM Reference'!$B$5</f>
        <v>1.8492587962801454E-3</v>
      </c>
      <c r="H329" s="228">
        <v>162993.55963800001</v>
      </c>
      <c r="I329" s="28">
        <f>[1]!Table3[[#This Row],[Residential CLM $ Collected]]/'[1]1.) CLM Reference'!$B$4</f>
        <v>1.7546863475808214E-3</v>
      </c>
      <c r="J329" s="229">
        <v>218552.22</v>
      </c>
      <c r="K329" s="28">
        <f>[1]!Table3[[#This Row],[Residential Incentive Disbursements]]/'[1]1.) CLM Reference'!$B$5</f>
        <v>1.7547866666164473E-3</v>
      </c>
      <c r="L329" s="229">
        <v>48289.905299999999</v>
      </c>
      <c r="M329" s="28">
        <f>[1]!Table3[[#This Row],[C&amp;I CLM $ Collected]]/'[1]1.) CLM Reference'!$B$4</f>
        <v>5.198588075754013E-4</v>
      </c>
      <c r="N329" s="229">
        <v>11766.156000000001</v>
      </c>
      <c r="O329" s="28">
        <f>[1]!Table3[[#This Row],[C&amp;I Incentive Disbursements]]/'[1]1.) CLM Reference'!$B$5</f>
        <v>9.4472129663698276E-5</v>
      </c>
      <c r="Q329">
        <f>VLOOKUP(Table3[[#This Row],[Census Tract]],'Population and Diversity Data'!$B$2:$K$823,10,FALSE)</f>
        <v>3</v>
      </c>
      <c r="R329" t="str">
        <f>VLOOKUP(Table3[[#This Row],[Census Tract]],'ES Energy Burden'!$B$2:$E$914,4,FALSE)</f>
        <v>No</v>
      </c>
    </row>
    <row r="330" spans="1:18" x14ac:dyDescent="0.2">
      <c r="A330" t="s">
        <v>2792</v>
      </c>
      <c r="B330" s="169">
        <v>9011980000</v>
      </c>
      <c r="C330" t="s">
        <v>944</v>
      </c>
      <c r="D330" s="170">
        <f>[1]!Table3[[#This Row],[Residential CLM $ Collected]]+[1]!Table3[[#This Row],[C&amp;I CLM $ Collected]]</f>
        <v>102.87417000000001</v>
      </c>
      <c r="E330" s="28">
        <f>[1]!Table3[[#This Row],[CLM $ Collected ]]/'[1]1.) CLM Reference'!$B$4</f>
        <v>1.1074787373109454E-6</v>
      </c>
      <c r="F330" s="170">
        <f>[1]!Table3[[#This Row],[Residential Incentive Disbursements]]+[1]!Table3[[#This Row],[C&amp;I Incentive Disbursements]]</f>
        <v>0</v>
      </c>
      <c r="G330" s="28">
        <f>[1]!Table3[[#This Row],[Incentive Disbursements]]/'[1]1.) CLM Reference'!$B$5</f>
        <v>0</v>
      </c>
      <c r="H330" s="228">
        <v>102.87417000000001</v>
      </c>
      <c r="I330" s="28">
        <f>[1]!Table3[[#This Row],[Residential CLM $ Collected]]/'[1]1.) CLM Reference'!$B$4</f>
        <v>1.1074787373109454E-6</v>
      </c>
      <c r="J330" s="229">
        <v>0</v>
      </c>
      <c r="K330" s="28">
        <f>[1]!Table3[[#This Row],[Residential Incentive Disbursements]]/'[1]1.) CLM Reference'!$B$5</f>
        <v>0</v>
      </c>
      <c r="L330" s="229">
        <v>0</v>
      </c>
      <c r="M330" s="28">
        <f>[1]!Table3[[#This Row],[C&amp;I CLM $ Collected]]/'[1]1.) CLM Reference'!$B$4</f>
        <v>0</v>
      </c>
      <c r="N330" s="229">
        <v>0</v>
      </c>
      <c r="O330" s="28">
        <f>[1]!Table3[[#This Row],[C&amp;I Incentive Disbursements]]/'[1]1.) CLM Reference'!$B$5</f>
        <v>0</v>
      </c>
      <c r="Q330" t="e">
        <f>VLOOKUP(Table3[[#This Row],[Census Tract]],'Population and Diversity Data'!$B$2:$K$823,10,FALSE)</f>
        <v>#N/A</v>
      </c>
      <c r="R330" t="e">
        <f>VLOOKUP(Table3[[#This Row],[Census Tract]],'ES Energy Burden'!$B$2:$E$914,4,FALSE)</f>
        <v>#N/A</v>
      </c>
    </row>
    <row r="331" spans="1:18" x14ac:dyDescent="0.2">
      <c r="A331" t="s">
        <v>2793</v>
      </c>
      <c r="B331" s="169">
        <v>9011709100</v>
      </c>
      <c r="C331" t="s">
        <v>944</v>
      </c>
      <c r="D331" s="170">
        <f>[1]!Table3[[#This Row],[Residential CLM $ Collected]]+[1]!Table3[[#This Row],[C&amp;I CLM $ Collected]]</f>
        <v>581.51268000000005</v>
      </c>
      <c r="E331" s="28">
        <f>[1]!Table3[[#This Row],[CLM $ Collected ]]/'[1]1.) CLM Reference'!$B$4</f>
        <v>6.2602004815854541E-6</v>
      </c>
      <c r="F331" s="170">
        <f>[1]!Table3[[#This Row],[Residential Incentive Disbursements]]+[1]!Table3[[#This Row],[C&amp;I Incentive Disbursements]]</f>
        <v>0</v>
      </c>
      <c r="G331" s="28">
        <f>[1]!Table3[[#This Row],[Incentive Disbursements]]/'[1]1.) CLM Reference'!$B$5</f>
        <v>0</v>
      </c>
      <c r="H331" s="228">
        <v>581.51268000000005</v>
      </c>
      <c r="I331" s="28">
        <f>[1]!Table3[[#This Row],[Residential CLM $ Collected]]/'[1]1.) CLM Reference'!$B$4</f>
        <v>6.2602004815854541E-6</v>
      </c>
      <c r="J331" s="229">
        <v>0</v>
      </c>
      <c r="K331" s="28">
        <f>[1]!Table3[[#This Row],[Residential Incentive Disbursements]]/'[1]1.) CLM Reference'!$B$5</f>
        <v>0</v>
      </c>
      <c r="L331" s="229">
        <v>0</v>
      </c>
      <c r="M331" s="28">
        <f>[1]!Table3[[#This Row],[C&amp;I CLM $ Collected]]/'[1]1.) CLM Reference'!$B$4</f>
        <v>0</v>
      </c>
      <c r="N331" s="229">
        <v>0</v>
      </c>
      <c r="O331" s="28">
        <f>[1]!Table3[[#This Row],[C&amp;I Incentive Disbursements]]/'[1]1.) CLM Reference'!$B$5</f>
        <v>0</v>
      </c>
      <c r="Q331">
        <f>VLOOKUP(Table3[[#This Row],[Census Tract]],'Population and Diversity Data'!$B$2:$K$823,10,FALSE)</f>
        <v>3</v>
      </c>
      <c r="R331" t="str">
        <f>VLOOKUP(Table3[[#This Row],[Census Tract]],'ES Energy Burden'!$B$2:$E$914,4,FALSE)</f>
        <v>No</v>
      </c>
    </row>
    <row r="332" spans="1:18" x14ac:dyDescent="0.2">
      <c r="A332" t="s">
        <v>2793</v>
      </c>
      <c r="B332" s="169">
        <v>9011710100</v>
      </c>
      <c r="C332" t="s">
        <v>944</v>
      </c>
      <c r="D332" s="170">
        <f>[1]!Table3[[#This Row],[Residential CLM $ Collected]]+[1]!Table3[[#This Row],[C&amp;I CLM $ Collected]]</f>
        <v>87253.835529000004</v>
      </c>
      <c r="E332" s="28">
        <f>[1]!Table3[[#This Row],[CLM $ Collected ]]/'[1]1.) CLM Reference'!$B$4</f>
        <v>9.3932002170412482E-4</v>
      </c>
      <c r="F332" s="170">
        <f>[1]!Table3[[#This Row],[Residential Incentive Disbursements]]+[1]!Table3[[#This Row],[C&amp;I Incentive Disbursements]]</f>
        <v>96316.425000000003</v>
      </c>
      <c r="G332" s="28">
        <f>[1]!Table3[[#This Row],[Incentive Disbursements]]/'[1]1.) CLM Reference'!$B$5</f>
        <v>7.7333819059885575E-4</v>
      </c>
      <c r="H332" s="228">
        <v>67930.338608999999</v>
      </c>
      <c r="I332" s="28">
        <f>[1]!Table3[[#This Row],[Residential CLM $ Collected]]/'[1]1.) CLM Reference'!$B$4</f>
        <v>7.3129538374696267E-4</v>
      </c>
      <c r="J332" s="229">
        <v>95584.625</v>
      </c>
      <c r="K332" s="28">
        <f>[1]!Table3[[#This Row],[Residential Incentive Disbursements]]/'[1]1.) CLM Reference'!$B$5</f>
        <v>7.6746246495932701E-4</v>
      </c>
      <c r="L332" s="229">
        <v>19323.496920000001</v>
      </c>
      <c r="M332" s="28">
        <f>[1]!Table3[[#This Row],[C&amp;I CLM $ Collected]]/'[1]1.) CLM Reference'!$B$4</f>
        <v>2.0802463795716207E-4</v>
      </c>
      <c r="N332" s="229">
        <v>731.8</v>
      </c>
      <c r="O332" s="28">
        <f>[1]!Table3[[#This Row],[C&amp;I Incentive Disbursements]]/'[1]1.) CLM Reference'!$B$5</f>
        <v>5.875725639528695E-6</v>
      </c>
      <c r="Q332">
        <f>VLOOKUP(Table3[[#This Row],[Census Tract]],'Population and Diversity Data'!$B$2:$K$823,10,FALSE)</f>
        <v>3</v>
      </c>
      <c r="R332" t="str">
        <f>VLOOKUP(Table3[[#This Row],[Census Tract]],'ES Energy Burden'!$B$2:$E$914,4,FALSE)</f>
        <v>No</v>
      </c>
    </row>
    <row r="333" spans="1:18" x14ac:dyDescent="0.2">
      <c r="A333" t="s">
        <v>2794</v>
      </c>
      <c r="B333" s="169">
        <v>9005296100</v>
      </c>
      <c r="C333" t="s">
        <v>944</v>
      </c>
      <c r="D333" s="170">
        <f>[1]!Table3[[#This Row],[Residential CLM $ Collected]]+[1]!Table3[[#This Row],[C&amp;I CLM $ Collected]]</f>
        <v>275.73021</v>
      </c>
      <c r="E333" s="28">
        <f>[1]!Table3[[#This Row],[CLM $ Collected ]]/'[1]1.) CLM Reference'!$B$4</f>
        <v>2.9683383575224158E-6</v>
      </c>
      <c r="F333" s="170">
        <f>[1]!Table3[[#This Row],[Residential Incentive Disbursements]]+[1]!Table3[[#This Row],[C&amp;I Incentive Disbursements]]</f>
        <v>18566.77</v>
      </c>
      <c r="G333" s="28">
        <f>[1]!Table3[[#This Row],[Incentive Disbursements]]/'[1]1.) CLM Reference'!$B$5</f>
        <v>1.4907522073275784E-4</v>
      </c>
      <c r="H333" s="228">
        <v>275.73021</v>
      </c>
      <c r="I333" s="28">
        <f>[1]!Table3[[#This Row],[Residential CLM $ Collected]]/'[1]1.) CLM Reference'!$B$4</f>
        <v>2.9683383575224158E-6</v>
      </c>
      <c r="J333" s="229">
        <v>18566.77</v>
      </c>
      <c r="K333" s="28">
        <f>[1]!Table3[[#This Row],[Residential Incentive Disbursements]]/'[1]1.) CLM Reference'!$B$5</f>
        <v>1.4907522073275784E-4</v>
      </c>
      <c r="L333" s="229">
        <v>0</v>
      </c>
      <c r="M333" s="28">
        <f>[1]!Table3[[#This Row],[C&amp;I CLM $ Collected]]/'[1]1.) CLM Reference'!$B$4</f>
        <v>0</v>
      </c>
      <c r="N333" s="229">
        <v>0</v>
      </c>
      <c r="O333" s="28">
        <f>[1]!Table3[[#This Row],[C&amp;I Incentive Disbursements]]/'[1]1.) CLM Reference'!$B$5</f>
        <v>0</v>
      </c>
      <c r="Q333">
        <f>VLOOKUP(Table3[[#This Row],[Census Tract]],'Population and Diversity Data'!$B$2:$K$823,10,FALSE)</f>
        <v>3</v>
      </c>
      <c r="R333" t="str">
        <f>VLOOKUP(Table3[[#This Row],[Census Tract]],'ES Energy Burden'!$B$2:$E$914,4,FALSE)</f>
        <v>No</v>
      </c>
    </row>
    <row r="334" spans="1:18" x14ac:dyDescent="0.2">
      <c r="A334" t="s">
        <v>2794</v>
      </c>
      <c r="B334" s="169">
        <v>9005300100</v>
      </c>
      <c r="C334" t="s">
        <v>944</v>
      </c>
      <c r="D334" s="170">
        <f>[1]!Table3[[#This Row],[Residential CLM $ Collected]]+[1]!Table3[[#This Row],[C&amp;I CLM $ Collected]]</f>
        <v>40192.961403000001</v>
      </c>
      <c r="E334" s="28">
        <f>[1]!Table3[[#This Row],[CLM $ Collected ]]/'[1]1.) CLM Reference'!$B$4</f>
        <v>4.3269219225177714E-4</v>
      </c>
      <c r="F334" s="170">
        <f>[1]!Table3[[#This Row],[Residential Incentive Disbursements]]+[1]!Table3[[#This Row],[C&amp;I Incentive Disbursements]]</f>
        <v>38307.86</v>
      </c>
      <c r="G334" s="28">
        <f>[1]!Table3[[#This Row],[Incentive Disbursements]]/'[1]1.) CLM Reference'!$B$5</f>
        <v>3.0757922273500372E-4</v>
      </c>
      <c r="H334" s="228">
        <v>40192.961403000001</v>
      </c>
      <c r="I334" s="28">
        <f>[1]!Table3[[#This Row],[Residential CLM $ Collected]]/'[1]1.) CLM Reference'!$B$4</f>
        <v>4.3269219225177714E-4</v>
      </c>
      <c r="J334" s="229">
        <v>38307.86</v>
      </c>
      <c r="K334" s="28">
        <f>[1]!Table3[[#This Row],[Residential Incentive Disbursements]]/'[1]1.) CLM Reference'!$B$5</f>
        <v>3.0757922273500372E-4</v>
      </c>
      <c r="L334" s="229">
        <v>0</v>
      </c>
      <c r="M334" s="28">
        <f>[1]!Table3[[#This Row],[C&amp;I CLM $ Collected]]/'[1]1.) CLM Reference'!$B$4</f>
        <v>0</v>
      </c>
      <c r="N334" s="229">
        <v>0</v>
      </c>
      <c r="O334" s="28">
        <f>[1]!Table3[[#This Row],[C&amp;I Incentive Disbursements]]/'[1]1.) CLM Reference'!$B$5</f>
        <v>0</v>
      </c>
      <c r="Q334">
        <f>VLOOKUP(Table3[[#This Row],[Census Tract]],'Population and Diversity Data'!$B$2:$K$823,10,FALSE)</f>
        <v>1</v>
      </c>
      <c r="R334" t="str">
        <f>VLOOKUP(Table3[[#This Row],[Census Tract]],'ES Energy Burden'!$B$2:$E$914,4,FALSE)</f>
        <v>No</v>
      </c>
    </row>
    <row r="335" spans="1:18" x14ac:dyDescent="0.2">
      <c r="A335" t="s">
        <v>2794</v>
      </c>
      <c r="B335" s="169">
        <v>9005300400</v>
      </c>
      <c r="C335" t="s">
        <v>944</v>
      </c>
      <c r="D335" s="170">
        <f>[1]!Table3[[#This Row],[Residential CLM $ Collected]]+[1]!Table3[[#This Row],[C&amp;I CLM $ Collected]]</f>
        <v>27728.253336000002</v>
      </c>
      <c r="E335" s="28">
        <f>[1]!Table3[[#This Row],[CLM $ Collected ]]/'[1]1.) CLM Reference'!$B$4</f>
        <v>2.9850496963806645E-4</v>
      </c>
      <c r="F335" s="170">
        <f>[1]!Table3[[#This Row],[Residential Incentive Disbursements]]+[1]!Table3[[#This Row],[C&amp;I Incentive Disbursements]]</f>
        <v>33987.58</v>
      </c>
      <c r="G335" s="28">
        <f>[1]!Table3[[#This Row],[Incentive Disbursements]]/'[1]1.) CLM Reference'!$B$5</f>
        <v>2.7289108394579491E-4</v>
      </c>
      <c r="H335" s="228">
        <v>27728.253336000002</v>
      </c>
      <c r="I335" s="28">
        <f>[1]!Table3[[#This Row],[Residential CLM $ Collected]]/'[1]1.) CLM Reference'!$B$4</f>
        <v>2.9850496963806645E-4</v>
      </c>
      <c r="J335" s="229">
        <v>33987.58</v>
      </c>
      <c r="K335" s="28">
        <f>[1]!Table3[[#This Row],[Residential Incentive Disbursements]]/'[1]1.) CLM Reference'!$B$5</f>
        <v>2.7289108394579491E-4</v>
      </c>
      <c r="L335" s="229">
        <v>0</v>
      </c>
      <c r="M335" s="28">
        <f>[1]!Table3[[#This Row],[C&amp;I CLM $ Collected]]/'[1]1.) CLM Reference'!$B$4</f>
        <v>0</v>
      </c>
      <c r="N335" s="229">
        <v>0</v>
      </c>
      <c r="O335" s="28">
        <f>[1]!Table3[[#This Row],[C&amp;I Incentive Disbursements]]/'[1]1.) CLM Reference'!$B$5</f>
        <v>0</v>
      </c>
      <c r="Q335">
        <f>VLOOKUP(Table3[[#This Row],[Census Tract]],'Population and Diversity Data'!$B$2:$K$823,10,FALSE)</f>
        <v>2</v>
      </c>
      <c r="R335" t="str">
        <f>VLOOKUP(Table3[[#This Row],[Census Tract]],'ES Energy Burden'!$B$2:$E$914,4,FALSE)</f>
        <v>No</v>
      </c>
    </row>
    <row r="336" spans="1:18" x14ac:dyDescent="0.2">
      <c r="A336" t="s">
        <v>2794</v>
      </c>
      <c r="B336" s="169">
        <v>9005300500</v>
      </c>
      <c r="C336" t="s">
        <v>944</v>
      </c>
      <c r="D336" s="170">
        <f>[1]!Table3[[#This Row],[Residential CLM $ Collected]]+[1]!Table3[[#This Row],[C&amp;I CLM $ Collected]]</f>
        <v>174368.88873599999</v>
      </c>
      <c r="E336" s="28">
        <f>[1]!Table3[[#This Row],[CLM $ Collected ]]/'[1]1.) CLM Reference'!$B$4</f>
        <v>1.8771460000470282E-3</v>
      </c>
      <c r="F336" s="170">
        <f>[1]!Table3[[#This Row],[Residential Incentive Disbursements]]+[1]!Table3[[#This Row],[C&amp;I Incentive Disbursements]]</f>
        <v>355793.44500000001</v>
      </c>
      <c r="G336" s="28">
        <f>[1]!Table3[[#This Row],[Incentive Disbursements]]/'[1]1.) CLM Reference'!$B$5</f>
        <v>2.8567158611133409E-3</v>
      </c>
      <c r="H336" s="228">
        <v>110899.90665599999</v>
      </c>
      <c r="I336" s="28">
        <f>[1]!Table3[[#This Row],[Residential CLM $ Collected]]/'[1]1.) CLM Reference'!$B$4</f>
        <v>1.1938787801766815E-3</v>
      </c>
      <c r="J336" s="229">
        <v>342828.19500000001</v>
      </c>
      <c r="K336" s="28">
        <f>[1]!Table3[[#This Row],[Residential Incentive Disbursements]]/'[1]1.) CLM Reference'!$B$5</f>
        <v>2.7526160362323633E-3</v>
      </c>
      <c r="L336" s="229">
        <v>63468.982080000002</v>
      </c>
      <c r="M336" s="28">
        <f>[1]!Table3[[#This Row],[C&amp;I CLM $ Collected]]/'[1]1.) CLM Reference'!$B$4</f>
        <v>6.8326721987034664E-4</v>
      </c>
      <c r="N336" s="229">
        <v>12965.25</v>
      </c>
      <c r="O336" s="28">
        <f>[1]!Table3[[#This Row],[C&amp;I Incentive Disbursements]]/'[1]1.) CLM Reference'!$B$5</f>
        <v>1.0409982488097762E-4</v>
      </c>
      <c r="Q336">
        <f>VLOOKUP(Table3[[#This Row],[Census Tract]],'Population and Diversity Data'!$B$2:$K$823,10,FALSE)</f>
        <v>1</v>
      </c>
      <c r="R336" t="str">
        <f>VLOOKUP(Table3[[#This Row],[Census Tract]],'ES Energy Burden'!$B$2:$E$914,4,FALSE)</f>
        <v>No</v>
      </c>
    </row>
    <row r="337" spans="1:18" x14ac:dyDescent="0.2">
      <c r="A337" t="s">
        <v>2794</v>
      </c>
      <c r="B337" s="169">
        <v>9005303100</v>
      </c>
      <c r="C337" t="s">
        <v>944</v>
      </c>
      <c r="D337" s="170">
        <f>[1]!Table3[[#This Row],[Residential CLM $ Collected]]+[1]!Table3[[#This Row],[C&amp;I CLM $ Collected]]</f>
        <v>326.87025</v>
      </c>
      <c r="E337" s="28">
        <f>[1]!Table3[[#This Row],[CLM $ Collected ]]/'[1]1.) CLM Reference'!$B$4</f>
        <v>3.5188799261710982E-6</v>
      </c>
      <c r="F337" s="170">
        <f>[1]!Table3[[#This Row],[Residential Incentive Disbursements]]+[1]!Table3[[#This Row],[C&amp;I Incentive Disbursements]]</f>
        <v>0</v>
      </c>
      <c r="G337" s="28">
        <f>[1]!Table3[[#This Row],[Incentive Disbursements]]/'[1]1.) CLM Reference'!$B$5</f>
        <v>0</v>
      </c>
      <c r="H337" s="228">
        <v>326.87025</v>
      </c>
      <c r="I337" s="28">
        <f>[1]!Table3[[#This Row],[Residential CLM $ Collected]]/'[1]1.) CLM Reference'!$B$4</f>
        <v>3.5188799261710982E-6</v>
      </c>
      <c r="J337" s="229">
        <v>0</v>
      </c>
      <c r="K337" s="28">
        <f>[1]!Table3[[#This Row],[Residential Incentive Disbursements]]/'[1]1.) CLM Reference'!$B$5</f>
        <v>0</v>
      </c>
      <c r="L337" s="229">
        <v>0</v>
      </c>
      <c r="M337" s="28">
        <f>[1]!Table3[[#This Row],[C&amp;I CLM $ Collected]]/'[1]1.) CLM Reference'!$B$4</f>
        <v>0</v>
      </c>
      <c r="N337" s="229">
        <v>0</v>
      </c>
      <c r="O337" s="28">
        <f>[1]!Table3[[#This Row],[C&amp;I Incentive Disbursements]]/'[1]1.) CLM Reference'!$B$5</f>
        <v>0</v>
      </c>
      <c r="Q337">
        <f>VLOOKUP(Table3[[#This Row],[Census Tract]],'Population and Diversity Data'!$B$2:$K$823,10,FALSE)</f>
        <v>1</v>
      </c>
      <c r="R337" t="str">
        <f>VLOOKUP(Table3[[#This Row],[Census Tract]],'ES Energy Burden'!$B$2:$E$914,4,FALSE)</f>
        <v>No</v>
      </c>
    </row>
    <row r="338" spans="1:18" x14ac:dyDescent="0.2">
      <c r="A338" t="s">
        <v>2794</v>
      </c>
      <c r="B338" s="169">
        <v>9005349100</v>
      </c>
      <c r="C338" t="s">
        <v>944</v>
      </c>
      <c r="D338" s="170">
        <f>[1]!Table3[[#This Row],[Residential CLM $ Collected]]+[1]!Table3[[#This Row],[C&amp;I CLM $ Collected]]</f>
        <v>122.55159</v>
      </c>
      <c r="E338" s="28">
        <f>[1]!Table3[[#This Row],[CLM $ Collected ]]/'[1]1.) CLM Reference'!$B$4</f>
        <v>1.3193134889802628E-6</v>
      </c>
      <c r="F338" s="170">
        <f>[1]!Table3[[#This Row],[Residential Incentive Disbursements]]+[1]!Table3[[#This Row],[C&amp;I Incentive Disbursements]]</f>
        <v>0</v>
      </c>
      <c r="G338" s="28">
        <f>[1]!Table3[[#This Row],[Incentive Disbursements]]/'[1]1.) CLM Reference'!$B$5</f>
        <v>0</v>
      </c>
      <c r="H338" s="228">
        <v>122.55159</v>
      </c>
      <c r="I338" s="28">
        <f>[1]!Table3[[#This Row],[Residential CLM $ Collected]]/'[1]1.) CLM Reference'!$B$4</f>
        <v>1.3193134889802628E-6</v>
      </c>
      <c r="J338" s="229">
        <v>0</v>
      </c>
      <c r="K338" s="28">
        <f>[1]!Table3[[#This Row],[Residential Incentive Disbursements]]/'[1]1.) CLM Reference'!$B$5</f>
        <v>0</v>
      </c>
      <c r="L338" s="229">
        <v>0</v>
      </c>
      <c r="M338" s="28">
        <f>[1]!Table3[[#This Row],[C&amp;I CLM $ Collected]]/'[1]1.) CLM Reference'!$B$4</f>
        <v>0</v>
      </c>
      <c r="N338" s="229">
        <v>0</v>
      </c>
      <c r="O338" s="28">
        <f>[1]!Table3[[#This Row],[C&amp;I Incentive Disbursements]]/'[1]1.) CLM Reference'!$B$5</f>
        <v>0</v>
      </c>
      <c r="Q338">
        <f>VLOOKUP(Table3[[#This Row],[Census Tract]],'Population and Diversity Data'!$B$2:$K$823,10,FALSE)</f>
        <v>1</v>
      </c>
      <c r="R338" t="str">
        <f>VLOOKUP(Table3[[#This Row],[Census Tract]],'ES Energy Burden'!$B$2:$E$914,4,FALSE)</f>
        <v>No</v>
      </c>
    </row>
    <row r="339" spans="1:18" x14ac:dyDescent="0.2">
      <c r="A339" t="s">
        <v>2795</v>
      </c>
      <c r="B339" s="169">
        <v>9011650100</v>
      </c>
      <c r="C339" t="s">
        <v>944</v>
      </c>
      <c r="D339" s="170">
        <f>[1]!Table3[[#This Row],[Residential CLM $ Collected]]+[1]!Table3[[#This Row],[C&amp;I CLM $ Collected]]</f>
        <v>73942.697975999996</v>
      </c>
      <c r="E339" s="28">
        <f>[1]!Table3[[#This Row],[CLM $ Collected ]]/'[1]1.) CLM Reference'!$B$4</f>
        <v>7.9602067057090299E-4</v>
      </c>
      <c r="F339" s="170">
        <f>[1]!Table3[[#This Row],[Residential Incentive Disbursements]]+[1]!Table3[[#This Row],[C&amp;I Incentive Disbursements]]</f>
        <v>67879.710000000006</v>
      </c>
      <c r="G339" s="28">
        <f>[1]!Table3[[#This Row],[Incentive Disbursements]]/'[1]1.) CLM Reference'!$B$5</f>
        <v>5.450157863497847E-4</v>
      </c>
      <c r="H339" s="228">
        <v>68761.358945999993</v>
      </c>
      <c r="I339" s="28">
        <f>[1]!Table3[[#This Row],[Residential CLM $ Collected]]/'[1]1.) CLM Reference'!$B$4</f>
        <v>7.4024162704108083E-4</v>
      </c>
      <c r="J339" s="229">
        <v>67879.710000000006</v>
      </c>
      <c r="K339" s="28">
        <f>[1]!Table3[[#This Row],[Residential Incentive Disbursements]]/'[1]1.) CLM Reference'!$B$5</f>
        <v>5.450157863497847E-4</v>
      </c>
      <c r="L339" s="229">
        <v>5181.3390300000001</v>
      </c>
      <c r="M339" s="28">
        <f>[1]!Table3[[#This Row],[C&amp;I CLM $ Collected]]/'[1]1.) CLM Reference'!$B$4</f>
        <v>5.5779043529822097E-5</v>
      </c>
      <c r="N339" s="229">
        <v>0</v>
      </c>
      <c r="O339" s="28">
        <f>[1]!Table3[[#This Row],[C&amp;I Incentive Disbursements]]/'[1]1.) CLM Reference'!$B$5</f>
        <v>0</v>
      </c>
      <c r="Q339">
        <f>VLOOKUP(Table3[[#This Row],[Census Tract]],'Population and Diversity Data'!$B$2:$K$823,10,FALSE)</f>
        <v>1</v>
      </c>
      <c r="R339" t="str">
        <f>VLOOKUP(Table3[[#This Row],[Census Tract]],'ES Energy Burden'!$B$2:$E$914,4,FALSE)</f>
        <v>No</v>
      </c>
    </row>
    <row r="340" spans="1:18" x14ac:dyDescent="0.2">
      <c r="A340" t="s">
        <v>2796</v>
      </c>
      <c r="B340" s="169">
        <v>9009190301</v>
      </c>
      <c r="C340" t="s">
        <v>944</v>
      </c>
      <c r="D340" s="170">
        <f>[1]!Table3[[#This Row],[Residential CLM $ Collected]]+[1]!Table3[[#This Row],[C&amp;I CLM $ Collected]]</f>
        <v>618.38972999999999</v>
      </c>
      <c r="E340" s="28">
        <f>[1]!Table3[[#This Row],[CLM $ Collected ]]/'[1]1.) CLM Reference'!$B$4</f>
        <v>6.6571956531601313E-6</v>
      </c>
      <c r="F340" s="170">
        <f>[1]!Table3[[#This Row],[Residential Incentive Disbursements]]+[1]!Table3[[#This Row],[C&amp;I Incentive Disbursements]]</f>
        <v>0</v>
      </c>
      <c r="G340" s="28">
        <f>[1]!Table3[[#This Row],[Incentive Disbursements]]/'[1]1.) CLM Reference'!$B$5</f>
        <v>0</v>
      </c>
      <c r="H340" s="228">
        <v>618.38972999999999</v>
      </c>
      <c r="I340" s="28">
        <f>[1]!Table3[[#This Row],[Residential CLM $ Collected]]/'[1]1.) CLM Reference'!$B$4</f>
        <v>6.6571956531601313E-6</v>
      </c>
      <c r="J340" s="229">
        <v>0</v>
      </c>
      <c r="K340" s="28">
        <f>[1]!Table3[[#This Row],[Residential Incentive Disbursements]]/'[1]1.) CLM Reference'!$B$5</f>
        <v>0</v>
      </c>
      <c r="L340" s="229">
        <v>0</v>
      </c>
      <c r="M340" s="28">
        <f>[1]!Table3[[#This Row],[C&amp;I CLM $ Collected]]/'[1]1.) CLM Reference'!$B$4</f>
        <v>0</v>
      </c>
      <c r="N340" s="229">
        <v>0</v>
      </c>
      <c r="O340" s="28">
        <f>[1]!Table3[[#This Row],[C&amp;I Incentive Disbursements]]/'[1]1.) CLM Reference'!$B$5</f>
        <v>0</v>
      </c>
      <c r="Q340">
        <f>VLOOKUP(Table3[[#This Row],[Census Tract]],'Population and Diversity Data'!$B$2:$K$823,10,FALSE)</f>
        <v>3</v>
      </c>
      <c r="R340" t="str">
        <f>VLOOKUP(Table3[[#This Row],[Census Tract]],'ES Energy Burden'!$B$2:$E$914,4,FALSE)</f>
        <v>No</v>
      </c>
    </row>
    <row r="341" spans="1:18" x14ac:dyDescent="0.2">
      <c r="A341" t="s">
        <v>2796</v>
      </c>
      <c r="B341" s="169">
        <v>9009194100</v>
      </c>
      <c r="C341" t="s">
        <v>944</v>
      </c>
      <c r="D341" s="170">
        <f>[1]!Table3[[#This Row],[Residential CLM $ Collected]]+[1]!Table3[[#This Row],[C&amp;I CLM $ Collected]]</f>
        <v>87333.434411999988</v>
      </c>
      <c r="E341" s="28">
        <f>[1]!Table3[[#This Row],[CLM $ Collected ]]/'[1]1.) CLM Reference'!$B$4</f>
        <v>9.4017693331212304E-4</v>
      </c>
      <c r="F341" s="170">
        <f>[1]!Table3[[#This Row],[Residential Incentive Disbursements]]+[1]!Table3[[#This Row],[C&amp;I Incentive Disbursements]]</f>
        <v>91269.014999999999</v>
      </c>
      <c r="G341" s="28">
        <f>[1]!Table3[[#This Row],[Incentive Disbursements]]/'[1]1.) CLM Reference'!$B$5</f>
        <v>7.3281182226022008E-4</v>
      </c>
      <c r="H341" s="228">
        <v>87332.270381999988</v>
      </c>
      <c r="I341" s="28">
        <f>[1]!Table3[[#This Row],[Residential CLM $ Collected]]/'[1]1.) CLM Reference'!$B$4</f>
        <v>9.4016440209583629E-4</v>
      </c>
      <c r="J341" s="229">
        <v>91269.014999999999</v>
      </c>
      <c r="K341" s="28">
        <f>[1]!Table3[[#This Row],[Residential Incentive Disbursements]]/'[1]1.) CLM Reference'!$B$5</f>
        <v>7.3281182226022008E-4</v>
      </c>
      <c r="L341" s="229">
        <v>1.1640300000000001</v>
      </c>
      <c r="M341" s="28">
        <f>[1]!Table3[[#This Row],[C&amp;I CLM $ Collected]]/'[1]1.) CLM Reference'!$B$4</f>
        <v>1.253121628677111E-8</v>
      </c>
      <c r="N341" s="229">
        <v>0</v>
      </c>
      <c r="O341" s="28">
        <f>[1]!Table3[[#This Row],[C&amp;I Incentive Disbursements]]/'[1]1.) CLM Reference'!$B$5</f>
        <v>0</v>
      </c>
      <c r="Q341">
        <f>VLOOKUP(Table3[[#This Row],[Census Tract]],'Population and Diversity Data'!$B$2:$K$823,10,FALSE)</f>
        <v>1</v>
      </c>
      <c r="R341" t="str">
        <f>VLOOKUP(Table3[[#This Row],[Census Tract]],'ES Energy Burden'!$B$2:$E$914,4,FALSE)</f>
        <v>No</v>
      </c>
    </row>
    <row r="342" spans="1:18" x14ac:dyDescent="0.2">
      <c r="A342" t="s">
        <v>2796</v>
      </c>
      <c r="B342" s="169">
        <v>9009194201</v>
      </c>
      <c r="C342" t="s">
        <v>944</v>
      </c>
      <c r="D342" s="170">
        <f>[1]!Table3[[#This Row],[Residential CLM $ Collected]]+[1]!Table3[[#This Row],[C&amp;I CLM $ Collected]]</f>
        <v>108122.61705</v>
      </c>
      <c r="E342" s="28">
        <f>[1]!Table3[[#This Row],[CLM $ Collected ]]/'[1]1.) CLM Reference'!$B$4</f>
        <v>1.1639802236585615E-3</v>
      </c>
      <c r="F342" s="170">
        <f>[1]!Table3[[#This Row],[Residential Incentive Disbursements]]+[1]!Table3[[#This Row],[C&amp;I Incentive Disbursements]]</f>
        <v>307628.49</v>
      </c>
      <c r="G342" s="28">
        <f>[1]!Table3[[#This Row],[Incentive Disbursements]]/'[1]1.) CLM Reference'!$B$5</f>
        <v>2.469992629328364E-3</v>
      </c>
      <c r="H342" s="228">
        <v>108122.61705</v>
      </c>
      <c r="I342" s="28">
        <f>[1]!Table3[[#This Row],[Residential CLM $ Collected]]/'[1]1.) CLM Reference'!$B$4</f>
        <v>1.1639802236585615E-3</v>
      </c>
      <c r="J342" s="229">
        <v>307628.49</v>
      </c>
      <c r="K342" s="28">
        <f>[1]!Table3[[#This Row],[Residential Incentive Disbursements]]/'[1]1.) CLM Reference'!$B$5</f>
        <v>2.469992629328364E-3</v>
      </c>
      <c r="L342" s="229">
        <v>0</v>
      </c>
      <c r="M342" s="28">
        <f>[1]!Table3[[#This Row],[C&amp;I CLM $ Collected]]/'[1]1.) CLM Reference'!$B$4</f>
        <v>0</v>
      </c>
      <c r="N342" s="229">
        <v>0</v>
      </c>
      <c r="O342" s="28">
        <f>[1]!Table3[[#This Row],[C&amp;I Incentive Disbursements]]/'[1]1.) CLM Reference'!$B$5</f>
        <v>0</v>
      </c>
      <c r="Q342">
        <f>VLOOKUP(Table3[[#This Row],[Census Tract]],'Population and Diversity Data'!$B$2:$K$823,10,FALSE)</f>
        <v>3</v>
      </c>
      <c r="R342" t="str">
        <f>VLOOKUP(Table3[[#This Row],[Census Tract]],'ES Energy Burden'!$B$2:$E$914,4,FALSE)</f>
        <v>No</v>
      </c>
    </row>
    <row r="343" spans="1:18" x14ac:dyDescent="0.2">
      <c r="A343" t="s">
        <v>2796</v>
      </c>
      <c r="B343" s="169">
        <v>9009194202</v>
      </c>
      <c r="C343" t="s">
        <v>944</v>
      </c>
      <c r="D343" s="170">
        <f>[1]!Table3[[#This Row],[Residential CLM $ Collected]]+[1]!Table3[[#This Row],[C&amp;I CLM $ Collected]]</f>
        <v>282884.73347400001</v>
      </c>
      <c r="E343" s="28">
        <f>[1]!Table3[[#This Row],[CLM $ Collected ]]/'[1]1.) CLM Reference'!$B$4</f>
        <v>3.0453594661549038E-3</v>
      </c>
      <c r="F343" s="170">
        <f>[1]!Table3[[#This Row],[Residential Incentive Disbursements]]+[1]!Table3[[#This Row],[C&amp;I Incentive Disbursements]]</f>
        <v>362528.66500000004</v>
      </c>
      <c r="G343" s="28">
        <f>[1]!Table3[[#This Row],[Incentive Disbursements]]/'[1]1.) CLM Reference'!$B$5</f>
        <v>2.9107938945129946E-3</v>
      </c>
      <c r="H343" s="228">
        <v>199762.296405</v>
      </c>
      <c r="I343" s="28">
        <f>[1]!Table3[[#This Row],[Residential CLM $ Collected]]/'[1]1.) CLM Reference'!$B$4</f>
        <v>2.1505154868801781E-3</v>
      </c>
      <c r="J343" s="229">
        <v>339533.14500000002</v>
      </c>
      <c r="K343" s="28">
        <f>[1]!Table3[[#This Row],[Residential Incentive Disbursements]]/'[1]1.) CLM Reference'!$B$5</f>
        <v>2.7261596140288526E-3</v>
      </c>
      <c r="L343" s="229">
        <v>83122.437069000007</v>
      </c>
      <c r="M343" s="28">
        <f>[1]!Table3[[#This Row],[C&amp;I CLM $ Collected]]/'[1]1.) CLM Reference'!$B$4</f>
        <v>8.9484397927472607E-4</v>
      </c>
      <c r="N343" s="229">
        <v>22995.52</v>
      </c>
      <c r="O343" s="28">
        <f>[1]!Table3[[#This Row],[C&amp;I Incentive Disbursements]]/'[1]1.) CLM Reference'!$B$5</f>
        <v>1.8463428048414173E-4</v>
      </c>
      <c r="Q343">
        <f>VLOOKUP(Table3[[#This Row],[Census Tract]],'Population and Diversity Data'!$B$2:$K$823,10,FALSE)</f>
        <v>3</v>
      </c>
      <c r="R343" t="str">
        <f>VLOOKUP(Table3[[#This Row],[Census Tract]],'ES Energy Burden'!$B$2:$E$914,4,FALSE)</f>
        <v>No</v>
      </c>
    </row>
    <row r="344" spans="1:18" x14ac:dyDescent="0.2">
      <c r="A344" t="s">
        <v>2797</v>
      </c>
      <c r="B344" s="169">
        <v>9003487201</v>
      </c>
      <c r="C344" t="s">
        <v>944</v>
      </c>
      <c r="D344" s="170">
        <f>[1]!Table3[[#This Row],[Residential CLM $ Collected]]+[1]!Table3[[#This Row],[C&amp;I CLM $ Collected]]</f>
        <v>405.59442000000001</v>
      </c>
      <c r="E344" s="28">
        <f>[1]!Table3[[#This Row],[CLM $ Collected ]]/'[1]1.) CLM Reference'!$B$4</f>
        <v>4.3663749230926019E-6</v>
      </c>
      <c r="F344" s="170">
        <f>[1]!Table3[[#This Row],[Residential Incentive Disbursements]]+[1]!Table3[[#This Row],[C&amp;I Incentive Disbursements]]</f>
        <v>0</v>
      </c>
      <c r="G344" s="28">
        <f>[1]!Table3[[#This Row],[Incentive Disbursements]]/'[1]1.) CLM Reference'!$B$5</f>
        <v>0</v>
      </c>
      <c r="H344" s="228">
        <v>405.59442000000001</v>
      </c>
      <c r="I344" s="28">
        <f>[1]!Table3[[#This Row],[Residential CLM $ Collected]]/'[1]1.) CLM Reference'!$B$4</f>
        <v>4.3663749230926019E-6</v>
      </c>
      <c r="J344" s="229">
        <v>0</v>
      </c>
      <c r="K344" s="28">
        <f>[1]!Table3[[#This Row],[Residential Incentive Disbursements]]/'[1]1.) CLM Reference'!$B$5</f>
        <v>0</v>
      </c>
      <c r="L344" s="229">
        <v>0</v>
      </c>
      <c r="M344" s="28">
        <f>[1]!Table3[[#This Row],[C&amp;I CLM $ Collected]]/'[1]1.) CLM Reference'!$B$4</f>
        <v>0</v>
      </c>
      <c r="N344" s="229">
        <v>0</v>
      </c>
      <c r="O344" s="28">
        <f>[1]!Table3[[#This Row],[C&amp;I Incentive Disbursements]]/'[1]1.) CLM Reference'!$B$5</f>
        <v>0</v>
      </c>
      <c r="Q344">
        <f>VLOOKUP(Table3[[#This Row],[Census Tract]],'Population and Diversity Data'!$B$2:$K$823,10,FALSE)</f>
        <v>4</v>
      </c>
      <c r="R344" t="str">
        <f>VLOOKUP(Table3[[#This Row],[Census Tract]],'ES Energy Burden'!$B$2:$E$914,4,FALSE)</f>
        <v>No</v>
      </c>
    </row>
    <row r="345" spans="1:18" x14ac:dyDescent="0.2">
      <c r="A345" t="s">
        <v>2797</v>
      </c>
      <c r="B345" s="169">
        <v>9003487500</v>
      </c>
      <c r="C345" t="s">
        <v>944</v>
      </c>
      <c r="D345" s="170">
        <f>[1]!Table3[[#This Row],[Residential CLM $ Collected]]+[1]!Table3[[#This Row],[C&amp;I CLM $ Collected]]</f>
        <v>260.52537000000001</v>
      </c>
      <c r="E345" s="28">
        <f>[1]!Table3[[#This Row],[CLM $ Collected ]]/'[1]1.) CLM Reference'!$B$4</f>
        <v>2.8046525945732234E-6</v>
      </c>
      <c r="F345" s="170">
        <f>[1]!Table3[[#This Row],[Residential Incentive Disbursements]]+[1]!Table3[[#This Row],[C&amp;I Incentive Disbursements]]</f>
        <v>0</v>
      </c>
      <c r="G345" s="28">
        <f>[1]!Table3[[#This Row],[Incentive Disbursements]]/'[1]1.) CLM Reference'!$B$5</f>
        <v>0</v>
      </c>
      <c r="H345" s="228">
        <v>260.52537000000001</v>
      </c>
      <c r="I345" s="28">
        <f>[1]!Table3[[#This Row],[Residential CLM $ Collected]]/'[1]1.) CLM Reference'!$B$4</f>
        <v>2.8046525945732234E-6</v>
      </c>
      <c r="J345" s="229">
        <v>0</v>
      </c>
      <c r="K345" s="28">
        <f>[1]!Table3[[#This Row],[Residential Incentive Disbursements]]/'[1]1.) CLM Reference'!$B$5</f>
        <v>0</v>
      </c>
      <c r="L345" s="229">
        <v>0</v>
      </c>
      <c r="M345" s="28">
        <f>[1]!Table3[[#This Row],[C&amp;I CLM $ Collected]]/'[1]1.) CLM Reference'!$B$4</f>
        <v>0</v>
      </c>
      <c r="N345" s="229">
        <v>0</v>
      </c>
      <c r="O345" s="28">
        <f>[1]!Table3[[#This Row],[C&amp;I Incentive Disbursements]]/'[1]1.) CLM Reference'!$B$5</f>
        <v>0</v>
      </c>
      <c r="Q345">
        <f>VLOOKUP(Table3[[#This Row],[Census Tract]],'Population and Diversity Data'!$B$2:$K$823,10,FALSE)</f>
        <v>5</v>
      </c>
      <c r="R345" t="str">
        <f>VLOOKUP(Table3[[#This Row],[Census Tract]],'ES Energy Burden'!$B$2:$E$914,4,FALSE)</f>
        <v>No</v>
      </c>
    </row>
    <row r="346" spans="1:18" x14ac:dyDescent="0.2">
      <c r="A346" t="s">
        <v>2797</v>
      </c>
      <c r="B346" s="169">
        <v>9003514101</v>
      </c>
      <c r="C346" t="s">
        <v>944</v>
      </c>
      <c r="D346" s="170">
        <f>[1]!Table3[[#This Row],[Residential CLM $ Collected]]+[1]!Table3[[#This Row],[C&amp;I CLM $ Collected]]</f>
        <v>32255.256809999999</v>
      </c>
      <c r="E346" s="28">
        <f>[1]!Table3[[#This Row],[CLM $ Collected ]]/'[1]1.) CLM Reference'!$B$4</f>
        <v>3.4723984731618315E-4</v>
      </c>
      <c r="F346" s="170">
        <f>[1]!Table3[[#This Row],[Residential Incentive Disbursements]]+[1]!Table3[[#This Row],[C&amp;I Incentive Disbursements]]</f>
        <v>25696.22</v>
      </c>
      <c r="G346" s="28">
        <f>[1]!Table3[[#This Row],[Incentive Disbursements]]/'[1]1.) CLM Reference'!$B$5</f>
        <v>2.0631858252660571E-4</v>
      </c>
      <c r="H346" s="228">
        <v>32255.256809999999</v>
      </c>
      <c r="I346" s="28">
        <f>[1]!Table3[[#This Row],[Residential CLM $ Collected]]/'[1]1.) CLM Reference'!$B$4</f>
        <v>3.4723984731618315E-4</v>
      </c>
      <c r="J346" s="229">
        <v>25696.22</v>
      </c>
      <c r="K346" s="28">
        <f>[1]!Table3[[#This Row],[Residential Incentive Disbursements]]/'[1]1.) CLM Reference'!$B$5</f>
        <v>2.0631858252660571E-4</v>
      </c>
      <c r="L346" s="229">
        <v>0</v>
      </c>
      <c r="M346" s="28">
        <f>[1]!Table3[[#This Row],[C&amp;I CLM $ Collected]]/'[1]1.) CLM Reference'!$B$4</f>
        <v>0</v>
      </c>
      <c r="N346" s="229">
        <v>0</v>
      </c>
      <c r="O346" s="28">
        <f>[1]!Table3[[#This Row],[C&amp;I Incentive Disbursements]]/'[1]1.) CLM Reference'!$B$5</f>
        <v>0</v>
      </c>
      <c r="Q346">
        <f>VLOOKUP(Table3[[#This Row],[Census Tract]],'Population and Diversity Data'!$B$2:$K$823,10,FALSE)</f>
        <v>3</v>
      </c>
      <c r="R346" t="str">
        <f>VLOOKUP(Table3[[#This Row],[Census Tract]],'ES Energy Burden'!$B$2:$E$914,4,FALSE)</f>
        <v>No</v>
      </c>
    </row>
    <row r="347" spans="1:18" x14ac:dyDescent="0.2">
      <c r="A347" t="s">
        <v>2797</v>
      </c>
      <c r="B347" s="169">
        <v>9003514102</v>
      </c>
      <c r="C347" t="s">
        <v>944</v>
      </c>
      <c r="D347" s="170">
        <f>[1]!Table3[[#This Row],[Residential CLM $ Collected]]+[1]!Table3[[#This Row],[C&amp;I CLM $ Collected]]</f>
        <v>45790.595717999997</v>
      </c>
      <c r="E347" s="28">
        <f>[1]!Table3[[#This Row],[CLM $ Collected ]]/'[1]1.) CLM Reference'!$B$4</f>
        <v>4.929528095000583E-4</v>
      </c>
      <c r="F347" s="170">
        <f>[1]!Table3[[#This Row],[Residential Incentive Disbursements]]+[1]!Table3[[#This Row],[C&amp;I Incentive Disbursements]]</f>
        <v>13789.99</v>
      </c>
      <c r="G347" s="28">
        <f>[1]!Table3[[#This Row],[Incentive Disbursements]]/'[1]1.) CLM Reference'!$B$5</f>
        <v>1.1072177891752434E-4</v>
      </c>
      <c r="H347" s="228">
        <v>45290.560308</v>
      </c>
      <c r="I347" s="28">
        <f>[1]!Table3[[#This Row],[Residential CLM $ Collected]]/'[1]1.) CLM Reference'!$B$4</f>
        <v>4.8756974216179885E-4</v>
      </c>
      <c r="J347" s="229">
        <v>13789.99</v>
      </c>
      <c r="K347" s="28">
        <f>[1]!Table3[[#This Row],[Residential Incentive Disbursements]]/'[1]1.) CLM Reference'!$B$5</f>
        <v>1.1072177891752434E-4</v>
      </c>
      <c r="L347" s="229">
        <v>500.03541000000001</v>
      </c>
      <c r="M347" s="28">
        <f>[1]!Table3[[#This Row],[C&amp;I CLM $ Collected]]/'[1]1.) CLM Reference'!$B$4</f>
        <v>5.3830673382595538E-6</v>
      </c>
      <c r="N347" s="229">
        <v>0</v>
      </c>
      <c r="O347" s="28">
        <f>[1]!Table3[[#This Row],[C&amp;I Incentive Disbursements]]/'[1]1.) CLM Reference'!$B$5</f>
        <v>0</v>
      </c>
      <c r="Q347">
        <f>VLOOKUP(Table3[[#This Row],[Census Tract]],'Population and Diversity Data'!$B$2:$K$823,10,FALSE)</f>
        <v>5</v>
      </c>
      <c r="R347" t="str">
        <f>VLOOKUP(Table3[[#This Row],[Census Tract]],'ES Energy Burden'!$B$2:$E$914,4,FALSE)</f>
        <v>No</v>
      </c>
    </row>
    <row r="348" spans="1:18" x14ac:dyDescent="0.2">
      <c r="A348" t="s">
        <v>2797</v>
      </c>
      <c r="B348" s="169">
        <v>9003514200</v>
      </c>
      <c r="C348" t="s">
        <v>944</v>
      </c>
      <c r="D348" s="170">
        <f>[1]!Table3[[#This Row],[Residential CLM $ Collected]]+[1]!Table3[[#This Row],[C&amp;I CLM $ Collected]]</f>
        <v>28184.568069000001</v>
      </c>
      <c r="E348" s="28">
        <f>[1]!Table3[[#This Row],[CLM $ Collected ]]/'[1]1.) CLM Reference'!$B$4</f>
        <v>3.0341736761239978E-4</v>
      </c>
      <c r="F348" s="170">
        <f>[1]!Table3[[#This Row],[Residential Incentive Disbursements]]+[1]!Table3[[#This Row],[C&amp;I Incentive Disbursements]]</f>
        <v>35847.35</v>
      </c>
      <c r="G348" s="28">
        <f>[1]!Table3[[#This Row],[Incentive Disbursements]]/'[1]1.) CLM Reference'!$B$5</f>
        <v>2.8782344015326452E-4</v>
      </c>
      <c r="H348" s="228">
        <v>28184.568069000001</v>
      </c>
      <c r="I348" s="28">
        <f>[1]!Table3[[#This Row],[Residential CLM $ Collected]]/'[1]1.) CLM Reference'!$B$4</f>
        <v>3.0341736761239978E-4</v>
      </c>
      <c r="J348" s="229">
        <v>35847.35</v>
      </c>
      <c r="K348" s="28">
        <f>[1]!Table3[[#This Row],[Residential Incentive Disbursements]]/'[1]1.) CLM Reference'!$B$5</f>
        <v>2.8782344015326452E-4</v>
      </c>
      <c r="L348" s="229">
        <v>0</v>
      </c>
      <c r="M348" s="28">
        <f>[1]!Table3[[#This Row],[C&amp;I CLM $ Collected]]/'[1]1.) CLM Reference'!$B$4</f>
        <v>0</v>
      </c>
      <c r="N348" s="229">
        <v>0</v>
      </c>
      <c r="O348" s="28">
        <f>[1]!Table3[[#This Row],[C&amp;I Incentive Disbursements]]/'[1]1.) CLM Reference'!$B$5</f>
        <v>0</v>
      </c>
      <c r="Q348">
        <f>VLOOKUP(Table3[[#This Row],[Census Tract]],'Population and Diversity Data'!$B$2:$K$823,10,FALSE)</f>
        <v>5</v>
      </c>
      <c r="R348" t="str">
        <f>VLOOKUP(Table3[[#This Row],[Census Tract]],'ES Energy Burden'!$B$2:$E$914,4,FALSE)</f>
        <v>No</v>
      </c>
    </row>
    <row r="349" spans="1:18" x14ac:dyDescent="0.2">
      <c r="A349" t="s">
        <v>2797</v>
      </c>
      <c r="B349" s="169">
        <v>9003514300</v>
      </c>
      <c r="C349" t="s">
        <v>944</v>
      </c>
      <c r="D349" s="170">
        <f>[1]!Table3[[#This Row],[Residential CLM $ Collected]]+[1]!Table3[[#This Row],[C&amp;I CLM $ Collected]]</f>
        <v>36217.866090000003</v>
      </c>
      <c r="E349" s="28">
        <f>[1]!Table3[[#This Row],[CLM $ Collected ]]/'[1]1.) CLM Reference'!$B$4</f>
        <v>3.898988113872521E-4</v>
      </c>
      <c r="F349" s="170">
        <f>[1]!Table3[[#This Row],[Residential Incentive Disbursements]]+[1]!Table3[[#This Row],[C&amp;I Incentive Disbursements]]</f>
        <v>45252.57</v>
      </c>
      <c r="G349" s="28">
        <f>[1]!Table3[[#This Row],[Incentive Disbursements]]/'[1]1.) CLM Reference'!$B$5</f>
        <v>3.6333928095595388E-4</v>
      </c>
      <c r="H349" s="228">
        <v>36217.866090000003</v>
      </c>
      <c r="I349" s="28">
        <f>[1]!Table3[[#This Row],[Residential CLM $ Collected]]/'[1]1.) CLM Reference'!$B$4</f>
        <v>3.898988113872521E-4</v>
      </c>
      <c r="J349" s="229">
        <v>45252.57</v>
      </c>
      <c r="K349" s="28">
        <f>[1]!Table3[[#This Row],[Residential Incentive Disbursements]]/'[1]1.) CLM Reference'!$B$5</f>
        <v>3.6333928095595388E-4</v>
      </c>
      <c r="L349" s="229">
        <v>0</v>
      </c>
      <c r="M349" s="28">
        <f>[1]!Table3[[#This Row],[C&amp;I CLM $ Collected]]/'[1]1.) CLM Reference'!$B$4</f>
        <v>0</v>
      </c>
      <c r="N349" s="229">
        <v>0</v>
      </c>
      <c r="O349" s="28">
        <f>[1]!Table3[[#This Row],[C&amp;I Incentive Disbursements]]/'[1]1.) CLM Reference'!$B$5</f>
        <v>0</v>
      </c>
      <c r="Q349">
        <f>VLOOKUP(Table3[[#This Row],[Census Tract]],'Population and Diversity Data'!$B$2:$K$823,10,FALSE)</f>
        <v>3</v>
      </c>
      <c r="R349" t="str">
        <f>VLOOKUP(Table3[[#This Row],[Census Tract]],'ES Energy Burden'!$B$2:$E$914,4,FALSE)</f>
        <v>No</v>
      </c>
    </row>
    <row r="350" spans="1:18" x14ac:dyDescent="0.2">
      <c r="A350" t="s">
        <v>2797</v>
      </c>
      <c r="B350" s="169">
        <v>9003514400</v>
      </c>
      <c r="C350" t="s">
        <v>944</v>
      </c>
      <c r="D350" s="170">
        <f>[1]!Table3[[#This Row],[Residential CLM $ Collected]]+[1]!Table3[[#This Row],[C&amp;I CLM $ Collected]]</f>
        <v>35376.295101000003</v>
      </c>
      <c r="E350" s="28">
        <f>[1]!Table3[[#This Row],[CLM $ Collected ]]/'[1]1.) CLM Reference'!$B$4</f>
        <v>3.8083898639663255E-4</v>
      </c>
      <c r="F350" s="170">
        <f>[1]!Table3[[#This Row],[Residential Incentive Disbursements]]+[1]!Table3[[#This Row],[C&amp;I Incentive Disbursements]]</f>
        <v>20562.77</v>
      </c>
      <c r="G350" s="28">
        <f>[1]!Table3[[#This Row],[Incentive Disbursements]]/'[1]1.) CLM Reference'!$B$5</f>
        <v>1.651013868662633E-4</v>
      </c>
      <c r="H350" s="228">
        <v>35376.295101000003</v>
      </c>
      <c r="I350" s="28">
        <f>[1]!Table3[[#This Row],[Residential CLM $ Collected]]/'[1]1.) CLM Reference'!$B$4</f>
        <v>3.8083898639663255E-4</v>
      </c>
      <c r="J350" s="229">
        <v>20562.77</v>
      </c>
      <c r="K350" s="28">
        <f>[1]!Table3[[#This Row],[Residential Incentive Disbursements]]/'[1]1.) CLM Reference'!$B$5</f>
        <v>1.651013868662633E-4</v>
      </c>
      <c r="L350" s="229">
        <v>0</v>
      </c>
      <c r="M350" s="28">
        <f>[1]!Table3[[#This Row],[C&amp;I CLM $ Collected]]/'[1]1.) CLM Reference'!$B$4</f>
        <v>0</v>
      </c>
      <c r="N350" s="229">
        <v>0</v>
      </c>
      <c r="O350" s="28">
        <f>[1]!Table3[[#This Row],[C&amp;I Incentive Disbursements]]/'[1]1.) CLM Reference'!$B$5</f>
        <v>0</v>
      </c>
      <c r="Q350">
        <f>VLOOKUP(Table3[[#This Row],[Census Tract]],'Population and Diversity Data'!$B$2:$K$823,10,FALSE)</f>
        <v>4</v>
      </c>
      <c r="R350" t="str">
        <f>VLOOKUP(Table3[[#This Row],[Census Tract]],'ES Energy Burden'!$B$2:$E$914,4,FALSE)</f>
        <v>No</v>
      </c>
    </row>
    <row r="351" spans="1:18" x14ac:dyDescent="0.2">
      <c r="A351" t="s">
        <v>2797</v>
      </c>
      <c r="B351" s="169">
        <v>9003514500</v>
      </c>
      <c r="C351" t="s">
        <v>944</v>
      </c>
      <c r="D351" s="170">
        <f>[1]!Table3[[#This Row],[Residential CLM $ Collected]]+[1]!Table3[[#This Row],[C&amp;I CLM $ Collected]]</f>
        <v>37316.888637000004</v>
      </c>
      <c r="E351" s="28">
        <f>[1]!Table3[[#This Row],[CLM $ Collected ]]/'[1]1.) CLM Reference'!$B$4</f>
        <v>4.0173019824196808E-4</v>
      </c>
      <c r="F351" s="170">
        <f>[1]!Table3[[#This Row],[Residential Incentive Disbursements]]+[1]!Table3[[#This Row],[C&amp;I Incentive Disbursements]]</f>
        <v>23776.12</v>
      </c>
      <c r="G351" s="28">
        <f>[1]!Table3[[#This Row],[Incentive Disbursements]]/'[1]1.) CLM Reference'!$B$5</f>
        <v>1.9090182822152364E-4</v>
      </c>
      <c r="H351" s="228">
        <v>37316.888637000004</v>
      </c>
      <c r="I351" s="28">
        <f>[1]!Table3[[#This Row],[Residential CLM $ Collected]]/'[1]1.) CLM Reference'!$B$4</f>
        <v>4.0173019824196808E-4</v>
      </c>
      <c r="J351" s="229">
        <v>23776.12</v>
      </c>
      <c r="K351" s="28">
        <f>[1]!Table3[[#This Row],[Residential Incentive Disbursements]]/'[1]1.) CLM Reference'!$B$5</f>
        <v>1.9090182822152364E-4</v>
      </c>
      <c r="L351" s="229">
        <v>0</v>
      </c>
      <c r="M351" s="28">
        <f>[1]!Table3[[#This Row],[C&amp;I CLM $ Collected]]/'[1]1.) CLM Reference'!$B$4</f>
        <v>0</v>
      </c>
      <c r="N351" s="229">
        <v>0</v>
      </c>
      <c r="O351" s="28">
        <f>[1]!Table3[[#This Row],[C&amp;I Incentive Disbursements]]/'[1]1.) CLM Reference'!$B$5</f>
        <v>0</v>
      </c>
      <c r="Q351">
        <f>VLOOKUP(Table3[[#This Row],[Census Tract]],'Population and Diversity Data'!$B$2:$K$823,10,FALSE)</f>
        <v>5</v>
      </c>
      <c r="R351" t="str">
        <f>VLOOKUP(Table3[[#This Row],[Census Tract]],'ES Energy Burden'!$B$2:$E$914,4,FALSE)</f>
        <v>No</v>
      </c>
    </row>
    <row r="352" spans="1:18" x14ac:dyDescent="0.2">
      <c r="A352" t="s">
        <v>2797</v>
      </c>
      <c r="B352" s="169">
        <v>9003514600</v>
      </c>
      <c r="C352" t="s">
        <v>944</v>
      </c>
      <c r="D352" s="170">
        <f>[1]!Table3[[#This Row],[Residential CLM $ Collected]]+[1]!Table3[[#This Row],[C&amp;I CLM $ Collected]]</f>
        <v>686762.95304400008</v>
      </c>
      <c r="E352" s="28">
        <f>[1]!Table3[[#This Row],[CLM $ Collected ]]/'[1]1.) CLM Reference'!$B$4</f>
        <v>7.393258852723723E-3</v>
      </c>
      <c r="F352" s="170">
        <f>[1]!Table3[[#This Row],[Residential Incentive Disbursements]]+[1]!Table3[[#This Row],[C&amp;I Incentive Disbursements]]</f>
        <v>842774.30750000011</v>
      </c>
      <c r="G352" s="28">
        <f>[1]!Table3[[#This Row],[Incentive Disbursements]]/'[1]1.) CLM Reference'!$B$5</f>
        <v>6.7667540406037051E-3</v>
      </c>
      <c r="H352" s="228">
        <v>291728.98897800001</v>
      </c>
      <c r="I352" s="28">
        <f>[1]!Table3[[#This Row],[Residential CLM $ Collected]]/'[1]1.) CLM Reference'!$B$4</f>
        <v>3.1405711691317086E-3</v>
      </c>
      <c r="J352" s="229">
        <v>489205.52750000003</v>
      </c>
      <c r="K352" s="28">
        <f>[1]!Table3[[#This Row],[Residential Incentive Disbursements]]/'[1]1.) CLM Reference'!$B$5</f>
        <v>3.9279003292305419E-3</v>
      </c>
      <c r="L352" s="229">
        <v>395033.96406600002</v>
      </c>
      <c r="M352" s="28">
        <f>[1]!Table3[[#This Row],[C&amp;I CLM $ Collected]]/'[1]1.) CLM Reference'!$B$4</f>
        <v>4.2526876835920135E-3</v>
      </c>
      <c r="N352" s="229">
        <v>353568.78</v>
      </c>
      <c r="O352" s="28">
        <f>[1]!Table3[[#This Row],[C&amp;I Incentive Disbursements]]/'[1]1.) CLM Reference'!$B$5</f>
        <v>2.8388537113731632E-3</v>
      </c>
      <c r="Q352">
        <f>VLOOKUP(Table3[[#This Row],[Census Tract]],'Population and Diversity Data'!$B$2:$K$823,10,FALSE)</f>
        <v>5</v>
      </c>
      <c r="R352" t="str">
        <f>VLOOKUP(Table3[[#This Row],[Census Tract]],'ES Energy Burden'!$B$2:$E$914,4,FALSE)</f>
        <v>No</v>
      </c>
    </row>
    <row r="353" spans="1:18" x14ac:dyDescent="0.2">
      <c r="A353" t="s">
        <v>2797</v>
      </c>
      <c r="B353" s="169">
        <v>9003514700</v>
      </c>
      <c r="C353" t="s">
        <v>944</v>
      </c>
      <c r="D353" s="170">
        <f>[1]!Table3[[#This Row],[Residential CLM $ Collected]]+[1]!Table3[[#This Row],[C&amp;I CLM $ Collected]]</f>
        <v>34941.534725999998</v>
      </c>
      <c r="E353" s="28">
        <f>[1]!Table3[[#This Row],[CLM $ Collected ]]/'[1]1.) CLM Reference'!$B$4</f>
        <v>3.7615862911027155E-4</v>
      </c>
      <c r="F353" s="170">
        <f>[1]!Table3[[#This Row],[Residential Incentive Disbursements]]+[1]!Table3[[#This Row],[C&amp;I Incentive Disbursements]]</f>
        <v>16209.24</v>
      </c>
      <c r="G353" s="28">
        <f>[1]!Table3[[#This Row],[Incentive Disbursements]]/'[1]1.) CLM Reference'!$B$5</f>
        <v>1.3014627912718516E-4</v>
      </c>
      <c r="H353" s="228">
        <v>34941.534725999998</v>
      </c>
      <c r="I353" s="28">
        <f>[1]!Table3[[#This Row],[Residential CLM $ Collected]]/'[1]1.) CLM Reference'!$B$4</f>
        <v>3.7615862911027155E-4</v>
      </c>
      <c r="J353" s="229">
        <v>16209.24</v>
      </c>
      <c r="K353" s="28">
        <f>[1]!Table3[[#This Row],[Residential Incentive Disbursements]]/'[1]1.) CLM Reference'!$B$5</f>
        <v>1.3014627912718516E-4</v>
      </c>
      <c r="L353" s="229">
        <v>0</v>
      </c>
      <c r="M353" s="28">
        <f>[1]!Table3[[#This Row],[C&amp;I CLM $ Collected]]/'[1]1.) CLM Reference'!$B$4</f>
        <v>0</v>
      </c>
      <c r="N353" s="229">
        <v>0</v>
      </c>
      <c r="O353" s="28">
        <f>[1]!Table3[[#This Row],[C&amp;I Incentive Disbursements]]/'[1]1.) CLM Reference'!$B$5</f>
        <v>0</v>
      </c>
      <c r="Q353">
        <f>VLOOKUP(Table3[[#This Row],[Census Tract]],'Population and Diversity Data'!$B$2:$K$823,10,FALSE)</f>
        <v>5</v>
      </c>
      <c r="R353" t="str">
        <f>VLOOKUP(Table3[[#This Row],[Census Tract]],'ES Energy Burden'!$B$2:$E$914,4,FALSE)</f>
        <v>No</v>
      </c>
    </row>
    <row r="354" spans="1:18" x14ac:dyDescent="0.2">
      <c r="A354" t="s">
        <v>2797</v>
      </c>
      <c r="B354" s="169">
        <v>9003514800</v>
      </c>
      <c r="C354" t="s">
        <v>944</v>
      </c>
      <c r="D354" s="170">
        <f>[1]!Table3[[#This Row],[Residential CLM $ Collected]]+[1]!Table3[[#This Row],[C&amp;I CLM $ Collected]]</f>
        <v>23920.869630000001</v>
      </c>
      <c r="E354" s="28">
        <f>[1]!Table3[[#This Row],[CLM $ Collected ]]/'[1]1.) CLM Reference'!$B$4</f>
        <v>2.5751706665737512E-4</v>
      </c>
      <c r="F354" s="170">
        <f>[1]!Table3[[#This Row],[Residential Incentive Disbursements]]+[1]!Table3[[#This Row],[C&amp;I Incentive Disbursements]]</f>
        <v>20062.86</v>
      </c>
      <c r="G354" s="28">
        <f>[1]!Table3[[#This Row],[Incentive Disbursements]]/'[1]1.) CLM Reference'!$B$5</f>
        <v>1.6108753881425894E-4</v>
      </c>
      <c r="H354" s="228">
        <v>23920.869630000001</v>
      </c>
      <c r="I354" s="28">
        <f>[1]!Table3[[#This Row],[Residential CLM $ Collected]]/'[1]1.) CLM Reference'!$B$4</f>
        <v>2.5751706665737512E-4</v>
      </c>
      <c r="J354" s="229">
        <v>20062.86</v>
      </c>
      <c r="K354" s="28">
        <f>[1]!Table3[[#This Row],[Residential Incentive Disbursements]]/'[1]1.) CLM Reference'!$B$5</f>
        <v>1.6108753881425894E-4</v>
      </c>
      <c r="L354" s="229">
        <v>0</v>
      </c>
      <c r="M354" s="28">
        <f>[1]!Table3[[#This Row],[C&amp;I CLM $ Collected]]/'[1]1.) CLM Reference'!$B$4</f>
        <v>0</v>
      </c>
      <c r="N354" s="229">
        <v>0</v>
      </c>
      <c r="O354" s="28">
        <f>[1]!Table3[[#This Row],[C&amp;I Incentive Disbursements]]/'[1]1.) CLM Reference'!$B$5</f>
        <v>0</v>
      </c>
      <c r="Q354">
        <f>VLOOKUP(Table3[[#This Row],[Census Tract]],'Population and Diversity Data'!$B$2:$K$823,10,FALSE)</f>
        <v>5</v>
      </c>
      <c r="R354" t="str">
        <f>VLOOKUP(Table3[[#This Row],[Census Tract]],'ES Energy Burden'!$B$2:$E$914,4,FALSE)</f>
        <v>Yes</v>
      </c>
    </row>
    <row r="355" spans="1:18" x14ac:dyDescent="0.2">
      <c r="A355" t="s">
        <v>2797</v>
      </c>
      <c r="B355" s="169">
        <v>9003514900</v>
      </c>
      <c r="C355" t="s">
        <v>944</v>
      </c>
      <c r="D355" s="170">
        <f>[1]!Table3[[#This Row],[Residential CLM $ Collected]]+[1]!Table3[[#This Row],[C&amp;I CLM $ Collected]]</f>
        <v>28292.971140000001</v>
      </c>
      <c r="E355" s="28">
        <f>[1]!Table3[[#This Row],[CLM $ Collected ]]/'[1]1.) CLM Reference'!$B$4</f>
        <v>3.0458436702723548E-4</v>
      </c>
      <c r="F355" s="170">
        <f>[1]!Table3[[#This Row],[Residential Incentive Disbursements]]+[1]!Table3[[#This Row],[C&amp;I Incentive Disbursements]]</f>
        <v>69864.054999999993</v>
      </c>
      <c r="G355" s="28">
        <f>[1]!Table3[[#This Row],[Incentive Disbursements]]/'[1]1.) CLM Reference'!$B$5</f>
        <v>5.6094837284086216E-4</v>
      </c>
      <c r="H355" s="228">
        <v>28292.971140000001</v>
      </c>
      <c r="I355" s="28">
        <f>[1]!Table3[[#This Row],[Residential CLM $ Collected]]/'[1]1.) CLM Reference'!$B$4</f>
        <v>3.0458436702723548E-4</v>
      </c>
      <c r="J355" s="229">
        <v>69864.054999999993</v>
      </c>
      <c r="K355" s="28">
        <f>[1]!Table3[[#This Row],[Residential Incentive Disbursements]]/'[1]1.) CLM Reference'!$B$5</f>
        <v>5.6094837284086216E-4</v>
      </c>
      <c r="L355" s="229">
        <v>0</v>
      </c>
      <c r="M355" s="28">
        <f>[1]!Table3[[#This Row],[C&amp;I CLM $ Collected]]/'[1]1.) CLM Reference'!$B$4</f>
        <v>0</v>
      </c>
      <c r="N355" s="229">
        <v>0</v>
      </c>
      <c r="O355" s="28">
        <f>[1]!Table3[[#This Row],[C&amp;I Incentive Disbursements]]/'[1]1.) CLM Reference'!$B$5</f>
        <v>0</v>
      </c>
      <c r="Q355">
        <f>VLOOKUP(Table3[[#This Row],[Census Tract]],'Population and Diversity Data'!$B$2:$K$823,10,FALSE)</f>
        <v>3</v>
      </c>
      <c r="R355" t="str">
        <f>VLOOKUP(Table3[[#This Row],[Census Tract]],'ES Energy Burden'!$B$2:$E$914,4,FALSE)</f>
        <v>No</v>
      </c>
    </row>
    <row r="356" spans="1:18" x14ac:dyDescent="0.2">
      <c r="A356" t="s">
        <v>2797</v>
      </c>
      <c r="B356" s="169">
        <v>9003515000</v>
      </c>
      <c r="C356" t="s">
        <v>944</v>
      </c>
      <c r="D356" s="170">
        <f>[1]!Table3[[#This Row],[Residential CLM $ Collected]]+[1]!Table3[[#This Row],[C&amp;I CLM $ Collected]]</f>
        <v>32106.172097999999</v>
      </c>
      <c r="E356" s="28">
        <f>[1]!Table3[[#This Row],[CLM $ Collected ]]/'[1]1.) CLM Reference'!$B$4</f>
        <v>3.4563489489131181E-4</v>
      </c>
      <c r="F356" s="170">
        <f>[1]!Table3[[#This Row],[Residential Incentive Disbursements]]+[1]!Table3[[#This Row],[C&amp;I Incentive Disbursements]]</f>
        <v>38085.629999999997</v>
      </c>
      <c r="G356" s="28">
        <f>[1]!Table3[[#This Row],[Incentive Disbursements]]/'[1]1.) CLM Reference'!$B$5</f>
        <v>3.0579490665291509E-4</v>
      </c>
      <c r="H356" s="228">
        <v>32106.172097999999</v>
      </c>
      <c r="I356" s="28">
        <f>[1]!Table3[[#This Row],[Residential CLM $ Collected]]/'[1]1.) CLM Reference'!$B$4</f>
        <v>3.4563489489131181E-4</v>
      </c>
      <c r="J356" s="229">
        <v>38085.629999999997</v>
      </c>
      <c r="K356" s="28">
        <f>[1]!Table3[[#This Row],[Residential Incentive Disbursements]]/'[1]1.) CLM Reference'!$B$5</f>
        <v>3.0579490665291509E-4</v>
      </c>
      <c r="L356" s="229">
        <v>0</v>
      </c>
      <c r="M356" s="28">
        <f>[1]!Table3[[#This Row],[C&amp;I CLM $ Collected]]/'[1]1.) CLM Reference'!$B$4</f>
        <v>0</v>
      </c>
      <c r="N356" s="229">
        <v>0</v>
      </c>
      <c r="O356" s="28">
        <f>[1]!Table3[[#This Row],[C&amp;I Incentive Disbursements]]/'[1]1.) CLM Reference'!$B$5</f>
        <v>0</v>
      </c>
      <c r="Q356">
        <f>VLOOKUP(Table3[[#This Row],[Census Tract]],'Population and Diversity Data'!$B$2:$K$823,10,FALSE)</f>
        <v>4</v>
      </c>
      <c r="R356" t="str">
        <f>VLOOKUP(Table3[[#This Row],[Census Tract]],'ES Energy Burden'!$B$2:$E$914,4,FALSE)</f>
        <v>No</v>
      </c>
    </row>
    <row r="357" spans="1:18" x14ac:dyDescent="0.2">
      <c r="A357" t="s">
        <v>2797</v>
      </c>
      <c r="B357" s="169">
        <v>9003515101</v>
      </c>
      <c r="C357" t="s">
        <v>944</v>
      </c>
      <c r="D357" s="170">
        <f>[1]!Table3[[#This Row],[Residential CLM $ Collected]]+[1]!Table3[[#This Row],[C&amp;I CLM $ Collected]]</f>
        <v>22073.529870000002</v>
      </c>
      <c r="E357" s="28">
        <f>[1]!Table3[[#This Row],[CLM $ Collected ]]/'[1]1.) CLM Reference'!$B$4</f>
        <v>2.3762976642652901E-4</v>
      </c>
      <c r="F357" s="170">
        <f>[1]!Table3[[#This Row],[Residential Incentive Disbursements]]+[1]!Table3[[#This Row],[C&amp;I Incentive Disbursements]]</f>
        <v>16215.91</v>
      </c>
      <c r="G357" s="28">
        <f>[1]!Table3[[#This Row],[Incentive Disbursements]]/'[1]1.) CLM Reference'!$B$5</f>
        <v>1.3019983349998602E-4</v>
      </c>
      <c r="H357" s="228">
        <v>22073.529870000002</v>
      </c>
      <c r="I357" s="28">
        <f>[1]!Table3[[#This Row],[Residential CLM $ Collected]]/'[1]1.) CLM Reference'!$B$4</f>
        <v>2.3762976642652901E-4</v>
      </c>
      <c r="J357" s="229">
        <v>16215.91</v>
      </c>
      <c r="K357" s="28">
        <f>[1]!Table3[[#This Row],[Residential Incentive Disbursements]]/'[1]1.) CLM Reference'!$B$5</f>
        <v>1.3019983349998602E-4</v>
      </c>
      <c r="L357" s="229">
        <v>0</v>
      </c>
      <c r="M357" s="28">
        <f>[1]!Table3[[#This Row],[C&amp;I CLM $ Collected]]/'[1]1.) CLM Reference'!$B$4</f>
        <v>0</v>
      </c>
      <c r="N357" s="229">
        <v>0</v>
      </c>
      <c r="O357" s="28">
        <f>[1]!Table3[[#This Row],[C&amp;I Incentive Disbursements]]/'[1]1.) CLM Reference'!$B$5</f>
        <v>0</v>
      </c>
      <c r="Q357">
        <f>VLOOKUP(Table3[[#This Row],[Census Tract]],'Population and Diversity Data'!$B$2:$K$823,10,FALSE)</f>
        <v>3</v>
      </c>
      <c r="R357" t="str">
        <f>VLOOKUP(Table3[[#This Row],[Census Tract]],'ES Energy Burden'!$B$2:$E$914,4,FALSE)</f>
        <v>No</v>
      </c>
    </row>
    <row r="358" spans="1:18" x14ac:dyDescent="0.2">
      <c r="A358" t="s">
        <v>2797</v>
      </c>
      <c r="B358" s="169">
        <v>9003515102</v>
      </c>
      <c r="C358" t="s">
        <v>944</v>
      </c>
      <c r="D358" s="170">
        <f>[1]!Table3[[#This Row],[Residential CLM $ Collected]]+[1]!Table3[[#This Row],[C&amp;I CLM $ Collected]]</f>
        <v>46546.763129999999</v>
      </c>
      <c r="E358" s="28">
        <f>[1]!Table3[[#This Row],[CLM $ Collected ]]/'[1]1.) CLM Reference'!$B$4</f>
        <v>5.0109323319083945E-4</v>
      </c>
      <c r="F358" s="170">
        <f>[1]!Table3[[#This Row],[Residential Incentive Disbursements]]+[1]!Table3[[#This Row],[C&amp;I Incentive Disbursements]]</f>
        <v>49224.54</v>
      </c>
      <c r="G358" s="28">
        <f>[1]!Table3[[#This Row],[Incentive Disbursements]]/'[1]1.) CLM Reference'!$B$5</f>
        <v>3.9523078952173526E-4</v>
      </c>
      <c r="H358" s="228">
        <v>46546.763129999999</v>
      </c>
      <c r="I358" s="28">
        <f>[1]!Table3[[#This Row],[Residential CLM $ Collected]]/'[1]1.) CLM Reference'!$B$4</f>
        <v>5.0109323319083945E-4</v>
      </c>
      <c r="J358" s="229">
        <v>49224.54</v>
      </c>
      <c r="K358" s="28">
        <f>[1]!Table3[[#This Row],[Residential Incentive Disbursements]]/'[1]1.) CLM Reference'!$B$5</f>
        <v>3.9523078952173526E-4</v>
      </c>
      <c r="L358" s="229">
        <v>0</v>
      </c>
      <c r="M358" s="28">
        <f>[1]!Table3[[#This Row],[C&amp;I CLM $ Collected]]/'[1]1.) CLM Reference'!$B$4</f>
        <v>0</v>
      </c>
      <c r="N358" s="229">
        <v>0</v>
      </c>
      <c r="O358" s="28">
        <f>[1]!Table3[[#This Row],[C&amp;I Incentive Disbursements]]/'[1]1.) CLM Reference'!$B$5</f>
        <v>0</v>
      </c>
      <c r="Q358">
        <f>VLOOKUP(Table3[[#This Row],[Census Tract]],'Population and Diversity Data'!$B$2:$K$823,10,FALSE)</f>
        <v>5</v>
      </c>
      <c r="R358" t="str">
        <f>VLOOKUP(Table3[[#This Row],[Census Tract]],'ES Energy Burden'!$B$2:$E$914,4,FALSE)</f>
        <v>No</v>
      </c>
    </row>
    <row r="359" spans="1:18" x14ac:dyDescent="0.2">
      <c r="A359" t="s">
        <v>2797</v>
      </c>
      <c r="B359" s="169">
        <v>9003515200</v>
      </c>
      <c r="C359" t="s">
        <v>944</v>
      </c>
      <c r="D359" s="170">
        <f>[1]!Table3[[#This Row],[Residential CLM $ Collected]]+[1]!Table3[[#This Row],[C&amp;I CLM $ Collected]]</f>
        <v>38220.302463</v>
      </c>
      <c r="E359" s="28">
        <f>[1]!Table3[[#This Row],[CLM $ Collected ]]/'[1]1.) CLM Reference'!$B$4</f>
        <v>4.114557843953021E-4</v>
      </c>
      <c r="F359" s="170">
        <f>[1]!Table3[[#This Row],[Residential Incentive Disbursements]]+[1]!Table3[[#This Row],[C&amp;I Incentive Disbursements]]</f>
        <v>27624.65</v>
      </c>
      <c r="G359" s="28">
        <f>[1]!Table3[[#This Row],[Incentive Disbursements]]/'[1]1.) CLM Reference'!$B$5</f>
        <v>2.218022195791287E-4</v>
      </c>
      <c r="H359" s="228">
        <v>38220.302463</v>
      </c>
      <c r="I359" s="28">
        <f>[1]!Table3[[#This Row],[Residential CLM $ Collected]]/'[1]1.) CLM Reference'!$B$4</f>
        <v>4.114557843953021E-4</v>
      </c>
      <c r="J359" s="229">
        <v>27624.65</v>
      </c>
      <c r="K359" s="28">
        <f>[1]!Table3[[#This Row],[Residential Incentive Disbursements]]/'[1]1.) CLM Reference'!$B$5</f>
        <v>2.218022195791287E-4</v>
      </c>
      <c r="L359" s="229">
        <v>0</v>
      </c>
      <c r="M359" s="28">
        <f>[1]!Table3[[#This Row],[C&amp;I CLM $ Collected]]/'[1]1.) CLM Reference'!$B$4</f>
        <v>0</v>
      </c>
      <c r="N359" s="229">
        <v>0</v>
      </c>
      <c r="O359" s="28">
        <f>[1]!Table3[[#This Row],[C&amp;I Incentive Disbursements]]/'[1]1.) CLM Reference'!$B$5</f>
        <v>0</v>
      </c>
      <c r="Q359">
        <f>VLOOKUP(Table3[[#This Row],[Census Tract]],'Population and Diversity Data'!$B$2:$K$823,10,FALSE)</f>
        <v>4</v>
      </c>
      <c r="R359" t="str">
        <f>VLOOKUP(Table3[[#This Row],[Census Tract]],'ES Energy Burden'!$B$2:$E$914,4,FALSE)</f>
        <v>No</v>
      </c>
    </row>
    <row r="360" spans="1:18" x14ac:dyDescent="0.2">
      <c r="A360" t="s">
        <v>2797</v>
      </c>
      <c r="B360" s="169">
        <v>9003520100</v>
      </c>
      <c r="C360" t="s">
        <v>944</v>
      </c>
      <c r="D360" s="170">
        <f>[1]!Table3[[#This Row],[Residential CLM $ Collected]]+[1]!Table3[[#This Row],[C&amp;I CLM $ Collected]]</f>
        <v>67.484759999999994</v>
      </c>
      <c r="E360" s="28">
        <f>[1]!Table3[[#This Row],[CLM $ Collected ]]/'[1]1.) CLM Reference'!$B$4</f>
        <v>7.2649856414425684E-7</v>
      </c>
      <c r="F360" s="170">
        <f>[1]!Table3[[#This Row],[Residential Incentive Disbursements]]+[1]!Table3[[#This Row],[C&amp;I Incentive Disbursements]]</f>
        <v>200.64</v>
      </c>
      <c r="G360" s="28">
        <f>[1]!Table3[[#This Row],[Incentive Disbursements]]/'[1]1.) CLM Reference'!$B$5</f>
        <v>1.6109669203539729E-6</v>
      </c>
      <c r="H360" s="228">
        <v>67.484759999999994</v>
      </c>
      <c r="I360" s="28">
        <f>[1]!Table3[[#This Row],[Residential CLM $ Collected]]/'[1]1.) CLM Reference'!$B$4</f>
        <v>7.2649856414425684E-7</v>
      </c>
      <c r="J360" s="229">
        <v>200.64</v>
      </c>
      <c r="K360" s="28">
        <f>[1]!Table3[[#This Row],[Residential Incentive Disbursements]]/'[1]1.) CLM Reference'!$B$5</f>
        <v>1.6109669203539729E-6</v>
      </c>
      <c r="L360" s="229">
        <v>0</v>
      </c>
      <c r="M360" s="28">
        <f>[1]!Table3[[#This Row],[C&amp;I CLM $ Collected]]/'[1]1.) CLM Reference'!$B$4</f>
        <v>0</v>
      </c>
      <c r="N360" s="229">
        <v>0</v>
      </c>
      <c r="O360" s="28">
        <f>[1]!Table3[[#This Row],[C&amp;I Incentive Disbursements]]/'[1]1.) CLM Reference'!$B$5</f>
        <v>0</v>
      </c>
      <c r="Q360">
        <f>VLOOKUP(Table3[[#This Row],[Census Tract]],'Population and Diversity Data'!$B$2:$K$823,10,FALSE)</f>
        <v>4</v>
      </c>
      <c r="R360" t="str">
        <f>VLOOKUP(Table3[[#This Row],[Census Tract]],'ES Energy Burden'!$B$2:$E$914,4,FALSE)</f>
        <v>No</v>
      </c>
    </row>
    <row r="361" spans="1:18" x14ac:dyDescent="0.2">
      <c r="A361" t="s">
        <v>2798</v>
      </c>
      <c r="B361" s="169">
        <v>9013840100</v>
      </c>
      <c r="C361" t="s">
        <v>944</v>
      </c>
      <c r="D361" s="170">
        <f>[1]!Table3[[#This Row],[Residential CLM $ Collected]]+[1]!Table3[[#This Row],[C&amp;I CLM $ Collected]]</f>
        <v>36.196019999999997</v>
      </c>
      <c r="E361" s="28">
        <f>[1]!Table3[[#This Row],[CLM $ Collected ]]/'[1]1.) CLM Reference'!$B$4</f>
        <v>3.8966363009569577E-7</v>
      </c>
      <c r="F361" s="170">
        <f>[1]!Table3[[#This Row],[Residential Incentive Disbursements]]+[1]!Table3[[#This Row],[C&amp;I Incentive Disbursements]]</f>
        <v>34766.775000000001</v>
      </c>
      <c r="G361" s="28">
        <f>[1]!Table3[[#This Row],[Incentive Disbursements]]/'[1]1.) CLM Reference'!$B$5</f>
        <v>2.7914735073958087E-4</v>
      </c>
      <c r="H361" s="228">
        <v>36.196019999999997</v>
      </c>
      <c r="I361" s="28">
        <f>[1]!Table3[[#This Row],[Residential CLM $ Collected]]/'[1]1.) CLM Reference'!$B$4</f>
        <v>3.8966363009569577E-7</v>
      </c>
      <c r="J361" s="229">
        <v>34766.775000000001</v>
      </c>
      <c r="K361" s="28">
        <f>[1]!Table3[[#This Row],[Residential Incentive Disbursements]]/'[1]1.) CLM Reference'!$B$5</f>
        <v>2.7914735073958087E-4</v>
      </c>
      <c r="L361" s="229">
        <v>0</v>
      </c>
      <c r="M361" s="28">
        <f>[1]!Table3[[#This Row],[C&amp;I CLM $ Collected]]/'[1]1.) CLM Reference'!$B$4</f>
        <v>0</v>
      </c>
      <c r="N361" s="229">
        <v>0</v>
      </c>
      <c r="O361" s="28">
        <f>[1]!Table3[[#This Row],[C&amp;I Incentive Disbursements]]/'[1]1.) CLM Reference'!$B$5</f>
        <v>0</v>
      </c>
      <c r="Q361">
        <f>VLOOKUP(Table3[[#This Row],[Census Tract]],'Population and Diversity Data'!$B$2:$K$823,10,FALSE)</f>
        <v>4</v>
      </c>
      <c r="R361" t="str">
        <f>VLOOKUP(Table3[[#This Row],[Census Tract]],'ES Energy Burden'!$B$2:$E$914,4,FALSE)</f>
        <v>No</v>
      </c>
    </row>
    <row r="362" spans="1:18" x14ac:dyDescent="0.2">
      <c r="A362" t="s">
        <v>2798</v>
      </c>
      <c r="B362" s="169">
        <v>9013881100</v>
      </c>
      <c r="C362" t="s">
        <v>944</v>
      </c>
      <c r="D362" s="170">
        <f>[1]!Table3[[#This Row],[Residential CLM $ Collected]]+[1]!Table3[[#This Row],[C&amp;I CLM $ Collected]]</f>
        <v>209626.19340599998</v>
      </c>
      <c r="E362" s="28">
        <f>[1]!Table3[[#This Row],[CLM $ Collected ]]/'[1]1.) CLM Reference'!$B$4</f>
        <v>2.256704010157038E-3</v>
      </c>
      <c r="F362" s="170">
        <f>[1]!Table3[[#This Row],[Residential Incentive Disbursements]]+[1]!Table3[[#This Row],[C&amp;I Incentive Disbursements]]</f>
        <v>169468.68000000002</v>
      </c>
      <c r="G362" s="28">
        <f>[1]!Table3[[#This Row],[Incentive Disbursements]]/'[1]1.) CLM Reference'!$B$5</f>
        <v>1.3606879860249849E-3</v>
      </c>
      <c r="H362" s="228">
        <v>127680.746676</v>
      </c>
      <c r="I362" s="28">
        <f>[1]!Table3[[#This Row],[Residential CLM $ Collected]]/'[1]1.) CLM Reference'!$B$4</f>
        <v>1.374530770043201E-3</v>
      </c>
      <c r="J362" s="229">
        <v>138807.17000000001</v>
      </c>
      <c r="K362" s="28">
        <f>[1]!Table3[[#This Row],[Residential Incentive Disbursements]]/'[1]1.) CLM Reference'!$B$5</f>
        <v>1.1145023882473605E-3</v>
      </c>
      <c r="L362" s="229">
        <v>81945.446729999996</v>
      </c>
      <c r="M362" s="28">
        <f>[1]!Table3[[#This Row],[C&amp;I CLM $ Collected]]/'[1]1.) CLM Reference'!$B$4</f>
        <v>8.8217324011383744E-4</v>
      </c>
      <c r="N362" s="229">
        <v>30661.51</v>
      </c>
      <c r="O362" s="28">
        <f>[1]!Table3[[#This Row],[C&amp;I Incentive Disbursements]]/'[1]1.) CLM Reference'!$B$5</f>
        <v>2.4618559777762433E-4</v>
      </c>
      <c r="Q362">
        <f>VLOOKUP(Table3[[#This Row],[Census Tract]],'Population and Diversity Data'!$B$2:$K$823,10,FALSE)</f>
        <v>4</v>
      </c>
      <c r="R362" t="str">
        <f>VLOOKUP(Table3[[#This Row],[Census Tract]],'ES Energy Burden'!$B$2:$E$914,4,FALSE)</f>
        <v>No</v>
      </c>
    </row>
    <row r="363" spans="1:18" x14ac:dyDescent="0.2">
      <c r="A363" t="s">
        <v>2798</v>
      </c>
      <c r="B363" s="169">
        <v>9013881200</v>
      </c>
      <c r="C363" t="s">
        <v>944</v>
      </c>
      <c r="D363" s="170">
        <f>[1]!Table3[[#This Row],[Residential CLM $ Collected]]+[1]!Table3[[#This Row],[C&amp;I CLM $ Collected]]</f>
        <v>3676.7988599999999</v>
      </c>
      <c r="E363" s="28">
        <f>[1]!Table3[[#This Row],[CLM $ Collected ]]/'[1]1.) CLM Reference'!$B$4</f>
        <v>3.9582108500307929E-5</v>
      </c>
      <c r="F363" s="170">
        <f>[1]!Table3[[#This Row],[Residential Incentive Disbursements]]+[1]!Table3[[#This Row],[C&amp;I Incentive Disbursements]]</f>
        <v>253.52</v>
      </c>
      <c r="G363" s="28">
        <f>[1]!Table3[[#This Row],[Incentive Disbursements]]/'[1]1.) CLM Reference'!$B$5</f>
        <v>2.0355479149129747E-6</v>
      </c>
      <c r="H363" s="228">
        <v>3676.7988599999999</v>
      </c>
      <c r="I363" s="28">
        <f>[1]!Table3[[#This Row],[Residential CLM $ Collected]]/'[1]1.) CLM Reference'!$B$4</f>
        <v>3.9582108500307929E-5</v>
      </c>
      <c r="J363" s="229">
        <v>253.52</v>
      </c>
      <c r="K363" s="28">
        <f>[1]!Table3[[#This Row],[Residential Incentive Disbursements]]/'[1]1.) CLM Reference'!$B$5</f>
        <v>2.0355479149129747E-6</v>
      </c>
      <c r="L363" s="229">
        <v>0</v>
      </c>
      <c r="M363" s="28">
        <f>[1]!Table3[[#This Row],[C&amp;I CLM $ Collected]]/'[1]1.) CLM Reference'!$B$4</f>
        <v>0</v>
      </c>
      <c r="N363" s="229">
        <v>0</v>
      </c>
      <c r="O363" s="28">
        <f>[1]!Table3[[#This Row],[C&amp;I Incentive Disbursements]]/'[1]1.) CLM Reference'!$B$5</f>
        <v>0</v>
      </c>
      <c r="Q363">
        <f>VLOOKUP(Table3[[#This Row],[Census Tract]],'Population and Diversity Data'!$B$2:$K$823,10,FALSE)</f>
        <v>5</v>
      </c>
      <c r="R363" t="str">
        <f>VLOOKUP(Table3[[#This Row],[Census Tract]],'ES Energy Burden'!$B$2:$E$914,4,FALSE)</f>
        <v>No</v>
      </c>
    </row>
    <row r="364" spans="1:18" x14ac:dyDescent="0.2">
      <c r="A364" t="s">
        <v>2798</v>
      </c>
      <c r="B364" s="169">
        <v>9013881300</v>
      </c>
      <c r="C364" t="s">
        <v>944</v>
      </c>
      <c r="D364" s="170">
        <f>[1]!Table3[[#This Row],[Residential CLM $ Collected]]+[1]!Table3[[#This Row],[C&amp;I CLM $ Collected]]</f>
        <v>32856.351276000001</v>
      </c>
      <c r="E364" s="28">
        <f>[1]!Table3[[#This Row],[CLM $ Collected ]]/'[1]1.) CLM Reference'!$B$4</f>
        <v>3.53710853013826E-4</v>
      </c>
      <c r="F364" s="170">
        <f>[1]!Table3[[#This Row],[Residential Incentive Disbursements]]+[1]!Table3[[#This Row],[C&amp;I Incentive Disbursements]]</f>
        <v>14461.415000000001</v>
      </c>
      <c r="G364" s="28">
        <f>[1]!Table3[[#This Row],[Incentive Disbursements]]/'[1]1.) CLM Reference'!$B$5</f>
        <v>1.1611274514807991E-4</v>
      </c>
      <c r="H364" s="228">
        <v>32856.351276000001</v>
      </c>
      <c r="I364" s="28">
        <f>[1]!Table3[[#This Row],[Residential CLM $ Collected]]/'[1]1.) CLM Reference'!$B$4</f>
        <v>3.53710853013826E-4</v>
      </c>
      <c r="J364" s="229">
        <v>14461.415000000001</v>
      </c>
      <c r="K364" s="28">
        <f>[1]!Table3[[#This Row],[Residential Incentive Disbursements]]/'[1]1.) CLM Reference'!$B$5</f>
        <v>1.1611274514807991E-4</v>
      </c>
      <c r="L364" s="229">
        <v>0</v>
      </c>
      <c r="M364" s="28">
        <f>[1]!Table3[[#This Row],[C&amp;I CLM $ Collected]]/'[1]1.) CLM Reference'!$B$4</f>
        <v>0</v>
      </c>
      <c r="N364" s="229">
        <v>0</v>
      </c>
      <c r="O364" s="28">
        <f>[1]!Table3[[#This Row],[C&amp;I Incentive Disbursements]]/'[1]1.) CLM Reference'!$B$5</f>
        <v>0</v>
      </c>
      <c r="Q364">
        <f>VLOOKUP(Table3[[#This Row],[Census Tract]],'Population and Diversity Data'!$B$2:$K$823,10,FALSE)</f>
        <v>4</v>
      </c>
      <c r="R364" t="str">
        <f>VLOOKUP(Table3[[#This Row],[Census Tract]],'ES Energy Burden'!$B$2:$E$914,4,FALSE)</f>
        <v>No</v>
      </c>
    </row>
    <row r="365" spans="1:18" x14ac:dyDescent="0.2">
      <c r="A365" t="s">
        <v>2798</v>
      </c>
      <c r="B365" s="169">
        <v>9013881500</v>
      </c>
      <c r="C365" t="s">
        <v>944</v>
      </c>
      <c r="D365" s="170">
        <f>[1]!Table3[[#This Row],[Residential CLM $ Collected]]+[1]!Table3[[#This Row],[C&amp;I CLM $ Collected]]</f>
        <v>53515.333535999998</v>
      </c>
      <c r="E365" s="28">
        <f>[1]!Table3[[#This Row],[CLM $ Collected ]]/'[1]1.) CLM Reference'!$B$4</f>
        <v>5.7611248782102797E-4</v>
      </c>
      <c r="F365" s="170">
        <f>[1]!Table3[[#This Row],[Residential Incentive Disbursements]]+[1]!Table3[[#This Row],[C&amp;I Incentive Disbursements]]</f>
        <v>82299.009999999995</v>
      </c>
      <c r="G365" s="28">
        <f>[1]!Table3[[#This Row],[Incentive Disbursements]]/'[1]1.) CLM Reference'!$B$5</f>
        <v>6.6079038420993228E-4</v>
      </c>
      <c r="H365" s="228">
        <v>53515.333535999998</v>
      </c>
      <c r="I365" s="28">
        <f>[1]!Table3[[#This Row],[Residential CLM $ Collected]]/'[1]1.) CLM Reference'!$B$4</f>
        <v>5.7611248782102797E-4</v>
      </c>
      <c r="J365" s="229">
        <v>82299.009999999995</v>
      </c>
      <c r="K365" s="28">
        <f>[1]!Table3[[#This Row],[Residential Incentive Disbursements]]/'[1]1.) CLM Reference'!$B$5</f>
        <v>6.6079038420993228E-4</v>
      </c>
      <c r="L365" s="229">
        <v>0</v>
      </c>
      <c r="M365" s="28">
        <f>[1]!Table3[[#This Row],[C&amp;I CLM $ Collected]]/'[1]1.) CLM Reference'!$B$4</f>
        <v>0</v>
      </c>
      <c r="N365" s="229">
        <v>0</v>
      </c>
      <c r="O365" s="28">
        <f>[1]!Table3[[#This Row],[C&amp;I Incentive Disbursements]]/'[1]1.) CLM Reference'!$B$5</f>
        <v>0</v>
      </c>
      <c r="Q365">
        <f>VLOOKUP(Table3[[#This Row],[Census Tract]],'Population and Diversity Data'!$B$2:$K$823,10,FALSE)</f>
        <v>4</v>
      </c>
      <c r="R365" t="str">
        <f>VLOOKUP(Table3[[#This Row],[Census Tract]],'ES Energy Burden'!$B$2:$E$914,4,FALSE)</f>
        <v>No</v>
      </c>
    </row>
    <row r="366" spans="1:18" x14ac:dyDescent="0.2">
      <c r="A366" t="s">
        <v>2798</v>
      </c>
      <c r="B366" s="169">
        <v>9015815000</v>
      </c>
      <c r="C366" t="s">
        <v>944</v>
      </c>
      <c r="D366" s="170">
        <f>[1]!Table3[[#This Row],[Residential CLM $ Collected]]+[1]!Table3[[#This Row],[C&amp;I CLM $ Collected]]</f>
        <v>126.77784</v>
      </c>
      <c r="E366" s="28">
        <f>[1]!Table3[[#This Row],[CLM $ Collected ]]/'[1]1.) CLM Reference'!$B$4</f>
        <v>1.3648106435484151E-6</v>
      </c>
      <c r="F366" s="170">
        <f>[1]!Table3[[#This Row],[Residential Incentive Disbursements]]+[1]!Table3[[#This Row],[C&amp;I Incentive Disbursements]]</f>
        <v>0</v>
      </c>
      <c r="G366" s="28">
        <f>[1]!Table3[[#This Row],[Incentive Disbursements]]/'[1]1.) CLM Reference'!$B$5</f>
        <v>0</v>
      </c>
      <c r="H366" s="228">
        <v>126.77784</v>
      </c>
      <c r="I366" s="28">
        <f>[1]!Table3[[#This Row],[Residential CLM $ Collected]]/'[1]1.) CLM Reference'!$B$4</f>
        <v>1.3648106435484151E-6</v>
      </c>
      <c r="J366" s="229">
        <v>0</v>
      </c>
      <c r="K366" s="28">
        <f>[1]!Table3[[#This Row],[Residential Incentive Disbursements]]/'[1]1.) CLM Reference'!$B$5</f>
        <v>0</v>
      </c>
      <c r="L366" s="229">
        <v>0</v>
      </c>
      <c r="M366" s="28">
        <f>[1]!Table3[[#This Row],[C&amp;I CLM $ Collected]]/'[1]1.) CLM Reference'!$B$4</f>
        <v>0</v>
      </c>
      <c r="N366" s="229">
        <v>0</v>
      </c>
      <c r="O366" s="28">
        <f>[1]!Table3[[#This Row],[C&amp;I Incentive Disbursements]]/'[1]1.) CLM Reference'!$B$5</f>
        <v>0</v>
      </c>
      <c r="Q366">
        <f>VLOOKUP(Table3[[#This Row],[Census Tract]],'Population and Diversity Data'!$B$2:$K$823,10,FALSE)</f>
        <v>5</v>
      </c>
      <c r="R366" t="str">
        <f>VLOOKUP(Table3[[#This Row],[Census Tract]],'ES Energy Burden'!$B$2:$E$914,4,FALSE)</f>
        <v>No</v>
      </c>
    </row>
    <row r="367" spans="1:18" x14ac:dyDescent="0.2">
      <c r="A367" t="s">
        <v>2799</v>
      </c>
      <c r="B367" s="169">
        <v>9003524100</v>
      </c>
      <c r="C367" t="s">
        <v>944</v>
      </c>
      <c r="D367" s="170">
        <f>[1]!Table3[[#This Row],[Residential CLM $ Collected]]+[1]!Table3[[#This Row],[C&amp;I CLM $ Collected]]</f>
        <v>130081.90003200001</v>
      </c>
      <c r="E367" s="28">
        <f>[1]!Table3[[#This Row],[CLM $ Collected ]]/'[1]1.) CLM Reference'!$B$4</f>
        <v>1.4003800798047556E-3</v>
      </c>
      <c r="F367" s="170">
        <f>[1]!Table3[[#This Row],[Residential Incentive Disbursements]]+[1]!Table3[[#This Row],[C&amp;I Incentive Disbursements]]</f>
        <v>162480.505</v>
      </c>
      <c r="G367" s="28">
        <f>[1]!Table3[[#This Row],[Incentive Disbursements]]/'[1]1.) CLM Reference'!$B$5</f>
        <v>1.3045789411752808E-3</v>
      </c>
      <c r="H367" s="228">
        <v>112984.90463400001</v>
      </c>
      <c r="I367" s="28">
        <f>[1]!Table3[[#This Row],[Residential CLM $ Collected]]/'[1]1.) CLM Reference'!$B$4</f>
        <v>1.2163245595980011E-3</v>
      </c>
      <c r="J367" s="229">
        <v>158108.345</v>
      </c>
      <c r="K367" s="28">
        <f>[1]!Table3[[#This Row],[Residential Incentive Disbursements]]/'[1]1.) CLM Reference'!$B$5</f>
        <v>1.2694742505328623E-3</v>
      </c>
      <c r="L367" s="229">
        <v>17096.995397999999</v>
      </c>
      <c r="M367" s="28">
        <f>[1]!Table3[[#This Row],[C&amp;I CLM $ Collected]]/'[1]1.) CLM Reference'!$B$4</f>
        <v>1.8405552020675435E-4</v>
      </c>
      <c r="N367" s="229">
        <v>4372.16</v>
      </c>
      <c r="O367" s="28">
        <f>[1]!Table3[[#This Row],[C&amp;I Incentive Disbursements]]/'[1]1.) CLM Reference'!$B$5</f>
        <v>3.5104690642418392E-5</v>
      </c>
      <c r="Q367">
        <f>VLOOKUP(Table3[[#This Row],[Census Tract]],'Population and Diversity Data'!$B$2:$K$823,10,FALSE)</f>
        <v>1</v>
      </c>
      <c r="R367" t="str">
        <f>VLOOKUP(Table3[[#This Row],[Census Tract]],'ES Energy Burden'!$B$2:$E$914,4,FALSE)</f>
        <v>No</v>
      </c>
    </row>
    <row r="368" spans="1:18" x14ac:dyDescent="0.2">
      <c r="A368" t="s">
        <v>2799</v>
      </c>
      <c r="B368" s="169">
        <v>9013526101</v>
      </c>
      <c r="C368" t="s">
        <v>944</v>
      </c>
      <c r="D368" s="170">
        <f>[1]!Table3[[#This Row],[Residential CLM $ Collected]]+[1]!Table3[[#This Row],[C&amp;I CLM $ Collected]]</f>
        <v>241.56762000000001</v>
      </c>
      <c r="E368" s="28">
        <f>[1]!Table3[[#This Row],[CLM $ Collected ]]/'[1]1.) CLM Reference'!$B$4</f>
        <v>2.6005653583675111E-6</v>
      </c>
      <c r="F368" s="170">
        <f>[1]!Table3[[#This Row],[Residential Incentive Disbursements]]+[1]!Table3[[#This Row],[C&amp;I Incentive Disbursements]]</f>
        <v>0</v>
      </c>
      <c r="G368" s="28">
        <f>[1]!Table3[[#This Row],[Incentive Disbursements]]/'[1]1.) CLM Reference'!$B$5</f>
        <v>0</v>
      </c>
      <c r="H368" s="228">
        <v>241.56762000000001</v>
      </c>
      <c r="I368" s="28">
        <f>[1]!Table3[[#This Row],[Residential CLM $ Collected]]/'[1]1.) CLM Reference'!$B$4</f>
        <v>2.6005653583675111E-6</v>
      </c>
      <c r="J368" s="229">
        <v>0</v>
      </c>
      <c r="K368" s="28">
        <f>[1]!Table3[[#This Row],[Residential Incentive Disbursements]]/'[1]1.) CLM Reference'!$B$5</f>
        <v>0</v>
      </c>
      <c r="L368" s="229">
        <v>0</v>
      </c>
      <c r="M368" s="28">
        <f>[1]!Table3[[#This Row],[C&amp;I CLM $ Collected]]/'[1]1.) CLM Reference'!$B$4</f>
        <v>0</v>
      </c>
      <c r="N368" s="229">
        <v>0</v>
      </c>
      <c r="O368" s="28">
        <f>[1]!Table3[[#This Row],[C&amp;I Incentive Disbursements]]/'[1]1.) CLM Reference'!$B$5</f>
        <v>0</v>
      </c>
      <c r="Q368">
        <f>VLOOKUP(Table3[[#This Row],[Census Tract]],'Population and Diversity Data'!$B$2:$K$823,10,FALSE)</f>
        <v>2</v>
      </c>
      <c r="R368" t="str">
        <f>VLOOKUP(Table3[[#This Row],[Census Tract]],'ES Energy Burden'!$B$2:$E$914,4,FALSE)</f>
        <v>No</v>
      </c>
    </row>
    <row r="369" spans="1:18" x14ac:dyDescent="0.2">
      <c r="A369" t="s">
        <v>2799</v>
      </c>
      <c r="B369" s="169">
        <v>9013526102</v>
      </c>
      <c r="C369" t="s">
        <v>944</v>
      </c>
      <c r="D369" s="170">
        <f>[1]!Table3[[#This Row],[Residential CLM $ Collected]]+[1]!Table3[[#This Row],[C&amp;I CLM $ Collected]]</f>
        <v>299.40204</v>
      </c>
      <c r="E369" s="28">
        <f>[1]!Table3[[#This Row],[CLM $ Collected ]]/'[1]1.) CLM Reference'!$B$4</f>
        <v>3.2231744198521469E-6</v>
      </c>
      <c r="F369" s="170">
        <f>[1]!Table3[[#This Row],[Residential Incentive Disbursements]]+[1]!Table3[[#This Row],[C&amp;I Incentive Disbursements]]</f>
        <v>0</v>
      </c>
      <c r="G369" s="28">
        <f>[1]!Table3[[#This Row],[Incentive Disbursements]]/'[1]1.) CLM Reference'!$B$5</f>
        <v>0</v>
      </c>
      <c r="H369" s="228">
        <v>299.40204</v>
      </c>
      <c r="I369" s="28">
        <f>[1]!Table3[[#This Row],[Residential CLM $ Collected]]/'[1]1.) CLM Reference'!$B$4</f>
        <v>3.2231744198521469E-6</v>
      </c>
      <c r="J369" s="229">
        <v>0</v>
      </c>
      <c r="K369" s="28">
        <f>[1]!Table3[[#This Row],[Residential Incentive Disbursements]]/'[1]1.) CLM Reference'!$B$5</f>
        <v>0</v>
      </c>
      <c r="L369" s="229">
        <v>0</v>
      </c>
      <c r="M369" s="28">
        <f>[1]!Table3[[#This Row],[C&amp;I CLM $ Collected]]/'[1]1.) CLM Reference'!$B$4</f>
        <v>0</v>
      </c>
      <c r="N369" s="229">
        <v>0</v>
      </c>
      <c r="O369" s="28">
        <f>[1]!Table3[[#This Row],[C&amp;I Incentive Disbursements]]/'[1]1.) CLM Reference'!$B$5</f>
        <v>0</v>
      </c>
      <c r="Q369">
        <f>VLOOKUP(Table3[[#This Row],[Census Tract]],'Population and Diversity Data'!$B$2:$K$823,10,FALSE)</f>
        <v>1</v>
      </c>
      <c r="R369" t="str">
        <f>VLOOKUP(Table3[[#This Row],[Census Tract]],'ES Energy Burden'!$B$2:$E$914,4,FALSE)</f>
        <v>No</v>
      </c>
    </row>
    <row r="370" spans="1:18" x14ac:dyDescent="0.2">
      <c r="A370" t="s">
        <v>991</v>
      </c>
      <c r="B370" s="169">
        <v>9003430301</v>
      </c>
      <c r="C370" t="s">
        <v>944</v>
      </c>
      <c r="D370" s="170">
        <f>[1]!Table3[[#This Row],[Residential CLM $ Collected]]+[1]!Table3[[#This Row],[C&amp;I CLM $ Collected]]</f>
        <v>1323.3668700000001</v>
      </c>
      <c r="E370" s="28">
        <f>[1]!Table3[[#This Row],[CLM $ Collected ]]/'[1]1.) CLM Reference'!$B$4</f>
        <v>1.424653700911257E-5</v>
      </c>
      <c r="F370" s="170">
        <f>[1]!Table3[[#This Row],[Residential Incentive Disbursements]]+[1]!Table3[[#This Row],[C&amp;I Incentive Disbursements]]</f>
        <v>2858.77</v>
      </c>
      <c r="G370" s="28">
        <f>[1]!Table3[[#This Row],[Incentive Disbursements]]/'[1]1.) CLM Reference'!$B$5</f>
        <v>2.2953468415571808E-5</v>
      </c>
      <c r="H370" s="228">
        <v>1323.3668700000001</v>
      </c>
      <c r="I370" s="28">
        <f>[1]!Table3[[#This Row],[Residential CLM $ Collected]]/'[1]1.) CLM Reference'!$B$4</f>
        <v>1.424653700911257E-5</v>
      </c>
      <c r="J370" s="229">
        <v>2858.77</v>
      </c>
      <c r="K370" s="28">
        <f>[1]!Table3[[#This Row],[Residential Incentive Disbursements]]/'[1]1.) CLM Reference'!$B$5</f>
        <v>2.2953468415571808E-5</v>
      </c>
      <c r="L370" s="229">
        <v>0</v>
      </c>
      <c r="M370" s="28">
        <f>[1]!Table3[[#This Row],[C&amp;I CLM $ Collected]]/'[1]1.) CLM Reference'!$B$4</f>
        <v>0</v>
      </c>
      <c r="N370" s="229">
        <v>0</v>
      </c>
      <c r="O370" s="28">
        <f>[1]!Table3[[#This Row],[C&amp;I Incentive Disbursements]]/'[1]1.) CLM Reference'!$B$5</f>
        <v>0</v>
      </c>
      <c r="Q370">
        <f>VLOOKUP(Table3[[#This Row],[Census Tract]],'Population and Diversity Data'!$B$2:$K$823,10,FALSE)</f>
        <v>1</v>
      </c>
      <c r="R370" t="str">
        <f>VLOOKUP(Table3[[#This Row],[Census Tract]],'ES Energy Burden'!$B$2:$E$914,4,FALSE)</f>
        <v>No</v>
      </c>
    </row>
    <row r="371" spans="1:18" x14ac:dyDescent="0.2">
      <c r="A371" t="s">
        <v>991</v>
      </c>
      <c r="B371" s="169">
        <v>9009170100</v>
      </c>
      <c r="C371" t="s">
        <v>936</v>
      </c>
      <c r="D371" s="170">
        <f>[1]!Table3[[#This Row],[Residential CLM $ Collected]]+[1]!Table3[[#This Row],[C&amp;I CLM $ Collected]]</f>
        <v>9277.4982930000006</v>
      </c>
      <c r="E371" s="28">
        <f>[1]!Table3[[#This Row],[CLM $ Collected ]]/'[1]1.) CLM Reference'!$B$4</f>
        <v>9.987572288491942E-5</v>
      </c>
      <c r="F371" s="170">
        <f>[1]!Table3[[#This Row],[Residential Incentive Disbursements]]+[1]!Table3[[#This Row],[C&amp;I Incentive Disbursements]]</f>
        <v>31913.22</v>
      </c>
      <c r="G371" s="28">
        <f>[1]!Table3[[#This Row],[Incentive Disbursements]]/'[1]1.) CLM Reference'!$B$5</f>
        <v>2.5623575429614643E-4</v>
      </c>
      <c r="H371" s="228">
        <v>9277.4982930000006</v>
      </c>
      <c r="I371" s="28">
        <f>[1]!Table3[[#This Row],[Residential CLM $ Collected]]/'[1]1.) CLM Reference'!$B$4</f>
        <v>9.987572288491942E-5</v>
      </c>
      <c r="J371" s="229">
        <v>31913.22</v>
      </c>
      <c r="K371" s="28">
        <f>[1]!Table3[[#This Row],[Residential Incentive Disbursements]]/'[1]1.) CLM Reference'!$B$5</f>
        <v>2.5623575429614643E-4</v>
      </c>
      <c r="L371" s="229">
        <v>0</v>
      </c>
      <c r="M371" s="28">
        <f>[1]!Table3[[#This Row],[C&amp;I CLM $ Collected]]/'[1]1.) CLM Reference'!$B$4</f>
        <v>0</v>
      </c>
      <c r="N371" s="229">
        <v>0</v>
      </c>
      <c r="O371" s="28">
        <f>[1]!Table3[[#This Row],[C&amp;I Incentive Disbursements]]/'[1]1.) CLM Reference'!$B$5</f>
        <v>0</v>
      </c>
      <c r="Q371">
        <f>VLOOKUP(Table3[[#This Row],[Census Tract]],'Population and Diversity Data'!$B$2:$K$823,10,FALSE)</f>
        <v>5</v>
      </c>
      <c r="R371" t="e">
        <f>VLOOKUP(Table3[[#This Row],[Census Tract]],'ES Energy Burden'!$B$2:$E$914,4,FALSE)</f>
        <v>#N/A</v>
      </c>
    </row>
    <row r="372" spans="1:18" x14ac:dyDescent="0.2">
      <c r="A372" t="s">
        <v>991</v>
      </c>
      <c r="B372" s="169">
        <v>9009170200</v>
      </c>
      <c r="C372" t="s">
        <v>944</v>
      </c>
      <c r="D372" s="170">
        <f>[1]!Table3[[#This Row],[Residential CLM $ Collected]]+[1]!Table3[[#This Row],[C&amp;I CLM $ Collected]]</f>
        <v>15074.91783</v>
      </c>
      <c r="E372" s="28">
        <f>[1]!Table3[[#This Row],[CLM $ Collected ]]/'[1]1.) CLM Reference'!$B$4</f>
        <v>1.6228710242264561E-4</v>
      </c>
      <c r="F372" s="170">
        <f>[1]!Table3[[#This Row],[Residential Incentive Disbursements]]+[1]!Table3[[#This Row],[C&amp;I Incentive Disbursements]]</f>
        <v>1626.05</v>
      </c>
      <c r="G372" s="28">
        <f>[1]!Table3[[#This Row],[Incentive Disbursements]]/'[1]1.) CLM Reference'!$B$5</f>
        <v>1.3055785291275806E-5</v>
      </c>
      <c r="H372" s="228">
        <v>15074.91783</v>
      </c>
      <c r="I372" s="28">
        <f>[1]!Table3[[#This Row],[Residential CLM $ Collected]]/'[1]1.) CLM Reference'!$B$4</f>
        <v>1.6228710242264561E-4</v>
      </c>
      <c r="J372" s="229">
        <v>1626.05</v>
      </c>
      <c r="K372" s="28">
        <f>[1]!Table3[[#This Row],[Residential Incentive Disbursements]]/'[1]1.) CLM Reference'!$B$5</f>
        <v>1.3055785291275806E-5</v>
      </c>
      <c r="L372" s="229">
        <v>0</v>
      </c>
      <c r="M372" s="28">
        <f>[1]!Table3[[#This Row],[C&amp;I CLM $ Collected]]/'[1]1.) CLM Reference'!$B$4</f>
        <v>0</v>
      </c>
      <c r="N372" s="229">
        <v>0</v>
      </c>
      <c r="O372" s="28">
        <f>[1]!Table3[[#This Row],[C&amp;I Incentive Disbursements]]/'[1]1.) CLM Reference'!$B$5</f>
        <v>0</v>
      </c>
      <c r="Q372">
        <f>VLOOKUP(Table3[[#This Row],[Census Tract]],'Population and Diversity Data'!$B$2:$K$823,10,FALSE)</f>
        <v>5</v>
      </c>
      <c r="R372" t="str">
        <f>VLOOKUP(Table3[[#This Row],[Census Tract]],'ES Energy Burden'!$B$2:$E$914,4,FALSE)</f>
        <v>No</v>
      </c>
    </row>
    <row r="373" spans="1:18" x14ac:dyDescent="0.2">
      <c r="A373" t="s">
        <v>991</v>
      </c>
      <c r="B373" s="169">
        <v>9009170300</v>
      </c>
      <c r="C373" t="s">
        <v>944</v>
      </c>
      <c r="D373" s="170">
        <f>[1]!Table3[[#This Row],[Residential CLM $ Collected]]+[1]!Table3[[#This Row],[C&amp;I CLM $ Collected]]</f>
        <v>554662.59504600009</v>
      </c>
      <c r="E373" s="28">
        <f>[1]!Table3[[#This Row],[CLM $ Collected ]]/'[1]1.) CLM Reference'!$B$4</f>
        <v>5.9711493214978685E-3</v>
      </c>
      <c r="F373" s="170">
        <f>[1]!Table3[[#This Row],[Residential Incentive Disbursements]]+[1]!Table3[[#This Row],[C&amp;I Incentive Disbursements]]</f>
        <v>1964962.9850000001</v>
      </c>
      <c r="G373" s="28">
        <f>[1]!Table3[[#This Row],[Incentive Disbursements]]/'[1]1.) CLM Reference'!$B$5</f>
        <v>1.5776965553005385E-2</v>
      </c>
      <c r="H373" s="228">
        <v>279530.37961800001</v>
      </c>
      <c r="I373" s="28">
        <f>[1]!Table3[[#This Row],[Residential CLM $ Collected]]/'[1]1.) CLM Reference'!$B$4</f>
        <v>3.009248598160178E-3</v>
      </c>
      <c r="J373" s="229">
        <v>1109318.4850000001</v>
      </c>
      <c r="K373" s="28">
        <f>[1]!Table3[[#This Row],[Residential Incentive Disbursements]]/'[1]1.) CLM Reference'!$B$5</f>
        <v>8.9068749176245271E-3</v>
      </c>
      <c r="L373" s="229">
        <v>275132.21542800002</v>
      </c>
      <c r="M373" s="28">
        <f>[1]!Table3[[#This Row],[C&amp;I CLM $ Collected]]/'[1]1.) CLM Reference'!$B$4</f>
        <v>2.9619007233376896E-3</v>
      </c>
      <c r="N373" s="229">
        <v>855644.5</v>
      </c>
      <c r="O373" s="28">
        <f>[1]!Table3[[#This Row],[C&amp;I Incentive Disbursements]]/'[1]1.) CLM Reference'!$B$5</f>
        <v>6.8700906353808561E-3</v>
      </c>
      <c r="Q373">
        <f>VLOOKUP(Table3[[#This Row],[Census Tract]],'Population and Diversity Data'!$B$2:$K$823,10,FALSE)</f>
        <v>4</v>
      </c>
      <c r="R373" t="str">
        <f>VLOOKUP(Table3[[#This Row],[Census Tract]],'ES Energy Burden'!$B$2:$E$914,4,FALSE)</f>
        <v>No</v>
      </c>
    </row>
    <row r="374" spans="1:18" x14ac:dyDescent="0.2">
      <c r="A374" t="s">
        <v>991</v>
      </c>
      <c r="B374" s="169">
        <v>9009170400</v>
      </c>
      <c r="C374" t="s">
        <v>944</v>
      </c>
      <c r="D374" s="170">
        <f>[1]!Table3[[#This Row],[Residential CLM $ Collected]]+[1]!Table3[[#This Row],[C&amp;I CLM $ Collected]]</f>
        <v>14155.31481</v>
      </c>
      <c r="E374" s="28">
        <f>[1]!Table3[[#This Row],[CLM $ Collected ]]/'[1]1.) CLM Reference'!$B$4</f>
        <v>1.5238723356910411E-4</v>
      </c>
      <c r="F374" s="170">
        <f>[1]!Table3[[#This Row],[Residential Incentive Disbursements]]+[1]!Table3[[#This Row],[C&amp;I Incentive Disbursements]]</f>
        <v>12605.815000000001</v>
      </c>
      <c r="G374" s="28">
        <f>[1]!Table3[[#This Row],[Incentive Disbursements]]/'[1]1.) CLM Reference'!$B$5</f>
        <v>1.0121387046003747E-4</v>
      </c>
      <c r="H374" s="228">
        <v>14155.31481</v>
      </c>
      <c r="I374" s="28">
        <f>[1]!Table3[[#This Row],[Residential CLM $ Collected]]/'[1]1.) CLM Reference'!$B$4</f>
        <v>1.5238723356910411E-4</v>
      </c>
      <c r="J374" s="229">
        <v>12605.815000000001</v>
      </c>
      <c r="K374" s="28">
        <f>[1]!Table3[[#This Row],[Residential Incentive Disbursements]]/'[1]1.) CLM Reference'!$B$5</f>
        <v>1.0121387046003747E-4</v>
      </c>
      <c r="L374" s="229">
        <v>0</v>
      </c>
      <c r="M374" s="28">
        <f>[1]!Table3[[#This Row],[C&amp;I CLM $ Collected]]/'[1]1.) CLM Reference'!$B$4</f>
        <v>0</v>
      </c>
      <c r="N374" s="229">
        <v>0</v>
      </c>
      <c r="O374" s="28">
        <f>[1]!Table3[[#This Row],[C&amp;I Incentive Disbursements]]/'[1]1.) CLM Reference'!$B$5</f>
        <v>0</v>
      </c>
      <c r="Q374">
        <f>VLOOKUP(Table3[[#This Row],[Census Tract]],'Population and Diversity Data'!$B$2:$K$823,10,FALSE)</f>
        <v>5</v>
      </c>
      <c r="R374" t="str">
        <f>VLOOKUP(Table3[[#This Row],[Census Tract]],'ES Energy Burden'!$B$2:$E$914,4,FALSE)</f>
        <v>No</v>
      </c>
    </row>
    <row r="375" spans="1:18" x14ac:dyDescent="0.2">
      <c r="A375" t="s">
        <v>991</v>
      </c>
      <c r="B375" s="169">
        <v>9009170500</v>
      </c>
      <c r="C375" t="s">
        <v>944</v>
      </c>
      <c r="D375" s="170">
        <f>[1]!Table3[[#This Row],[Residential CLM $ Collected]]+[1]!Table3[[#This Row],[C&amp;I CLM $ Collected]]</f>
        <v>58910.374949999998</v>
      </c>
      <c r="E375" s="28">
        <f>[1]!Table3[[#This Row],[CLM $ Collected ]]/'[1]1.) CLM Reference'!$B$4</f>
        <v>6.3419211707020661E-4</v>
      </c>
      <c r="F375" s="170">
        <f>[1]!Table3[[#This Row],[Residential Incentive Disbursements]]+[1]!Table3[[#This Row],[C&amp;I Incentive Disbursements]]</f>
        <v>46542.74</v>
      </c>
      <c r="G375" s="28">
        <f>[1]!Table3[[#This Row],[Incentive Disbursements]]/'[1]1.) CLM Reference'!$B$5</f>
        <v>3.7369823825077588E-4</v>
      </c>
      <c r="H375" s="228">
        <v>58910.374949999998</v>
      </c>
      <c r="I375" s="28">
        <f>[1]!Table3[[#This Row],[Residential CLM $ Collected]]/'[1]1.) CLM Reference'!$B$4</f>
        <v>6.3419211707020661E-4</v>
      </c>
      <c r="J375" s="229">
        <v>46542.74</v>
      </c>
      <c r="K375" s="28">
        <f>[1]!Table3[[#This Row],[Residential Incentive Disbursements]]/'[1]1.) CLM Reference'!$B$5</f>
        <v>3.7369823825077588E-4</v>
      </c>
      <c r="L375" s="229">
        <v>0</v>
      </c>
      <c r="M375" s="28">
        <f>[1]!Table3[[#This Row],[C&amp;I CLM $ Collected]]/'[1]1.) CLM Reference'!$B$4</f>
        <v>0</v>
      </c>
      <c r="N375" s="229">
        <v>0</v>
      </c>
      <c r="O375" s="28">
        <f>[1]!Table3[[#This Row],[C&amp;I Incentive Disbursements]]/'[1]1.) CLM Reference'!$B$5</f>
        <v>0</v>
      </c>
      <c r="Q375">
        <f>VLOOKUP(Table3[[#This Row],[Census Tract]],'Population and Diversity Data'!$B$2:$K$823,10,FALSE)</f>
        <v>4</v>
      </c>
      <c r="R375" t="str">
        <f>VLOOKUP(Table3[[#This Row],[Census Tract]],'ES Energy Burden'!$B$2:$E$914,4,FALSE)</f>
        <v>No</v>
      </c>
    </row>
    <row r="376" spans="1:18" x14ac:dyDescent="0.2">
      <c r="A376" t="s">
        <v>991</v>
      </c>
      <c r="B376" s="169">
        <v>9009170600</v>
      </c>
      <c r="C376" t="s">
        <v>944</v>
      </c>
      <c r="D376" s="170">
        <f>[1]!Table3[[#This Row],[Residential CLM $ Collected]]+[1]!Table3[[#This Row],[C&amp;I CLM $ Collected]]</f>
        <v>23264.283777000001</v>
      </c>
      <c r="E376" s="28">
        <f>[1]!Table3[[#This Row],[CLM $ Collected ]]/'[1]1.) CLM Reference'!$B$4</f>
        <v>2.5044867552074027E-4</v>
      </c>
      <c r="F376" s="170">
        <f>[1]!Table3[[#This Row],[Residential Incentive Disbursements]]+[1]!Table3[[#This Row],[C&amp;I Incentive Disbursements]]</f>
        <v>21061.64</v>
      </c>
      <c r="G376" s="28">
        <f>[1]!Table3[[#This Row],[Incentive Disbursements]]/'[1]1.) CLM Reference'!$B$5</f>
        <v>1.6910688461126421E-4</v>
      </c>
      <c r="H376" s="228">
        <v>23264.283777000001</v>
      </c>
      <c r="I376" s="28">
        <f>[1]!Table3[[#This Row],[Residential CLM $ Collected]]/'[1]1.) CLM Reference'!$B$4</f>
        <v>2.5044867552074027E-4</v>
      </c>
      <c r="J376" s="229">
        <v>21061.64</v>
      </c>
      <c r="K376" s="28">
        <f>[1]!Table3[[#This Row],[Residential Incentive Disbursements]]/'[1]1.) CLM Reference'!$B$5</f>
        <v>1.6910688461126421E-4</v>
      </c>
      <c r="L376" s="229">
        <v>0</v>
      </c>
      <c r="M376" s="28">
        <f>[1]!Table3[[#This Row],[C&amp;I CLM $ Collected]]/'[1]1.) CLM Reference'!$B$4</f>
        <v>0</v>
      </c>
      <c r="N376" s="229">
        <v>0</v>
      </c>
      <c r="O376" s="28">
        <f>[1]!Table3[[#This Row],[C&amp;I Incentive Disbursements]]/'[1]1.) CLM Reference'!$B$5</f>
        <v>0</v>
      </c>
      <c r="Q376">
        <f>VLOOKUP(Table3[[#This Row],[Census Tract]],'Population and Diversity Data'!$B$2:$K$823,10,FALSE)</f>
        <v>3</v>
      </c>
      <c r="R376" t="str">
        <f>VLOOKUP(Table3[[#This Row],[Census Tract]],'ES Energy Burden'!$B$2:$E$914,4,FALSE)</f>
        <v>No</v>
      </c>
    </row>
    <row r="377" spans="1:18" x14ac:dyDescent="0.2">
      <c r="A377" t="s">
        <v>991</v>
      </c>
      <c r="B377" s="169">
        <v>9009170700</v>
      </c>
      <c r="C377" t="s">
        <v>944</v>
      </c>
      <c r="D377" s="170">
        <f>[1]!Table3[[#This Row],[Residential CLM $ Collected]]+[1]!Table3[[#This Row],[C&amp;I CLM $ Collected]]</f>
        <v>26249.035889999999</v>
      </c>
      <c r="E377" s="28">
        <f>[1]!Table3[[#This Row],[CLM $ Collected ]]/'[1]1.) CLM Reference'!$B$4</f>
        <v>2.8258064315937504E-4</v>
      </c>
      <c r="F377" s="170">
        <f>[1]!Table3[[#This Row],[Residential Incentive Disbursements]]+[1]!Table3[[#This Row],[C&amp;I Incentive Disbursements]]</f>
        <v>50720.35</v>
      </c>
      <c r="G377" s="28">
        <f>[1]!Table3[[#This Row],[Incentive Disbursements]]/'[1]1.) CLM Reference'!$B$5</f>
        <v>4.0724085944365845E-4</v>
      </c>
      <c r="H377" s="228">
        <v>26249.035889999999</v>
      </c>
      <c r="I377" s="28">
        <f>[1]!Table3[[#This Row],[Residential CLM $ Collected]]/'[1]1.) CLM Reference'!$B$4</f>
        <v>2.8258064315937504E-4</v>
      </c>
      <c r="J377" s="229">
        <v>50720.35</v>
      </c>
      <c r="K377" s="28">
        <f>[1]!Table3[[#This Row],[Residential Incentive Disbursements]]/'[1]1.) CLM Reference'!$B$5</f>
        <v>4.0724085944365845E-4</v>
      </c>
      <c r="L377" s="229">
        <v>0</v>
      </c>
      <c r="M377" s="28">
        <f>[1]!Table3[[#This Row],[C&amp;I CLM $ Collected]]/'[1]1.) CLM Reference'!$B$4</f>
        <v>0</v>
      </c>
      <c r="N377" s="229">
        <v>0</v>
      </c>
      <c r="O377" s="28">
        <f>[1]!Table3[[#This Row],[C&amp;I Incentive Disbursements]]/'[1]1.) CLM Reference'!$B$5</f>
        <v>0</v>
      </c>
      <c r="Q377">
        <f>VLOOKUP(Table3[[#This Row],[Census Tract]],'Population and Diversity Data'!$B$2:$K$823,10,FALSE)</f>
        <v>4</v>
      </c>
      <c r="R377" t="str">
        <f>VLOOKUP(Table3[[#This Row],[Census Tract]],'ES Energy Burden'!$B$2:$E$914,4,FALSE)</f>
        <v>No</v>
      </c>
    </row>
    <row r="378" spans="1:18" x14ac:dyDescent="0.2">
      <c r="A378" t="s">
        <v>991</v>
      </c>
      <c r="B378" s="169">
        <v>9009170800</v>
      </c>
      <c r="C378" t="s">
        <v>944</v>
      </c>
      <c r="D378" s="170">
        <f>[1]!Table3[[#This Row],[Residential CLM $ Collected]]+[1]!Table3[[#This Row],[C&amp;I CLM $ Collected]]</f>
        <v>47934.481539000008</v>
      </c>
      <c r="E378" s="28">
        <f>[1]!Table3[[#This Row],[CLM $ Collected ]]/'[1]1.) CLM Reference'!$B$4</f>
        <v>5.1603253847361827E-4</v>
      </c>
      <c r="F378" s="170">
        <f>[1]!Table3[[#This Row],[Residential Incentive Disbursements]]+[1]!Table3[[#This Row],[C&amp;I Incentive Disbursements]]</f>
        <v>48846.66</v>
      </c>
      <c r="G378" s="28">
        <f>[1]!Table3[[#This Row],[Incentive Disbursements]]/'[1]1.) CLM Reference'!$B$5</f>
        <v>3.9219673758860449E-4</v>
      </c>
      <c r="H378" s="228">
        <v>47934.481539000008</v>
      </c>
      <c r="I378" s="28">
        <f>[1]!Table3[[#This Row],[Residential CLM $ Collected]]/'[1]1.) CLM Reference'!$B$4</f>
        <v>5.1603253847361827E-4</v>
      </c>
      <c r="J378" s="229">
        <v>48846.66</v>
      </c>
      <c r="K378" s="28">
        <f>[1]!Table3[[#This Row],[Residential Incentive Disbursements]]/'[1]1.) CLM Reference'!$B$5</f>
        <v>3.9219673758860449E-4</v>
      </c>
      <c r="L378" s="229">
        <v>0</v>
      </c>
      <c r="M378" s="28">
        <f>[1]!Table3[[#This Row],[C&amp;I CLM $ Collected]]/'[1]1.) CLM Reference'!$B$4</f>
        <v>0</v>
      </c>
      <c r="N378" s="229">
        <v>0</v>
      </c>
      <c r="O378" s="28">
        <f>[1]!Table3[[#This Row],[C&amp;I Incentive Disbursements]]/'[1]1.) CLM Reference'!$B$5</f>
        <v>0</v>
      </c>
      <c r="Q378">
        <f>VLOOKUP(Table3[[#This Row],[Census Tract]],'Population and Diversity Data'!$B$2:$K$823,10,FALSE)</f>
        <v>3</v>
      </c>
      <c r="R378" t="str">
        <f>VLOOKUP(Table3[[#This Row],[Census Tract]],'ES Energy Burden'!$B$2:$E$914,4,FALSE)</f>
        <v>No</v>
      </c>
    </row>
    <row r="379" spans="1:18" x14ac:dyDescent="0.2">
      <c r="A379" t="s">
        <v>991</v>
      </c>
      <c r="B379" s="169">
        <v>9009170900</v>
      </c>
      <c r="C379" t="s">
        <v>944</v>
      </c>
      <c r="D379" s="170">
        <f>[1]!Table3[[#This Row],[Residential CLM $ Collected]]+[1]!Table3[[#This Row],[C&amp;I CLM $ Collected]]</f>
        <v>15120.592242000001</v>
      </c>
      <c r="E379" s="28">
        <f>[1]!Table3[[#This Row],[CLM $ Collected ]]/'[1]1.) CLM Reference'!$B$4</f>
        <v>1.6277880447116935E-4</v>
      </c>
      <c r="F379" s="170">
        <f>[1]!Table3[[#This Row],[Residential Incentive Disbursements]]+[1]!Table3[[#This Row],[C&amp;I Incentive Disbursements]]</f>
        <v>2055.25</v>
      </c>
      <c r="G379" s="28">
        <f>[1]!Table3[[#This Row],[Incentive Disbursements]]/'[1]1.) CLM Reference'!$B$5</f>
        <v>1.650189275846044E-5</v>
      </c>
      <c r="H379" s="228">
        <v>15120.592242000001</v>
      </c>
      <c r="I379" s="28">
        <f>[1]!Table3[[#This Row],[Residential CLM $ Collected]]/'[1]1.) CLM Reference'!$B$4</f>
        <v>1.6277880447116935E-4</v>
      </c>
      <c r="J379" s="229">
        <v>2055.25</v>
      </c>
      <c r="K379" s="28">
        <f>[1]!Table3[[#This Row],[Residential Incentive Disbursements]]/'[1]1.) CLM Reference'!$B$5</f>
        <v>1.650189275846044E-5</v>
      </c>
      <c r="L379" s="229">
        <v>0</v>
      </c>
      <c r="M379" s="28">
        <f>[1]!Table3[[#This Row],[C&amp;I CLM $ Collected]]/'[1]1.) CLM Reference'!$B$4</f>
        <v>0</v>
      </c>
      <c r="N379" s="229">
        <v>0</v>
      </c>
      <c r="O379" s="28">
        <f>[1]!Table3[[#This Row],[C&amp;I Incentive Disbursements]]/'[1]1.) CLM Reference'!$B$5</f>
        <v>0</v>
      </c>
      <c r="Q379">
        <f>VLOOKUP(Table3[[#This Row],[Census Tract]],'Population and Diversity Data'!$B$2:$K$823,10,FALSE)</f>
        <v>4</v>
      </c>
      <c r="R379" t="str">
        <f>VLOOKUP(Table3[[#This Row],[Census Tract]],'ES Energy Burden'!$B$2:$E$914,4,FALSE)</f>
        <v>No</v>
      </c>
    </row>
    <row r="380" spans="1:18" x14ac:dyDescent="0.2">
      <c r="A380" t="s">
        <v>991</v>
      </c>
      <c r="B380" s="169">
        <v>9009171000</v>
      </c>
      <c r="C380" t="s">
        <v>944</v>
      </c>
      <c r="D380" s="170">
        <f>[1]!Table3[[#This Row],[Residential CLM $ Collected]]+[1]!Table3[[#This Row],[C&amp;I CLM $ Collected]]</f>
        <v>13033.566629999999</v>
      </c>
      <c r="E380" s="28">
        <f>[1]!Table3[[#This Row],[CLM $ Collected ]]/'[1]1.) CLM Reference'!$B$4</f>
        <v>1.4031119681500684E-4</v>
      </c>
      <c r="F380" s="170">
        <f>[1]!Table3[[#This Row],[Residential Incentive Disbursements]]+[1]!Table3[[#This Row],[C&amp;I Incentive Disbursements]]</f>
        <v>7563.94</v>
      </c>
      <c r="G380" s="28">
        <f>[1]!Table3[[#This Row],[Incentive Disbursements]]/'[1]1.) CLM Reference'!$B$5</f>
        <v>6.0731943418771081E-5</v>
      </c>
      <c r="H380" s="228">
        <v>13033.566629999999</v>
      </c>
      <c r="I380" s="28">
        <f>[1]!Table3[[#This Row],[Residential CLM $ Collected]]/'[1]1.) CLM Reference'!$B$4</f>
        <v>1.4031119681500684E-4</v>
      </c>
      <c r="J380" s="229">
        <v>7563.94</v>
      </c>
      <c r="K380" s="28">
        <f>[1]!Table3[[#This Row],[Residential Incentive Disbursements]]/'[1]1.) CLM Reference'!$B$5</f>
        <v>6.0731943418771081E-5</v>
      </c>
      <c r="L380" s="229">
        <v>0</v>
      </c>
      <c r="M380" s="28">
        <f>[1]!Table3[[#This Row],[C&amp;I CLM $ Collected]]/'[1]1.) CLM Reference'!$B$4</f>
        <v>0</v>
      </c>
      <c r="N380" s="229">
        <v>0</v>
      </c>
      <c r="O380" s="28">
        <f>[1]!Table3[[#This Row],[C&amp;I Incentive Disbursements]]/'[1]1.) CLM Reference'!$B$5</f>
        <v>0</v>
      </c>
      <c r="Q380">
        <f>VLOOKUP(Table3[[#This Row],[Census Tract]],'Population and Diversity Data'!$B$2:$K$823,10,FALSE)</f>
        <v>5</v>
      </c>
      <c r="R380" t="str">
        <f>VLOOKUP(Table3[[#This Row],[Census Tract]],'ES Energy Burden'!$B$2:$E$914,4,FALSE)</f>
        <v>No</v>
      </c>
    </row>
    <row r="381" spans="1:18" x14ac:dyDescent="0.2">
      <c r="A381" t="s">
        <v>991</v>
      </c>
      <c r="B381" s="169">
        <v>9009171100</v>
      </c>
      <c r="C381" t="s">
        <v>944</v>
      </c>
      <c r="D381" s="170">
        <f>[1]!Table3[[#This Row],[Residential CLM $ Collected]]+[1]!Table3[[#This Row],[C&amp;I CLM $ Collected]]</f>
        <v>51168.232227</v>
      </c>
      <c r="E381" s="28">
        <f>[1]!Table3[[#This Row],[CLM $ Collected ]]/'[1]1.) CLM Reference'!$B$4</f>
        <v>5.5084506846753839E-4</v>
      </c>
      <c r="F381" s="170">
        <f>[1]!Table3[[#This Row],[Residential Incentive Disbursements]]+[1]!Table3[[#This Row],[C&amp;I Incentive Disbursements]]</f>
        <v>34564.959999999999</v>
      </c>
      <c r="G381" s="28">
        <f>[1]!Table3[[#This Row],[Incentive Disbursements]]/'[1]1.) CLM Reference'!$B$5</f>
        <v>2.7752694957814127E-4</v>
      </c>
      <c r="H381" s="228">
        <v>51168.232227</v>
      </c>
      <c r="I381" s="28">
        <f>[1]!Table3[[#This Row],[Residential CLM $ Collected]]/'[1]1.) CLM Reference'!$B$4</f>
        <v>5.5084506846753839E-4</v>
      </c>
      <c r="J381" s="229">
        <v>34564.959999999999</v>
      </c>
      <c r="K381" s="28">
        <f>[1]!Table3[[#This Row],[Residential Incentive Disbursements]]/'[1]1.) CLM Reference'!$B$5</f>
        <v>2.7752694957814127E-4</v>
      </c>
      <c r="L381" s="229">
        <v>0</v>
      </c>
      <c r="M381" s="28">
        <f>[1]!Table3[[#This Row],[C&amp;I CLM $ Collected]]/'[1]1.) CLM Reference'!$B$4</f>
        <v>0</v>
      </c>
      <c r="N381" s="229">
        <v>0</v>
      </c>
      <c r="O381" s="28">
        <f>[1]!Table3[[#This Row],[C&amp;I Incentive Disbursements]]/'[1]1.) CLM Reference'!$B$5</f>
        <v>0</v>
      </c>
      <c r="Q381">
        <f>VLOOKUP(Table3[[#This Row],[Census Tract]],'Population and Diversity Data'!$B$2:$K$823,10,FALSE)</f>
        <v>3</v>
      </c>
      <c r="R381" t="str">
        <f>VLOOKUP(Table3[[#This Row],[Census Tract]],'ES Energy Burden'!$B$2:$E$914,4,FALSE)</f>
        <v>No</v>
      </c>
    </row>
    <row r="382" spans="1:18" x14ac:dyDescent="0.2">
      <c r="A382" t="s">
        <v>991</v>
      </c>
      <c r="B382" s="169">
        <v>9009171200</v>
      </c>
      <c r="C382" t="s">
        <v>944</v>
      </c>
      <c r="D382" s="170">
        <f>[1]!Table3[[#This Row],[Residential CLM $ Collected]]+[1]!Table3[[#This Row],[C&amp;I CLM $ Collected]]</f>
        <v>84688.161746999991</v>
      </c>
      <c r="E382" s="28">
        <f>[1]!Table3[[#This Row],[CLM $ Collected ]]/'[1]1.) CLM Reference'!$B$4</f>
        <v>9.1169958831019144E-4</v>
      </c>
      <c r="F382" s="170">
        <f>[1]!Table3[[#This Row],[Residential Incentive Disbursements]]+[1]!Table3[[#This Row],[C&amp;I Incentive Disbursements]]</f>
        <v>63184.09</v>
      </c>
      <c r="G382" s="28">
        <f>[1]!Table3[[#This Row],[Incentive Disbursements]]/'[1]1.) CLM Reference'!$B$5</f>
        <v>5.0731398964647253E-4</v>
      </c>
      <c r="H382" s="228">
        <v>84688.161746999991</v>
      </c>
      <c r="I382" s="28">
        <f>[1]!Table3[[#This Row],[Residential CLM $ Collected]]/'[1]1.) CLM Reference'!$B$4</f>
        <v>9.1169958831019144E-4</v>
      </c>
      <c r="J382" s="229">
        <v>63184.09</v>
      </c>
      <c r="K382" s="28">
        <f>[1]!Table3[[#This Row],[Residential Incentive Disbursements]]/'[1]1.) CLM Reference'!$B$5</f>
        <v>5.0731398964647253E-4</v>
      </c>
      <c r="L382" s="229">
        <v>0</v>
      </c>
      <c r="M382" s="28">
        <f>[1]!Table3[[#This Row],[C&amp;I CLM $ Collected]]/'[1]1.) CLM Reference'!$B$4</f>
        <v>0</v>
      </c>
      <c r="N382" s="229">
        <v>0</v>
      </c>
      <c r="O382" s="28">
        <f>[1]!Table3[[#This Row],[C&amp;I Incentive Disbursements]]/'[1]1.) CLM Reference'!$B$5</f>
        <v>0</v>
      </c>
      <c r="Q382">
        <f>VLOOKUP(Table3[[#This Row],[Census Tract]],'Population and Diversity Data'!$B$2:$K$823,10,FALSE)</f>
        <v>3</v>
      </c>
      <c r="R382" t="str">
        <f>VLOOKUP(Table3[[#This Row],[Census Tract]],'ES Energy Burden'!$B$2:$E$914,4,FALSE)</f>
        <v>No</v>
      </c>
    </row>
    <row r="383" spans="1:18" x14ac:dyDescent="0.2">
      <c r="A383" t="s">
        <v>991</v>
      </c>
      <c r="B383" s="169">
        <v>9009171300</v>
      </c>
      <c r="C383" t="s">
        <v>944</v>
      </c>
      <c r="D383" s="170">
        <f>[1]!Table3[[#This Row],[Residential CLM $ Collected]]+[1]!Table3[[#This Row],[C&amp;I CLM $ Collected]]</f>
        <v>39506.035422000008</v>
      </c>
      <c r="E383" s="28">
        <f>[1]!Table3[[#This Row],[CLM $ Collected ]]/'[1]1.) CLM Reference'!$B$4</f>
        <v>4.2529717834241624E-4</v>
      </c>
      <c r="F383" s="170">
        <f>[1]!Table3[[#This Row],[Residential Incentive Disbursements]]+[1]!Table3[[#This Row],[C&amp;I Incentive Disbursements]]</f>
        <v>11381.8</v>
      </c>
      <c r="G383" s="28">
        <f>[1]!Table3[[#This Row],[Incentive Disbursements]]/'[1]1.) CLM Reference'!$B$5</f>
        <v>9.1386081011188435E-5</v>
      </c>
      <c r="H383" s="228">
        <v>39499.577712000006</v>
      </c>
      <c r="I383" s="28">
        <f>[1]!Table3[[#This Row],[Residential CLM $ Collected]]/'[1]1.) CLM Reference'!$B$4</f>
        <v>4.2522765869023612E-4</v>
      </c>
      <c r="J383" s="229">
        <v>11381.8</v>
      </c>
      <c r="K383" s="28">
        <f>[1]!Table3[[#This Row],[Residential Incentive Disbursements]]/'[1]1.) CLM Reference'!$B$5</f>
        <v>9.1386081011188435E-5</v>
      </c>
      <c r="L383" s="229">
        <v>6.4577100000000005</v>
      </c>
      <c r="M383" s="28">
        <f>[1]!Table3[[#This Row],[C&amp;I CLM $ Collected]]/'[1]1.) CLM Reference'!$B$4</f>
        <v>6.9519652180136814E-8</v>
      </c>
      <c r="N383" s="229">
        <v>0</v>
      </c>
      <c r="O383" s="28">
        <f>[1]!Table3[[#This Row],[C&amp;I Incentive Disbursements]]/'[1]1.) CLM Reference'!$B$5</f>
        <v>0</v>
      </c>
      <c r="Q383">
        <f>VLOOKUP(Table3[[#This Row],[Census Tract]],'Population and Diversity Data'!$B$2:$K$823,10,FALSE)</f>
        <v>2</v>
      </c>
      <c r="R383" t="str">
        <f>VLOOKUP(Table3[[#This Row],[Census Tract]],'ES Energy Burden'!$B$2:$E$914,4,FALSE)</f>
        <v>No</v>
      </c>
    </row>
    <row r="384" spans="1:18" x14ac:dyDescent="0.2">
      <c r="A384" t="s">
        <v>991</v>
      </c>
      <c r="B384" s="169">
        <v>9009171400</v>
      </c>
      <c r="C384" t="s">
        <v>944</v>
      </c>
      <c r="D384" s="170">
        <f>[1]!Table3[[#This Row],[Residential CLM $ Collected]]+[1]!Table3[[#This Row],[C&amp;I CLM $ Collected]]</f>
        <v>14420.26929</v>
      </c>
      <c r="E384" s="28">
        <f>[1]!Table3[[#This Row],[CLM $ Collected ]]/'[1]1.) CLM Reference'!$B$4</f>
        <v>1.5523956718166478E-4</v>
      </c>
      <c r="F384" s="170">
        <f>[1]!Table3[[#This Row],[Residential Incentive Disbursements]]+[1]!Table3[[#This Row],[C&amp;I Incentive Disbursements]]</f>
        <v>3120.11</v>
      </c>
      <c r="G384" s="28">
        <f>[1]!Table3[[#This Row],[Incentive Disbursements]]/'[1]1.) CLM Reference'!$B$5</f>
        <v>2.5051804215837494E-5</v>
      </c>
      <c r="H384" s="228">
        <v>14420.26929</v>
      </c>
      <c r="I384" s="28">
        <f>[1]!Table3[[#This Row],[Residential CLM $ Collected]]/'[1]1.) CLM Reference'!$B$4</f>
        <v>1.5523956718166478E-4</v>
      </c>
      <c r="J384" s="229">
        <v>3120.11</v>
      </c>
      <c r="K384" s="28">
        <f>[1]!Table3[[#This Row],[Residential Incentive Disbursements]]/'[1]1.) CLM Reference'!$B$5</f>
        <v>2.5051804215837494E-5</v>
      </c>
      <c r="L384" s="229">
        <v>0</v>
      </c>
      <c r="M384" s="28">
        <f>[1]!Table3[[#This Row],[C&amp;I CLM $ Collected]]/'[1]1.) CLM Reference'!$B$4</f>
        <v>0</v>
      </c>
      <c r="N384" s="229">
        <v>0</v>
      </c>
      <c r="O384" s="28">
        <f>[1]!Table3[[#This Row],[C&amp;I Incentive Disbursements]]/'[1]1.) CLM Reference'!$B$5</f>
        <v>0</v>
      </c>
      <c r="Q384">
        <f>VLOOKUP(Table3[[#This Row],[Census Tract]],'Population and Diversity Data'!$B$2:$K$823,10,FALSE)</f>
        <v>5</v>
      </c>
      <c r="R384" t="str">
        <f>VLOOKUP(Table3[[#This Row],[Census Tract]],'ES Energy Burden'!$B$2:$E$914,4,FALSE)</f>
        <v>No</v>
      </c>
    </row>
    <row r="385" spans="1:18" x14ac:dyDescent="0.2">
      <c r="A385" t="s">
        <v>991</v>
      </c>
      <c r="B385" s="169">
        <v>9009171500</v>
      </c>
      <c r="C385" t="s">
        <v>944</v>
      </c>
      <c r="D385" s="170">
        <f>[1]!Table3[[#This Row],[Residential CLM $ Collected]]+[1]!Table3[[#This Row],[C&amp;I CLM $ Collected]]</f>
        <v>23159.824883999998</v>
      </c>
      <c r="E385" s="28">
        <f>[1]!Table3[[#This Row],[CLM $ Collected ]]/'[1]1.) CLM Reference'!$B$4</f>
        <v>2.493241366503849E-4</v>
      </c>
      <c r="F385" s="170">
        <f>[1]!Table3[[#This Row],[Residential Incentive Disbursements]]+[1]!Table3[[#This Row],[C&amp;I Incentive Disbursements]]</f>
        <v>13515.42</v>
      </c>
      <c r="G385" s="28">
        <f>[1]!Table3[[#This Row],[Incentive Disbursements]]/'[1]1.) CLM Reference'!$B$5</f>
        <v>1.0851721757720542E-4</v>
      </c>
      <c r="H385" s="228">
        <v>23159.824883999998</v>
      </c>
      <c r="I385" s="28">
        <f>[1]!Table3[[#This Row],[Residential CLM $ Collected]]/'[1]1.) CLM Reference'!$B$4</f>
        <v>2.493241366503849E-4</v>
      </c>
      <c r="J385" s="229">
        <v>13515.42</v>
      </c>
      <c r="K385" s="28">
        <f>[1]!Table3[[#This Row],[Residential Incentive Disbursements]]/'[1]1.) CLM Reference'!$B$5</f>
        <v>1.0851721757720542E-4</v>
      </c>
      <c r="L385" s="229">
        <v>0</v>
      </c>
      <c r="M385" s="28">
        <f>[1]!Table3[[#This Row],[C&amp;I CLM $ Collected]]/'[1]1.) CLM Reference'!$B$4</f>
        <v>0</v>
      </c>
      <c r="N385" s="229">
        <v>0</v>
      </c>
      <c r="O385" s="28">
        <f>[1]!Table3[[#This Row],[C&amp;I Incentive Disbursements]]/'[1]1.) CLM Reference'!$B$5</f>
        <v>0</v>
      </c>
      <c r="Q385">
        <f>VLOOKUP(Table3[[#This Row],[Census Tract]],'Population and Diversity Data'!$B$2:$K$823,10,FALSE)</f>
        <v>5</v>
      </c>
      <c r="R385" t="str">
        <f>VLOOKUP(Table3[[#This Row],[Census Tract]],'ES Energy Burden'!$B$2:$E$914,4,FALSE)</f>
        <v>No</v>
      </c>
    </row>
    <row r="386" spans="1:18" x14ac:dyDescent="0.2">
      <c r="A386" t="s">
        <v>991</v>
      </c>
      <c r="B386" s="169">
        <v>9009171600</v>
      </c>
      <c r="C386" t="s">
        <v>944</v>
      </c>
      <c r="D386" s="170">
        <f>[1]!Table3[[#This Row],[Residential CLM $ Collected]]+[1]!Table3[[#This Row],[C&amp;I CLM $ Collected]]</f>
        <v>44001.303864000001</v>
      </c>
      <c r="E386" s="28">
        <f>[1]!Table3[[#This Row],[CLM $ Collected ]]/'[1]1.) CLM Reference'!$B$4</f>
        <v>4.7369041658696195E-4</v>
      </c>
      <c r="F386" s="170">
        <f>[1]!Table3[[#This Row],[Residential Incentive Disbursements]]+[1]!Table3[[#This Row],[C&amp;I Incentive Disbursements]]</f>
        <v>77607.740000000005</v>
      </c>
      <c r="G386" s="28">
        <f>[1]!Table3[[#This Row],[Incentive Disbursements]]/'[1]1.) CLM Reference'!$B$5</f>
        <v>6.2312351427149047E-4</v>
      </c>
      <c r="H386" s="228">
        <v>44001.303864000001</v>
      </c>
      <c r="I386" s="28">
        <f>[1]!Table3[[#This Row],[Residential CLM $ Collected]]/'[1]1.) CLM Reference'!$B$4</f>
        <v>4.7369041658696195E-4</v>
      </c>
      <c r="J386" s="229">
        <v>77607.740000000005</v>
      </c>
      <c r="K386" s="28">
        <f>[1]!Table3[[#This Row],[Residential Incentive Disbursements]]/'[1]1.) CLM Reference'!$B$5</f>
        <v>6.2312351427149047E-4</v>
      </c>
      <c r="L386" s="229">
        <v>0</v>
      </c>
      <c r="M386" s="28">
        <f>[1]!Table3[[#This Row],[C&amp;I CLM $ Collected]]/'[1]1.) CLM Reference'!$B$4</f>
        <v>0</v>
      </c>
      <c r="N386" s="229">
        <v>0</v>
      </c>
      <c r="O386" s="28">
        <f>[1]!Table3[[#This Row],[C&amp;I Incentive Disbursements]]/'[1]1.) CLM Reference'!$B$5</f>
        <v>0</v>
      </c>
      <c r="Q386">
        <f>VLOOKUP(Table3[[#This Row],[Census Tract]],'Population and Diversity Data'!$B$2:$K$823,10,FALSE)</f>
        <v>3</v>
      </c>
      <c r="R386" t="str">
        <f>VLOOKUP(Table3[[#This Row],[Census Tract]],'ES Energy Burden'!$B$2:$E$914,4,FALSE)</f>
        <v>No</v>
      </c>
    </row>
    <row r="387" spans="1:18" x14ac:dyDescent="0.2">
      <c r="A387" t="s">
        <v>991</v>
      </c>
      <c r="B387" s="169">
        <v>9009171700</v>
      </c>
      <c r="C387" t="s">
        <v>944</v>
      </c>
      <c r="D387" s="170">
        <f>[1]!Table3[[#This Row],[Residential CLM $ Collected]]+[1]!Table3[[#This Row],[C&amp;I CLM $ Collected]]</f>
        <v>42546.562925999999</v>
      </c>
      <c r="E387" s="28">
        <f>[1]!Table3[[#This Row],[CLM $ Collected ]]/'[1]1.) CLM Reference'!$B$4</f>
        <v>4.5802958882882998E-4</v>
      </c>
      <c r="F387" s="170">
        <f>[1]!Table3[[#This Row],[Residential Incentive Disbursements]]+[1]!Table3[[#This Row],[C&amp;I Incentive Disbursements]]</f>
        <v>99008.975000000006</v>
      </c>
      <c r="G387" s="28">
        <f>[1]!Table3[[#This Row],[Incentive Disbursements]]/'[1]1.) CLM Reference'!$B$5</f>
        <v>7.9495705513932171E-4</v>
      </c>
      <c r="H387" s="228">
        <v>42546.562925999999</v>
      </c>
      <c r="I387" s="28">
        <f>[1]!Table3[[#This Row],[Residential CLM $ Collected]]/'[1]1.) CLM Reference'!$B$4</f>
        <v>4.5802958882882998E-4</v>
      </c>
      <c r="J387" s="229">
        <v>99008.975000000006</v>
      </c>
      <c r="K387" s="28">
        <f>[1]!Table3[[#This Row],[Residential Incentive Disbursements]]/'[1]1.) CLM Reference'!$B$5</f>
        <v>7.9495705513932171E-4</v>
      </c>
      <c r="L387" s="229">
        <v>0</v>
      </c>
      <c r="M387" s="28">
        <f>[1]!Table3[[#This Row],[C&amp;I CLM $ Collected]]/'[1]1.) CLM Reference'!$B$4</f>
        <v>0</v>
      </c>
      <c r="N387" s="229">
        <v>0</v>
      </c>
      <c r="O387" s="28">
        <f>[1]!Table3[[#This Row],[C&amp;I Incentive Disbursements]]/'[1]1.) CLM Reference'!$B$5</f>
        <v>0</v>
      </c>
      <c r="Q387">
        <f>VLOOKUP(Table3[[#This Row],[Census Tract]],'Population and Diversity Data'!$B$2:$K$823,10,FALSE)</f>
        <v>2</v>
      </c>
      <c r="R387" t="str">
        <f>VLOOKUP(Table3[[#This Row],[Census Tract]],'ES Energy Burden'!$B$2:$E$914,4,FALSE)</f>
        <v>No</v>
      </c>
    </row>
    <row r="388" spans="1:18" x14ac:dyDescent="0.2">
      <c r="A388" t="s">
        <v>991</v>
      </c>
      <c r="B388" s="169">
        <v>9009175400</v>
      </c>
      <c r="C388" t="s">
        <v>944</v>
      </c>
      <c r="D388" s="170">
        <f>[1]!Table3[[#This Row],[Residential CLM $ Collected]]+[1]!Table3[[#This Row],[C&amp;I CLM $ Collected]]</f>
        <v>1.1157300000000001</v>
      </c>
      <c r="E388" s="28">
        <f>[1]!Table3[[#This Row],[CLM $ Collected ]]/'[1]1.) CLM Reference'!$B$4</f>
        <v>1.2011248805992224E-8</v>
      </c>
      <c r="F388" s="170">
        <f>[1]!Table3[[#This Row],[Residential Incentive Disbursements]]+[1]!Table3[[#This Row],[C&amp;I Incentive Disbursements]]</f>
        <v>0</v>
      </c>
      <c r="G388" s="28">
        <f>[1]!Table3[[#This Row],[Incentive Disbursements]]/'[1]1.) CLM Reference'!$B$5</f>
        <v>0</v>
      </c>
      <c r="H388" s="228">
        <v>1.1157300000000001</v>
      </c>
      <c r="I388" s="28">
        <f>[1]!Table3[[#This Row],[Residential CLM $ Collected]]/'[1]1.) CLM Reference'!$B$4</f>
        <v>1.2011248805992224E-8</v>
      </c>
      <c r="J388" s="229">
        <v>0</v>
      </c>
      <c r="K388" s="28">
        <f>[1]!Table3[[#This Row],[Residential Incentive Disbursements]]/'[1]1.) CLM Reference'!$B$5</f>
        <v>0</v>
      </c>
      <c r="L388" s="229">
        <v>0</v>
      </c>
      <c r="M388" s="28">
        <f>[1]!Table3[[#This Row],[C&amp;I CLM $ Collected]]/'[1]1.) CLM Reference'!$B$4</f>
        <v>0</v>
      </c>
      <c r="N388" s="229">
        <v>0</v>
      </c>
      <c r="O388" s="28">
        <f>[1]!Table3[[#This Row],[C&amp;I Incentive Disbursements]]/'[1]1.) CLM Reference'!$B$5</f>
        <v>0</v>
      </c>
      <c r="Q388">
        <f>VLOOKUP(Table3[[#This Row],[Census Tract]],'Population and Diversity Data'!$B$2:$K$823,10,FALSE)</f>
        <v>4</v>
      </c>
      <c r="R388" t="str">
        <f>VLOOKUP(Table3[[#This Row],[Census Tract]],'ES Energy Burden'!$B$2:$E$914,4,FALSE)</f>
        <v>No</v>
      </c>
    </row>
    <row r="389" spans="1:18" x14ac:dyDescent="0.2">
      <c r="A389" t="s">
        <v>991</v>
      </c>
      <c r="B389" s="169">
        <v>9009175700</v>
      </c>
      <c r="C389" t="s">
        <v>944</v>
      </c>
      <c r="D389" s="170">
        <f>[1]!Table3[[#This Row],[Residential CLM $ Collected]]+[1]!Table3[[#This Row],[C&amp;I CLM $ Collected]]</f>
        <v>163.49549999999999</v>
      </c>
      <c r="E389" s="28">
        <f>[1]!Table3[[#This Row],[CLM $ Collected ]]/'[1]1.) CLM Reference'!$B$4</f>
        <v>1.7600899224365228E-6</v>
      </c>
      <c r="F389" s="170">
        <f>[1]!Table3[[#This Row],[Residential Incentive Disbursements]]+[1]!Table3[[#This Row],[C&amp;I Incentive Disbursements]]</f>
        <v>0</v>
      </c>
      <c r="G389" s="28">
        <f>[1]!Table3[[#This Row],[Incentive Disbursements]]/'[1]1.) CLM Reference'!$B$5</f>
        <v>0</v>
      </c>
      <c r="H389" s="228">
        <v>163.49549999999999</v>
      </c>
      <c r="I389" s="28">
        <f>[1]!Table3[[#This Row],[Residential CLM $ Collected]]/'[1]1.) CLM Reference'!$B$4</f>
        <v>1.7600899224365228E-6</v>
      </c>
      <c r="J389" s="229">
        <v>0</v>
      </c>
      <c r="K389" s="28">
        <f>[1]!Table3[[#This Row],[Residential Incentive Disbursements]]/'[1]1.) CLM Reference'!$B$5</f>
        <v>0</v>
      </c>
      <c r="L389" s="229">
        <v>0</v>
      </c>
      <c r="M389" s="28">
        <f>[1]!Table3[[#This Row],[C&amp;I CLM $ Collected]]/'[1]1.) CLM Reference'!$B$4</f>
        <v>0</v>
      </c>
      <c r="N389" s="229">
        <v>0</v>
      </c>
      <c r="O389" s="28">
        <f>[1]!Table3[[#This Row],[C&amp;I Incentive Disbursements]]/'[1]1.) CLM Reference'!$B$5</f>
        <v>0</v>
      </c>
      <c r="Q389">
        <f>VLOOKUP(Table3[[#This Row],[Census Tract]],'Population and Diversity Data'!$B$2:$K$823,10,FALSE)</f>
        <v>2</v>
      </c>
      <c r="R389" t="str">
        <f>VLOOKUP(Table3[[#This Row],[Census Tract]],'ES Energy Burden'!$B$2:$E$914,4,FALSE)</f>
        <v>No</v>
      </c>
    </row>
    <row r="390" spans="1:18" x14ac:dyDescent="0.2">
      <c r="A390" t="s">
        <v>991</v>
      </c>
      <c r="B390" s="169">
        <v>9009343101</v>
      </c>
      <c r="C390" t="s">
        <v>944</v>
      </c>
      <c r="D390" s="170">
        <f>[1]!Table3[[#This Row],[Residential CLM $ Collected]]+[1]!Table3[[#This Row],[C&amp;I CLM $ Collected]]</f>
        <v>428.69148000000001</v>
      </c>
      <c r="E390" s="28">
        <f>[1]!Table3[[#This Row],[CLM $ Collected ]]/'[1]1.) CLM Reference'!$B$4</f>
        <v>4.6150233724010645E-6</v>
      </c>
      <c r="F390" s="170">
        <f>[1]!Table3[[#This Row],[Residential Incentive Disbursements]]+[1]!Table3[[#This Row],[C&amp;I Incentive Disbursements]]</f>
        <v>0</v>
      </c>
      <c r="G390" s="28">
        <f>[1]!Table3[[#This Row],[Incentive Disbursements]]/'[1]1.) CLM Reference'!$B$5</f>
        <v>0</v>
      </c>
      <c r="H390" s="228">
        <v>428.69148000000001</v>
      </c>
      <c r="I390" s="28">
        <f>[1]!Table3[[#This Row],[Residential CLM $ Collected]]/'[1]1.) CLM Reference'!$B$4</f>
        <v>4.6150233724010645E-6</v>
      </c>
      <c r="J390" s="229">
        <v>0</v>
      </c>
      <c r="K390" s="28">
        <f>[1]!Table3[[#This Row],[Residential Incentive Disbursements]]/'[1]1.) CLM Reference'!$B$5</f>
        <v>0</v>
      </c>
      <c r="L390" s="229">
        <v>0</v>
      </c>
      <c r="M390" s="28">
        <f>[1]!Table3[[#This Row],[C&amp;I CLM $ Collected]]/'[1]1.) CLM Reference'!$B$4</f>
        <v>0</v>
      </c>
      <c r="N390" s="229">
        <v>0</v>
      </c>
      <c r="O390" s="28">
        <f>[1]!Table3[[#This Row],[C&amp;I Incentive Disbursements]]/'[1]1.) CLM Reference'!$B$5</f>
        <v>0</v>
      </c>
      <c r="Q390">
        <f>VLOOKUP(Table3[[#This Row],[Census Tract]],'Population and Diversity Data'!$B$2:$K$823,10,FALSE)</f>
        <v>4</v>
      </c>
      <c r="R390" t="str">
        <f>VLOOKUP(Table3[[#This Row],[Census Tract]],'ES Energy Burden'!$B$2:$E$914,4,FALSE)</f>
        <v>No</v>
      </c>
    </row>
    <row r="391" spans="1:18" x14ac:dyDescent="0.2">
      <c r="A391" t="s">
        <v>2800</v>
      </c>
      <c r="B391" s="169">
        <v>9009344100</v>
      </c>
      <c r="C391" t="s">
        <v>944</v>
      </c>
      <c r="D391" s="170">
        <f>[1]!Table3[[#This Row],[Residential CLM $ Collected]]+[1]!Table3[[#This Row],[C&amp;I CLM $ Collected]]</f>
        <v>150829.15344000002</v>
      </c>
      <c r="E391" s="28">
        <f>[1]!Table3[[#This Row],[CLM $ Collected ]]/'[1]1.) CLM Reference'!$B$4</f>
        <v>1.62373198638113E-3</v>
      </c>
      <c r="F391" s="170">
        <f>[1]!Table3[[#This Row],[Residential Incentive Disbursements]]+[1]!Table3[[#This Row],[C&amp;I Incentive Disbursements]]</f>
        <v>220800.05000000002</v>
      </c>
      <c r="G391" s="28">
        <f>[1]!Table3[[#This Row],[Incentive Disbursements]]/'[1]1.) CLM Reference'!$B$5</f>
        <v>1.7728348114159852E-3</v>
      </c>
      <c r="H391" s="228">
        <v>106744.32969900001</v>
      </c>
      <c r="I391" s="28">
        <f>[1]!Table3[[#This Row],[Residential CLM $ Collected]]/'[1]1.) CLM Reference'!$B$4</f>
        <v>1.1491424472260799E-3</v>
      </c>
      <c r="J391" s="229">
        <v>200162.1</v>
      </c>
      <c r="K391" s="28">
        <f>[1]!Table3[[#This Row],[Residential Incentive Disbursements]]/'[1]1.) CLM Reference'!$B$5</f>
        <v>1.6071297937030702E-3</v>
      </c>
      <c r="L391" s="229">
        <v>44084.823741</v>
      </c>
      <c r="M391" s="28">
        <f>[1]!Table3[[#This Row],[C&amp;I CLM $ Collected]]/'[1]1.) CLM Reference'!$B$4</f>
        <v>4.7458953915504996E-4</v>
      </c>
      <c r="N391" s="229">
        <v>20637.95</v>
      </c>
      <c r="O391" s="28">
        <f>[1]!Table3[[#This Row],[C&amp;I Incentive Disbursements]]/'[1]1.) CLM Reference'!$B$5</f>
        <v>1.6570501771291505E-4</v>
      </c>
      <c r="Q391">
        <f>VLOOKUP(Table3[[#This Row],[Census Tract]],'Population and Diversity Data'!$B$2:$K$823,10,FALSE)</f>
        <v>2</v>
      </c>
      <c r="R391" t="str">
        <f>VLOOKUP(Table3[[#This Row],[Census Tract]],'ES Energy Burden'!$B$2:$E$914,4,FALSE)</f>
        <v>No</v>
      </c>
    </row>
    <row r="392" spans="1:18" x14ac:dyDescent="0.2">
      <c r="A392" t="s">
        <v>2800</v>
      </c>
      <c r="B392" s="169">
        <v>9009344200</v>
      </c>
      <c r="C392" t="s">
        <v>944</v>
      </c>
      <c r="D392" s="170">
        <f>[1]!Table3[[#This Row],[Residential CLM $ Collected]]+[1]!Table3[[#This Row],[C&amp;I CLM $ Collected]]</f>
        <v>40087.766901000003</v>
      </c>
      <c r="E392" s="28">
        <f>[1]!Table3[[#This Row],[CLM $ Collected ]]/'[1]1.) CLM Reference'!$B$4</f>
        <v>4.3155973427668956E-4</v>
      </c>
      <c r="F392" s="170">
        <f>[1]!Table3[[#This Row],[Residential Incentive Disbursements]]+[1]!Table3[[#This Row],[C&amp;I Incentive Disbursements]]</f>
        <v>29287.23</v>
      </c>
      <c r="G392" s="28">
        <f>[1]!Table3[[#This Row],[Incentive Disbursements]]/'[1]1.) CLM Reference'!$B$5</f>
        <v>2.3515130940389995E-4</v>
      </c>
      <c r="H392" s="228">
        <v>40087.766901000003</v>
      </c>
      <c r="I392" s="28">
        <f>[1]!Table3[[#This Row],[Residential CLM $ Collected]]/'[1]1.) CLM Reference'!$B$4</f>
        <v>4.3155973427668956E-4</v>
      </c>
      <c r="J392" s="229">
        <v>29287.23</v>
      </c>
      <c r="K392" s="28">
        <f>[1]!Table3[[#This Row],[Residential Incentive Disbursements]]/'[1]1.) CLM Reference'!$B$5</f>
        <v>2.3515130940389995E-4</v>
      </c>
      <c r="L392" s="229">
        <v>0</v>
      </c>
      <c r="M392" s="28">
        <f>[1]!Table3[[#This Row],[C&amp;I CLM $ Collected]]/'[1]1.) CLM Reference'!$B$4</f>
        <v>0</v>
      </c>
      <c r="N392" s="229">
        <v>0</v>
      </c>
      <c r="O392" s="28">
        <f>[1]!Table3[[#This Row],[C&amp;I Incentive Disbursements]]/'[1]1.) CLM Reference'!$B$5</f>
        <v>0</v>
      </c>
      <c r="Q392">
        <f>VLOOKUP(Table3[[#This Row],[Census Tract]],'Population and Diversity Data'!$B$2:$K$823,10,FALSE)</f>
        <v>3</v>
      </c>
      <c r="R392" t="str">
        <f>VLOOKUP(Table3[[#This Row],[Census Tract]],'ES Energy Burden'!$B$2:$E$914,4,FALSE)</f>
        <v>No</v>
      </c>
    </row>
    <row r="393" spans="1:18" x14ac:dyDescent="0.2">
      <c r="A393" t="s">
        <v>2800</v>
      </c>
      <c r="B393" s="169">
        <v>9009345400</v>
      </c>
      <c r="C393" t="s">
        <v>944</v>
      </c>
      <c r="D393" s="170">
        <f>[1]!Table3[[#This Row],[Residential CLM $ Collected]]+[1]!Table3[[#This Row],[C&amp;I CLM $ Collected]]</f>
        <v>275.48388</v>
      </c>
      <c r="E393" s="28">
        <f>[1]!Table3[[#This Row],[CLM $ Collected ]]/'[1]1.) CLM Reference'!$B$4</f>
        <v>2.9656865233704437E-6</v>
      </c>
      <c r="F393" s="170">
        <f>[1]!Table3[[#This Row],[Residential Incentive Disbursements]]+[1]!Table3[[#This Row],[C&amp;I Incentive Disbursements]]</f>
        <v>0</v>
      </c>
      <c r="G393" s="28">
        <f>[1]!Table3[[#This Row],[Incentive Disbursements]]/'[1]1.) CLM Reference'!$B$5</f>
        <v>0</v>
      </c>
      <c r="H393" s="228">
        <v>275.48388</v>
      </c>
      <c r="I393" s="28">
        <f>[1]!Table3[[#This Row],[Residential CLM $ Collected]]/'[1]1.) CLM Reference'!$B$4</f>
        <v>2.9656865233704437E-6</v>
      </c>
      <c r="J393" s="229">
        <v>0</v>
      </c>
      <c r="K393" s="28">
        <f>[1]!Table3[[#This Row],[Residential Incentive Disbursements]]/'[1]1.) CLM Reference'!$B$5</f>
        <v>0</v>
      </c>
      <c r="L393" s="229">
        <v>0</v>
      </c>
      <c r="M393" s="28">
        <f>[1]!Table3[[#This Row],[C&amp;I CLM $ Collected]]/'[1]1.) CLM Reference'!$B$4</f>
        <v>0</v>
      </c>
      <c r="N393" s="229">
        <v>0</v>
      </c>
      <c r="O393" s="28">
        <f>[1]!Table3[[#This Row],[C&amp;I Incentive Disbursements]]/'[1]1.) CLM Reference'!$B$5</f>
        <v>0</v>
      </c>
      <c r="Q393">
        <f>VLOOKUP(Table3[[#This Row],[Census Tract]],'Population and Diversity Data'!$B$2:$K$823,10,FALSE)</f>
        <v>4</v>
      </c>
      <c r="R393" t="str">
        <f>VLOOKUP(Table3[[#This Row],[Census Tract]],'ES Energy Burden'!$B$2:$E$914,4,FALSE)</f>
        <v>No</v>
      </c>
    </row>
    <row r="394" spans="1:18" x14ac:dyDescent="0.2">
      <c r="A394" t="s">
        <v>2801</v>
      </c>
      <c r="B394" s="169">
        <v>9007580100</v>
      </c>
      <c r="C394" t="s">
        <v>944</v>
      </c>
      <c r="D394" s="170">
        <f>[1]!Table3[[#This Row],[Residential CLM $ Collected]]+[1]!Table3[[#This Row],[C&amp;I CLM $ Collected]]</f>
        <v>87076.72860599999</v>
      </c>
      <c r="E394" s="28">
        <f>[1]!Table3[[#This Row],[CLM $ Collected ]]/'[1]1.) CLM Reference'!$B$4</f>
        <v>9.3741339974592983E-4</v>
      </c>
      <c r="F394" s="170">
        <f>[1]!Table3[[#This Row],[Residential Incentive Disbursements]]+[1]!Table3[[#This Row],[C&amp;I Incentive Disbursements]]</f>
        <v>161949.14799999999</v>
      </c>
      <c r="G394" s="28">
        <f>[1]!Table3[[#This Row],[Incentive Disbursements]]/'[1]1.) CLM Reference'!$B$5</f>
        <v>1.30031260071526E-3</v>
      </c>
      <c r="H394" s="228">
        <v>79616.122235999996</v>
      </c>
      <c r="I394" s="28">
        <f>[1]!Table3[[#This Row],[Residential CLM $ Collected]]/'[1]1.) CLM Reference'!$B$4</f>
        <v>8.5709719479164844E-4</v>
      </c>
      <c r="J394" s="229">
        <v>100255.75</v>
      </c>
      <c r="K394" s="28">
        <f>[1]!Table3[[#This Row],[Residential Incentive Disbursements]]/'[1]1.) CLM Reference'!$B$5</f>
        <v>8.0496758784528424E-4</v>
      </c>
      <c r="L394" s="229">
        <v>7460.6063700000004</v>
      </c>
      <c r="M394" s="28">
        <f>[1]!Table3[[#This Row],[C&amp;I CLM $ Collected]]/'[1]1.) CLM Reference'!$B$4</f>
        <v>8.0316204954281487E-5</v>
      </c>
      <c r="N394" s="229">
        <v>61693.398000000001</v>
      </c>
      <c r="O394" s="28">
        <f>[1]!Table3[[#This Row],[C&amp;I Incentive Disbursements]]/'[1]1.) CLM Reference'!$B$5</f>
        <v>4.9534501286997582E-4</v>
      </c>
      <c r="Q394">
        <f>VLOOKUP(Table3[[#This Row],[Census Tract]],'Population and Diversity Data'!$B$2:$K$823,10,FALSE)</f>
        <v>1</v>
      </c>
      <c r="R394" t="str">
        <f>VLOOKUP(Table3[[#This Row],[Census Tract]],'ES Energy Burden'!$B$2:$E$914,4,FALSE)</f>
        <v>No</v>
      </c>
    </row>
    <row r="395" spans="1:18" x14ac:dyDescent="0.2">
      <c r="A395" t="s">
        <v>2801</v>
      </c>
      <c r="B395" s="169">
        <v>9007585100</v>
      </c>
      <c r="C395" t="s">
        <v>944</v>
      </c>
      <c r="D395" s="170">
        <f>[1]!Table3[[#This Row],[Residential CLM $ Collected]]+[1]!Table3[[#This Row],[C&amp;I CLM $ Collected]]</f>
        <v>88.104030000000009</v>
      </c>
      <c r="E395" s="28">
        <f>[1]!Table3[[#This Row],[CLM $ Collected ]]/'[1]1.) CLM Reference'!$B$4</f>
        <v>9.4847268168876262E-7</v>
      </c>
      <c r="F395" s="170">
        <f>[1]!Table3[[#This Row],[Residential Incentive Disbursements]]+[1]!Table3[[#This Row],[C&amp;I Incentive Disbursements]]</f>
        <v>0</v>
      </c>
      <c r="G395" s="28">
        <f>[1]!Table3[[#This Row],[Incentive Disbursements]]/'[1]1.) CLM Reference'!$B$5</f>
        <v>0</v>
      </c>
      <c r="H395" s="228">
        <v>88.104030000000009</v>
      </c>
      <c r="I395" s="28">
        <f>[1]!Table3[[#This Row],[Residential CLM $ Collected]]/'[1]1.) CLM Reference'!$B$4</f>
        <v>9.4847268168876262E-7</v>
      </c>
      <c r="J395" s="229">
        <v>0</v>
      </c>
      <c r="K395" s="28">
        <f>[1]!Table3[[#This Row],[Residential Incentive Disbursements]]/'[1]1.) CLM Reference'!$B$5</f>
        <v>0</v>
      </c>
      <c r="L395" s="229">
        <v>0</v>
      </c>
      <c r="M395" s="28">
        <f>[1]!Table3[[#This Row],[C&amp;I CLM $ Collected]]/'[1]1.) CLM Reference'!$B$4</f>
        <v>0</v>
      </c>
      <c r="N395" s="229">
        <v>0</v>
      </c>
      <c r="O395" s="28">
        <f>[1]!Table3[[#This Row],[C&amp;I Incentive Disbursements]]/'[1]1.) CLM Reference'!$B$5</f>
        <v>0</v>
      </c>
      <c r="Q395">
        <f>VLOOKUP(Table3[[#This Row],[Census Tract]],'Population and Diversity Data'!$B$2:$K$823,10,FALSE)</f>
        <v>1</v>
      </c>
      <c r="R395" t="str">
        <f>VLOOKUP(Table3[[#This Row],[Census Tract]],'ES Energy Burden'!$B$2:$E$914,4,FALSE)</f>
        <v>No</v>
      </c>
    </row>
    <row r="396" spans="1:18" x14ac:dyDescent="0.2">
      <c r="A396" t="s">
        <v>2802</v>
      </c>
      <c r="B396" s="169">
        <v>9007541100</v>
      </c>
      <c r="C396" t="s">
        <v>944</v>
      </c>
      <c r="D396" s="170">
        <f>[1]!Table3[[#This Row],[Residential CLM $ Collected]]+[1]!Table3[[#This Row],[C&amp;I CLM $ Collected]]</f>
        <v>17456.552190000002</v>
      </c>
      <c r="E396" s="28">
        <f>[1]!Table3[[#This Row],[CLM $ Collected ]]/'[1]1.) CLM Reference'!$B$4</f>
        <v>1.8792628292586778E-4</v>
      </c>
      <c r="F396" s="170">
        <f>[1]!Table3[[#This Row],[Residential Incentive Disbursements]]+[1]!Table3[[#This Row],[C&amp;I Incentive Disbursements]]</f>
        <v>7949.75</v>
      </c>
      <c r="G396" s="28">
        <f>[1]!Table3[[#This Row],[Incentive Disbursements]]/'[1]1.) CLM Reference'!$B$5</f>
        <v>6.3829666442803018E-5</v>
      </c>
      <c r="H396" s="228">
        <v>17456.392800000001</v>
      </c>
      <c r="I396" s="28">
        <f>[1]!Table3[[#This Row],[Residential CLM $ Collected]]/'[1]1.) CLM Reference'!$B$4</f>
        <v>1.8792456703318122E-4</v>
      </c>
      <c r="J396" s="229">
        <v>7949.75</v>
      </c>
      <c r="K396" s="28">
        <f>[1]!Table3[[#This Row],[Residential Incentive Disbursements]]/'[1]1.) CLM Reference'!$B$5</f>
        <v>6.3829666442803018E-5</v>
      </c>
      <c r="L396" s="229">
        <v>0.15939</v>
      </c>
      <c r="M396" s="28">
        <f>[1]!Table3[[#This Row],[C&amp;I CLM $ Collected]]/'[1]1.) CLM Reference'!$B$4</f>
        <v>1.7158926865703176E-9</v>
      </c>
      <c r="N396" s="229">
        <v>0</v>
      </c>
      <c r="O396" s="28">
        <f>[1]!Table3[[#This Row],[C&amp;I Incentive Disbursements]]/'[1]1.) CLM Reference'!$B$5</f>
        <v>0</v>
      </c>
      <c r="Q396">
        <f>VLOOKUP(Table3[[#This Row],[Census Tract]],'Population and Diversity Data'!$B$2:$K$823,10,FALSE)</f>
        <v>4</v>
      </c>
      <c r="R396" t="str">
        <f>VLOOKUP(Table3[[#This Row],[Census Tract]],'ES Energy Burden'!$B$2:$E$914,4,FALSE)</f>
        <v>Yes</v>
      </c>
    </row>
    <row r="397" spans="1:18" x14ac:dyDescent="0.2">
      <c r="A397" t="s">
        <v>2802</v>
      </c>
      <c r="B397" s="169">
        <v>9007541200</v>
      </c>
      <c r="C397" t="s">
        <v>944</v>
      </c>
      <c r="D397" s="170">
        <f>[1]!Table3[[#This Row],[Residential CLM $ Collected]]+[1]!Table3[[#This Row],[C&amp;I CLM $ Collected]]</f>
        <v>541181.67816300003</v>
      </c>
      <c r="E397" s="28">
        <f>[1]!Table3[[#This Row],[CLM $ Collected ]]/'[1]1.) CLM Reference'!$B$4</f>
        <v>5.82602223267296E-3</v>
      </c>
      <c r="F397" s="170">
        <f>[1]!Table3[[#This Row],[Residential Incentive Disbursements]]+[1]!Table3[[#This Row],[C&amp;I Incentive Disbursements]]</f>
        <v>919453.81</v>
      </c>
      <c r="G397" s="28">
        <f>[1]!Table3[[#This Row],[Incentive Disbursements]]/'[1]1.) CLM Reference'!$B$5</f>
        <v>7.3824246047818334E-3</v>
      </c>
      <c r="H397" s="228">
        <v>290535.70415100001</v>
      </c>
      <c r="I397" s="28">
        <f>[1]!Table3[[#This Row],[Residential CLM $ Collected]]/'[1]1.) CLM Reference'!$B$4</f>
        <v>3.1277250137415045E-3</v>
      </c>
      <c r="J397" s="229">
        <v>538363.65</v>
      </c>
      <c r="K397" s="28">
        <f>[1]!Table3[[#This Row],[Residential Incentive Disbursements]]/'[1]1.) CLM Reference'!$B$5</f>
        <v>4.3225978432566998E-3</v>
      </c>
      <c r="L397" s="229">
        <v>250645.97401199999</v>
      </c>
      <c r="M397" s="28">
        <f>[1]!Table3[[#This Row],[C&amp;I CLM $ Collected]]/'[1]1.) CLM Reference'!$B$4</f>
        <v>2.6982972189314555E-3</v>
      </c>
      <c r="N397" s="229">
        <v>381090.16</v>
      </c>
      <c r="O397" s="28">
        <f>[1]!Table3[[#This Row],[C&amp;I Incentive Disbursements]]/'[1]1.) CLM Reference'!$B$5</f>
        <v>3.0598267615251336E-3</v>
      </c>
      <c r="Q397">
        <f>VLOOKUP(Table3[[#This Row],[Census Tract]],'Population and Diversity Data'!$B$2:$K$823,10,FALSE)</f>
        <v>4</v>
      </c>
      <c r="R397" t="str">
        <f>VLOOKUP(Table3[[#This Row],[Census Tract]],'ES Energy Burden'!$B$2:$E$914,4,FALSE)</f>
        <v>No</v>
      </c>
    </row>
    <row r="398" spans="1:18" x14ac:dyDescent="0.2">
      <c r="A398" t="s">
        <v>2802</v>
      </c>
      <c r="B398" s="169">
        <v>9007541300</v>
      </c>
      <c r="C398" t="s">
        <v>944</v>
      </c>
      <c r="D398" s="170">
        <f>[1]!Table3[[#This Row],[Residential CLM $ Collected]]+[1]!Table3[[#This Row],[C&amp;I CLM $ Collected]]</f>
        <v>58781.915787000005</v>
      </c>
      <c r="E398" s="28">
        <f>[1]!Table3[[#This Row],[CLM $ Collected ]]/'[1]1.) CLM Reference'!$B$4</f>
        <v>6.3280920635865241E-4</v>
      </c>
      <c r="F398" s="170">
        <f>[1]!Table3[[#This Row],[Residential Incentive Disbursements]]+[1]!Table3[[#This Row],[C&amp;I Incentive Disbursements]]</f>
        <v>27035.33</v>
      </c>
      <c r="G398" s="28">
        <f>[1]!Table3[[#This Row],[Incentive Disbursements]]/'[1]1.) CLM Reference'!$B$5</f>
        <v>2.1707048599906988E-4</v>
      </c>
      <c r="H398" s="228">
        <v>58781.915787000005</v>
      </c>
      <c r="I398" s="28">
        <f>[1]!Table3[[#This Row],[Residential CLM $ Collected]]/'[1]1.) CLM Reference'!$B$4</f>
        <v>6.3280920635865241E-4</v>
      </c>
      <c r="J398" s="229">
        <v>27035.33</v>
      </c>
      <c r="K398" s="28">
        <f>[1]!Table3[[#This Row],[Residential Incentive Disbursements]]/'[1]1.) CLM Reference'!$B$5</f>
        <v>2.1707048599906988E-4</v>
      </c>
      <c r="L398" s="229">
        <v>0</v>
      </c>
      <c r="M398" s="28">
        <f>[1]!Table3[[#This Row],[C&amp;I CLM $ Collected]]/'[1]1.) CLM Reference'!$B$4</f>
        <v>0</v>
      </c>
      <c r="N398" s="229">
        <v>0</v>
      </c>
      <c r="O398" s="28">
        <f>[1]!Table3[[#This Row],[C&amp;I Incentive Disbursements]]/'[1]1.) CLM Reference'!$B$5</f>
        <v>0</v>
      </c>
      <c r="Q398">
        <f>VLOOKUP(Table3[[#This Row],[Census Tract]],'Population and Diversity Data'!$B$2:$K$823,10,FALSE)</f>
        <v>4</v>
      </c>
      <c r="R398" t="str">
        <f>VLOOKUP(Table3[[#This Row],[Census Tract]],'ES Energy Burden'!$B$2:$E$914,4,FALSE)</f>
        <v>No</v>
      </c>
    </row>
    <row r="399" spans="1:18" x14ac:dyDescent="0.2">
      <c r="A399" t="s">
        <v>2802</v>
      </c>
      <c r="B399" s="169">
        <v>9007541401</v>
      </c>
      <c r="C399" t="s">
        <v>944</v>
      </c>
      <c r="D399" s="170">
        <f>[1]!Table3[[#This Row],[Residential CLM $ Collected]]+[1]!Table3[[#This Row],[C&amp;I CLM $ Collected]]</f>
        <v>41031.149460000001</v>
      </c>
      <c r="E399" s="28">
        <f>[1]!Table3[[#This Row],[CLM $ Collected ]]/'[1]1.) CLM Reference'!$B$4</f>
        <v>4.4171559872004291E-4</v>
      </c>
      <c r="F399" s="170">
        <f>[1]!Table3[[#This Row],[Residential Incentive Disbursements]]+[1]!Table3[[#This Row],[C&amp;I Incentive Disbursements]]</f>
        <v>31435.66</v>
      </c>
      <c r="G399" s="28">
        <f>[1]!Table3[[#This Row],[Incentive Disbursements]]/'[1]1.) CLM Reference'!$B$5</f>
        <v>2.5240135755330231E-4</v>
      </c>
      <c r="H399" s="228">
        <v>41031.149460000001</v>
      </c>
      <c r="I399" s="28">
        <f>[1]!Table3[[#This Row],[Residential CLM $ Collected]]/'[1]1.) CLM Reference'!$B$4</f>
        <v>4.4171559872004291E-4</v>
      </c>
      <c r="J399" s="229">
        <v>31435.66</v>
      </c>
      <c r="K399" s="28">
        <f>[1]!Table3[[#This Row],[Residential Incentive Disbursements]]/'[1]1.) CLM Reference'!$B$5</f>
        <v>2.5240135755330231E-4</v>
      </c>
      <c r="L399" s="229">
        <v>0</v>
      </c>
      <c r="M399" s="28">
        <f>[1]!Table3[[#This Row],[C&amp;I CLM $ Collected]]/'[1]1.) CLM Reference'!$B$4</f>
        <v>0</v>
      </c>
      <c r="N399" s="229">
        <v>0</v>
      </c>
      <c r="O399" s="28">
        <f>[1]!Table3[[#This Row],[C&amp;I Incentive Disbursements]]/'[1]1.) CLM Reference'!$B$5</f>
        <v>0</v>
      </c>
      <c r="Q399">
        <f>VLOOKUP(Table3[[#This Row],[Census Tract]],'Population and Diversity Data'!$B$2:$K$823,10,FALSE)</f>
        <v>2</v>
      </c>
      <c r="R399" t="str">
        <f>VLOOKUP(Table3[[#This Row],[Census Tract]],'ES Energy Burden'!$B$2:$E$914,4,FALSE)</f>
        <v>No</v>
      </c>
    </row>
    <row r="400" spans="1:18" x14ac:dyDescent="0.2">
      <c r="A400" t="s">
        <v>2802</v>
      </c>
      <c r="B400" s="169">
        <v>9007541402</v>
      </c>
      <c r="C400" t="s">
        <v>944</v>
      </c>
      <c r="D400" s="170">
        <f>[1]!Table3[[#This Row],[Residential CLM $ Collected]]+[1]!Table3[[#This Row],[C&amp;I CLM $ Collected]]</f>
        <v>68751.666584999999</v>
      </c>
      <c r="E400" s="28">
        <f>[1]!Table3[[#This Row],[CLM $ Collected ]]/'[1]1.) CLM Reference'!$B$4</f>
        <v>7.4013728516671303E-4</v>
      </c>
      <c r="F400" s="170">
        <f>[1]!Table3[[#This Row],[Residential Incentive Disbursements]]+[1]!Table3[[#This Row],[C&amp;I Incentive Disbursements]]</f>
        <v>61000.464999999997</v>
      </c>
      <c r="G400" s="28">
        <f>[1]!Table3[[#This Row],[Incentive Disbursements]]/'[1]1.) CLM Reference'!$B$5</f>
        <v>4.897813558672763E-4</v>
      </c>
      <c r="H400" s="228">
        <v>66695.936474999995</v>
      </c>
      <c r="I400" s="28">
        <f>[1]!Table3[[#This Row],[Residential CLM $ Collected]]/'[1]1.) CLM Reference'!$B$4</f>
        <v>7.1800658524004629E-4</v>
      </c>
      <c r="J400" s="229">
        <v>61000.464999999997</v>
      </c>
      <c r="K400" s="28">
        <f>[1]!Table3[[#This Row],[Residential Incentive Disbursements]]/'[1]1.) CLM Reference'!$B$5</f>
        <v>4.897813558672763E-4</v>
      </c>
      <c r="L400" s="229">
        <v>2055.73011</v>
      </c>
      <c r="M400" s="28">
        <f>[1]!Table3[[#This Row],[C&amp;I CLM $ Collected]]/'[1]1.) CLM Reference'!$B$4</f>
        <v>2.2130699926666633E-5</v>
      </c>
      <c r="N400" s="229">
        <v>0</v>
      </c>
      <c r="O400" s="28">
        <f>[1]!Table3[[#This Row],[C&amp;I Incentive Disbursements]]/'[1]1.) CLM Reference'!$B$5</f>
        <v>0</v>
      </c>
      <c r="Q400">
        <f>VLOOKUP(Table3[[#This Row],[Census Tract]],'Population and Diversity Data'!$B$2:$K$823,10,FALSE)</f>
        <v>2</v>
      </c>
      <c r="R400" t="str">
        <f>VLOOKUP(Table3[[#This Row],[Census Tract]],'ES Energy Burden'!$B$2:$E$914,4,FALSE)</f>
        <v>No</v>
      </c>
    </row>
    <row r="401" spans="1:18" x14ac:dyDescent="0.2">
      <c r="A401" t="s">
        <v>2802</v>
      </c>
      <c r="B401" s="169">
        <v>9007541500</v>
      </c>
      <c r="C401" t="s">
        <v>944</v>
      </c>
      <c r="D401" s="170">
        <f>[1]!Table3[[#This Row],[Residential CLM $ Collected]]+[1]!Table3[[#This Row],[C&amp;I CLM $ Collected]]</f>
        <v>11640.71538</v>
      </c>
      <c r="E401" s="28">
        <f>[1]!Table3[[#This Row],[CLM $ Collected ]]/'[1]1.) CLM Reference'!$B$4</f>
        <v>1.2531663458804578E-4</v>
      </c>
      <c r="F401" s="170">
        <f>[1]!Table3[[#This Row],[Residential Incentive Disbursements]]+[1]!Table3[[#This Row],[C&amp;I Incentive Disbursements]]</f>
        <v>12899.83</v>
      </c>
      <c r="G401" s="28">
        <f>[1]!Table3[[#This Row],[Incentive Disbursements]]/'[1]1.) CLM Reference'!$B$5</f>
        <v>1.0357455845389648E-4</v>
      </c>
      <c r="H401" s="228">
        <v>11640.71538</v>
      </c>
      <c r="I401" s="28">
        <f>[1]!Table3[[#This Row],[Residential CLM $ Collected]]/'[1]1.) CLM Reference'!$B$4</f>
        <v>1.2531663458804578E-4</v>
      </c>
      <c r="J401" s="229">
        <v>12899.83</v>
      </c>
      <c r="K401" s="28">
        <f>[1]!Table3[[#This Row],[Residential Incentive Disbursements]]/'[1]1.) CLM Reference'!$B$5</f>
        <v>1.0357455845389648E-4</v>
      </c>
      <c r="L401" s="229">
        <v>0</v>
      </c>
      <c r="M401" s="28">
        <f>[1]!Table3[[#This Row],[C&amp;I CLM $ Collected]]/'[1]1.) CLM Reference'!$B$4</f>
        <v>0</v>
      </c>
      <c r="N401" s="229">
        <v>0</v>
      </c>
      <c r="O401" s="28">
        <f>[1]!Table3[[#This Row],[C&amp;I Incentive Disbursements]]/'[1]1.) CLM Reference'!$B$5</f>
        <v>0</v>
      </c>
      <c r="Q401">
        <f>VLOOKUP(Table3[[#This Row],[Census Tract]],'Population and Diversity Data'!$B$2:$K$823,10,FALSE)</f>
        <v>5</v>
      </c>
      <c r="R401" t="str">
        <f>VLOOKUP(Table3[[#This Row],[Census Tract]],'ES Energy Burden'!$B$2:$E$914,4,FALSE)</f>
        <v>No</v>
      </c>
    </row>
    <row r="402" spans="1:18" x14ac:dyDescent="0.2">
      <c r="A402" t="s">
        <v>2802</v>
      </c>
      <c r="B402" s="169">
        <v>9007541600</v>
      </c>
      <c r="C402" t="s">
        <v>944</v>
      </c>
      <c r="D402" s="170">
        <f>[1]!Table3[[#This Row],[Residential CLM $ Collected]]+[1]!Table3[[#This Row],[C&amp;I CLM $ Collected]]</f>
        <v>9056.5750590000007</v>
      </c>
      <c r="E402" s="28">
        <f>[1]!Table3[[#This Row],[CLM $ Collected ]]/'[1]1.) CLM Reference'!$B$4</f>
        <v>9.7497402027186422E-5</v>
      </c>
      <c r="F402" s="170">
        <f>[1]!Table3[[#This Row],[Residential Incentive Disbursements]]+[1]!Table3[[#This Row],[C&amp;I Incentive Disbursements]]</f>
        <v>18187.349999999999</v>
      </c>
      <c r="G402" s="28">
        <f>[1]!Table3[[#This Row],[Incentive Disbursements]]/'[1]1.) CLM Reference'!$B$5</f>
        <v>1.460288039219489E-4</v>
      </c>
      <c r="H402" s="228">
        <v>9056.5750590000007</v>
      </c>
      <c r="I402" s="28">
        <f>[1]!Table3[[#This Row],[Residential CLM $ Collected]]/'[1]1.) CLM Reference'!$B$4</f>
        <v>9.7497402027186422E-5</v>
      </c>
      <c r="J402" s="229">
        <v>18187.349999999999</v>
      </c>
      <c r="K402" s="28">
        <f>[1]!Table3[[#This Row],[Residential Incentive Disbursements]]/'[1]1.) CLM Reference'!$B$5</f>
        <v>1.460288039219489E-4</v>
      </c>
      <c r="L402" s="229">
        <v>0</v>
      </c>
      <c r="M402" s="28">
        <f>[1]!Table3[[#This Row],[C&amp;I CLM $ Collected]]/'[1]1.) CLM Reference'!$B$4</f>
        <v>0</v>
      </c>
      <c r="N402" s="229">
        <v>0</v>
      </c>
      <c r="O402" s="28">
        <f>[1]!Table3[[#This Row],[C&amp;I Incentive Disbursements]]/'[1]1.) CLM Reference'!$B$5</f>
        <v>0</v>
      </c>
      <c r="Q402">
        <f>VLOOKUP(Table3[[#This Row],[Census Tract]],'Population and Diversity Data'!$B$2:$K$823,10,FALSE)</f>
        <v>5</v>
      </c>
      <c r="R402" t="str">
        <f>VLOOKUP(Table3[[#This Row],[Census Tract]],'ES Energy Burden'!$B$2:$E$914,4,FALSE)</f>
        <v>Yes</v>
      </c>
    </row>
    <row r="403" spans="1:18" x14ac:dyDescent="0.2">
      <c r="A403" t="s">
        <v>2802</v>
      </c>
      <c r="B403" s="169">
        <v>9007541700</v>
      </c>
      <c r="C403" t="s">
        <v>944</v>
      </c>
      <c r="D403" s="170">
        <f>[1]!Table3[[#This Row],[Residential CLM $ Collected]]+[1]!Table3[[#This Row],[C&amp;I CLM $ Collected]]</f>
        <v>18898.997879999999</v>
      </c>
      <c r="E403" s="28">
        <f>[1]!Table3[[#This Row],[CLM $ Collected ]]/'[1]1.) CLM Reference'!$B$4</f>
        <v>2.0345474776209258E-4</v>
      </c>
      <c r="F403" s="170">
        <f>[1]!Table3[[#This Row],[Residential Incentive Disbursements]]+[1]!Table3[[#This Row],[C&amp;I Incentive Disbursements]]</f>
        <v>22573.97</v>
      </c>
      <c r="G403" s="28">
        <f>[1]!Table3[[#This Row],[Incentive Disbursements]]/'[1]1.) CLM Reference'!$B$5</f>
        <v>1.8124959594828039E-4</v>
      </c>
      <c r="H403" s="228">
        <v>18898.997879999999</v>
      </c>
      <c r="I403" s="28">
        <f>[1]!Table3[[#This Row],[Residential CLM $ Collected]]/'[1]1.) CLM Reference'!$B$4</f>
        <v>2.0345474776209258E-4</v>
      </c>
      <c r="J403" s="229">
        <v>22573.97</v>
      </c>
      <c r="K403" s="28">
        <f>[1]!Table3[[#This Row],[Residential Incentive Disbursements]]/'[1]1.) CLM Reference'!$B$5</f>
        <v>1.8124959594828039E-4</v>
      </c>
      <c r="L403" s="229">
        <v>0</v>
      </c>
      <c r="M403" s="28">
        <f>[1]!Table3[[#This Row],[C&amp;I CLM $ Collected]]/'[1]1.) CLM Reference'!$B$4</f>
        <v>0</v>
      </c>
      <c r="N403" s="229">
        <v>0</v>
      </c>
      <c r="O403" s="28">
        <f>[1]!Table3[[#This Row],[C&amp;I Incentive Disbursements]]/'[1]1.) CLM Reference'!$B$5</f>
        <v>0</v>
      </c>
      <c r="Q403">
        <f>VLOOKUP(Table3[[#This Row],[Census Tract]],'Population and Diversity Data'!$B$2:$K$823,10,FALSE)</f>
        <v>4</v>
      </c>
      <c r="R403" t="str">
        <f>VLOOKUP(Table3[[#This Row],[Census Tract]],'ES Energy Burden'!$B$2:$E$914,4,FALSE)</f>
        <v>Yes</v>
      </c>
    </row>
    <row r="404" spans="1:18" x14ac:dyDescent="0.2">
      <c r="A404" t="s">
        <v>2802</v>
      </c>
      <c r="B404" s="169">
        <v>9007542000</v>
      </c>
      <c r="C404" t="s">
        <v>944</v>
      </c>
      <c r="D404" s="170">
        <f>[1]!Table3[[#This Row],[Residential CLM $ Collected]]+[1]!Table3[[#This Row],[C&amp;I CLM $ Collected]]</f>
        <v>40445.808039000003</v>
      </c>
      <c r="E404" s="28">
        <f>[1]!Table3[[#This Row],[CLM $ Collected ]]/'[1]1.) CLM Reference'!$B$4</f>
        <v>4.3541418041625617E-4</v>
      </c>
      <c r="F404" s="170">
        <f>[1]!Table3[[#This Row],[Residential Incentive Disbursements]]+[1]!Table3[[#This Row],[C&amp;I Incentive Disbursements]]</f>
        <v>81596.81</v>
      </c>
      <c r="G404" s="28">
        <f>[1]!Table3[[#This Row],[Incentive Disbursements]]/'[1]1.) CLM Reference'!$B$5</f>
        <v>6.5515232115434736E-4</v>
      </c>
      <c r="H404" s="228">
        <v>40445.808039000003</v>
      </c>
      <c r="I404" s="28">
        <f>[1]!Table3[[#This Row],[Residential CLM $ Collected]]/'[1]1.) CLM Reference'!$B$4</f>
        <v>4.3541418041625617E-4</v>
      </c>
      <c r="J404" s="229">
        <v>81596.81</v>
      </c>
      <c r="K404" s="28">
        <f>[1]!Table3[[#This Row],[Residential Incentive Disbursements]]/'[1]1.) CLM Reference'!$B$5</f>
        <v>6.5515232115434736E-4</v>
      </c>
      <c r="L404" s="229">
        <v>0</v>
      </c>
      <c r="M404" s="28">
        <f>[1]!Table3[[#This Row],[C&amp;I CLM $ Collected]]/'[1]1.) CLM Reference'!$B$4</f>
        <v>0</v>
      </c>
      <c r="N404" s="229">
        <v>0</v>
      </c>
      <c r="O404" s="28">
        <f>[1]!Table3[[#This Row],[C&amp;I Incentive Disbursements]]/'[1]1.) CLM Reference'!$B$5</f>
        <v>0</v>
      </c>
      <c r="Q404">
        <f>VLOOKUP(Table3[[#This Row],[Census Tract]],'Population and Diversity Data'!$B$2:$K$823,10,FALSE)</f>
        <v>2</v>
      </c>
      <c r="R404" t="str">
        <f>VLOOKUP(Table3[[#This Row],[Census Tract]],'ES Energy Burden'!$B$2:$E$914,4,FALSE)</f>
        <v>No</v>
      </c>
    </row>
    <row r="405" spans="1:18" x14ac:dyDescent="0.2">
      <c r="A405" t="s">
        <v>2802</v>
      </c>
      <c r="B405" s="169">
        <v>9007542100</v>
      </c>
      <c r="C405" t="s">
        <v>944</v>
      </c>
      <c r="D405" s="170">
        <f>[1]!Table3[[#This Row],[Residential CLM $ Collected]]+[1]!Table3[[#This Row],[C&amp;I CLM $ Collected]]</f>
        <v>31992.364740000001</v>
      </c>
      <c r="E405" s="28">
        <f>[1]!Table3[[#This Row],[CLM $ Collected ]]/'[1]1.) CLM Reference'!$B$4</f>
        <v>3.4440971631505176E-4</v>
      </c>
      <c r="F405" s="170">
        <f>[1]!Table3[[#This Row],[Residential Incentive Disbursements]]+[1]!Table3[[#This Row],[C&amp;I Incentive Disbursements]]</f>
        <v>30547.095000000001</v>
      </c>
      <c r="G405" s="28">
        <f>[1]!Table3[[#This Row],[Incentive Disbursements]]/'[1]1.) CLM Reference'!$B$5</f>
        <v>2.4526694357012682E-4</v>
      </c>
      <c r="H405" s="228">
        <v>31992.364740000001</v>
      </c>
      <c r="I405" s="28">
        <f>[1]!Table3[[#This Row],[Residential CLM $ Collected]]/'[1]1.) CLM Reference'!$B$4</f>
        <v>3.4440971631505176E-4</v>
      </c>
      <c r="J405" s="229">
        <v>30547.095000000001</v>
      </c>
      <c r="K405" s="28">
        <f>[1]!Table3[[#This Row],[Residential Incentive Disbursements]]/'[1]1.) CLM Reference'!$B$5</f>
        <v>2.4526694357012682E-4</v>
      </c>
      <c r="L405" s="229">
        <v>0</v>
      </c>
      <c r="M405" s="28">
        <f>[1]!Table3[[#This Row],[C&amp;I CLM $ Collected]]/'[1]1.) CLM Reference'!$B$4</f>
        <v>0</v>
      </c>
      <c r="N405" s="229">
        <v>0</v>
      </c>
      <c r="O405" s="28">
        <f>[1]!Table3[[#This Row],[C&amp;I Incentive Disbursements]]/'[1]1.) CLM Reference'!$B$5</f>
        <v>0</v>
      </c>
      <c r="Q405">
        <f>VLOOKUP(Table3[[#This Row],[Census Tract]],'Population and Diversity Data'!$B$2:$K$823,10,FALSE)</f>
        <v>4</v>
      </c>
      <c r="R405" t="str">
        <f>VLOOKUP(Table3[[#This Row],[Census Tract]],'ES Energy Burden'!$B$2:$E$914,4,FALSE)</f>
        <v>No</v>
      </c>
    </row>
    <row r="406" spans="1:18" x14ac:dyDescent="0.2">
      <c r="A406" t="s">
        <v>2802</v>
      </c>
      <c r="B406" s="169">
        <v>9007542200</v>
      </c>
      <c r="C406" t="s">
        <v>944</v>
      </c>
      <c r="D406" s="170">
        <f>[1]!Table3[[#This Row],[Residential CLM $ Collected]]+[1]!Table3[[#This Row],[C&amp;I CLM $ Collected]]</f>
        <v>25187.537130000001</v>
      </c>
      <c r="E406" s="28">
        <f>[1]!Table3[[#This Row],[CLM $ Collected ]]/'[1]1.) CLM Reference'!$B$4</f>
        <v>2.7115321384080135E-4</v>
      </c>
      <c r="F406" s="170">
        <f>[1]!Table3[[#This Row],[Residential Incentive Disbursements]]+[1]!Table3[[#This Row],[C&amp;I Incentive Disbursements]]</f>
        <v>47414.02</v>
      </c>
      <c r="G406" s="28">
        <f>[1]!Table3[[#This Row],[Incentive Disbursements]]/'[1]1.) CLM Reference'!$B$5</f>
        <v>3.8069386852572604E-4</v>
      </c>
      <c r="H406" s="228">
        <v>25187.537130000001</v>
      </c>
      <c r="I406" s="28">
        <f>[1]!Table3[[#This Row],[Residential CLM $ Collected]]/'[1]1.) CLM Reference'!$B$4</f>
        <v>2.7115321384080135E-4</v>
      </c>
      <c r="J406" s="229">
        <v>47414.02</v>
      </c>
      <c r="K406" s="28">
        <f>[1]!Table3[[#This Row],[Residential Incentive Disbursements]]/'[1]1.) CLM Reference'!$B$5</f>
        <v>3.8069386852572604E-4</v>
      </c>
      <c r="L406" s="229">
        <v>0</v>
      </c>
      <c r="M406" s="28">
        <f>[1]!Table3[[#This Row],[C&amp;I CLM $ Collected]]/'[1]1.) CLM Reference'!$B$4</f>
        <v>0</v>
      </c>
      <c r="N406" s="229">
        <v>0</v>
      </c>
      <c r="O406" s="28">
        <f>[1]!Table3[[#This Row],[C&amp;I Incentive Disbursements]]/'[1]1.) CLM Reference'!$B$5</f>
        <v>0</v>
      </c>
      <c r="Q406">
        <f>VLOOKUP(Table3[[#This Row],[Census Tract]],'Population and Diversity Data'!$B$2:$K$823,10,FALSE)</f>
        <v>3</v>
      </c>
      <c r="R406" t="str">
        <f>VLOOKUP(Table3[[#This Row],[Census Tract]],'ES Energy Burden'!$B$2:$E$914,4,FALSE)</f>
        <v>No</v>
      </c>
    </row>
    <row r="407" spans="1:18" x14ac:dyDescent="0.2">
      <c r="A407" t="s">
        <v>2802</v>
      </c>
      <c r="B407" s="169">
        <v>9007580100</v>
      </c>
      <c r="C407" t="s">
        <v>944</v>
      </c>
      <c r="D407" s="170">
        <f>[1]!Table3[[#This Row],[Residential CLM $ Collected]]+[1]!Table3[[#This Row],[C&amp;I CLM $ Collected]]</f>
        <v>128.24133</v>
      </c>
      <c r="E407" s="28">
        <f>[1]!Table3[[#This Row],[CLM $ Collected ]]/'[1]1.) CLM Reference'!$B$4</f>
        <v>1.3805656582160153E-6</v>
      </c>
      <c r="F407" s="170">
        <f>[1]!Table3[[#This Row],[Residential Incentive Disbursements]]+[1]!Table3[[#This Row],[C&amp;I Incentive Disbursements]]</f>
        <v>0</v>
      </c>
      <c r="G407" s="28">
        <f>[1]!Table3[[#This Row],[Incentive Disbursements]]/'[1]1.) CLM Reference'!$B$5</f>
        <v>0</v>
      </c>
      <c r="H407" s="228">
        <v>128.24133</v>
      </c>
      <c r="I407" s="28">
        <f>[1]!Table3[[#This Row],[Residential CLM $ Collected]]/'[1]1.) CLM Reference'!$B$4</f>
        <v>1.3805656582160153E-6</v>
      </c>
      <c r="J407" s="229">
        <v>0</v>
      </c>
      <c r="K407" s="28">
        <f>[1]!Table3[[#This Row],[Residential Incentive Disbursements]]/'[1]1.) CLM Reference'!$B$5</f>
        <v>0</v>
      </c>
      <c r="L407" s="229">
        <v>0</v>
      </c>
      <c r="M407" s="28">
        <f>[1]!Table3[[#This Row],[C&amp;I CLM $ Collected]]/'[1]1.) CLM Reference'!$B$4</f>
        <v>0</v>
      </c>
      <c r="N407" s="229">
        <v>0</v>
      </c>
      <c r="O407" s="28">
        <f>[1]!Table3[[#This Row],[C&amp;I Incentive Disbursements]]/'[1]1.) CLM Reference'!$B$5</f>
        <v>0</v>
      </c>
      <c r="Q407">
        <f>VLOOKUP(Table3[[#This Row],[Census Tract]],'Population and Diversity Data'!$B$2:$K$823,10,FALSE)</f>
        <v>1</v>
      </c>
      <c r="R407" t="str">
        <f>VLOOKUP(Table3[[#This Row],[Census Tract]],'ES Energy Burden'!$B$2:$E$914,4,FALSE)</f>
        <v>No</v>
      </c>
    </row>
    <row r="408" spans="1:18" x14ac:dyDescent="0.2">
      <c r="A408" t="s">
        <v>2802</v>
      </c>
      <c r="B408" s="169">
        <v>9007680200</v>
      </c>
      <c r="C408" t="s">
        <v>944</v>
      </c>
      <c r="D408" s="170">
        <f>[1]!Table3[[#This Row],[Residential CLM $ Collected]]+[1]!Table3[[#This Row],[C&amp;I CLM $ Collected]]</f>
        <v>64438.705044000002</v>
      </c>
      <c r="E408" s="28">
        <f>[1]!Table3[[#This Row],[CLM $ Collected ]]/'[1]1.) CLM Reference'!$B$4</f>
        <v>6.9370664857934278E-4</v>
      </c>
      <c r="F408" s="170">
        <f>[1]!Table3[[#This Row],[Residential Incentive Disbursements]]+[1]!Table3[[#This Row],[C&amp;I Incentive Disbursements]]</f>
        <v>86356.485000000001</v>
      </c>
      <c r="G408" s="28">
        <f>[1]!Table3[[#This Row],[Incentive Disbursements]]/'[1]1.) CLM Reference'!$B$5</f>
        <v>6.9336842450679862E-4</v>
      </c>
      <c r="H408" s="228">
        <v>64438.705044000002</v>
      </c>
      <c r="I408" s="28">
        <f>[1]!Table3[[#This Row],[Residential CLM $ Collected]]/'[1]1.) CLM Reference'!$B$4</f>
        <v>6.9370664857934278E-4</v>
      </c>
      <c r="J408" s="229">
        <v>86356.485000000001</v>
      </c>
      <c r="K408" s="28">
        <f>[1]!Table3[[#This Row],[Residential Incentive Disbursements]]/'[1]1.) CLM Reference'!$B$5</f>
        <v>6.9336842450679862E-4</v>
      </c>
      <c r="L408" s="229">
        <v>0</v>
      </c>
      <c r="M408" s="28">
        <f>[1]!Table3[[#This Row],[C&amp;I CLM $ Collected]]/'[1]1.) CLM Reference'!$B$4</f>
        <v>0</v>
      </c>
      <c r="N408" s="229">
        <v>0</v>
      </c>
      <c r="O408" s="28">
        <f>[1]!Table3[[#This Row],[C&amp;I Incentive Disbursements]]/'[1]1.) CLM Reference'!$B$5</f>
        <v>0</v>
      </c>
      <c r="Q408">
        <f>VLOOKUP(Table3[[#This Row],[Census Tract]],'Population and Diversity Data'!$B$2:$K$823,10,FALSE)</f>
        <v>2</v>
      </c>
      <c r="R408" t="str">
        <f>VLOOKUP(Table3[[#This Row],[Census Tract]],'ES Energy Burden'!$B$2:$E$914,4,FALSE)</f>
        <v>No</v>
      </c>
    </row>
    <row r="409" spans="1:18" x14ac:dyDescent="0.2">
      <c r="A409" t="s">
        <v>2803</v>
      </c>
      <c r="B409" s="169">
        <v>9001100100</v>
      </c>
      <c r="C409" t="s">
        <v>944</v>
      </c>
      <c r="D409" s="170">
        <f>[1]!Table3[[#This Row],[Residential CLM $ Collected]]+[1]!Table3[[#This Row],[C&amp;I CLM $ Collected]]</f>
        <v>58769.052530999994</v>
      </c>
      <c r="E409" s="28">
        <f>[1]!Table3[[#This Row],[CLM $ Collected ]]/'[1]1.) CLM Reference'!$B$4</f>
        <v>6.3267072861917129E-4</v>
      </c>
      <c r="F409" s="170">
        <f>[1]!Table3[[#This Row],[Residential Incentive Disbursements]]+[1]!Table3[[#This Row],[C&amp;I Incentive Disbursements]]</f>
        <v>64313.03</v>
      </c>
      <c r="G409" s="28">
        <f>[1]!Table3[[#This Row],[Incentive Disbursements]]/'[1]1.) CLM Reference'!$B$5</f>
        <v>5.1637840848152254E-4</v>
      </c>
      <c r="H409" s="228">
        <v>58769.052530999994</v>
      </c>
      <c r="I409" s="28">
        <f>[1]!Table3[[#This Row],[Residential CLM $ Collected]]/'[1]1.) CLM Reference'!$B$4</f>
        <v>6.3267072861917129E-4</v>
      </c>
      <c r="J409" s="229">
        <v>64313.03</v>
      </c>
      <c r="K409" s="28">
        <f>[1]!Table3[[#This Row],[Residential Incentive Disbursements]]/'[1]1.) CLM Reference'!$B$5</f>
        <v>5.1637840848152254E-4</v>
      </c>
      <c r="L409" s="229">
        <v>0</v>
      </c>
      <c r="M409" s="28">
        <f>[1]!Table3[[#This Row],[C&amp;I CLM $ Collected]]/'[1]1.) CLM Reference'!$B$4</f>
        <v>0</v>
      </c>
      <c r="N409" s="229">
        <v>0</v>
      </c>
      <c r="O409" s="28">
        <f>[1]!Table3[[#This Row],[C&amp;I Incentive Disbursements]]/'[1]1.) CLM Reference'!$B$5</f>
        <v>0</v>
      </c>
      <c r="Q409">
        <f>VLOOKUP(Table3[[#This Row],[Census Tract]],'Population and Diversity Data'!$B$2:$K$823,10,FALSE)</f>
        <v>3</v>
      </c>
      <c r="R409" t="str">
        <f>VLOOKUP(Table3[[#This Row],[Census Tract]],'ES Energy Burden'!$B$2:$E$914,4,FALSE)</f>
        <v>No</v>
      </c>
    </row>
    <row r="410" spans="1:18" x14ac:dyDescent="0.2">
      <c r="A410" t="s">
        <v>2803</v>
      </c>
      <c r="B410" s="169">
        <v>9001100200</v>
      </c>
      <c r="C410" t="s">
        <v>944</v>
      </c>
      <c r="D410" s="170">
        <f>[1]!Table3[[#This Row],[Residential CLM $ Collected]]+[1]!Table3[[#This Row],[C&amp;I CLM $ Collected]]</f>
        <v>273711.45064200001</v>
      </c>
      <c r="E410" s="28">
        <f>[1]!Table3[[#This Row],[CLM $ Collected ]]/'[1]1.) CLM Reference'!$B$4</f>
        <v>2.9466056615042369E-3</v>
      </c>
      <c r="F410" s="170">
        <f>[1]!Table3[[#This Row],[Residential Incentive Disbursements]]+[1]!Table3[[#This Row],[C&amp;I Incentive Disbursements]]</f>
        <v>361603.03</v>
      </c>
      <c r="G410" s="28">
        <f>[1]!Table3[[#This Row],[Incentive Disbursements]]/'[1]1.) CLM Reference'!$B$5</f>
        <v>2.903361840259995E-3</v>
      </c>
      <c r="H410" s="228">
        <v>177129.02846100001</v>
      </c>
      <c r="I410" s="28">
        <f>[1]!Table3[[#This Row],[Residential CLM $ Collected]]/'[1]1.) CLM Reference'!$B$4</f>
        <v>1.9068599317117482E-3</v>
      </c>
      <c r="J410" s="229">
        <v>313027.44</v>
      </c>
      <c r="K410" s="28">
        <f>[1]!Table3[[#This Row],[Residential Incentive Disbursements]]/'[1]1.) CLM Reference'!$B$5</f>
        <v>2.513341562016986E-3</v>
      </c>
      <c r="L410" s="229">
        <v>96582.422181000002</v>
      </c>
      <c r="M410" s="28">
        <f>[1]!Table3[[#This Row],[C&amp;I CLM $ Collected]]/'[1]1.) CLM Reference'!$B$4</f>
        <v>1.0397457297924885E-3</v>
      </c>
      <c r="N410" s="229">
        <v>48575.59</v>
      </c>
      <c r="O410" s="28">
        <f>[1]!Table3[[#This Row],[C&amp;I Incentive Disbursements]]/'[1]1.) CLM Reference'!$B$5</f>
        <v>3.9002027824300859E-4</v>
      </c>
      <c r="Q410">
        <f>VLOOKUP(Table3[[#This Row],[Census Tract]],'Population and Diversity Data'!$B$2:$K$823,10,FALSE)</f>
        <v>4</v>
      </c>
      <c r="R410" t="str">
        <f>VLOOKUP(Table3[[#This Row],[Census Tract]],'ES Energy Burden'!$B$2:$E$914,4,FALSE)</f>
        <v>No</v>
      </c>
    </row>
    <row r="411" spans="1:18" x14ac:dyDescent="0.2">
      <c r="A411" t="s">
        <v>2803</v>
      </c>
      <c r="B411" s="169">
        <v>9001100300</v>
      </c>
      <c r="C411" t="s">
        <v>944</v>
      </c>
      <c r="D411" s="170">
        <f>[1]!Table3[[#This Row],[Residential CLM $ Collected]]+[1]!Table3[[#This Row],[C&amp;I CLM $ Collected]]</f>
        <v>79205.276639999996</v>
      </c>
      <c r="E411" s="28">
        <f>[1]!Table3[[#This Row],[CLM $ Collected ]]/'[1]1.) CLM Reference'!$B$4</f>
        <v>8.5267428900404551E-4</v>
      </c>
      <c r="F411" s="170">
        <f>[1]!Table3[[#This Row],[Residential Incentive Disbursements]]+[1]!Table3[[#This Row],[C&amp;I Incentive Disbursements]]</f>
        <v>91122.36</v>
      </c>
      <c r="G411" s="28">
        <f>[1]!Table3[[#This Row],[Incentive Disbursements]]/'[1]1.) CLM Reference'!$B$5</f>
        <v>7.3163430853561632E-4</v>
      </c>
      <c r="H411" s="228">
        <v>79205.276639999996</v>
      </c>
      <c r="I411" s="28">
        <f>[1]!Table3[[#This Row],[Residential CLM $ Collected]]/'[1]1.) CLM Reference'!$B$4</f>
        <v>8.5267428900404551E-4</v>
      </c>
      <c r="J411" s="229">
        <v>91122.36</v>
      </c>
      <c r="K411" s="28">
        <f>[1]!Table3[[#This Row],[Residential Incentive Disbursements]]/'[1]1.) CLM Reference'!$B$5</f>
        <v>7.3163430853561632E-4</v>
      </c>
      <c r="L411" s="229">
        <v>0</v>
      </c>
      <c r="M411" s="28">
        <f>[1]!Table3[[#This Row],[C&amp;I CLM $ Collected]]/'[1]1.) CLM Reference'!$B$4</f>
        <v>0</v>
      </c>
      <c r="N411" s="229">
        <v>0</v>
      </c>
      <c r="O411" s="28">
        <f>[1]!Table3[[#This Row],[C&amp;I Incentive Disbursements]]/'[1]1.) CLM Reference'!$B$5</f>
        <v>0</v>
      </c>
      <c r="Q411">
        <f>VLOOKUP(Table3[[#This Row],[Census Tract]],'Population and Diversity Data'!$B$2:$K$823,10,FALSE)</f>
        <v>2</v>
      </c>
      <c r="R411" t="str">
        <f>VLOOKUP(Table3[[#This Row],[Census Tract]],'ES Energy Burden'!$B$2:$E$914,4,FALSE)</f>
        <v>No</v>
      </c>
    </row>
    <row r="412" spans="1:18" x14ac:dyDescent="0.2">
      <c r="A412" t="s">
        <v>2803</v>
      </c>
      <c r="B412" s="169">
        <v>9001105200</v>
      </c>
      <c r="C412" t="s">
        <v>944</v>
      </c>
      <c r="D412" s="170">
        <f>[1]!Table3[[#This Row],[Residential CLM $ Collected]]+[1]!Table3[[#This Row],[C&amp;I CLM $ Collected]]</f>
        <v>235.55427</v>
      </c>
      <c r="E412" s="28">
        <f>[1]!Table3[[#This Row],[CLM $ Collected ]]/'[1]1.) CLM Reference'!$B$4</f>
        <v>2.53582940701054E-6</v>
      </c>
      <c r="F412" s="170">
        <f>[1]!Table3[[#This Row],[Residential Incentive Disbursements]]+[1]!Table3[[#This Row],[C&amp;I Incentive Disbursements]]</f>
        <v>0</v>
      </c>
      <c r="G412" s="28">
        <f>[1]!Table3[[#This Row],[Incentive Disbursements]]/'[1]1.) CLM Reference'!$B$5</f>
        <v>0</v>
      </c>
      <c r="H412" s="228">
        <v>235.55427</v>
      </c>
      <c r="I412" s="28">
        <f>[1]!Table3[[#This Row],[Residential CLM $ Collected]]/'[1]1.) CLM Reference'!$B$4</f>
        <v>2.53582940701054E-6</v>
      </c>
      <c r="J412" s="229">
        <v>0</v>
      </c>
      <c r="K412" s="28">
        <f>[1]!Table3[[#This Row],[Residential Incentive Disbursements]]/'[1]1.) CLM Reference'!$B$5</f>
        <v>0</v>
      </c>
      <c r="L412" s="229">
        <v>0</v>
      </c>
      <c r="M412" s="28">
        <f>[1]!Table3[[#This Row],[C&amp;I CLM $ Collected]]/'[1]1.) CLM Reference'!$B$4</f>
        <v>0</v>
      </c>
      <c r="N412" s="229">
        <v>0</v>
      </c>
      <c r="O412" s="28">
        <f>[1]!Table3[[#This Row],[C&amp;I Incentive Disbursements]]/'[1]1.) CLM Reference'!$B$5</f>
        <v>0</v>
      </c>
      <c r="Q412">
        <f>VLOOKUP(Table3[[#This Row],[Census Tract]],'Population and Diversity Data'!$B$2:$K$823,10,FALSE)</f>
        <v>3</v>
      </c>
      <c r="R412" t="str">
        <f>VLOOKUP(Table3[[#This Row],[Census Tract]],'ES Energy Burden'!$B$2:$E$914,4,FALSE)</f>
        <v>No</v>
      </c>
    </row>
    <row r="413" spans="1:18" x14ac:dyDescent="0.2">
      <c r="A413" t="s">
        <v>2803</v>
      </c>
      <c r="B413" s="169">
        <v>9001110500</v>
      </c>
      <c r="C413" t="s">
        <v>944</v>
      </c>
      <c r="D413" s="170">
        <f>[1]!Table3[[#This Row],[Residential CLM $ Collected]]+[1]!Table3[[#This Row],[C&amp;I CLM $ Collected]]</f>
        <v>473.77953000000002</v>
      </c>
      <c r="E413" s="28">
        <f>[1]!Table3[[#This Row],[CLM $ Collected ]]/'[1]1.) CLM Reference'!$B$4</f>
        <v>5.1004130157081524E-6</v>
      </c>
      <c r="F413" s="170">
        <f>[1]!Table3[[#This Row],[Residential Incentive Disbursements]]+[1]!Table3[[#This Row],[C&amp;I Incentive Disbursements]]</f>
        <v>0</v>
      </c>
      <c r="G413" s="28">
        <f>[1]!Table3[[#This Row],[Incentive Disbursements]]/'[1]1.) CLM Reference'!$B$5</f>
        <v>0</v>
      </c>
      <c r="H413" s="228">
        <v>473.77953000000002</v>
      </c>
      <c r="I413" s="28">
        <f>[1]!Table3[[#This Row],[Residential CLM $ Collected]]/'[1]1.) CLM Reference'!$B$4</f>
        <v>5.1004130157081524E-6</v>
      </c>
      <c r="J413" s="229">
        <v>0</v>
      </c>
      <c r="K413" s="28">
        <f>[1]!Table3[[#This Row],[Residential Incentive Disbursements]]/'[1]1.) CLM Reference'!$B$5</f>
        <v>0</v>
      </c>
      <c r="L413" s="229">
        <v>0</v>
      </c>
      <c r="M413" s="28">
        <f>[1]!Table3[[#This Row],[C&amp;I CLM $ Collected]]/'[1]1.) CLM Reference'!$B$4</f>
        <v>0</v>
      </c>
      <c r="N413" s="229">
        <v>0</v>
      </c>
      <c r="O413" s="28">
        <f>[1]!Table3[[#This Row],[C&amp;I Incentive Disbursements]]/'[1]1.) CLM Reference'!$B$5</f>
        <v>0</v>
      </c>
      <c r="Q413">
        <f>VLOOKUP(Table3[[#This Row],[Census Tract]],'Population and Diversity Data'!$B$2:$K$823,10,FALSE)</f>
        <v>1</v>
      </c>
      <c r="R413" t="str">
        <f>VLOOKUP(Table3[[#This Row],[Census Tract]],'ES Energy Burden'!$B$2:$E$914,4,FALSE)</f>
        <v>No</v>
      </c>
    </row>
    <row r="414" spans="1:18" x14ac:dyDescent="0.2">
      <c r="A414" t="s">
        <v>2803</v>
      </c>
      <c r="B414" s="169">
        <v>9001230400</v>
      </c>
      <c r="C414" t="s">
        <v>944</v>
      </c>
      <c r="D414" s="170">
        <f>[1]!Table3[[#This Row],[Residential CLM $ Collected]]+[1]!Table3[[#This Row],[C&amp;I CLM $ Collected]]</f>
        <v>211.67958000000002</v>
      </c>
      <c r="E414" s="28">
        <f>[1]!Table3[[#This Row],[CLM $ Collected ]]/'[1]1.) CLM Reference'!$B$4</f>
        <v>2.2788094812615376E-6</v>
      </c>
      <c r="F414" s="170">
        <f>[1]!Table3[[#This Row],[Residential Incentive Disbursements]]+[1]!Table3[[#This Row],[C&amp;I Incentive Disbursements]]</f>
        <v>0</v>
      </c>
      <c r="G414" s="28">
        <f>[1]!Table3[[#This Row],[Incentive Disbursements]]/'[1]1.) CLM Reference'!$B$5</f>
        <v>0</v>
      </c>
      <c r="H414" s="228">
        <v>211.67958000000002</v>
      </c>
      <c r="I414" s="28">
        <f>[1]!Table3[[#This Row],[Residential CLM $ Collected]]/'[1]1.) CLM Reference'!$B$4</f>
        <v>2.2788094812615376E-6</v>
      </c>
      <c r="J414" s="229">
        <v>0</v>
      </c>
      <c r="K414" s="28">
        <f>[1]!Table3[[#This Row],[Residential Incentive Disbursements]]/'[1]1.) CLM Reference'!$B$5</f>
        <v>0</v>
      </c>
      <c r="L414" s="229">
        <v>0</v>
      </c>
      <c r="M414" s="28">
        <f>[1]!Table3[[#This Row],[C&amp;I CLM $ Collected]]/'[1]1.) CLM Reference'!$B$4</f>
        <v>0</v>
      </c>
      <c r="N414" s="229">
        <v>0</v>
      </c>
      <c r="O414" s="28">
        <f>[1]!Table3[[#This Row],[C&amp;I Incentive Disbursements]]/'[1]1.) CLM Reference'!$B$5</f>
        <v>0</v>
      </c>
      <c r="Q414">
        <f>VLOOKUP(Table3[[#This Row],[Census Tract]],'Population and Diversity Data'!$B$2:$K$823,10,FALSE)</f>
        <v>2</v>
      </c>
      <c r="R414" t="str">
        <f>VLOOKUP(Table3[[#This Row],[Census Tract]],'ES Energy Burden'!$B$2:$E$914,4,FALSE)</f>
        <v>No</v>
      </c>
    </row>
    <row r="415" spans="1:18" x14ac:dyDescent="0.2">
      <c r="A415" t="s">
        <v>2804</v>
      </c>
      <c r="B415" s="169">
        <v>9011693600</v>
      </c>
      <c r="C415" t="s">
        <v>944</v>
      </c>
      <c r="D415" s="170">
        <f>[1]!Table3[[#This Row],[Residential CLM $ Collected]]+[1]!Table3[[#This Row],[C&amp;I CLM $ Collected]]</f>
        <v>151.50744</v>
      </c>
      <c r="E415" s="28">
        <f>[1]!Table3[[#This Row],[CLM $ Collected ]]/'[1]1.) CLM Reference'!$B$4</f>
        <v>1.6310339937072038E-6</v>
      </c>
      <c r="F415" s="170">
        <f>[1]!Table3[[#This Row],[Residential Incentive Disbursements]]+[1]!Table3[[#This Row],[C&amp;I Incentive Disbursements]]</f>
        <v>65342.394999999997</v>
      </c>
      <c r="G415" s="28">
        <f>[1]!Table3[[#This Row],[Incentive Disbursements]]/'[1]1.) CLM Reference'!$B$5</f>
        <v>5.2464332556670075E-4</v>
      </c>
      <c r="H415" s="228">
        <v>151.50744</v>
      </c>
      <c r="I415" s="28">
        <f>[1]!Table3[[#This Row],[Residential CLM $ Collected]]/'[1]1.) CLM Reference'!$B$4</f>
        <v>1.6310339937072038E-6</v>
      </c>
      <c r="J415" s="229">
        <v>65342.394999999997</v>
      </c>
      <c r="K415" s="28">
        <f>[1]!Table3[[#This Row],[Residential Incentive Disbursements]]/'[1]1.) CLM Reference'!$B$5</f>
        <v>5.2464332556670075E-4</v>
      </c>
      <c r="L415" s="229">
        <v>0</v>
      </c>
      <c r="M415" s="28">
        <f>[1]!Table3[[#This Row],[C&amp;I CLM $ Collected]]/'[1]1.) CLM Reference'!$B$4</f>
        <v>0</v>
      </c>
      <c r="N415" s="229">
        <v>0</v>
      </c>
      <c r="O415" s="28">
        <f>[1]!Table3[[#This Row],[C&amp;I Incentive Disbursements]]/'[1]1.) CLM Reference'!$B$5</f>
        <v>0</v>
      </c>
      <c r="Q415">
        <f>VLOOKUP(Table3[[#This Row],[Census Tract]],'Population and Diversity Data'!$B$2:$K$823,10,FALSE)</f>
        <v>2</v>
      </c>
      <c r="R415" t="str">
        <f>VLOOKUP(Table3[[#This Row],[Census Tract]],'ES Energy Burden'!$B$2:$E$914,4,FALSE)</f>
        <v>No</v>
      </c>
    </row>
    <row r="416" spans="1:18" x14ac:dyDescent="0.2">
      <c r="A416" t="s">
        <v>2804</v>
      </c>
      <c r="B416" s="169">
        <v>9011695201</v>
      </c>
      <c r="C416" t="s">
        <v>944</v>
      </c>
      <c r="D416" s="170">
        <f>[1]!Table3[[#This Row],[Residential CLM $ Collected]]+[1]!Table3[[#This Row],[C&amp;I CLM $ Collected]]</f>
        <v>59043.172419000002</v>
      </c>
      <c r="E416" s="28">
        <f>[1]!Table3[[#This Row],[CLM $ Collected ]]/'[1]1.) CLM Reference'!$B$4</f>
        <v>6.3562173126088459E-4</v>
      </c>
      <c r="F416" s="170">
        <f>[1]!Table3[[#This Row],[Residential Incentive Disbursements]]+[1]!Table3[[#This Row],[C&amp;I Incentive Disbursements]]</f>
        <v>70029.63</v>
      </c>
      <c r="G416" s="28">
        <f>[1]!Table3[[#This Row],[Incentive Disbursements]]/'[1]1.) CLM Reference'!$B$5</f>
        <v>5.6227779791979764E-4</v>
      </c>
      <c r="H416" s="228">
        <v>59043.172419000002</v>
      </c>
      <c r="I416" s="28">
        <f>[1]!Table3[[#This Row],[Residential CLM $ Collected]]/'[1]1.) CLM Reference'!$B$4</f>
        <v>6.3562173126088459E-4</v>
      </c>
      <c r="J416" s="229">
        <v>70029.63</v>
      </c>
      <c r="K416" s="28">
        <f>[1]!Table3[[#This Row],[Residential Incentive Disbursements]]/'[1]1.) CLM Reference'!$B$5</f>
        <v>5.6227779791979764E-4</v>
      </c>
      <c r="L416" s="229">
        <v>0</v>
      </c>
      <c r="M416" s="28">
        <f>[1]!Table3[[#This Row],[C&amp;I CLM $ Collected]]/'[1]1.) CLM Reference'!$B$4</f>
        <v>0</v>
      </c>
      <c r="N416" s="229">
        <v>0</v>
      </c>
      <c r="O416" s="28">
        <f>[1]!Table3[[#This Row],[C&amp;I Incentive Disbursements]]/'[1]1.) CLM Reference'!$B$5</f>
        <v>0</v>
      </c>
      <c r="Q416">
        <f>VLOOKUP(Table3[[#This Row],[Census Tract]],'Population and Diversity Data'!$B$2:$K$823,10,FALSE)</f>
        <v>3</v>
      </c>
      <c r="R416" t="str">
        <f>VLOOKUP(Table3[[#This Row],[Census Tract]],'ES Energy Burden'!$B$2:$E$914,4,FALSE)</f>
        <v>No</v>
      </c>
    </row>
    <row r="417" spans="1:18" x14ac:dyDescent="0.2">
      <c r="A417" t="s">
        <v>2804</v>
      </c>
      <c r="B417" s="169">
        <v>9011695202</v>
      </c>
      <c r="C417" t="s">
        <v>944</v>
      </c>
      <c r="D417" s="170">
        <f>[1]!Table3[[#This Row],[Residential CLM $ Collected]]+[1]!Table3[[#This Row],[C&amp;I CLM $ Collected]]</f>
        <v>214061.06656199996</v>
      </c>
      <c r="E417" s="28">
        <f>[1]!Table3[[#This Row],[CLM $ Collected ]]/'[1]1.) CLM Reference'!$B$4</f>
        <v>2.3044470706642681E-3</v>
      </c>
      <c r="F417" s="170">
        <f>[1]!Table3[[#This Row],[Residential Incentive Disbursements]]+[1]!Table3[[#This Row],[C&amp;I Incentive Disbursements]]</f>
        <v>165359.215</v>
      </c>
      <c r="G417" s="28">
        <f>[1]!Table3[[#This Row],[Incentive Disbursements]]/'[1]1.) CLM Reference'!$B$5</f>
        <v>1.3276925106693604E-3</v>
      </c>
      <c r="H417" s="228">
        <v>143502.55252199998</v>
      </c>
      <c r="I417" s="28">
        <f>[1]!Table3[[#This Row],[Residential CLM $ Collected]]/'[1]1.) CLM Reference'!$B$4</f>
        <v>1.5448584000042204E-3</v>
      </c>
      <c r="J417" s="229">
        <v>124161.66499999999</v>
      </c>
      <c r="K417" s="28">
        <f>[1]!Table3[[#This Row],[Residential Incentive Disbursements]]/'[1]1.) CLM Reference'!$B$5</f>
        <v>9.9691155846825998E-4</v>
      </c>
      <c r="L417" s="229">
        <v>70558.514039999995</v>
      </c>
      <c r="M417" s="28">
        <f>[1]!Table3[[#This Row],[C&amp;I CLM $ Collected]]/'[1]1.) CLM Reference'!$B$4</f>
        <v>7.5958867066004806E-4</v>
      </c>
      <c r="N417" s="229">
        <v>41197.550000000003</v>
      </c>
      <c r="O417" s="28">
        <f>[1]!Table3[[#This Row],[C&amp;I Incentive Disbursements]]/'[1]1.) CLM Reference'!$B$5</f>
        <v>3.307809522011006E-4</v>
      </c>
      <c r="Q417">
        <f>VLOOKUP(Table3[[#This Row],[Census Tract]],'Population and Diversity Data'!$B$2:$K$823,10,FALSE)</f>
        <v>3</v>
      </c>
      <c r="R417" t="str">
        <f>VLOOKUP(Table3[[#This Row],[Census Tract]],'ES Energy Burden'!$B$2:$E$914,4,FALSE)</f>
        <v>No</v>
      </c>
    </row>
    <row r="418" spans="1:18" x14ac:dyDescent="0.2">
      <c r="A418" t="s">
        <v>2804</v>
      </c>
      <c r="B418" s="169">
        <v>9011715100</v>
      </c>
      <c r="C418" t="s">
        <v>944</v>
      </c>
      <c r="D418" s="170">
        <f>[1]!Table3[[#This Row],[Residential CLM $ Collected]]+[1]!Table3[[#This Row],[C&amp;I CLM $ Collected]]</f>
        <v>355.79228999999998</v>
      </c>
      <c r="E418" s="28">
        <f>[1]!Table3[[#This Row],[CLM $ Collected ]]/'[1]1.) CLM Reference'!$B$4</f>
        <v>3.8302364536614939E-6</v>
      </c>
      <c r="F418" s="170">
        <f>[1]!Table3[[#This Row],[Residential Incentive Disbursements]]+[1]!Table3[[#This Row],[C&amp;I Incentive Disbursements]]</f>
        <v>0</v>
      </c>
      <c r="G418" s="28">
        <f>[1]!Table3[[#This Row],[Incentive Disbursements]]/'[1]1.) CLM Reference'!$B$5</f>
        <v>0</v>
      </c>
      <c r="H418" s="228">
        <v>355.79228999999998</v>
      </c>
      <c r="I418" s="28">
        <f>[1]!Table3[[#This Row],[Residential CLM $ Collected]]/'[1]1.) CLM Reference'!$B$4</f>
        <v>3.8302364536614939E-6</v>
      </c>
      <c r="J418" s="229">
        <v>0</v>
      </c>
      <c r="K418" s="28">
        <f>[1]!Table3[[#This Row],[Residential Incentive Disbursements]]/'[1]1.) CLM Reference'!$B$5</f>
        <v>0</v>
      </c>
      <c r="L418" s="229">
        <v>0</v>
      </c>
      <c r="M418" s="28">
        <f>[1]!Table3[[#This Row],[C&amp;I CLM $ Collected]]/'[1]1.) CLM Reference'!$B$4</f>
        <v>0</v>
      </c>
      <c r="N418" s="229">
        <v>0</v>
      </c>
      <c r="O418" s="28">
        <f>[1]!Table3[[#This Row],[C&amp;I Incentive Disbursements]]/'[1]1.) CLM Reference'!$B$5</f>
        <v>0</v>
      </c>
      <c r="Q418">
        <f>VLOOKUP(Table3[[#This Row],[Census Tract]],'Population and Diversity Data'!$B$2:$K$823,10,FALSE)</f>
        <v>3</v>
      </c>
      <c r="R418" t="str">
        <f>VLOOKUP(Table3[[#This Row],[Census Tract]],'ES Energy Burden'!$B$2:$E$914,4,FALSE)</f>
        <v>No</v>
      </c>
    </row>
    <row r="419" spans="1:18" x14ac:dyDescent="0.2">
      <c r="A419" t="s">
        <v>2804</v>
      </c>
      <c r="B419" s="169">
        <v>9011716102</v>
      </c>
      <c r="C419" t="s">
        <v>944</v>
      </c>
      <c r="D419" s="170">
        <f>[1]!Table3[[#This Row],[Residential CLM $ Collected]]+[1]!Table3[[#This Row],[C&amp;I CLM $ Collected]]</f>
        <v>313.97897999999998</v>
      </c>
      <c r="E419" s="28">
        <f>[1]!Table3[[#This Row],[CLM $ Collected ]]/'[1]1.) CLM Reference'!$B$4</f>
        <v>3.3801006055512139E-6</v>
      </c>
      <c r="F419" s="170">
        <f>[1]!Table3[[#This Row],[Residential Incentive Disbursements]]+[1]!Table3[[#This Row],[C&amp;I Incentive Disbursements]]</f>
        <v>326.91000000000003</v>
      </c>
      <c r="G419" s="28">
        <f>[1]!Table3[[#This Row],[Incentive Disbursements]]/'[1]1.) CLM Reference'!$B$5</f>
        <v>2.6248065985492291E-6</v>
      </c>
      <c r="H419" s="228">
        <v>313.97897999999998</v>
      </c>
      <c r="I419" s="28">
        <f>[1]!Table3[[#This Row],[Residential CLM $ Collected]]/'[1]1.) CLM Reference'!$B$4</f>
        <v>3.3801006055512139E-6</v>
      </c>
      <c r="J419" s="229">
        <v>326.91000000000003</v>
      </c>
      <c r="K419" s="28">
        <f>[1]!Table3[[#This Row],[Residential Incentive Disbursements]]/'[1]1.) CLM Reference'!$B$5</f>
        <v>2.6248065985492291E-6</v>
      </c>
      <c r="L419" s="229">
        <v>0</v>
      </c>
      <c r="M419" s="28">
        <f>[1]!Table3[[#This Row],[C&amp;I CLM $ Collected]]/'[1]1.) CLM Reference'!$B$4</f>
        <v>0</v>
      </c>
      <c r="N419" s="229">
        <v>0</v>
      </c>
      <c r="O419" s="28">
        <f>[1]!Table3[[#This Row],[C&amp;I Incentive Disbursements]]/'[1]1.) CLM Reference'!$B$5</f>
        <v>0</v>
      </c>
      <c r="Q419">
        <f>VLOOKUP(Table3[[#This Row],[Census Tract]],'Population and Diversity Data'!$B$2:$K$823,10,FALSE)</f>
        <v>4</v>
      </c>
      <c r="R419" t="str">
        <f>VLOOKUP(Table3[[#This Row],[Census Tract]],'ES Energy Burden'!$B$2:$E$914,4,FALSE)</f>
        <v>No</v>
      </c>
    </row>
    <row r="420" spans="1:18" x14ac:dyDescent="0.2">
      <c r="A420" t="s">
        <v>2804</v>
      </c>
      <c r="B420" s="169">
        <v>9011870501</v>
      </c>
      <c r="C420" t="s">
        <v>936</v>
      </c>
      <c r="D420" s="170">
        <f>[1]!Table3[[#This Row],[Residential CLM $ Collected]]+[1]!Table3[[#This Row],[C&amp;I CLM $ Collected]]</f>
        <v>44781.189474000006</v>
      </c>
      <c r="E420" s="28">
        <f>[1]!Table3[[#This Row],[CLM $ Collected ]]/'[1]1.) CLM Reference'!$B$4</f>
        <v>4.8208617550885442E-4</v>
      </c>
      <c r="F420" s="170">
        <f>[1]!Table3[[#This Row],[Residential Incentive Disbursements]]+[1]!Table3[[#This Row],[C&amp;I Incentive Disbursements]]</f>
        <v>40865.480000000003</v>
      </c>
      <c r="G420" s="28">
        <f>[1]!Table3[[#This Row],[Incentive Disbursements]]/'[1]1.) CLM Reference'!$B$5</f>
        <v>3.2811471523318822E-4</v>
      </c>
      <c r="H420" s="228">
        <v>44781.189474000006</v>
      </c>
      <c r="I420" s="28">
        <f>[1]!Table3[[#This Row],[Residential CLM $ Collected]]/'[1]1.) CLM Reference'!$B$4</f>
        <v>4.8208617550885442E-4</v>
      </c>
      <c r="J420" s="229">
        <v>40865.480000000003</v>
      </c>
      <c r="K420" s="28">
        <f>[1]!Table3[[#This Row],[Residential Incentive Disbursements]]/'[1]1.) CLM Reference'!$B$5</f>
        <v>3.2811471523318822E-4</v>
      </c>
      <c r="L420" s="229">
        <v>0</v>
      </c>
      <c r="M420" s="28">
        <f>[1]!Table3[[#This Row],[C&amp;I CLM $ Collected]]/'[1]1.) CLM Reference'!$B$4</f>
        <v>0</v>
      </c>
      <c r="N420" s="229">
        <v>0</v>
      </c>
      <c r="O420" s="28">
        <f>[1]!Table3[[#This Row],[C&amp;I Incentive Disbursements]]/'[1]1.) CLM Reference'!$B$5</f>
        <v>0</v>
      </c>
      <c r="Q420">
        <f>VLOOKUP(Table3[[#This Row],[Census Tract]],'Population and Diversity Data'!$B$2:$K$823,10,FALSE)</f>
        <v>5</v>
      </c>
      <c r="R420" t="str">
        <f>VLOOKUP(Table3[[#This Row],[Census Tract]],'ES Energy Burden'!$B$2:$E$914,4,FALSE)</f>
        <v>No</v>
      </c>
    </row>
    <row r="421" spans="1:18" x14ac:dyDescent="0.2">
      <c r="A421" t="s">
        <v>2804</v>
      </c>
      <c r="B421" s="169">
        <v>9011870502</v>
      </c>
      <c r="C421" t="s">
        <v>944</v>
      </c>
      <c r="D421" s="170">
        <f>[1]!Table3[[#This Row],[Residential CLM $ Collected]]+[1]!Table3[[#This Row],[C&amp;I CLM $ Collected]]</f>
        <v>22959.456681</v>
      </c>
      <c r="E421" s="28">
        <f>[1]!Table3[[#This Row],[CLM $ Collected ]]/'[1]1.) CLM Reference'!$B$4</f>
        <v>2.4716709835344698E-4</v>
      </c>
      <c r="F421" s="170">
        <f>[1]!Table3[[#This Row],[Residential Incentive Disbursements]]+[1]!Table3[[#This Row],[C&amp;I Incentive Disbursements]]</f>
        <v>12080.57</v>
      </c>
      <c r="G421" s="28">
        <f>[1]!Table3[[#This Row],[Incentive Disbursements]]/'[1]1.) CLM Reference'!$B$5</f>
        <v>9.6996604111944759E-5</v>
      </c>
      <c r="H421" s="228">
        <v>22959.456681</v>
      </c>
      <c r="I421" s="28">
        <f>[1]!Table3[[#This Row],[Residential CLM $ Collected]]/'[1]1.) CLM Reference'!$B$4</f>
        <v>2.4716709835344698E-4</v>
      </c>
      <c r="J421" s="229">
        <v>12080.57</v>
      </c>
      <c r="K421" s="28">
        <f>[1]!Table3[[#This Row],[Residential Incentive Disbursements]]/'[1]1.) CLM Reference'!$B$5</f>
        <v>9.6996604111944759E-5</v>
      </c>
      <c r="L421" s="229">
        <v>0</v>
      </c>
      <c r="M421" s="28">
        <f>[1]!Table3[[#This Row],[C&amp;I CLM $ Collected]]/'[1]1.) CLM Reference'!$B$4</f>
        <v>0</v>
      </c>
      <c r="N421" s="229">
        <v>0</v>
      </c>
      <c r="O421" s="28">
        <f>[1]!Table3[[#This Row],[C&amp;I Incentive Disbursements]]/'[1]1.) CLM Reference'!$B$5</f>
        <v>0</v>
      </c>
      <c r="Q421">
        <f>VLOOKUP(Table3[[#This Row],[Census Tract]],'Population and Diversity Data'!$B$2:$K$823,10,FALSE)</f>
        <v>5</v>
      </c>
      <c r="R421" t="str">
        <f>VLOOKUP(Table3[[#This Row],[Census Tract]],'ES Energy Burden'!$B$2:$E$914,4,FALSE)</f>
        <v>No</v>
      </c>
    </row>
    <row r="422" spans="1:18" x14ac:dyDescent="0.2">
      <c r="A422" t="s">
        <v>2805</v>
      </c>
      <c r="B422" s="169">
        <v>9005300100</v>
      </c>
      <c r="C422" t="s">
        <v>944</v>
      </c>
      <c r="D422" s="170">
        <f>[1]!Table3[[#This Row],[Residential CLM $ Collected]]+[1]!Table3[[#This Row],[C&amp;I CLM $ Collected]]</f>
        <v>460.69988999999998</v>
      </c>
      <c r="E422" s="28">
        <f>[1]!Table3[[#This Row],[CLM $ Collected ]]/'[1]1.) CLM Reference'!$B$4</f>
        <v>4.95960582191323E-6</v>
      </c>
      <c r="F422" s="170">
        <f>[1]!Table3[[#This Row],[Residential Incentive Disbursements]]+[1]!Table3[[#This Row],[C&amp;I Incentive Disbursements]]</f>
        <v>0</v>
      </c>
      <c r="G422" s="28">
        <f>[1]!Table3[[#This Row],[Incentive Disbursements]]/'[1]1.) CLM Reference'!$B$5</f>
        <v>0</v>
      </c>
      <c r="H422" s="228">
        <v>460.69988999999998</v>
      </c>
      <c r="I422" s="28">
        <f>[1]!Table3[[#This Row],[Residential CLM $ Collected]]/'[1]1.) CLM Reference'!$B$4</f>
        <v>4.95960582191323E-6</v>
      </c>
      <c r="J422" s="229">
        <v>0</v>
      </c>
      <c r="K422" s="28">
        <f>[1]!Table3[[#This Row],[Residential Incentive Disbursements]]/'[1]1.) CLM Reference'!$B$5</f>
        <v>0</v>
      </c>
      <c r="L422" s="229">
        <v>0</v>
      </c>
      <c r="M422" s="28">
        <f>[1]!Table3[[#This Row],[C&amp;I CLM $ Collected]]/'[1]1.) CLM Reference'!$B$4</f>
        <v>0</v>
      </c>
      <c r="N422" s="229">
        <v>0</v>
      </c>
      <c r="O422" s="28">
        <f>[1]!Table3[[#This Row],[C&amp;I Incentive Disbursements]]/'[1]1.) CLM Reference'!$B$5</f>
        <v>0</v>
      </c>
      <c r="Q422">
        <f>VLOOKUP(Table3[[#This Row],[Census Tract]],'Population and Diversity Data'!$B$2:$K$823,10,FALSE)</f>
        <v>1</v>
      </c>
      <c r="R422" t="str">
        <f>VLOOKUP(Table3[[#This Row],[Census Tract]],'ES Energy Burden'!$B$2:$E$914,4,FALSE)</f>
        <v>No</v>
      </c>
    </row>
    <row r="423" spans="1:18" x14ac:dyDescent="0.2">
      <c r="A423" t="s">
        <v>2805</v>
      </c>
      <c r="B423" s="169">
        <v>9005303100</v>
      </c>
      <c r="C423" t="s">
        <v>944</v>
      </c>
      <c r="D423" s="170">
        <f>[1]!Table3[[#This Row],[Residential CLM $ Collected]]+[1]!Table3[[#This Row],[C&amp;I CLM $ Collected]]</f>
        <v>59210.859392999999</v>
      </c>
      <c r="E423" s="28">
        <f>[1]!Table3[[#This Row],[CLM $ Collected ]]/'[1]1.) CLM Reference'!$B$4</f>
        <v>6.3742694396130308E-4</v>
      </c>
      <c r="F423" s="170">
        <f>[1]!Table3[[#This Row],[Residential Incentive Disbursements]]+[1]!Table3[[#This Row],[C&amp;I Incentive Disbursements]]</f>
        <v>137999.67999999999</v>
      </c>
      <c r="G423" s="28">
        <f>[1]!Table3[[#This Row],[Incentive Disbursements]]/'[1]1.) CLM Reference'!$B$5</f>
        <v>1.1080189368990916E-3</v>
      </c>
      <c r="H423" s="228">
        <v>49661.582312999999</v>
      </c>
      <c r="I423" s="28">
        <f>[1]!Table3[[#This Row],[Residential CLM $ Collected]]/'[1]1.) CLM Reference'!$B$4</f>
        <v>5.3462542125846371E-4</v>
      </c>
      <c r="J423" s="229">
        <v>135709.68</v>
      </c>
      <c r="K423" s="28">
        <f>[1]!Table3[[#This Row],[Residential Incentive Disbursements]]/'[1]1.) CLM Reference'!$B$5</f>
        <v>1.0896322032088474E-3</v>
      </c>
      <c r="L423" s="229">
        <v>9549.2770799999998</v>
      </c>
      <c r="M423" s="28">
        <f>[1]!Table3[[#This Row],[C&amp;I CLM $ Collected]]/'[1]1.) CLM Reference'!$B$4</f>
        <v>1.0280152270283931E-4</v>
      </c>
      <c r="N423" s="229">
        <v>2290</v>
      </c>
      <c r="O423" s="28">
        <f>[1]!Table3[[#This Row],[C&amp;I Incentive Disbursements]]/'[1]1.) CLM Reference'!$B$5</f>
        <v>1.8386733690244209E-5</v>
      </c>
      <c r="Q423">
        <f>VLOOKUP(Table3[[#This Row],[Census Tract]],'Population and Diversity Data'!$B$2:$K$823,10,FALSE)</f>
        <v>1</v>
      </c>
      <c r="R423" t="str">
        <f>VLOOKUP(Table3[[#This Row],[Census Tract]],'ES Energy Burden'!$B$2:$E$914,4,FALSE)</f>
        <v>No</v>
      </c>
    </row>
    <row r="424" spans="1:18" x14ac:dyDescent="0.2">
      <c r="A424" t="s">
        <v>2806</v>
      </c>
      <c r="B424" s="169">
        <v>9009344100</v>
      </c>
      <c r="C424" t="s">
        <v>944</v>
      </c>
      <c r="D424" s="170">
        <f>[1]!Table3[[#This Row],[Residential CLM $ Collected]]+[1]!Table3[[#This Row],[C&amp;I CLM $ Collected]]</f>
        <v>118.97256</v>
      </c>
      <c r="E424" s="28">
        <f>[1]!Table3[[#This Row],[CLM $ Collected ]]/'[1]1.) CLM Reference'!$B$4</f>
        <v>1.2807838986545474E-6</v>
      </c>
      <c r="F424" s="170">
        <f>[1]!Table3[[#This Row],[Residential Incentive Disbursements]]+[1]!Table3[[#This Row],[C&amp;I Incentive Disbursements]]</f>
        <v>0</v>
      </c>
      <c r="G424" s="28">
        <f>[1]!Table3[[#This Row],[Incentive Disbursements]]/'[1]1.) CLM Reference'!$B$5</f>
        <v>0</v>
      </c>
      <c r="H424" s="228">
        <v>118.97256</v>
      </c>
      <c r="I424" s="28">
        <f>[1]!Table3[[#This Row],[Residential CLM $ Collected]]/'[1]1.) CLM Reference'!$B$4</f>
        <v>1.2807838986545474E-6</v>
      </c>
      <c r="J424" s="229">
        <v>0</v>
      </c>
      <c r="K424" s="28">
        <f>[1]!Table3[[#This Row],[Residential Incentive Disbursements]]/'[1]1.) CLM Reference'!$B$5</f>
        <v>0</v>
      </c>
      <c r="L424" s="229">
        <v>0</v>
      </c>
      <c r="M424" s="28">
        <f>[1]!Table3[[#This Row],[C&amp;I CLM $ Collected]]/'[1]1.) CLM Reference'!$B$4</f>
        <v>0</v>
      </c>
      <c r="N424" s="229">
        <v>0</v>
      </c>
      <c r="O424" s="28">
        <f>[1]!Table3[[#This Row],[C&amp;I Incentive Disbursements]]/'[1]1.) CLM Reference'!$B$5</f>
        <v>0</v>
      </c>
      <c r="Q424">
        <f>VLOOKUP(Table3[[#This Row],[Census Tract]],'Population and Diversity Data'!$B$2:$K$823,10,FALSE)</f>
        <v>2</v>
      </c>
      <c r="R424" t="str">
        <f>VLOOKUP(Table3[[#This Row],[Census Tract]],'ES Energy Burden'!$B$2:$E$914,4,FALSE)</f>
        <v>No</v>
      </c>
    </row>
    <row r="425" spans="1:18" x14ac:dyDescent="0.2">
      <c r="A425" t="s">
        <v>2806</v>
      </c>
      <c r="B425" s="169">
        <v>9009345100</v>
      </c>
      <c r="C425" t="s">
        <v>944</v>
      </c>
      <c r="D425" s="170">
        <f>[1]!Table3[[#This Row],[Residential CLM $ Collected]]+[1]!Table3[[#This Row],[C&amp;I CLM $ Collected]]</f>
        <v>64143.466464000005</v>
      </c>
      <c r="E425" s="28">
        <f>[1]!Table3[[#This Row],[CLM $ Collected ]]/'[1]1.) CLM Reference'!$B$4</f>
        <v>6.9052829535633383E-4</v>
      </c>
      <c r="F425" s="170">
        <f>[1]!Table3[[#This Row],[Residential Incentive Disbursements]]+[1]!Table3[[#This Row],[C&amp;I Incentive Disbursements]]</f>
        <v>158562.28</v>
      </c>
      <c r="G425" s="28">
        <f>[1]!Table3[[#This Row],[Incentive Disbursements]]/'[1]1.) CLM Reference'!$B$5</f>
        <v>1.2731189588113256E-3</v>
      </c>
      <c r="H425" s="228">
        <v>64143.466464000005</v>
      </c>
      <c r="I425" s="28">
        <f>[1]!Table3[[#This Row],[Residential CLM $ Collected]]/'[1]1.) CLM Reference'!$B$4</f>
        <v>6.9052829535633383E-4</v>
      </c>
      <c r="J425" s="229">
        <v>158562.28</v>
      </c>
      <c r="K425" s="28">
        <f>[1]!Table3[[#This Row],[Residential Incentive Disbursements]]/'[1]1.) CLM Reference'!$B$5</f>
        <v>1.2731189588113256E-3</v>
      </c>
      <c r="L425" s="229">
        <v>0</v>
      </c>
      <c r="M425" s="28">
        <f>[1]!Table3[[#This Row],[C&amp;I CLM $ Collected]]/'[1]1.) CLM Reference'!$B$4</f>
        <v>0</v>
      </c>
      <c r="N425" s="229">
        <v>0</v>
      </c>
      <c r="O425" s="28">
        <f>[1]!Table3[[#This Row],[C&amp;I Incentive Disbursements]]/'[1]1.) CLM Reference'!$B$5</f>
        <v>0</v>
      </c>
      <c r="Q425">
        <f>VLOOKUP(Table3[[#This Row],[Census Tract]],'Population and Diversity Data'!$B$2:$K$823,10,FALSE)</f>
        <v>2</v>
      </c>
      <c r="R425" t="str">
        <f>VLOOKUP(Table3[[#This Row],[Census Tract]],'ES Energy Burden'!$B$2:$E$914,4,FALSE)</f>
        <v>No</v>
      </c>
    </row>
    <row r="426" spans="1:18" x14ac:dyDescent="0.2">
      <c r="A426" t="s">
        <v>2806</v>
      </c>
      <c r="B426" s="169">
        <v>9009345201</v>
      </c>
      <c r="C426" t="s">
        <v>944</v>
      </c>
      <c r="D426" s="170">
        <f>[1]!Table3[[#This Row],[Residential CLM $ Collected]]+[1]!Table3[[#This Row],[C&amp;I CLM $ Collected]]</f>
        <v>69056.199533999999</v>
      </c>
      <c r="E426" s="28">
        <f>[1]!Table3[[#This Row],[CLM $ Collected ]]/'[1]1.) CLM Reference'!$B$4</f>
        <v>7.4341569573204834E-4</v>
      </c>
      <c r="F426" s="170">
        <f>[1]!Table3[[#This Row],[Residential Incentive Disbursements]]+[1]!Table3[[#This Row],[C&amp;I Incentive Disbursements]]</f>
        <v>71999.360000000001</v>
      </c>
      <c r="G426" s="28">
        <f>[1]!Table3[[#This Row],[Incentive Disbursements]]/'[1]1.) CLM Reference'!$B$5</f>
        <v>5.7809303851005301E-4</v>
      </c>
      <c r="H426" s="228">
        <v>69056.199533999999</v>
      </c>
      <c r="I426" s="28">
        <f>[1]!Table3[[#This Row],[Residential CLM $ Collected]]/'[1]1.) CLM Reference'!$B$4</f>
        <v>7.4341569573204834E-4</v>
      </c>
      <c r="J426" s="229">
        <v>71999.360000000001</v>
      </c>
      <c r="K426" s="28">
        <f>[1]!Table3[[#This Row],[Residential Incentive Disbursements]]/'[1]1.) CLM Reference'!$B$5</f>
        <v>5.7809303851005301E-4</v>
      </c>
      <c r="L426" s="229">
        <v>0</v>
      </c>
      <c r="M426" s="28">
        <f>[1]!Table3[[#This Row],[C&amp;I CLM $ Collected]]/'[1]1.) CLM Reference'!$B$4</f>
        <v>0</v>
      </c>
      <c r="N426" s="229">
        <v>0</v>
      </c>
      <c r="O426" s="28">
        <f>[1]!Table3[[#This Row],[C&amp;I Incentive Disbursements]]/'[1]1.) CLM Reference'!$B$5</f>
        <v>0</v>
      </c>
      <c r="Q426">
        <f>VLOOKUP(Table3[[#This Row],[Census Tract]],'Population and Diversity Data'!$B$2:$K$823,10,FALSE)</f>
        <v>4</v>
      </c>
      <c r="R426" t="str">
        <f>VLOOKUP(Table3[[#This Row],[Census Tract]],'ES Energy Burden'!$B$2:$E$914,4,FALSE)</f>
        <v>No</v>
      </c>
    </row>
    <row r="427" spans="1:18" x14ac:dyDescent="0.2">
      <c r="A427" t="s">
        <v>2806</v>
      </c>
      <c r="B427" s="169">
        <v>9009345202</v>
      </c>
      <c r="C427" t="s">
        <v>944</v>
      </c>
      <c r="D427" s="170">
        <f>[1]!Table3[[#This Row],[Residential CLM $ Collected]]+[1]!Table3[[#This Row],[C&amp;I CLM $ Collected]]</f>
        <v>43859.273849999998</v>
      </c>
      <c r="E427" s="28">
        <f>[1]!Table3[[#This Row],[CLM $ Collected ]]/'[1]1.) CLM Reference'!$B$4</f>
        <v>4.7216141061233311E-4</v>
      </c>
      <c r="F427" s="170">
        <f>[1]!Table3[[#This Row],[Residential Incentive Disbursements]]+[1]!Table3[[#This Row],[C&amp;I Incentive Disbursements]]</f>
        <v>63201.919999999998</v>
      </c>
      <c r="G427" s="28">
        <f>[1]!Table3[[#This Row],[Incentive Disbursements]]/'[1]1.) CLM Reference'!$B$5</f>
        <v>5.0745714923673333E-4</v>
      </c>
      <c r="H427" s="228">
        <v>43859.273849999998</v>
      </c>
      <c r="I427" s="28">
        <f>[1]!Table3[[#This Row],[Residential CLM $ Collected]]/'[1]1.) CLM Reference'!$B$4</f>
        <v>4.7216141061233311E-4</v>
      </c>
      <c r="J427" s="229">
        <v>63201.919999999998</v>
      </c>
      <c r="K427" s="28">
        <f>[1]!Table3[[#This Row],[Residential Incentive Disbursements]]/'[1]1.) CLM Reference'!$B$5</f>
        <v>5.0745714923673333E-4</v>
      </c>
      <c r="L427" s="229">
        <v>0</v>
      </c>
      <c r="M427" s="28">
        <f>[1]!Table3[[#This Row],[C&amp;I CLM $ Collected]]/'[1]1.) CLM Reference'!$B$4</f>
        <v>0</v>
      </c>
      <c r="N427" s="229">
        <v>0</v>
      </c>
      <c r="O427" s="28">
        <f>[1]!Table3[[#This Row],[C&amp;I Incentive Disbursements]]/'[1]1.) CLM Reference'!$B$5</f>
        <v>0</v>
      </c>
      <c r="Q427">
        <f>VLOOKUP(Table3[[#This Row],[Census Tract]],'Population and Diversity Data'!$B$2:$K$823,10,FALSE)</f>
        <v>3</v>
      </c>
      <c r="R427" t="str">
        <f>VLOOKUP(Table3[[#This Row],[Census Tract]],'ES Energy Burden'!$B$2:$E$914,4,FALSE)</f>
        <v>No</v>
      </c>
    </row>
    <row r="428" spans="1:18" x14ac:dyDescent="0.2">
      <c r="A428" t="s">
        <v>2806</v>
      </c>
      <c r="B428" s="169">
        <v>9009345300</v>
      </c>
      <c r="C428" t="s">
        <v>944</v>
      </c>
      <c r="D428" s="170">
        <f>[1]!Table3[[#This Row],[Residential CLM $ Collected]]+[1]!Table3[[#This Row],[C&amp;I CLM $ Collected]]</f>
        <v>55053.966744000005</v>
      </c>
      <c r="E428" s="28">
        <f>[1]!Table3[[#This Row],[CLM $ Collected ]]/'[1]1.) CLM Reference'!$B$4</f>
        <v>5.9267644709652483E-4</v>
      </c>
      <c r="F428" s="170">
        <f>[1]!Table3[[#This Row],[Residential Incentive Disbursements]]+[1]!Table3[[#This Row],[C&amp;I Incentive Disbursements]]</f>
        <v>48254.63</v>
      </c>
      <c r="G428" s="28">
        <f>[1]!Table3[[#This Row],[Incentive Disbursements]]/'[1]1.) CLM Reference'!$B$5</f>
        <v>3.874432450354886E-4</v>
      </c>
      <c r="H428" s="228">
        <v>55053.966744000005</v>
      </c>
      <c r="I428" s="28">
        <f>[1]!Table3[[#This Row],[Residential CLM $ Collected]]/'[1]1.) CLM Reference'!$B$4</f>
        <v>5.9267644709652483E-4</v>
      </c>
      <c r="J428" s="229">
        <v>48254.63</v>
      </c>
      <c r="K428" s="28">
        <f>[1]!Table3[[#This Row],[Residential Incentive Disbursements]]/'[1]1.) CLM Reference'!$B$5</f>
        <v>3.874432450354886E-4</v>
      </c>
      <c r="L428" s="229">
        <v>0</v>
      </c>
      <c r="M428" s="28">
        <f>[1]!Table3[[#This Row],[C&amp;I CLM $ Collected]]/'[1]1.) CLM Reference'!$B$4</f>
        <v>0</v>
      </c>
      <c r="N428" s="229">
        <v>0</v>
      </c>
      <c r="O428" s="28">
        <f>[1]!Table3[[#This Row],[C&amp;I Incentive Disbursements]]/'[1]1.) CLM Reference'!$B$5</f>
        <v>0</v>
      </c>
      <c r="Q428">
        <f>VLOOKUP(Table3[[#This Row],[Census Tract]],'Population and Diversity Data'!$B$2:$K$823,10,FALSE)</f>
        <v>4</v>
      </c>
      <c r="R428" t="str">
        <f>VLOOKUP(Table3[[#This Row],[Census Tract]],'ES Energy Burden'!$B$2:$E$914,4,FALSE)</f>
        <v>No</v>
      </c>
    </row>
    <row r="429" spans="1:18" x14ac:dyDescent="0.2">
      <c r="A429" t="s">
        <v>2806</v>
      </c>
      <c r="B429" s="169">
        <v>9009345400</v>
      </c>
      <c r="C429" t="s">
        <v>944</v>
      </c>
      <c r="D429" s="170">
        <f>[1]!Table3[[#This Row],[Residential CLM $ Collected]]+[1]!Table3[[#This Row],[C&amp;I CLM $ Collected]]</f>
        <v>345025.135182</v>
      </c>
      <c r="E429" s="28">
        <f>[1]!Table3[[#This Row],[CLM $ Collected ]]/'[1]1.) CLM Reference'!$B$4</f>
        <v>3.7143240237262625E-3</v>
      </c>
      <c r="F429" s="170">
        <f>[1]!Table3[[#This Row],[Residential Incentive Disbursements]]+[1]!Table3[[#This Row],[C&amp;I Incentive Disbursements]]</f>
        <v>708676.80499999993</v>
      </c>
      <c r="G429" s="28">
        <f>[1]!Table3[[#This Row],[Incentive Disbursements]]/'[1]1.) CLM Reference'!$B$5</f>
        <v>5.6900662384227621E-3</v>
      </c>
      <c r="H429" s="228">
        <v>227928.80800200001</v>
      </c>
      <c r="I429" s="28">
        <f>[1]!Table3[[#This Row],[Residential CLM $ Collected]]/'[1]1.) CLM Reference'!$B$4</f>
        <v>2.4537384698495633E-3</v>
      </c>
      <c r="J429" s="229">
        <v>618825.245</v>
      </c>
      <c r="K429" s="28">
        <f>[1]!Table3[[#This Row],[Residential Incentive Disbursements]]/'[1]1.) CLM Reference'!$B$5</f>
        <v>4.9686353627140288E-3</v>
      </c>
      <c r="L429" s="229">
        <v>117096.32718000001</v>
      </c>
      <c r="M429" s="28">
        <f>[1]!Table3[[#This Row],[C&amp;I CLM $ Collected]]/'[1]1.) CLM Reference'!$B$4</f>
        <v>1.2605855538766993E-3</v>
      </c>
      <c r="N429" s="229">
        <v>89851.56</v>
      </c>
      <c r="O429" s="28">
        <f>[1]!Table3[[#This Row],[C&amp;I Incentive Disbursements]]/'[1]1.) CLM Reference'!$B$5</f>
        <v>7.2143087570873319E-4</v>
      </c>
      <c r="Q429">
        <f>VLOOKUP(Table3[[#This Row],[Census Tract]],'Population and Diversity Data'!$B$2:$K$823,10,FALSE)</f>
        <v>4</v>
      </c>
      <c r="R429" t="str">
        <f>VLOOKUP(Table3[[#This Row],[Census Tract]],'ES Energy Burden'!$B$2:$E$914,4,FALSE)</f>
        <v>No</v>
      </c>
    </row>
    <row r="430" spans="1:18" x14ac:dyDescent="0.2">
      <c r="A430" t="s">
        <v>2806</v>
      </c>
      <c r="B430" s="169">
        <v>9009346102</v>
      </c>
      <c r="C430" t="s">
        <v>944</v>
      </c>
      <c r="D430" s="170">
        <f>[1]!Table3[[#This Row],[Residential CLM $ Collected]]+[1]!Table3[[#This Row],[C&amp;I CLM $ Collected]]</f>
        <v>293.81855999999999</v>
      </c>
      <c r="E430" s="28">
        <f>[1]!Table3[[#This Row],[CLM $ Collected ]]/'[1]1.) CLM Reference'!$B$4</f>
        <v>3.1630661790741078E-6</v>
      </c>
      <c r="F430" s="170">
        <f>[1]!Table3[[#This Row],[Residential Incentive Disbursements]]+[1]!Table3[[#This Row],[C&amp;I Incentive Disbursements]]</f>
        <v>0</v>
      </c>
      <c r="G430" s="28">
        <f>[1]!Table3[[#This Row],[Incentive Disbursements]]/'[1]1.) CLM Reference'!$B$5</f>
        <v>0</v>
      </c>
      <c r="H430" s="228">
        <v>293.81855999999999</v>
      </c>
      <c r="I430" s="28">
        <f>[1]!Table3[[#This Row],[Residential CLM $ Collected]]/'[1]1.) CLM Reference'!$B$4</f>
        <v>3.1630661790741078E-6</v>
      </c>
      <c r="J430" s="229">
        <v>0</v>
      </c>
      <c r="K430" s="28">
        <f>[1]!Table3[[#This Row],[Residential Incentive Disbursements]]/'[1]1.) CLM Reference'!$B$5</f>
        <v>0</v>
      </c>
      <c r="L430" s="229">
        <v>0</v>
      </c>
      <c r="M430" s="28">
        <f>[1]!Table3[[#This Row],[C&amp;I CLM $ Collected]]/'[1]1.) CLM Reference'!$B$4</f>
        <v>0</v>
      </c>
      <c r="N430" s="229">
        <v>0</v>
      </c>
      <c r="O430" s="28">
        <f>[1]!Table3[[#This Row],[C&amp;I Incentive Disbursements]]/'[1]1.) CLM Reference'!$B$5</f>
        <v>0</v>
      </c>
      <c r="Q430">
        <f>VLOOKUP(Table3[[#This Row],[Census Tract]],'Population and Diversity Data'!$B$2:$K$823,10,FALSE)</f>
        <v>2</v>
      </c>
      <c r="R430" t="str">
        <f>VLOOKUP(Table3[[#This Row],[Census Tract]],'ES Energy Burden'!$B$2:$E$914,4,FALSE)</f>
        <v>No</v>
      </c>
    </row>
    <row r="431" spans="1:18" x14ac:dyDescent="0.2">
      <c r="A431" t="s">
        <v>2806</v>
      </c>
      <c r="B431" s="169">
        <v>9009347200</v>
      </c>
      <c r="C431" t="s">
        <v>944</v>
      </c>
      <c r="D431" s="170">
        <f>[1]!Table3[[#This Row],[Residential CLM $ Collected]]+[1]!Table3[[#This Row],[C&amp;I CLM $ Collected]]</f>
        <v>447.21935999999999</v>
      </c>
      <c r="E431" s="28">
        <f>[1]!Table3[[#This Row],[CLM $ Collected ]]/'[1]1.) CLM Reference'!$B$4</f>
        <v>4.8144828980278443E-6</v>
      </c>
      <c r="F431" s="170">
        <f>[1]!Table3[[#This Row],[Residential Incentive Disbursements]]+[1]!Table3[[#This Row],[C&amp;I Incentive Disbursements]]</f>
        <v>47.44</v>
      </c>
      <c r="G431" s="28">
        <f>[1]!Table3[[#This Row],[Incentive Disbursements]]/'[1]1.) CLM Reference'!$B$5</f>
        <v>3.8090246561798483E-7</v>
      </c>
      <c r="H431" s="228">
        <v>447.21935999999999</v>
      </c>
      <c r="I431" s="28">
        <f>[1]!Table3[[#This Row],[Residential CLM $ Collected]]/'[1]1.) CLM Reference'!$B$4</f>
        <v>4.8144828980278443E-6</v>
      </c>
      <c r="J431" s="229">
        <v>47.44</v>
      </c>
      <c r="K431" s="28">
        <f>[1]!Table3[[#This Row],[Residential Incentive Disbursements]]/'[1]1.) CLM Reference'!$B$5</f>
        <v>3.8090246561798483E-7</v>
      </c>
      <c r="L431" s="229">
        <v>0</v>
      </c>
      <c r="M431" s="28">
        <f>[1]!Table3[[#This Row],[C&amp;I CLM $ Collected]]/'[1]1.) CLM Reference'!$B$4</f>
        <v>0</v>
      </c>
      <c r="N431" s="229">
        <v>0</v>
      </c>
      <c r="O431" s="28">
        <f>[1]!Table3[[#This Row],[C&amp;I Incentive Disbursements]]/'[1]1.) CLM Reference'!$B$5</f>
        <v>0</v>
      </c>
      <c r="Q431">
        <f>VLOOKUP(Table3[[#This Row],[Census Tract]],'Population and Diversity Data'!$B$2:$K$823,10,FALSE)</f>
        <v>2</v>
      </c>
      <c r="R431" t="str">
        <f>VLOOKUP(Table3[[#This Row],[Census Tract]],'ES Energy Burden'!$B$2:$E$914,4,FALSE)</f>
        <v>No</v>
      </c>
    </row>
    <row r="432" spans="1:18" x14ac:dyDescent="0.2">
      <c r="A432" t="s">
        <v>985</v>
      </c>
      <c r="B432" s="169">
        <v>9003400300</v>
      </c>
      <c r="C432" t="s">
        <v>944</v>
      </c>
      <c r="D432" s="170">
        <f>[1]!Table3[[#This Row],[Residential CLM $ Collected]]+[1]!Table3[[#This Row],[C&amp;I CLM $ Collected]]</f>
        <v>357.89816999999999</v>
      </c>
      <c r="E432" s="28">
        <f>[1]!Table3[[#This Row],[CLM $ Collected ]]/'[1]1.) CLM Reference'!$B$4</f>
        <v>3.8529070358234534E-6</v>
      </c>
      <c r="F432" s="170">
        <f>[1]!Table3[[#This Row],[Residential Incentive Disbursements]]+[1]!Table3[[#This Row],[C&amp;I Incentive Disbursements]]</f>
        <v>1847.94</v>
      </c>
      <c r="G432" s="28">
        <f>[1]!Table3[[#This Row],[Incentive Disbursements]]/'[1]1.) CLM Reference'!$B$5</f>
        <v>1.4837371465305627E-5</v>
      </c>
      <c r="H432" s="228">
        <v>357.89816999999999</v>
      </c>
      <c r="I432" s="28">
        <f>[1]!Table3[[#This Row],[Residential CLM $ Collected]]/'[1]1.) CLM Reference'!$B$4</f>
        <v>3.8529070358234534E-6</v>
      </c>
      <c r="J432" s="229">
        <v>1847.94</v>
      </c>
      <c r="K432" s="28">
        <f>[1]!Table3[[#This Row],[Residential Incentive Disbursements]]/'[1]1.) CLM Reference'!$B$5</f>
        <v>1.4837371465305627E-5</v>
      </c>
      <c r="L432" s="229">
        <v>0</v>
      </c>
      <c r="M432" s="28">
        <f>[1]!Table3[[#This Row],[C&amp;I CLM $ Collected]]/'[1]1.) CLM Reference'!$B$4</f>
        <v>0</v>
      </c>
      <c r="N432" s="229">
        <v>0</v>
      </c>
      <c r="O432" s="28">
        <f>[1]!Table3[[#This Row],[C&amp;I Incentive Disbursements]]/'[1]1.) CLM Reference'!$B$5</f>
        <v>0</v>
      </c>
      <c r="Q432">
        <f>VLOOKUP(Table3[[#This Row],[Census Tract]],'Population and Diversity Data'!$B$2:$K$823,10,FALSE)</f>
        <v>2</v>
      </c>
      <c r="R432" t="str">
        <f>VLOOKUP(Table3[[#This Row],[Census Tract]],'ES Energy Burden'!$B$2:$E$914,4,FALSE)</f>
        <v>No</v>
      </c>
    </row>
    <row r="433" spans="1:18" x14ac:dyDescent="0.2">
      <c r="A433" t="s">
        <v>985</v>
      </c>
      <c r="B433" s="169">
        <v>9003415300</v>
      </c>
      <c r="C433" t="s">
        <v>944</v>
      </c>
      <c r="D433" s="170">
        <f>[1]!Table3[[#This Row],[Residential CLM $ Collected]]+[1]!Table3[[#This Row],[C&amp;I CLM $ Collected]]</f>
        <v>34706.565852</v>
      </c>
      <c r="E433" s="28">
        <f>[1]!Table3[[#This Row],[CLM $ Collected ]]/'[1]1.) CLM Reference'!$B$4</f>
        <v>3.736291017091281E-4</v>
      </c>
      <c r="F433" s="170">
        <f>[1]!Table3[[#This Row],[Residential Incentive Disbursements]]+[1]!Table3[[#This Row],[C&amp;I Incentive Disbursements]]</f>
        <v>2206.41</v>
      </c>
      <c r="G433" s="28">
        <f>[1]!Table3[[#This Row],[Incentive Disbursements]]/'[1]1.) CLM Reference'!$B$5</f>
        <v>1.7715577764843549E-5</v>
      </c>
      <c r="H433" s="228">
        <v>34706.565852</v>
      </c>
      <c r="I433" s="28">
        <f>[1]!Table3[[#This Row],[Residential CLM $ Collected]]/'[1]1.) CLM Reference'!$B$4</f>
        <v>3.736291017091281E-4</v>
      </c>
      <c r="J433" s="229">
        <v>2206.41</v>
      </c>
      <c r="K433" s="28">
        <f>[1]!Table3[[#This Row],[Residential Incentive Disbursements]]/'[1]1.) CLM Reference'!$B$5</f>
        <v>1.7715577764843549E-5</v>
      </c>
      <c r="L433" s="229">
        <v>0</v>
      </c>
      <c r="M433" s="28">
        <f>[1]!Table3[[#This Row],[C&amp;I CLM $ Collected]]/'[1]1.) CLM Reference'!$B$4</f>
        <v>0</v>
      </c>
      <c r="N433" s="229">
        <v>0</v>
      </c>
      <c r="O433" s="28">
        <f>[1]!Table3[[#This Row],[C&amp;I Incentive Disbursements]]/'[1]1.) CLM Reference'!$B$5</f>
        <v>0</v>
      </c>
      <c r="Q433">
        <f>VLOOKUP(Table3[[#This Row],[Census Tract]],'Population and Diversity Data'!$B$2:$K$823,10,FALSE)</f>
        <v>5</v>
      </c>
      <c r="R433" t="str">
        <f>VLOOKUP(Table3[[#This Row],[Census Tract]],'ES Energy Burden'!$B$2:$E$914,4,FALSE)</f>
        <v>Yes</v>
      </c>
    </row>
    <row r="434" spans="1:18" x14ac:dyDescent="0.2">
      <c r="A434" t="s">
        <v>985</v>
      </c>
      <c r="B434" s="169">
        <v>9003415400</v>
      </c>
      <c r="C434" t="s">
        <v>944</v>
      </c>
      <c r="D434" s="170">
        <f>[1]!Table3[[#This Row],[Residential CLM $ Collected]]+[1]!Table3[[#This Row],[C&amp;I CLM $ Collected]]</f>
        <v>36396.730649999998</v>
      </c>
      <c r="E434" s="28">
        <f>[1]!Table3[[#This Row],[CLM $ Collected ]]/'[1]1.) CLM Reference'!$B$4</f>
        <v>3.9182435496207241E-4</v>
      </c>
      <c r="F434" s="170">
        <f>[1]!Table3[[#This Row],[Residential Incentive Disbursements]]+[1]!Table3[[#This Row],[C&amp;I Incentive Disbursements]]</f>
        <v>19289.93</v>
      </c>
      <c r="G434" s="28">
        <f>[1]!Table3[[#This Row],[Incentive Disbursements]]/'[1]1.) CLM Reference'!$B$5</f>
        <v>1.5488157459102729E-4</v>
      </c>
      <c r="H434" s="228">
        <v>36396.730649999998</v>
      </c>
      <c r="I434" s="28">
        <f>[1]!Table3[[#This Row],[Residential CLM $ Collected]]/'[1]1.) CLM Reference'!$B$4</f>
        <v>3.9182435496207241E-4</v>
      </c>
      <c r="J434" s="229">
        <v>19289.93</v>
      </c>
      <c r="K434" s="28">
        <f>[1]!Table3[[#This Row],[Residential Incentive Disbursements]]/'[1]1.) CLM Reference'!$B$5</f>
        <v>1.5488157459102729E-4</v>
      </c>
      <c r="L434" s="229">
        <v>0</v>
      </c>
      <c r="M434" s="28">
        <f>[1]!Table3[[#This Row],[C&amp;I CLM $ Collected]]/'[1]1.) CLM Reference'!$B$4</f>
        <v>0</v>
      </c>
      <c r="N434" s="229">
        <v>0</v>
      </c>
      <c r="O434" s="28">
        <f>[1]!Table3[[#This Row],[C&amp;I Incentive Disbursements]]/'[1]1.) CLM Reference'!$B$5</f>
        <v>0</v>
      </c>
      <c r="Q434">
        <f>VLOOKUP(Table3[[#This Row],[Census Tract]],'Population and Diversity Data'!$B$2:$K$823,10,FALSE)</f>
        <v>3</v>
      </c>
      <c r="R434" t="str">
        <f>VLOOKUP(Table3[[#This Row],[Census Tract]],'ES Energy Burden'!$B$2:$E$914,4,FALSE)</f>
        <v>Yes</v>
      </c>
    </row>
    <row r="435" spans="1:18" x14ac:dyDescent="0.2">
      <c r="A435" t="s">
        <v>985</v>
      </c>
      <c r="B435" s="169">
        <v>9003415500</v>
      </c>
      <c r="C435" t="s">
        <v>944</v>
      </c>
      <c r="D435" s="170">
        <f>[1]!Table3[[#This Row],[Residential CLM $ Collected]]+[1]!Table3[[#This Row],[C&amp;I CLM $ Collected]]</f>
        <v>17052.525588</v>
      </c>
      <c r="E435" s="28">
        <f>[1]!Table3[[#This Row],[CLM $ Collected ]]/'[1]1.) CLM Reference'!$B$4</f>
        <v>1.8357678614720126E-4</v>
      </c>
      <c r="F435" s="170">
        <f>[1]!Table3[[#This Row],[Residential Incentive Disbursements]]+[1]!Table3[[#This Row],[C&amp;I Incentive Disbursements]]</f>
        <v>10952.64</v>
      </c>
      <c r="G435" s="28">
        <f>[1]!Table3[[#This Row],[Incentive Disbursements]]/'[1]1.) CLM Reference'!$B$5</f>
        <v>8.7940294709657789E-5</v>
      </c>
      <c r="H435" s="228">
        <v>17052.525588</v>
      </c>
      <c r="I435" s="28">
        <f>[1]!Table3[[#This Row],[Residential CLM $ Collected]]/'[1]1.) CLM Reference'!$B$4</f>
        <v>1.8357678614720126E-4</v>
      </c>
      <c r="J435" s="229">
        <v>10952.64</v>
      </c>
      <c r="K435" s="28">
        <f>[1]!Table3[[#This Row],[Residential Incentive Disbursements]]/'[1]1.) CLM Reference'!$B$5</f>
        <v>8.7940294709657789E-5</v>
      </c>
      <c r="L435" s="229">
        <v>0</v>
      </c>
      <c r="M435" s="28">
        <f>[1]!Table3[[#This Row],[C&amp;I CLM $ Collected]]/'[1]1.) CLM Reference'!$B$4</f>
        <v>0</v>
      </c>
      <c r="N435" s="229">
        <v>0</v>
      </c>
      <c r="O435" s="28">
        <f>[1]!Table3[[#This Row],[C&amp;I Incentive Disbursements]]/'[1]1.) CLM Reference'!$B$5</f>
        <v>0</v>
      </c>
      <c r="Q435">
        <f>VLOOKUP(Table3[[#This Row],[Census Tract]],'Population and Diversity Data'!$B$2:$K$823,10,FALSE)</f>
        <v>4</v>
      </c>
      <c r="R435" t="str">
        <f>VLOOKUP(Table3[[#This Row],[Census Tract]],'ES Energy Burden'!$B$2:$E$914,4,FALSE)</f>
        <v>Yes</v>
      </c>
    </row>
    <row r="436" spans="1:18" x14ac:dyDescent="0.2">
      <c r="A436" t="s">
        <v>985</v>
      </c>
      <c r="B436" s="169">
        <v>9003415600</v>
      </c>
      <c r="C436" t="s">
        <v>944</v>
      </c>
      <c r="D436" s="170">
        <f>[1]!Table3[[#This Row],[Residential CLM $ Collected]]+[1]!Table3[[#This Row],[C&amp;I CLM $ Collected]]</f>
        <v>22214.865330000001</v>
      </c>
      <c r="E436" s="28">
        <f>[1]!Table3[[#This Row],[CLM $ Collected ]]/'[1]1.) CLM Reference'!$B$4</f>
        <v>2.3915129526878417E-4</v>
      </c>
      <c r="F436" s="170">
        <f>[1]!Table3[[#This Row],[Residential Incentive Disbursements]]+[1]!Table3[[#This Row],[C&amp;I Incentive Disbursements]]</f>
        <v>3054.59</v>
      </c>
      <c r="G436" s="28">
        <f>[1]!Table3[[#This Row],[Incentive Disbursements]]/'[1]1.) CLM Reference'!$B$5</f>
        <v>2.4525734874621425E-5</v>
      </c>
      <c r="H436" s="228">
        <v>22214.865330000001</v>
      </c>
      <c r="I436" s="28">
        <f>[1]!Table3[[#This Row],[Residential CLM $ Collected]]/'[1]1.) CLM Reference'!$B$4</f>
        <v>2.3915129526878417E-4</v>
      </c>
      <c r="J436" s="229">
        <v>3054.59</v>
      </c>
      <c r="K436" s="28">
        <f>[1]!Table3[[#This Row],[Residential Incentive Disbursements]]/'[1]1.) CLM Reference'!$B$5</f>
        <v>2.4525734874621425E-5</v>
      </c>
      <c r="L436" s="229">
        <v>0</v>
      </c>
      <c r="M436" s="28">
        <f>[1]!Table3[[#This Row],[C&amp;I CLM $ Collected]]/'[1]1.) CLM Reference'!$B$4</f>
        <v>0</v>
      </c>
      <c r="N436" s="229">
        <v>0</v>
      </c>
      <c r="O436" s="28">
        <f>[1]!Table3[[#This Row],[C&amp;I Incentive Disbursements]]/'[1]1.) CLM Reference'!$B$5</f>
        <v>0</v>
      </c>
      <c r="Q436">
        <f>VLOOKUP(Table3[[#This Row],[Census Tract]],'Population and Diversity Data'!$B$2:$K$823,10,FALSE)</f>
        <v>5</v>
      </c>
      <c r="R436" t="str">
        <f>VLOOKUP(Table3[[#This Row],[Census Tract]],'ES Energy Burden'!$B$2:$E$914,4,FALSE)</f>
        <v>No</v>
      </c>
    </row>
    <row r="437" spans="1:18" x14ac:dyDescent="0.2">
      <c r="A437" t="s">
        <v>985</v>
      </c>
      <c r="B437" s="169">
        <v>9003415700</v>
      </c>
      <c r="C437" t="s">
        <v>944</v>
      </c>
      <c r="D437" s="170">
        <f>[1]!Table3[[#This Row],[Residential CLM $ Collected]]+[1]!Table3[[#This Row],[C&amp;I CLM $ Collected]]</f>
        <v>20887.716570000001</v>
      </c>
      <c r="E437" s="28">
        <f>[1]!Table3[[#This Row],[CLM $ Collected ]]/'[1]1.) CLM Reference'!$B$4</f>
        <v>2.248640448059266E-4</v>
      </c>
      <c r="F437" s="170">
        <f>[1]!Table3[[#This Row],[Residential Incentive Disbursements]]+[1]!Table3[[#This Row],[C&amp;I Incentive Disbursements]]</f>
        <v>10488.74</v>
      </c>
      <c r="G437" s="28">
        <f>[1]!Table3[[#This Row],[Incentive Disbursements]]/'[1]1.) CLM Reference'!$B$5</f>
        <v>8.4215576037647181E-5</v>
      </c>
      <c r="H437" s="228">
        <v>20887.716570000001</v>
      </c>
      <c r="I437" s="28">
        <f>[1]!Table3[[#This Row],[Residential CLM $ Collected]]/'[1]1.) CLM Reference'!$B$4</f>
        <v>2.248640448059266E-4</v>
      </c>
      <c r="J437" s="229">
        <v>10488.74</v>
      </c>
      <c r="K437" s="28">
        <f>[1]!Table3[[#This Row],[Residential Incentive Disbursements]]/'[1]1.) CLM Reference'!$B$5</f>
        <v>8.4215576037647181E-5</v>
      </c>
      <c r="L437" s="229">
        <v>0</v>
      </c>
      <c r="M437" s="28">
        <f>[1]!Table3[[#This Row],[C&amp;I CLM $ Collected]]/'[1]1.) CLM Reference'!$B$4</f>
        <v>0</v>
      </c>
      <c r="N437" s="229">
        <v>0</v>
      </c>
      <c r="O437" s="28">
        <f>[1]!Table3[[#This Row],[C&amp;I Incentive Disbursements]]/'[1]1.) CLM Reference'!$B$5</f>
        <v>0</v>
      </c>
      <c r="Q437">
        <f>VLOOKUP(Table3[[#This Row],[Census Tract]],'Population and Diversity Data'!$B$2:$K$823,10,FALSE)</f>
        <v>4</v>
      </c>
      <c r="R437" t="str">
        <f>VLOOKUP(Table3[[#This Row],[Census Tract]],'ES Energy Burden'!$B$2:$E$914,4,FALSE)</f>
        <v>No</v>
      </c>
    </row>
    <row r="438" spans="1:18" x14ac:dyDescent="0.2">
      <c r="A438" t="s">
        <v>985</v>
      </c>
      <c r="B438" s="169">
        <v>9003415800</v>
      </c>
      <c r="C438" t="s">
        <v>944</v>
      </c>
      <c r="D438" s="170">
        <f>[1]!Table3[[#This Row],[Residential CLM $ Collected]]+[1]!Table3[[#This Row],[C&amp;I CLM $ Collected]]</f>
        <v>20079.381293999999</v>
      </c>
      <c r="E438" s="28">
        <f>[1]!Table3[[#This Row],[CLM $ Collected ]]/'[1]1.) CLM Reference'!$B$4</f>
        <v>2.1616201463850579E-4</v>
      </c>
      <c r="F438" s="170">
        <f>[1]!Table3[[#This Row],[Residential Incentive Disbursements]]+[1]!Table3[[#This Row],[C&amp;I Incentive Disbursements]]</f>
        <v>1997.13</v>
      </c>
      <c r="G438" s="28">
        <f>[1]!Table3[[#This Row],[Incentive Disbursements]]/'[1]1.) CLM Reference'!$B$5</f>
        <v>1.6035239063230313E-5</v>
      </c>
      <c r="H438" s="228">
        <v>20079.381293999999</v>
      </c>
      <c r="I438" s="28">
        <f>[1]!Table3[[#This Row],[Residential CLM $ Collected]]/'[1]1.) CLM Reference'!$B$4</f>
        <v>2.1616201463850579E-4</v>
      </c>
      <c r="J438" s="229">
        <v>1997.13</v>
      </c>
      <c r="K438" s="28">
        <f>[1]!Table3[[#This Row],[Residential Incentive Disbursements]]/'[1]1.) CLM Reference'!$B$5</f>
        <v>1.6035239063230313E-5</v>
      </c>
      <c r="L438" s="229">
        <v>0</v>
      </c>
      <c r="M438" s="28">
        <f>[1]!Table3[[#This Row],[C&amp;I CLM $ Collected]]/'[1]1.) CLM Reference'!$B$4</f>
        <v>0</v>
      </c>
      <c r="N438" s="229">
        <v>0</v>
      </c>
      <c r="O438" s="28">
        <f>[1]!Table3[[#This Row],[C&amp;I Incentive Disbursements]]/'[1]1.) CLM Reference'!$B$5</f>
        <v>0</v>
      </c>
      <c r="Q438">
        <f>VLOOKUP(Table3[[#This Row],[Census Tract]],'Population and Diversity Data'!$B$2:$K$823,10,FALSE)</f>
        <v>3</v>
      </c>
      <c r="R438" t="str">
        <f>VLOOKUP(Table3[[#This Row],[Census Tract]],'ES Energy Burden'!$B$2:$E$914,4,FALSE)</f>
        <v>No</v>
      </c>
    </row>
    <row r="439" spans="1:18" x14ac:dyDescent="0.2">
      <c r="A439" t="s">
        <v>985</v>
      </c>
      <c r="B439" s="169">
        <v>9003415900</v>
      </c>
      <c r="C439" t="s">
        <v>936</v>
      </c>
      <c r="D439" s="170">
        <f>[1]!Table3[[#This Row],[Residential CLM $ Collected]]+[1]!Table3[[#This Row],[C&amp;I CLM $ Collected]]</f>
        <v>8739.4213199999995</v>
      </c>
      <c r="E439" s="28">
        <f>[1]!Table3[[#This Row],[CLM $ Collected ]]/'[1]1.) CLM Reference'!$B$4</f>
        <v>9.4083123959123606E-5</v>
      </c>
      <c r="F439" s="170">
        <f>[1]!Table3[[#This Row],[Residential Incentive Disbursements]]+[1]!Table3[[#This Row],[C&amp;I Incentive Disbursements]]</f>
        <v>583.76</v>
      </c>
      <c r="G439" s="28">
        <f>[1]!Table3[[#This Row],[Incentive Disbursements]]/'[1]1.) CLM Reference'!$B$5</f>
        <v>4.6870915541558778E-6</v>
      </c>
      <c r="H439" s="228">
        <v>8739.4213199999995</v>
      </c>
      <c r="I439" s="28">
        <f>[1]!Table3[[#This Row],[Residential CLM $ Collected]]/'[1]1.) CLM Reference'!$B$4</f>
        <v>9.4083123959123606E-5</v>
      </c>
      <c r="J439" s="229">
        <v>583.76</v>
      </c>
      <c r="K439" s="28">
        <f>[1]!Table3[[#This Row],[Residential Incentive Disbursements]]/'[1]1.) CLM Reference'!$B$5</f>
        <v>4.6870915541558778E-6</v>
      </c>
      <c r="L439" s="229">
        <v>0</v>
      </c>
      <c r="M439" s="28">
        <f>[1]!Table3[[#This Row],[C&amp;I CLM $ Collected]]/'[1]1.) CLM Reference'!$B$4</f>
        <v>0</v>
      </c>
      <c r="N439" s="229">
        <v>0</v>
      </c>
      <c r="O439" s="28">
        <f>[1]!Table3[[#This Row],[C&amp;I Incentive Disbursements]]/'[1]1.) CLM Reference'!$B$5</f>
        <v>0</v>
      </c>
      <c r="Q439">
        <f>VLOOKUP(Table3[[#This Row],[Census Tract]],'Population and Diversity Data'!$B$2:$K$823,10,FALSE)</f>
        <v>3</v>
      </c>
      <c r="R439" t="e">
        <f>VLOOKUP(Table3[[#This Row],[Census Tract]],'ES Energy Burden'!$B$2:$E$914,4,FALSE)</f>
        <v>#N/A</v>
      </c>
    </row>
    <row r="440" spans="1:18" x14ac:dyDescent="0.2">
      <c r="A440" t="s">
        <v>985</v>
      </c>
      <c r="B440" s="169">
        <v>9003416000</v>
      </c>
      <c r="C440" t="s">
        <v>944</v>
      </c>
      <c r="D440" s="170">
        <f>[1]!Table3[[#This Row],[Residential CLM $ Collected]]+[1]!Table3[[#This Row],[C&amp;I CLM $ Collected]]</f>
        <v>592170.316017</v>
      </c>
      <c r="E440" s="28">
        <f>[1]!Table3[[#This Row],[CLM $ Collected ]]/'[1]1.) CLM Reference'!$B$4</f>
        <v>6.3749339008570436E-3</v>
      </c>
      <c r="F440" s="170">
        <f>[1]!Table3[[#This Row],[Residential Incentive Disbursements]]+[1]!Table3[[#This Row],[C&amp;I Incentive Disbursements]]</f>
        <v>809198.66</v>
      </c>
      <c r="G440" s="28">
        <f>[1]!Table3[[#This Row],[Incentive Disbursements]]/'[1]1.) CLM Reference'!$B$5</f>
        <v>6.4971704209268429E-3</v>
      </c>
      <c r="H440" s="228">
        <v>312093.02197499998</v>
      </c>
      <c r="I440" s="28">
        <f>[1]!Table3[[#This Row],[Residential CLM $ Collected]]/'[1]1.) CLM Reference'!$B$4</f>
        <v>3.359797565321111E-3</v>
      </c>
      <c r="J440" s="229">
        <v>509170.76</v>
      </c>
      <c r="K440" s="28">
        <f>[1]!Table3[[#This Row],[Residential Incentive Disbursements]]/'[1]1.) CLM Reference'!$B$5</f>
        <v>4.0882040030477068E-3</v>
      </c>
      <c r="L440" s="229">
        <v>280077.29404200002</v>
      </c>
      <c r="M440" s="28">
        <f>[1]!Table3[[#This Row],[C&amp;I CLM $ Collected]]/'[1]1.) CLM Reference'!$B$4</f>
        <v>3.0151363355359322E-3</v>
      </c>
      <c r="N440" s="229">
        <v>300027.90000000002</v>
      </c>
      <c r="O440" s="28">
        <f>[1]!Table3[[#This Row],[C&amp;I Incentive Disbursements]]/'[1]1.) CLM Reference'!$B$5</f>
        <v>2.4089664178791356E-3</v>
      </c>
      <c r="Q440">
        <f>VLOOKUP(Table3[[#This Row],[Census Tract]],'Population and Diversity Data'!$B$2:$K$823,10,FALSE)</f>
        <v>3</v>
      </c>
      <c r="R440" t="str">
        <f>VLOOKUP(Table3[[#This Row],[Census Tract]],'ES Energy Burden'!$B$2:$E$914,4,FALSE)</f>
        <v>Yes</v>
      </c>
    </row>
    <row r="441" spans="1:18" x14ac:dyDescent="0.2">
      <c r="A441" t="s">
        <v>985</v>
      </c>
      <c r="B441" s="169">
        <v>9003416100</v>
      </c>
      <c r="C441" t="s">
        <v>944</v>
      </c>
      <c r="D441" s="170">
        <f>[1]!Table3[[#This Row],[Residential CLM $ Collected]]+[1]!Table3[[#This Row],[C&amp;I CLM $ Collected]]</f>
        <v>25248.313020000001</v>
      </c>
      <c r="E441" s="28">
        <f>[1]!Table3[[#This Row],[CLM $ Collected ]]/'[1]1.) CLM Reference'!$B$4</f>
        <v>2.7180748892186544E-4</v>
      </c>
      <c r="F441" s="170">
        <f>[1]!Table3[[#This Row],[Residential Incentive Disbursements]]+[1]!Table3[[#This Row],[C&amp;I Incentive Disbursements]]</f>
        <v>3994.08</v>
      </c>
      <c r="G441" s="28">
        <f>[1]!Table3[[#This Row],[Incentive Disbursements]]/'[1]1.) CLM Reference'!$B$5</f>
        <v>3.2069032881017727E-5</v>
      </c>
      <c r="H441" s="228">
        <v>25248.313020000001</v>
      </c>
      <c r="I441" s="28">
        <f>[1]!Table3[[#This Row],[Residential CLM $ Collected]]/'[1]1.) CLM Reference'!$B$4</f>
        <v>2.7180748892186544E-4</v>
      </c>
      <c r="J441" s="229">
        <v>3994.08</v>
      </c>
      <c r="K441" s="28">
        <f>[1]!Table3[[#This Row],[Residential Incentive Disbursements]]/'[1]1.) CLM Reference'!$B$5</f>
        <v>3.2069032881017727E-5</v>
      </c>
      <c r="L441" s="229">
        <v>0</v>
      </c>
      <c r="M441" s="28">
        <f>[1]!Table3[[#This Row],[C&amp;I CLM $ Collected]]/'[1]1.) CLM Reference'!$B$4</f>
        <v>0</v>
      </c>
      <c r="N441" s="229">
        <v>0</v>
      </c>
      <c r="O441" s="28">
        <f>[1]!Table3[[#This Row],[C&amp;I Incentive Disbursements]]/'[1]1.) CLM Reference'!$B$5</f>
        <v>0</v>
      </c>
      <c r="Q441">
        <f>VLOOKUP(Table3[[#This Row],[Census Tract]],'Population and Diversity Data'!$B$2:$K$823,10,FALSE)</f>
        <v>5</v>
      </c>
      <c r="R441" t="str">
        <f>VLOOKUP(Table3[[#This Row],[Census Tract]],'ES Energy Burden'!$B$2:$E$914,4,FALSE)</f>
        <v>Yes</v>
      </c>
    </row>
    <row r="442" spans="1:18" x14ac:dyDescent="0.2">
      <c r="A442" t="s">
        <v>985</v>
      </c>
      <c r="B442" s="169">
        <v>9003416200</v>
      </c>
      <c r="C442" t="s">
        <v>936</v>
      </c>
      <c r="D442" s="170">
        <f>[1]!Table3[[#This Row],[Residential CLM $ Collected]]+[1]!Table3[[#This Row],[C&amp;I CLM $ Collected]]</f>
        <v>14203.77903</v>
      </c>
      <c r="E442" s="28">
        <f>[1]!Table3[[#This Row],[CLM $ Collected ]]/'[1]1.) CLM Reference'!$B$4</f>
        <v>1.5290896893931766E-4</v>
      </c>
      <c r="F442" s="170">
        <f>[1]!Table3[[#This Row],[Residential Incentive Disbursements]]+[1]!Table3[[#This Row],[C&amp;I Incentive Disbursements]]</f>
        <v>58443.83</v>
      </c>
      <c r="G442" s="28">
        <f>[1]!Table3[[#This Row],[Incentive Disbursements]]/'[1]1.) CLM Reference'!$B$5</f>
        <v>4.6925377207332106E-4</v>
      </c>
      <c r="H442" s="228">
        <v>14203.77903</v>
      </c>
      <c r="I442" s="28">
        <f>[1]!Table3[[#This Row],[Residential CLM $ Collected]]/'[1]1.) CLM Reference'!$B$4</f>
        <v>1.5290896893931766E-4</v>
      </c>
      <c r="J442" s="229">
        <v>58443.83</v>
      </c>
      <c r="K442" s="28">
        <f>[1]!Table3[[#This Row],[Residential Incentive Disbursements]]/'[1]1.) CLM Reference'!$B$5</f>
        <v>4.6925377207332106E-4</v>
      </c>
      <c r="L442" s="229">
        <v>0</v>
      </c>
      <c r="M442" s="28">
        <f>[1]!Table3[[#This Row],[C&amp;I CLM $ Collected]]/'[1]1.) CLM Reference'!$B$4</f>
        <v>0</v>
      </c>
      <c r="N442" s="229">
        <v>0</v>
      </c>
      <c r="O442" s="28">
        <f>[1]!Table3[[#This Row],[C&amp;I Incentive Disbursements]]/'[1]1.) CLM Reference'!$B$5</f>
        <v>0</v>
      </c>
      <c r="Q442">
        <f>VLOOKUP(Table3[[#This Row],[Census Tract]],'Population and Diversity Data'!$B$2:$K$823,10,FALSE)</f>
        <v>4</v>
      </c>
      <c r="R442" t="str">
        <f>VLOOKUP(Table3[[#This Row],[Census Tract]],'ES Energy Burden'!$B$2:$E$914,4,FALSE)</f>
        <v>Yes</v>
      </c>
    </row>
    <row r="443" spans="1:18" x14ac:dyDescent="0.2">
      <c r="A443" t="s">
        <v>985</v>
      </c>
      <c r="B443" s="169">
        <v>9003416300</v>
      </c>
      <c r="C443" t="s">
        <v>944</v>
      </c>
      <c r="D443" s="170">
        <f>[1]!Table3[[#This Row],[Residential CLM $ Collected]]+[1]!Table3[[#This Row],[C&amp;I CLM $ Collected]]</f>
        <v>27912.763200000001</v>
      </c>
      <c r="E443" s="28">
        <f>[1]!Table3[[#This Row],[CLM $ Collected ]]/'[1]1.) CLM Reference'!$B$4</f>
        <v>3.0049128701204028E-4</v>
      </c>
      <c r="F443" s="170">
        <f>[1]!Table3[[#This Row],[Residential Incentive Disbursements]]+[1]!Table3[[#This Row],[C&amp;I Incentive Disbursements]]</f>
        <v>46194.68</v>
      </c>
      <c r="G443" s="28">
        <f>[1]!Table3[[#This Row],[Incentive Disbursements]]/'[1]1.) CLM Reference'!$B$5</f>
        <v>3.7090361531268574E-4</v>
      </c>
      <c r="H443" s="228">
        <v>27912.763200000001</v>
      </c>
      <c r="I443" s="28">
        <f>[1]!Table3[[#This Row],[Residential CLM $ Collected]]/'[1]1.) CLM Reference'!$B$4</f>
        <v>3.0049128701204028E-4</v>
      </c>
      <c r="J443" s="229">
        <v>46194.68</v>
      </c>
      <c r="K443" s="28">
        <f>[1]!Table3[[#This Row],[Residential Incentive Disbursements]]/'[1]1.) CLM Reference'!$B$5</f>
        <v>3.7090361531268574E-4</v>
      </c>
      <c r="L443" s="229">
        <v>0</v>
      </c>
      <c r="M443" s="28">
        <f>[1]!Table3[[#This Row],[C&amp;I CLM $ Collected]]/'[1]1.) CLM Reference'!$B$4</f>
        <v>0</v>
      </c>
      <c r="N443" s="229">
        <v>0</v>
      </c>
      <c r="O443" s="28">
        <f>[1]!Table3[[#This Row],[C&amp;I Incentive Disbursements]]/'[1]1.) CLM Reference'!$B$5</f>
        <v>0</v>
      </c>
      <c r="Q443">
        <f>VLOOKUP(Table3[[#This Row],[Census Tract]],'Population and Diversity Data'!$B$2:$K$823,10,FALSE)</f>
        <v>4</v>
      </c>
      <c r="R443" t="str">
        <f>VLOOKUP(Table3[[#This Row],[Census Tract]],'ES Energy Burden'!$B$2:$E$914,4,FALSE)</f>
        <v>Yes</v>
      </c>
    </row>
    <row r="444" spans="1:18" x14ac:dyDescent="0.2">
      <c r="A444" t="s">
        <v>985</v>
      </c>
      <c r="B444" s="169">
        <v>9003416400</v>
      </c>
      <c r="C444" t="s">
        <v>944</v>
      </c>
      <c r="D444" s="170">
        <f>[1]!Table3[[#This Row],[Residential CLM $ Collected]]+[1]!Table3[[#This Row],[C&amp;I CLM $ Collected]]</f>
        <v>32528.084190000001</v>
      </c>
      <c r="E444" s="28">
        <f>[1]!Table3[[#This Row],[CLM $ Collected ]]/'[1]1.) CLM Reference'!$B$4</f>
        <v>3.501769356281108E-4</v>
      </c>
      <c r="F444" s="170">
        <f>[1]!Table3[[#This Row],[Residential Incentive Disbursements]]+[1]!Table3[[#This Row],[C&amp;I Incentive Disbursements]]</f>
        <v>23132.205000000002</v>
      </c>
      <c r="G444" s="28">
        <f>[1]!Table3[[#This Row],[Incentive Disbursements]]/'[1]1.) CLM Reference'!$B$5</f>
        <v>1.8573174366949151E-4</v>
      </c>
      <c r="H444" s="228">
        <v>32528.084190000001</v>
      </c>
      <c r="I444" s="28">
        <f>[1]!Table3[[#This Row],[Residential CLM $ Collected]]/'[1]1.) CLM Reference'!$B$4</f>
        <v>3.501769356281108E-4</v>
      </c>
      <c r="J444" s="229">
        <v>23132.205000000002</v>
      </c>
      <c r="K444" s="28">
        <f>[1]!Table3[[#This Row],[Residential Incentive Disbursements]]/'[1]1.) CLM Reference'!$B$5</f>
        <v>1.8573174366949151E-4</v>
      </c>
      <c r="L444" s="229">
        <v>0</v>
      </c>
      <c r="M444" s="28">
        <f>[1]!Table3[[#This Row],[C&amp;I CLM $ Collected]]/'[1]1.) CLM Reference'!$B$4</f>
        <v>0</v>
      </c>
      <c r="N444" s="229">
        <v>0</v>
      </c>
      <c r="O444" s="28">
        <f>[1]!Table3[[#This Row],[C&amp;I Incentive Disbursements]]/'[1]1.) CLM Reference'!$B$5</f>
        <v>0</v>
      </c>
      <c r="Q444">
        <f>VLOOKUP(Table3[[#This Row],[Census Tract]],'Population and Diversity Data'!$B$2:$K$823,10,FALSE)</f>
        <v>3</v>
      </c>
      <c r="R444" t="str">
        <f>VLOOKUP(Table3[[#This Row],[Census Tract]],'ES Energy Burden'!$B$2:$E$914,4,FALSE)</f>
        <v>No</v>
      </c>
    </row>
    <row r="445" spans="1:18" x14ac:dyDescent="0.2">
      <c r="A445" t="s">
        <v>985</v>
      </c>
      <c r="B445" s="169">
        <v>9003416500</v>
      </c>
      <c r="C445" t="s">
        <v>944</v>
      </c>
      <c r="D445" s="170">
        <f>[1]!Table3[[#This Row],[Residential CLM $ Collected]]+[1]!Table3[[#This Row],[C&amp;I CLM $ Collected]]</f>
        <v>35883.861929999999</v>
      </c>
      <c r="E445" s="28">
        <f>[1]!Table3[[#This Row],[CLM $ Collected ]]/'[1]1.) CLM Reference'!$B$4</f>
        <v>3.8630313226416989E-4</v>
      </c>
      <c r="F445" s="170">
        <f>[1]!Table3[[#This Row],[Residential Incentive Disbursements]]+[1]!Table3[[#This Row],[C&amp;I Incentive Disbursements]]</f>
        <v>26308.99</v>
      </c>
      <c r="G445" s="28">
        <f>[1]!Table3[[#This Row],[Incentive Disbursements]]/'[1]1.) CLM Reference'!$B$5</f>
        <v>2.1123859947130919E-4</v>
      </c>
      <c r="H445" s="228">
        <v>35883.861929999999</v>
      </c>
      <c r="I445" s="28">
        <f>[1]!Table3[[#This Row],[Residential CLM $ Collected]]/'[1]1.) CLM Reference'!$B$4</f>
        <v>3.8630313226416989E-4</v>
      </c>
      <c r="J445" s="229">
        <v>26308.99</v>
      </c>
      <c r="K445" s="28">
        <f>[1]!Table3[[#This Row],[Residential Incentive Disbursements]]/'[1]1.) CLM Reference'!$B$5</f>
        <v>2.1123859947130919E-4</v>
      </c>
      <c r="L445" s="229">
        <v>0</v>
      </c>
      <c r="M445" s="28">
        <f>[1]!Table3[[#This Row],[C&amp;I CLM $ Collected]]/'[1]1.) CLM Reference'!$B$4</f>
        <v>0</v>
      </c>
      <c r="N445" s="229">
        <v>0</v>
      </c>
      <c r="O445" s="28">
        <f>[1]!Table3[[#This Row],[C&amp;I Incentive Disbursements]]/'[1]1.) CLM Reference'!$B$5</f>
        <v>0</v>
      </c>
      <c r="Q445">
        <f>VLOOKUP(Table3[[#This Row],[Census Tract]],'Population and Diversity Data'!$B$2:$K$823,10,FALSE)</f>
        <v>3</v>
      </c>
      <c r="R445" t="str">
        <f>VLOOKUP(Table3[[#This Row],[Census Tract]],'ES Energy Burden'!$B$2:$E$914,4,FALSE)</f>
        <v>No</v>
      </c>
    </row>
    <row r="446" spans="1:18" x14ac:dyDescent="0.2">
      <c r="A446" t="s">
        <v>985</v>
      </c>
      <c r="B446" s="169">
        <v>9003416600</v>
      </c>
      <c r="C446" t="s">
        <v>944</v>
      </c>
      <c r="D446" s="170">
        <f>[1]!Table3[[#This Row],[Residential CLM $ Collected]]+[1]!Table3[[#This Row],[C&amp;I CLM $ Collected]]</f>
        <v>12673.578036000001</v>
      </c>
      <c r="E446" s="28">
        <f>[1]!Table3[[#This Row],[CLM $ Collected ]]/'[1]1.) CLM Reference'!$B$4</f>
        <v>1.3643578558661528E-4</v>
      </c>
      <c r="F446" s="170">
        <f>[1]!Table3[[#This Row],[Residential Incentive Disbursements]]+[1]!Table3[[#This Row],[C&amp;I Incentive Disbursements]]</f>
        <v>2013.92</v>
      </c>
      <c r="G446" s="28">
        <f>[1]!Table3[[#This Row],[Incentive Disbursements]]/'[1]1.) CLM Reference'!$B$5</f>
        <v>1.6170048346487606E-5</v>
      </c>
      <c r="H446" s="228">
        <v>12673.578036000001</v>
      </c>
      <c r="I446" s="28">
        <f>[1]!Table3[[#This Row],[Residential CLM $ Collected]]/'[1]1.) CLM Reference'!$B$4</f>
        <v>1.3643578558661528E-4</v>
      </c>
      <c r="J446" s="229">
        <v>2013.92</v>
      </c>
      <c r="K446" s="28">
        <f>[1]!Table3[[#This Row],[Residential Incentive Disbursements]]/'[1]1.) CLM Reference'!$B$5</f>
        <v>1.6170048346487606E-5</v>
      </c>
      <c r="L446" s="229">
        <v>0</v>
      </c>
      <c r="M446" s="28">
        <f>[1]!Table3[[#This Row],[C&amp;I CLM $ Collected]]/'[1]1.) CLM Reference'!$B$4</f>
        <v>0</v>
      </c>
      <c r="N446" s="229">
        <v>0</v>
      </c>
      <c r="O446" s="28">
        <f>[1]!Table3[[#This Row],[C&amp;I Incentive Disbursements]]/'[1]1.) CLM Reference'!$B$5</f>
        <v>0</v>
      </c>
      <c r="Q446">
        <f>VLOOKUP(Table3[[#This Row],[Census Tract]],'Population and Diversity Data'!$B$2:$K$823,10,FALSE)</f>
        <v>4</v>
      </c>
      <c r="R446" t="str">
        <f>VLOOKUP(Table3[[#This Row],[Census Tract]],'ES Energy Burden'!$B$2:$E$914,4,FALSE)</f>
        <v>Yes</v>
      </c>
    </row>
    <row r="447" spans="1:18" x14ac:dyDescent="0.2">
      <c r="A447" t="s">
        <v>985</v>
      </c>
      <c r="B447" s="169">
        <v>9003416700</v>
      </c>
      <c r="C447" t="s">
        <v>944</v>
      </c>
      <c r="D447" s="170">
        <f>[1]!Table3[[#This Row],[Residential CLM $ Collected]]+[1]!Table3[[#This Row],[C&amp;I CLM $ Collected]]</f>
        <v>47838.015330000002</v>
      </c>
      <c r="E447" s="28">
        <f>[1]!Table3[[#This Row],[CLM $ Collected ]]/'[1]1.) CLM Reference'!$B$4</f>
        <v>5.1499404382198224E-4</v>
      </c>
      <c r="F447" s="170">
        <f>[1]!Table3[[#This Row],[Residential Incentive Disbursements]]+[1]!Table3[[#This Row],[C&amp;I Incentive Disbursements]]</f>
        <v>66527.149999999994</v>
      </c>
      <c r="G447" s="28">
        <f>[1]!Table3[[#This Row],[Incentive Disbursements]]/'[1]1.) CLM Reference'!$B$5</f>
        <v>5.3415589092617032E-4</v>
      </c>
      <c r="H447" s="228">
        <v>47838.015330000002</v>
      </c>
      <c r="I447" s="28">
        <f>[1]!Table3[[#This Row],[Residential CLM $ Collected]]/'[1]1.) CLM Reference'!$B$4</f>
        <v>5.1499404382198224E-4</v>
      </c>
      <c r="J447" s="229">
        <v>66527.149999999994</v>
      </c>
      <c r="K447" s="28">
        <f>[1]!Table3[[#This Row],[Residential Incentive Disbursements]]/'[1]1.) CLM Reference'!$B$5</f>
        <v>5.3415589092617032E-4</v>
      </c>
      <c r="L447" s="229">
        <v>0</v>
      </c>
      <c r="M447" s="28">
        <f>[1]!Table3[[#This Row],[C&amp;I CLM $ Collected]]/'[1]1.) CLM Reference'!$B$4</f>
        <v>0</v>
      </c>
      <c r="N447" s="229">
        <v>0</v>
      </c>
      <c r="O447" s="28">
        <f>[1]!Table3[[#This Row],[C&amp;I Incentive Disbursements]]/'[1]1.) CLM Reference'!$B$5</f>
        <v>0</v>
      </c>
      <c r="Q447">
        <f>VLOOKUP(Table3[[#This Row],[Census Tract]],'Population and Diversity Data'!$B$2:$K$823,10,FALSE)</f>
        <v>5</v>
      </c>
      <c r="R447" t="str">
        <f>VLOOKUP(Table3[[#This Row],[Census Tract]],'ES Energy Burden'!$B$2:$E$914,4,FALSE)</f>
        <v>No</v>
      </c>
    </row>
    <row r="448" spans="1:18" x14ac:dyDescent="0.2">
      <c r="A448" t="s">
        <v>985</v>
      </c>
      <c r="B448" s="169">
        <v>9003416800</v>
      </c>
      <c r="C448" t="s">
        <v>944</v>
      </c>
      <c r="D448" s="170">
        <f>[1]!Table3[[#This Row],[Residential CLM $ Collected]]+[1]!Table3[[#This Row],[C&amp;I CLM $ Collected]]</f>
        <v>21761.188259999999</v>
      </c>
      <c r="E448" s="28">
        <f>[1]!Table3[[#This Row],[CLM $ Collected ]]/'[1]1.) CLM Reference'!$B$4</f>
        <v>2.3426729271857616E-4</v>
      </c>
      <c r="F448" s="170">
        <f>[1]!Table3[[#This Row],[Residential Incentive Disbursements]]+[1]!Table3[[#This Row],[C&amp;I Incentive Disbursements]]</f>
        <v>5165.95</v>
      </c>
      <c r="G448" s="28">
        <f>[1]!Table3[[#This Row],[Incentive Disbursements]]/'[1]1.) CLM Reference'!$B$5</f>
        <v>4.1478142754199593E-5</v>
      </c>
      <c r="H448" s="228">
        <v>21761.188259999999</v>
      </c>
      <c r="I448" s="28">
        <f>[1]!Table3[[#This Row],[Residential CLM $ Collected]]/'[1]1.) CLM Reference'!$B$4</f>
        <v>2.3426729271857616E-4</v>
      </c>
      <c r="J448" s="229">
        <v>5165.95</v>
      </c>
      <c r="K448" s="28">
        <f>[1]!Table3[[#This Row],[Residential Incentive Disbursements]]/'[1]1.) CLM Reference'!$B$5</f>
        <v>4.1478142754199593E-5</v>
      </c>
      <c r="L448" s="229">
        <v>0</v>
      </c>
      <c r="M448" s="28">
        <f>[1]!Table3[[#This Row],[C&amp;I CLM $ Collected]]/'[1]1.) CLM Reference'!$B$4</f>
        <v>0</v>
      </c>
      <c r="N448" s="229">
        <v>0</v>
      </c>
      <c r="O448" s="28">
        <f>[1]!Table3[[#This Row],[C&amp;I Incentive Disbursements]]/'[1]1.) CLM Reference'!$B$5</f>
        <v>0</v>
      </c>
      <c r="Q448">
        <f>VLOOKUP(Table3[[#This Row],[Census Tract]],'Population and Diversity Data'!$B$2:$K$823,10,FALSE)</f>
        <v>5</v>
      </c>
      <c r="R448" t="str">
        <f>VLOOKUP(Table3[[#This Row],[Census Tract]],'ES Energy Burden'!$B$2:$E$914,4,FALSE)</f>
        <v>No</v>
      </c>
    </row>
    <row r="449" spans="1:18" x14ac:dyDescent="0.2">
      <c r="A449" t="s">
        <v>985</v>
      </c>
      <c r="B449" s="169">
        <v>9003417100</v>
      </c>
      <c r="C449" t="s">
        <v>936</v>
      </c>
      <c r="D449" s="170">
        <f>[1]!Table3[[#This Row],[Residential CLM $ Collected]]+[1]!Table3[[#This Row],[C&amp;I CLM $ Collected]]</f>
        <v>10309.16649</v>
      </c>
      <c r="E449" s="28">
        <f>[1]!Table3[[#This Row],[CLM $ Collected ]]/'[1]1.) CLM Reference'!$B$4</f>
        <v>1.1098201508768927E-4</v>
      </c>
      <c r="F449" s="170">
        <f>[1]!Table3[[#This Row],[Residential Incentive Disbursements]]+[1]!Table3[[#This Row],[C&amp;I Incentive Disbursements]]</f>
        <v>168.27</v>
      </c>
      <c r="G449" s="28">
        <f>[1]!Table3[[#This Row],[Incentive Disbursements]]/'[1]1.) CLM Reference'!$B$5</f>
        <v>1.3510636148722241E-6</v>
      </c>
      <c r="H449" s="228">
        <v>10309.16649</v>
      </c>
      <c r="I449" s="28">
        <f>[1]!Table3[[#This Row],[Residential CLM $ Collected]]/'[1]1.) CLM Reference'!$B$4</f>
        <v>1.1098201508768927E-4</v>
      </c>
      <c r="J449" s="229">
        <v>168.27</v>
      </c>
      <c r="K449" s="28">
        <f>[1]!Table3[[#This Row],[Residential Incentive Disbursements]]/'[1]1.) CLM Reference'!$B$5</f>
        <v>1.3510636148722241E-6</v>
      </c>
      <c r="L449" s="229">
        <v>0</v>
      </c>
      <c r="M449" s="28">
        <f>[1]!Table3[[#This Row],[C&amp;I CLM $ Collected]]/'[1]1.) CLM Reference'!$B$4</f>
        <v>0</v>
      </c>
      <c r="N449" s="229">
        <v>0</v>
      </c>
      <c r="O449" s="28">
        <f>[1]!Table3[[#This Row],[C&amp;I Incentive Disbursements]]/'[1]1.) CLM Reference'!$B$5</f>
        <v>0</v>
      </c>
      <c r="Q449">
        <f>VLOOKUP(Table3[[#This Row],[Census Tract]],'Population and Diversity Data'!$B$2:$K$823,10,FALSE)</f>
        <v>4</v>
      </c>
      <c r="R449" t="e">
        <f>VLOOKUP(Table3[[#This Row],[Census Tract]],'ES Energy Burden'!$B$2:$E$914,4,FALSE)</f>
        <v>#N/A</v>
      </c>
    </row>
    <row r="450" spans="1:18" x14ac:dyDescent="0.2">
      <c r="A450" t="s">
        <v>985</v>
      </c>
      <c r="B450" s="169">
        <v>9003417200</v>
      </c>
      <c r="C450" t="s">
        <v>944</v>
      </c>
      <c r="D450" s="170">
        <f>[1]!Table3[[#This Row],[Residential CLM $ Collected]]+[1]!Table3[[#This Row],[C&amp;I CLM $ Collected]]</f>
        <v>13168.471428000001</v>
      </c>
      <c r="E450" s="28">
        <f>[1]!Table3[[#This Row],[CLM $ Collected ]]/'[1]1.) CLM Reference'!$B$4</f>
        <v>1.4176349718687112E-4</v>
      </c>
      <c r="F450" s="170">
        <f>[1]!Table3[[#This Row],[Residential Incentive Disbursements]]+[1]!Table3[[#This Row],[C&amp;I Incentive Disbursements]]</f>
        <v>7213.15</v>
      </c>
      <c r="G450" s="28">
        <f>[1]!Table3[[#This Row],[Incentive Disbursements]]/'[1]1.) CLM Reference'!$B$5</f>
        <v>5.7915400924796946E-5</v>
      </c>
      <c r="H450" s="228">
        <v>13168.471428000001</v>
      </c>
      <c r="I450" s="28">
        <f>[1]!Table3[[#This Row],[Residential CLM $ Collected]]/'[1]1.) CLM Reference'!$B$4</f>
        <v>1.4176349718687112E-4</v>
      </c>
      <c r="J450" s="229">
        <v>7213.15</v>
      </c>
      <c r="K450" s="28">
        <f>[1]!Table3[[#This Row],[Residential Incentive Disbursements]]/'[1]1.) CLM Reference'!$B$5</f>
        <v>5.7915400924796946E-5</v>
      </c>
      <c r="L450" s="229">
        <v>0</v>
      </c>
      <c r="M450" s="28">
        <f>[1]!Table3[[#This Row],[C&amp;I CLM $ Collected]]/'[1]1.) CLM Reference'!$B$4</f>
        <v>0</v>
      </c>
      <c r="N450" s="229">
        <v>0</v>
      </c>
      <c r="O450" s="28">
        <f>[1]!Table3[[#This Row],[C&amp;I Incentive Disbursements]]/'[1]1.) CLM Reference'!$B$5</f>
        <v>0</v>
      </c>
      <c r="Q450">
        <f>VLOOKUP(Table3[[#This Row],[Census Tract]],'Population and Diversity Data'!$B$2:$K$823,10,FALSE)</f>
        <v>5</v>
      </c>
      <c r="R450" t="e">
        <f>VLOOKUP(Table3[[#This Row],[Census Tract]],'ES Energy Burden'!$B$2:$E$914,4,FALSE)</f>
        <v>#N/A</v>
      </c>
    </row>
    <row r="451" spans="1:18" x14ac:dyDescent="0.2">
      <c r="A451" t="s">
        <v>985</v>
      </c>
      <c r="B451" s="169">
        <v>9003417300</v>
      </c>
      <c r="C451" t="s">
        <v>936</v>
      </c>
      <c r="D451" s="170">
        <f>[1]!Table3[[#This Row],[Residential CLM $ Collected]]+[1]!Table3[[#This Row],[C&amp;I CLM $ Collected]]</f>
        <v>179.28960000000001</v>
      </c>
      <c r="E451" s="28">
        <f>[1]!Table3[[#This Row],[CLM $ Collected ]]/'[1]1.) CLM Reference'!$B$4</f>
        <v>1.930119288651218E-6</v>
      </c>
      <c r="F451" s="170">
        <f>[1]!Table3[[#This Row],[Residential Incentive Disbursements]]+[1]!Table3[[#This Row],[C&amp;I Incentive Disbursements]]</f>
        <v>0</v>
      </c>
      <c r="G451" s="28">
        <f>[1]!Table3[[#This Row],[Incentive Disbursements]]/'[1]1.) CLM Reference'!$B$5</f>
        <v>0</v>
      </c>
      <c r="H451" s="228">
        <v>179.28960000000001</v>
      </c>
      <c r="I451" s="28">
        <f>[1]!Table3[[#This Row],[Residential CLM $ Collected]]/'[1]1.) CLM Reference'!$B$4</f>
        <v>1.930119288651218E-6</v>
      </c>
      <c r="J451" s="229">
        <v>0</v>
      </c>
      <c r="K451" s="28">
        <f>[1]!Table3[[#This Row],[Residential Incentive Disbursements]]/'[1]1.) CLM Reference'!$B$5</f>
        <v>0</v>
      </c>
      <c r="L451" s="229">
        <v>0</v>
      </c>
      <c r="M451" s="28">
        <f>[1]!Table3[[#This Row],[C&amp;I CLM $ Collected]]/'[1]1.) CLM Reference'!$B$4</f>
        <v>0</v>
      </c>
      <c r="N451" s="229">
        <v>0</v>
      </c>
      <c r="O451" s="28">
        <f>[1]!Table3[[#This Row],[C&amp;I Incentive Disbursements]]/'[1]1.) CLM Reference'!$B$5</f>
        <v>0</v>
      </c>
      <c r="Q451" t="e">
        <f>VLOOKUP(Table3[[#This Row],[Census Tract]],'Population and Diversity Data'!$B$2:$K$823,10,FALSE)</f>
        <v>#N/A</v>
      </c>
      <c r="R451" t="e">
        <f>VLOOKUP(Table3[[#This Row],[Census Tract]],'ES Energy Burden'!$B$2:$E$914,4,FALSE)</f>
        <v>#N/A</v>
      </c>
    </row>
    <row r="452" spans="1:18" x14ac:dyDescent="0.2">
      <c r="A452" t="s">
        <v>985</v>
      </c>
      <c r="B452" s="169">
        <v>9003417400</v>
      </c>
      <c r="C452" t="s">
        <v>944</v>
      </c>
      <c r="D452" s="170">
        <f>[1]!Table3[[#This Row],[Residential CLM $ Collected]]+[1]!Table3[[#This Row],[C&amp;I CLM $ Collected]]</f>
        <v>24457.49712</v>
      </c>
      <c r="E452" s="28">
        <f>[1]!Table3[[#This Row],[CLM $ Collected ]]/'[1]1.) CLM Reference'!$B$4</f>
        <v>2.6329406135907273E-4</v>
      </c>
      <c r="F452" s="170">
        <f>[1]!Table3[[#This Row],[Residential Incentive Disbursements]]+[1]!Table3[[#This Row],[C&amp;I Incentive Disbursements]]</f>
        <v>29821.86</v>
      </c>
      <c r="G452" s="28">
        <f>[1]!Table3[[#This Row],[Incentive Disbursements]]/'[1]1.) CLM Reference'!$B$5</f>
        <v>2.3944392924355728E-4</v>
      </c>
      <c r="H452" s="228">
        <v>24457.49712</v>
      </c>
      <c r="I452" s="28">
        <f>[1]!Table3[[#This Row],[Residential CLM $ Collected]]/'[1]1.) CLM Reference'!$B$4</f>
        <v>2.6329406135907273E-4</v>
      </c>
      <c r="J452" s="229">
        <v>29821.86</v>
      </c>
      <c r="K452" s="28">
        <f>[1]!Table3[[#This Row],[Residential Incentive Disbursements]]/'[1]1.) CLM Reference'!$B$5</f>
        <v>2.3944392924355728E-4</v>
      </c>
      <c r="L452" s="229">
        <v>0</v>
      </c>
      <c r="M452" s="28">
        <f>[1]!Table3[[#This Row],[C&amp;I CLM $ Collected]]/'[1]1.) CLM Reference'!$B$4</f>
        <v>0</v>
      </c>
      <c r="N452" s="229">
        <v>0</v>
      </c>
      <c r="O452" s="28">
        <f>[1]!Table3[[#This Row],[C&amp;I Incentive Disbursements]]/'[1]1.) CLM Reference'!$B$5</f>
        <v>0</v>
      </c>
      <c r="Q452">
        <f>VLOOKUP(Table3[[#This Row],[Census Tract]],'Population and Diversity Data'!$B$2:$K$823,10,FALSE)</f>
        <v>4</v>
      </c>
      <c r="R452" t="str">
        <f>VLOOKUP(Table3[[#This Row],[Census Tract]],'ES Energy Burden'!$B$2:$E$914,4,FALSE)</f>
        <v>No</v>
      </c>
    </row>
    <row r="453" spans="1:18" x14ac:dyDescent="0.2">
      <c r="A453" t="s">
        <v>985</v>
      </c>
      <c r="B453" s="169">
        <v>9003417500</v>
      </c>
      <c r="C453" t="s">
        <v>944</v>
      </c>
      <c r="D453" s="170">
        <f>[1]!Table3[[#This Row],[Residential CLM $ Collected]]+[1]!Table3[[#This Row],[C&amp;I CLM $ Collected]]</f>
        <v>35198.103360000001</v>
      </c>
      <c r="E453" s="28">
        <f>[1]!Table3[[#This Row],[CLM $ Collected ]]/'[1]1.) CLM Reference'!$B$4</f>
        <v>3.7892068596881944E-4</v>
      </c>
      <c r="F453" s="170">
        <f>[1]!Table3[[#This Row],[Residential Incentive Disbursements]]+[1]!Table3[[#This Row],[C&amp;I Incentive Disbursements]]</f>
        <v>24683.34</v>
      </c>
      <c r="G453" s="28">
        <f>[1]!Table3[[#This Row],[Incentive Disbursements]]/'[1]1.) CLM Reference'!$B$5</f>
        <v>1.9818602583657316E-4</v>
      </c>
      <c r="H453" s="228">
        <v>35198.103360000001</v>
      </c>
      <c r="I453" s="28">
        <f>[1]!Table3[[#This Row],[Residential CLM $ Collected]]/'[1]1.) CLM Reference'!$B$4</f>
        <v>3.7892068596881944E-4</v>
      </c>
      <c r="J453" s="229">
        <v>24683.34</v>
      </c>
      <c r="K453" s="28">
        <f>[1]!Table3[[#This Row],[Residential Incentive Disbursements]]/'[1]1.) CLM Reference'!$B$5</f>
        <v>1.9818602583657316E-4</v>
      </c>
      <c r="L453" s="229">
        <v>0</v>
      </c>
      <c r="M453" s="28">
        <f>[1]!Table3[[#This Row],[C&amp;I CLM $ Collected]]/'[1]1.) CLM Reference'!$B$4</f>
        <v>0</v>
      </c>
      <c r="N453" s="229">
        <v>0</v>
      </c>
      <c r="O453" s="28">
        <f>[1]!Table3[[#This Row],[C&amp;I Incentive Disbursements]]/'[1]1.) CLM Reference'!$B$5</f>
        <v>0</v>
      </c>
      <c r="Q453">
        <f>VLOOKUP(Table3[[#This Row],[Census Tract]],'Population and Diversity Data'!$B$2:$K$823,10,FALSE)</f>
        <v>4</v>
      </c>
      <c r="R453" t="str">
        <f>VLOOKUP(Table3[[#This Row],[Census Tract]],'ES Energy Burden'!$B$2:$E$914,4,FALSE)</f>
        <v>No</v>
      </c>
    </row>
    <row r="454" spans="1:18" x14ac:dyDescent="0.2">
      <c r="A454" t="s">
        <v>985</v>
      </c>
      <c r="B454" s="169">
        <v>9003460100</v>
      </c>
      <c r="C454" t="s">
        <v>944</v>
      </c>
      <c r="D454" s="170">
        <f>[1]!Table3[[#This Row],[Residential CLM $ Collected]]+[1]!Table3[[#This Row],[C&amp;I CLM $ Collected]]</f>
        <v>21.677040000000002</v>
      </c>
      <c r="E454" s="28">
        <f>[1]!Table3[[#This Row],[CLM $ Collected ]]/'[1]1.) CLM Reference'!$B$4</f>
        <v>2.3336140537356322E-7</v>
      </c>
      <c r="F454" s="170">
        <f>[1]!Table3[[#This Row],[Residential Incentive Disbursements]]+[1]!Table3[[#This Row],[C&amp;I Incentive Disbursements]]</f>
        <v>0</v>
      </c>
      <c r="G454" s="28">
        <f>[1]!Table3[[#This Row],[Incentive Disbursements]]/'[1]1.) CLM Reference'!$B$5</f>
        <v>0</v>
      </c>
      <c r="H454" s="228">
        <v>21.677040000000002</v>
      </c>
      <c r="I454" s="28">
        <f>[1]!Table3[[#This Row],[Residential CLM $ Collected]]/'[1]1.) CLM Reference'!$B$4</f>
        <v>2.3336140537356322E-7</v>
      </c>
      <c r="J454" s="229">
        <v>0</v>
      </c>
      <c r="K454" s="28">
        <f>[1]!Table3[[#This Row],[Residential Incentive Disbursements]]/'[1]1.) CLM Reference'!$B$5</f>
        <v>0</v>
      </c>
      <c r="L454" s="229">
        <v>0</v>
      </c>
      <c r="M454" s="28">
        <f>[1]!Table3[[#This Row],[C&amp;I CLM $ Collected]]/'[1]1.) CLM Reference'!$B$4</f>
        <v>0</v>
      </c>
      <c r="N454" s="229">
        <v>0</v>
      </c>
      <c r="O454" s="28">
        <f>[1]!Table3[[#This Row],[C&amp;I Incentive Disbursements]]/'[1]1.) CLM Reference'!$B$5</f>
        <v>0</v>
      </c>
      <c r="Q454">
        <f>VLOOKUP(Table3[[#This Row],[Census Tract]],'Population and Diversity Data'!$B$2:$K$823,10,FALSE)</f>
        <v>3</v>
      </c>
      <c r="R454" t="str">
        <f>VLOOKUP(Table3[[#This Row],[Census Tract]],'ES Energy Burden'!$B$2:$E$914,4,FALSE)</f>
        <v>No</v>
      </c>
    </row>
    <row r="455" spans="1:18" x14ac:dyDescent="0.2">
      <c r="A455" t="s">
        <v>985</v>
      </c>
      <c r="B455" s="169">
        <v>9003460202</v>
      </c>
      <c r="C455" t="s">
        <v>944</v>
      </c>
      <c r="D455" s="170">
        <f>[1]!Table3[[#This Row],[Residential CLM $ Collected]]+[1]!Table3[[#This Row],[C&amp;I CLM $ Collected]]</f>
        <v>291.60158999999999</v>
      </c>
      <c r="E455" s="28">
        <f>[1]!Table3[[#This Row],[CLM $ Collected ]]/'[1]1.) CLM Reference'!$B$4</f>
        <v>3.139199671706357E-6</v>
      </c>
      <c r="F455" s="170">
        <f>[1]!Table3[[#This Row],[Residential Incentive Disbursements]]+[1]!Table3[[#This Row],[C&amp;I Incentive Disbursements]]</f>
        <v>2078.8000000000002</v>
      </c>
      <c r="G455" s="28">
        <f>[1]!Table3[[#This Row],[Incentive Disbursements]]/'[1]1.) CLM Reference'!$B$5</f>
        <v>1.669097903724003E-5</v>
      </c>
      <c r="H455" s="228">
        <v>291.60158999999999</v>
      </c>
      <c r="I455" s="28">
        <f>[1]!Table3[[#This Row],[Residential CLM $ Collected]]/'[1]1.) CLM Reference'!$B$4</f>
        <v>3.139199671706357E-6</v>
      </c>
      <c r="J455" s="229">
        <v>2078.8000000000002</v>
      </c>
      <c r="K455" s="28">
        <f>[1]!Table3[[#This Row],[Residential Incentive Disbursements]]/'[1]1.) CLM Reference'!$B$5</f>
        <v>1.669097903724003E-5</v>
      </c>
      <c r="L455" s="229">
        <v>0</v>
      </c>
      <c r="M455" s="28">
        <f>[1]!Table3[[#This Row],[C&amp;I CLM $ Collected]]/'[1]1.) CLM Reference'!$B$4</f>
        <v>0</v>
      </c>
      <c r="N455" s="229">
        <v>0</v>
      </c>
      <c r="O455" s="28">
        <f>[1]!Table3[[#This Row],[C&amp;I Incentive Disbursements]]/'[1]1.) CLM Reference'!$B$5</f>
        <v>0</v>
      </c>
      <c r="Q455">
        <f>VLOOKUP(Table3[[#This Row],[Census Tract]],'Population and Diversity Data'!$B$2:$K$823,10,FALSE)</f>
        <v>4</v>
      </c>
      <c r="R455" t="str">
        <f>VLOOKUP(Table3[[#This Row],[Census Tract]],'ES Energy Burden'!$B$2:$E$914,4,FALSE)</f>
        <v>No</v>
      </c>
    </row>
    <row r="456" spans="1:18" x14ac:dyDescent="0.2">
      <c r="A456" t="s">
        <v>985</v>
      </c>
      <c r="B456" s="169">
        <v>9003494300</v>
      </c>
      <c r="C456" t="s">
        <v>944</v>
      </c>
      <c r="D456" s="170">
        <f>[1]!Table3[[#This Row],[Residential CLM $ Collected]]+[1]!Table3[[#This Row],[C&amp;I CLM $ Collected]]</f>
        <v>78.241169999999997</v>
      </c>
      <c r="E456" s="28">
        <f>[1]!Table3[[#This Row],[CLM $ Collected ]]/'[1]1.) CLM Reference'!$B$4</f>
        <v>8.4229532211371443E-7</v>
      </c>
      <c r="F456" s="170">
        <f>[1]!Table3[[#This Row],[Residential Incentive Disbursements]]+[1]!Table3[[#This Row],[C&amp;I Incentive Disbursements]]</f>
        <v>0</v>
      </c>
      <c r="G456" s="28">
        <f>[1]!Table3[[#This Row],[Incentive Disbursements]]/'[1]1.) CLM Reference'!$B$5</f>
        <v>0</v>
      </c>
      <c r="H456" s="228">
        <v>78.241169999999997</v>
      </c>
      <c r="I456" s="28">
        <f>[1]!Table3[[#This Row],[Residential CLM $ Collected]]/'[1]1.) CLM Reference'!$B$4</f>
        <v>8.4229532211371443E-7</v>
      </c>
      <c r="J456" s="229">
        <v>0</v>
      </c>
      <c r="K456" s="28">
        <f>[1]!Table3[[#This Row],[Residential Incentive Disbursements]]/'[1]1.) CLM Reference'!$B$5</f>
        <v>0</v>
      </c>
      <c r="L456" s="229">
        <v>0</v>
      </c>
      <c r="M456" s="28">
        <f>[1]!Table3[[#This Row],[C&amp;I CLM $ Collected]]/'[1]1.) CLM Reference'!$B$4</f>
        <v>0</v>
      </c>
      <c r="N456" s="229">
        <v>0</v>
      </c>
      <c r="O456" s="28">
        <f>[1]!Table3[[#This Row],[C&amp;I Incentive Disbursements]]/'[1]1.) CLM Reference'!$B$5</f>
        <v>0</v>
      </c>
      <c r="Q456">
        <f>VLOOKUP(Table3[[#This Row],[Census Tract]],'Population and Diversity Data'!$B$2:$K$823,10,FALSE)</f>
        <v>3</v>
      </c>
      <c r="R456" t="str">
        <f>VLOOKUP(Table3[[#This Row],[Census Tract]],'ES Energy Burden'!$B$2:$E$914,4,FALSE)</f>
        <v>No</v>
      </c>
    </row>
    <row r="457" spans="1:18" x14ac:dyDescent="0.2">
      <c r="A457" t="s">
        <v>2807</v>
      </c>
      <c r="B457" s="169">
        <v>9001035100</v>
      </c>
      <c r="C457" t="s">
        <v>944</v>
      </c>
      <c r="D457" s="170">
        <f>[1]!Table3[[#This Row],[Residential CLM $ Collected]]+[1]!Table3[[#This Row],[C&amp;I CLM $ Collected]]</f>
        <v>440822.73742499994</v>
      </c>
      <c r="E457" s="28">
        <f>[1]!Table3[[#This Row],[CLM $ Collected ]]/'[1]1.) CLM Reference'!$B$4</f>
        <v>4.7456208747190219E-3</v>
      </c>
      <c r="F457" s="170">
        <f>[1]!Table3[[#This Row],[Residential Incentive Disbursements]]+[1]!Table3[[#This Row],[C&amp;I Incentive Disbursements]]</f>
        <v>364511.158</v>
      </c>
      <c r="G457" s="28">
        <f>[1]!Table3[[#This Row],[Incentive Disbursements]]/'[1]1.) CLM Reference'!$B$5</f>
        <v>2.9267116110342924E-3</v>
      </c>
      <c r="H457" s="228">
        <v>339217.59486299998</v>
      </c>
      <c r="I457" s="28">
        <f>[1]!Table3[[#This Row],[Residential CLM $ Collected]]/'[1]1.) CLM Reference'!$B$4</f>
        <v>3.6518036902026137E-3</v>
      </c>
      <c r="J457" s="229">
        <v>336740.42</v>
      </c>
      <c r="K457" s="28">
        <f>[1]!Table3[[#This Row],[Residential Incentive Disbursements]]/'[1]1.) CLM Reference'!$B$5</f>
        <v>2.703736430253705E-3</v>
      </c>
      <c r="L457" s="229">
        <v>101605.14256199999</v>
      </c>
      <c r="M457" s="28">
        <f>[1]!Table3[[#This Row],[C&amp;I CLM $ Collected]]/'[1]1.) CLM Reference'!$B$4</f>
        <v>1.0938171845164082E-3</v>
      </c>
      <c r="N457" s="229">
        <v>27770.738000000001</v>
      </c>
      <c r="O457" s="28">
        <f>[1]!Table3[[#This Row],[C&amp;I Incentive Disbursements]]/'[1]1.) CLM Reference'!$B$5</f>
        <v>2.229751807805874E-4</v>
      </c>
      <c r="Q457">
        <f>VLOOKUP(Table3[[#This Row],[Census Tract]],'Population and Diversity Data'!$B$2:$K$823,10,FALSE)</f>
        <v>2</v>
      </c>
      <c r="R457" t="str">
        <f>VLOOKUP(Table3[[#This Row],[Census Tract]],'ES Energy Burden'!$B$2:$E$914,4,FALSE)</f>
        <v>No</v>
      </c>
    </row>
    <row r="458" spans="1:18" x14ac:dyDescent="0.2">
      <c r="A458" t="s">
        <v>2807</v>
      </c>
      <c r="B458" s="169">
        <v>9001035200</v>
      </c>
      <c r="C458" t="s">
        <v>944</v>
      </c>
      <c r="D458" s="170">
        <f>[1]!Table3[[#This Row],[Residential CLM $ Collected]]+[1]!Table3[[#This Row],[C&amp;I CLM $ Collected]]</f>
        <v>95394.583179000008</v>
      </c>
      <c r="E458" s="28">
        <f>[1]!Table3[[#This Row],[CLM $ Collected ]]/'[1]1.) CLM Reference'!$B$4</f>
        <v>1.0269582007357422E-3</v>
      </c>
      <c r="F458" s="170">
        <f>[1]!Table3[[#This Row],[Residential Incentive Disbursements]]+[1]!Table3[[#This Row],[C&amp;I Incentive Disbursements]]</f>
        <v>28433.9</v>
      </c>
      <c r="G458" s="28">
        <f>[1]!Table3[[#This Row],[Incentive Disbursements]]/'[1]1.) CLM Reference'!$B$5</f>
        <v>2.2829980221617243E-4</v>
      </c>
      <c r="H458" s="228">
        <v>95394.583179000008</v>
      </c>
      <c r="I458" s="28">
        <f>[1]!Table3[[#This Row],[Residential CLM $ Collected]]/'[1]1.) CLM Reference'!$B$4</f>
        <v>1.0269582007357422E-3</v>
      </c>
      <c r="J458" s="229">
        <v>28433.9</v>
      </c>
      <c r="K458" s="28">
        <f>[1]!Table3[[#This Row],[Residential Incentive Disbursements]]/'[1]1.) CLM Reference'!$B$5</f>
        <v>2.2829980221617243E-4</v>
      </c>
      <c r="L458" s="229">
        <v>0</v>
      </c>
      <c r="M458" s="28">
        <f>[1]!Table3[[#This Row],[C&amp;I CLM $ Collected]]/'[1]1.) CLM Reference'!$B$4</f>
        <v>0</v>
      </c>
      <c r="N458" s="229">
        <v>0</v>
      </c>
      <c r="O458" s="28">
        <f>[1]!Table3[[#This Row],[C&amp;I Incentive Disbursements]]/'[1]1.) CLM Reference'!$B$5</f>
        <v>0</v>
      </c>
      <c r="Q458">
        <f>VLOOKUP(Table3[[#This Row],[Census Tract]],'Population and Diversity Data'!$B$2:$K$823,10,FALSE)</f>
        <v>2</v>
      </c>
      <c r="R458" t="str">
        <f>VLOOKUP(Table3[[#This Row],[Census Tract]],'ES Energy Burden'!$B$2:$E$914,4,FALSE)</f>
        <v>No</v>
      </c>
    </row>
    <row r="459" spans="1:18" x14ac:dyDescent="0.2">
      <c r="A459" t="s">
        <v>2807</v>
      </c>
      <c r="B459" s="169">
        <v>9001035300</v>
      </c>
      <c r="C459" t="s">
        <v>944</v>
      </c>
      <c r="D459" s="170">
        <f>[1]!Table3[[#This Row],[Residential CLM $ Collected]]+[1]!Table3[[#This Row],[C&amp;I CLM $ Collected]]</f>
        <v>81540.621245999995</v>
      </c>
      <c r="E459" s="28">
        <f>[1]!Table3[[#This Row],[CLM $ Collected ]]/'[1]1.) CLM Reference'!$B$4</f>
        <v>8.7781514307303877E-4</v>
      </c>
      <c r="F459" s="170">
        <f>[1]!Table3[[#This Row],[Residential Incentive Disbursements]]+[1]!Table3[[#This Row],[C&amp;I Incentive Disbursements]]</f>
        <v>27771.915000000001</v>
      </c>
      <c r="G459" s="28">
        <f>[1]!Table3[[#This Row],[Incentive Disbursements]]/'[1]1.) CLM Reference'!$B$5</f>
        <v>2.229846310799557E-4</v>
      </c>
      <c r="H459" s="228">
        <v>81540.621245999995</v>
      </c>
      <c r="I459" s="28">
        <f>[1]!Table3[[#This Row],[Residential CLM $ Collected]]/'[1]1.) CLM Reference'!$B$4</f>
        <v>8.7781514307303877E-4</v>
      </c>
      <c r="J459" s="229">
        <v>27771.915000000001</v>
      </c>
      <c r="K459" s="28">
        <f>[1]!Table3[[#This Row],[Residential Incentive Disbursements]]/'[1]1.) CLM Reference'!$B$5</f>
        <v>2.229846310799557E-4</v>
      </c>
      <c r="L459" s="229">
        <v>0</v>
      </c>
      <c r="M459" s="28">
        <f>[1]!Table3[[#This Row],[C&amp;I CLM $ Collected]]/'[1]1.) CLM Reference'!$B$4</f>
        <v>0</v>
      </c>
      <c r="N459" s="229">
        <v>0</v>
      </c>
      <c r="O459" s="28">
        <f>[1]!Table3[[#This Row],[C&amp;I Incentive Disbursements]]/'[1]1.) CLM Reference'!$B$5</f>
        <v>0</v>
      </c>
      <c r="Q459">
        <f>VLOOKUP(Table3[[#This Row],[Census Tract]],'Population and Diversity Data'!$B$2:$K$823,10,FALSE)</f>
        <v>3</v>
      </c>
      <c r="R459" t="str">
        <f>VLOOKUP(Table3[[#This Row],[Census Tract]],'ES Energy Burden'!$B$2:$E$914,4,FALSE)</f>
        <v>No</v>
      </c>
    </row>
    <row r="460" spans="1:18" x14ac:dyDescent="0.2">
      <c r="A460" t="s">
        <v>2807</v>
      </c>
      <c r="B460" s="169">
        <v>9001035400</v>
      </c>
      <c r="C460" t="s">
        <v>944</v>
      </c>
      <c r="D460" s="170">
        <f>[1]!Table3[[#This Row],[Residential CLM $ Collected]]+[1]!Table3[[#This Row],[C&amp;I CLM $ Collected]]</f>
        <v>115731.17598</v>
      </c>
      <c r="E460" s="28">
        <f>[1]!Table3[[#This Row],[CLM $ Collected ]]/'[1]1.) CLM Reference'!$B$4</f>
        <v>1.245889192999965E-3</v>
      </c>
      <c r="F460" s="170">
        <f>[1]!Table3[[#This Row],[Residential Incentive Disbursements]]+[1]!Table3[[#This Row],[C&amp;I Incentive Disbursements]]</f>
        <v>69867.61</v>
      </c>
      <c r="G460" s="28">
        <f>[1]!Table3[[#This Row],[Incentive Disbursements]]/'[1]1.) CLM Reference'!$B$5</f>
        <v>5.6097691643835948E-4</v>
      </c>
      <c r="H460" s="228">
        <v>115731.17598</v>
      </c>
      <c r="I460" s="28">
        <f>[1]!Table3[[#This Row],[Residential CLM $ Collected]]/'[1]1.) CLM Reference'!$B$4</f>
        <v>1.245889192999965E-3</v>
      </c>
      <c r="J460" s="229">
        <v>69867.61</v>
      </c>
      <c r="K460" s="28">
        <f>[1]!Table3[[#This Row],[Residential Incentive Disbursements]]/'[1]1.) CLM Reference'!$B$5</f>
        <v>5.6097691643835948E-4</v>
      </c>
      <c r="L460" s="229">
        <v>0</v>
      </c>
      <c r="M460" s="28">
        <f>[1]!Table3[[#This Row],[C&amp;I CLM $ Collected]]/'[1]1.) CLM Reference'!$B$4</f>
        <v>0</v>
      </c>
      <c r="N460" s="229">
        <v>0</v>
      </c>
      <c r="O460" s="28">
        <f>[1]!Table3[[#This Row],[C&amp;I Incentive Disbursements]]/'[1]1.) CLM Reference'!$B$5</f>
        <v>0</v>
      </c>
      <c r="Q460">
        <f>VLOOKUP(Table3[[#This Row],[Census Tract]],'Population and Diversity Data'!$B$2:$K$823,10,FALSE)</f>
        <v>2</v>
      </c>
      <c r="R460" t="str">
        <f>VLOOKUP(Table3[[#This Row],[Census Tract]],'ES Energy Burden'!$B$2:$E$914,4,FALSE)</f>
        <v>No</v>
      </c>
    </row>
    <row r="461" spans="1:18" x14ac:dyDescent="0.2">
      <c r="A461" t="s">
        <v>2808</v>
      </c>
      <c r="B461" s="169">
        <v>9001210900</v>
      </c>
      <c r="C461" t="s">
        <v>944</v>
      </c>
      <c r="D461" s="170">
        <f>[1]!Table3[[#This Row],[Residential CLM $ Collected]]+[1]!Table3[[#This Row],[C&amp;I CLM $ Collected]]</f>
        <v>681.79313999999999</v>
      </c>
      <c r="E461" s="28">
        <f>[1]!Table3[[#This Row],[CLM $ Collected ]]/'[1]1.) CLM Reference'!$B$4</f>
        <v>7.3397569651785724E-6</v>
      </c>
      <c r="F461" s="170">
        <f>[1]!Table3[[#This Row],[Residential Incentive Disbursements]]+[1]!Table3[[#This Row],[C&amp;I Incentive Disbursements]]</f>
        <v>0</v>
      </c>
      <c r="G461" s="28">
        <f>[1]!Table3[[#This Row],[Incentive Disbursements]]/'[1]1.) CLM Reference'!$B$5</f>
        <v>0</v>
      </c>
      <c r="H461" s="228">
        <v>681.79313999999999</v>
      </c>
      <c r="I461" s="28">
        <f>[1]!Table3[[#This Row],[Residential CLM $ Collected]]/'[1]1.) CLM Reference'!$B$4</f>
        <v>7.3397569651785724E-6</v>
      </c>
      <c r="J461" s="229">
        <v>0</v>
      </c>
      <c r="K461" s="28">
        <f>[1]!Table3[[#This Row],[Residential Incentive Disbursements]]/'[1]1.) CLM Reference'!$B$5</f>
        <v>0</v>
      </c>
      <c r="L461" s="229">
        <v>0</v>
      </c>
      <c r="M461" s="28">
        <f>[1]!Table3[[#This Row],[C&amp;I CLM $ Collected]]/'[1]1.) CLM Reference'!$B$4</f>
        <v>0</v>
      </c>
      <c r="N461" s="229">
        <v>0</v>
      </c>
      <c r="O461" s="28">
        <f>[1]!Table3[[#This Row],[C&amp;I Incentive Disbursements]]/'[1]1.) CLM Reference'!$B$5</f>
        <v>0</v>
      </c>
      <c r="Q461">
        <f>VLOOKUP(Table3[[#This Row],[Census Tract]],'Population and Diversity Data'!$B$2:$K$823,10,FALSE)</f>
        <v>4</v>
      </c>
      <c r="R461" t="str">
        <f>VLOOKUP(Table3[[#This Row],[Census Tract]],'ES Energy Burden'!$B$2:$E$914,4,FALSE)</f>
        <v>No</v>
      </c>
    </row>
    <row r="462" spans="1:18" x14ac:dyDescent="0.2">
      <c r="A462" t="s">
        <v>2808</v>
      </c>
      <c r="B462" s="169">
        <v>9001211000</v>
      </c>
      <c r="C462" t="s">
        <v>944</v>
      </c>
      <c r="D462" s="170">
        <f>[1]!Table3[[#This Row],[Residential CLM $ Collected]]+[1]!Table3[[#This Row],[C&amp;I CLM $ Collected]]</f>
        <v>948.34635000000003</v>
      </c>
      <c r="E462" s="28">
        <f>[1]!Table3[[#This Row],[CLM $ Collected ]]/'[1]1.) CLM Reference'!$B$4</f>
        <v>1.0209301501353001E-5</v>
      </c>
      <c r="F462" s="170">
        <f>[1]!Table3[[#This Row],[Residential Incentive Disbursements]]+[1]!Table3[[#This Row],[C&amp;I Incentive Disbursements]]</f>
        <v>5681.93</v>
      </c>
      <c r="G462" s="28">
        <f>[1]!Table3[[#This Row],[Incentive Disbursements]]/'[1]1.) CLM Reference'!$B$5</f>
        <v>4.5621019107689642E-5</v>
      </c>
      <c r="H462" s="228">
        <v>948.34635000000003</v>
      </c>
      <c r="I462" s="28">
        <f>[1]!Table3[[#This Row],[Residential CLM $ Collected]]/'[1]1.) CLM Reference'!$B$4</f>
        <v>1.0209301501353001E-5</v>
      </c>
      <c r="J462" s="229">
        <v>5681.93</v>
      </c>
      <c r="K462" s="28">
        <f>[1]!Table3[[#This Row],[Residential Incentive Disbursements]]/'[1]1.) CLM Reference'!$B$5</f>
        <v>4.5621019107689642E-5</v>
      </c>
      <c r="L462" s="229">
        <v>0</v>
      </c>
      <c r="M462" s="28">
        <f>[1]!Table3[[#This Row],[C&amp;I CLM $ Collected]]/'[1]1.) CLM Reference'!$B$4</f>
        <v>0</v>
      </c>
      <c r="N462" s="229">
        <v>0</v>
      </c>
      <c r="O462" s="28">
        <f>[1]!Table3[[#This Row],[C&amp;I Incentive Disbursements]]/'[1]1.) CLM Reference'!$B$5</f>
        <v>0</v>
      </c>
      <c r="Q462">
        <f>VLOOKUP(Table3[[#This Row],[Census Tract]],'Population and Diversity Data'!$B$2:$K$823,10,FALSE)</f>
        <v>5</v>
      </c>
      <c r="R462" t="str">
        <f>VLOOKUP(Table3[[#This Row],[Census Tract]],'ES Energy Burden'!$B$2:$E$914,4,FALSE)</f>
        <v>No</v>
      </c>
    </row>
    <row r="463" spans="1:18" x14ac:dyDescent="0.2">
      <c r="A463" t="s">
        <v>2808</v>
      </c>
      <c r="B463" s="169">
        <v>9001220100</v>
      </c>
      <c r="C463" t="s">
        <v>944</v>
      </c>
      <c r="D463" s="170">
        <f>[1]!Table3[[#This Row],[Residential CLM $ Collected]]+[1]!Table3[[#This Row],[C&amp;I CLM $ Collected]]</f>
        <v>62603.571177000005</v>
      </c>
      <c r="E463" s="28">
        <f>[1]!Table3[[#This Row],[CLM $ Collected ]]/'[1]1.) CLM Reference'!$B$4</f>
        <v>6.7395074933056427E-4</v>
      </c>
      <c r="F463" s="170">
        <f>[1]!Table3[[#This Row],[Residential Incentive Disbursements]]+[1]!Table3[[#This Row],[C&amp;I Incentive Disbursements]]</f>
        <v>53250.54</v>
      </c>
      <c r="G463" s="28">
        <f>[1]!Table3[[#This Row],[Incentive Disbursements]]/'[1]1.) CLM Reference'!$B$5</f>
        <v>4.2755611259462747E-4</v>
      </c>
      <c r="H463" s="228">
        <v>62603.571177000005</v>
      </c>
      <c r="I463" s="28">
        <f>[1]!Table3[[#This Row],[Residential CLM $ Collected]]/'[1]1.) CLM Reference'!$B$4</f>
        <v>6.7395074933056427E-4</v>
      </c>
      <c r="J463" s="229">
        <v>53250.54</v>
      </c>
      <c r="K463" s="28">
        <f>[1]!Table3[[#This Row],[Residential Incentive Disbursements]]/'[1]1.) CLM Reference'!$B$5</f>
        <v>4.2755611259462747E-4</v>
      </c>
      <c r="L463" s="229">
        <v>0</v>
      </c>
      <c r="M463" s="28">
        <f>[1]!Table3[[#This Row],[C&amp;I CLM $ Collected]]/'[1]1.) CLM Reference'!$B$4</f>
        <v>0</v>
      </c>
      <c r="N463" s="229">
        <v>0</v>
      </c>
      <c r="O463" s="28">
        <f>[1]!Table3[[#This Row],[C&amp;I Incentive Disbursements]]/'[1]1.) CLM Reference'!$B$5</f>
        <v>0</v>
      </c>
      <c r="Q463">
        <f>VLOOKUP(Table3[[#This Row],[Census Tract]],'Population and Diversity Data'!$B$2:$K$823,10,FALSE)</f>
        <v>2</v>
      </c>
      <c r="R463" t="str">
        <f>VLOOKUP(Table3[[#This Row],[Census Tract]],'ES Energy Burden'!$B$2:$E$914,4,FALSE)</f>
        <v>No</v>
      </c>
    </row>
    <row r="464" spans="1:18" x14ac:dyDescent="0.2">
      <c r="A464" t="s">
        <v>2808</v>
      </c>
      <c r="B464" s="169">
        <v>9001220200</v>
      </c>
      <c r="C464" t="s">
        <v>944</v>
      </c>
      <c r="D464" s="170">
        <f>[1]!Table3[[#This Row],[Residential CLM $ Collected]]+[1]!Table3[[#This Row],[C&amp;I CLM $ Collected]]</f>
        <v>74876.762499000004</v>
      </c>
      <c r="E464" s="28">
        <f>[1]!Table3[[#This Row],[CLM $ Collected ]]/'[1]1.) CLM Reference'!$B$4</f>
        <v>8.0607622288786449E-4</v>
      </c>
      <c r="F464" s="170">
        <f>[1]!Table3[[#This Row],[Residential Incentive Disbursements]]+[1]!Table3[[#This Row],[C&amp;I Incentive Disbursements]]</f>
        <v>58595.5</v>
      </c>
      <c r="G464" s="28">
        <f>[1]!Table3[[#This Row],[Incentive Disbursements]]/'[1]1.) CLM Reference'!$B$5</f>
        <v>4.7047155194179238E-4</v>
      </c>
      <c r="H464" s="228">
        <v>74876.762499000004</v>
      </c>
      <c r="I464" s="28">
        <f>[1]!Table3[[#This Row],[Residential CLM $ Collected]]/'[1]1.) CLM Reference'!$B$4</f>
        <v>8.0607622288786449E-4</v>
      </c>
      <c r="J464" s="229">
        <v>58595.5</v>
      </c>
      <c r="K464" s="28">
        <f>[1]!Table3[[#This Row],[Residential Incentive Disbursements]]/'[1]1.) CLM Reference'!$B$5</f>
        <v>4.7047155194179238E-4</v>
      </c>
      <c r="L464" s="229">
        <v>0</v>
      </c>
      <c r="M464" s="28">
        <f>[1]!Table3[[#This Row],[C&amp;I CLM $ Collected]]/'[1]1.) CLM Reference'!$B$4</f>
        <v>0</v>
      </c>
      <c r="N464" s="229">
        <v>0</v>
      </c>
      <c r="O464" s="28">
        <f>[1]!Table3[[#This Row],[C&amp;I Incentive Disbursements]]/'[1]1.) CLM Reference'!$B$5</f>
        <v>0</v>
      </c>
      <c r="Q464">
        <f>VLOOKUP(Table3[[#This Row],[Census Tract]],'Population and Diversity Data'!$B$2:$K$823,10,FALSE)</f>
        <v>3</v>
      </c>
      <c r="R464" t="str">
        <f>VLOOKUP(Table3[[#This Row],[Census Tract]],'ES Energy Burden'!$B$2:$E$914,4,FALSE)</f>
        <v>No</v>
      </c>
    </row>
    <row r="465" spans="1:18" x14ac:dyDescent="0.2">
      <c r="A465" t="s">
        <v>2808</v>
      </c>
      <c r="B465" s="169">
        <v>9001220300</v>
      </c>
      <c r="C465" t="s">
        <v>944</v>
      </c>
      <c r="D465" s="170">
        <f>[1]!Table3[[#This Row],[Residential CLM $ Collected]]+[1]!Table3[[#This Row],[C&amp;I CLM $ Collected]]</f>
        <v>178219.757415</v>
      </c>
      <c r="E465" s="28">
        <f>[1]!Table3[[#This Row],[CLM $ Collected ]]/'[1]1.) CLM Reference'!$B$4</f>
        <v>1.9186020349503397E-3</v>
      </c>
      <c r="F465" s="170">
        <f>[1]!Table3[[#This Row],[Residential Incentive Disbursements]]+[1]!Table3[[#This Row],[C&amp;I Incentive Disbursements]]</f>
        <v>296501.3775</v>
      </c>
      <c r="G465" s="28">
        <f>[1]!Table3[[#This Row],[Incentive Disbursements]]/'[1]1.) CLM Reference'!$B$5</f>
        <v>2.380651470254614E-3</v>
      </c>
      <c r="H465" s="228">
        <v>149513.30446499999</v>
      </c>
      <c r="I465" s="28">
        <f>[1]!Table3[[#This Row],[Residential CLM $ Collected]]/'[1]1.) CLM Reference'!$B$4</f>
        <v>1.6095663823104003E-3</v>
      </c>
      <c r="J465" s="229">
        <v>296193.3775</v>
      </c>
      <c r="K465" s="28">
        <f>[1]!Table3[[#This Row],[Residential Incentive Disbursements]]/'[1]1.) CLM Reference'!$B$5</f>
        <v>2.3781784947189831E-3</v>
      </c>
      <c r="L465" s="229">
        <v>28706.452949999999</v>
      </c>
      <c r="M465" s="28">
        <f>[1]!Table3[[#This Row],[C&amp;I CLM $ Collected]]/'[1]1.) CLM Reference'!$B$4</f>
        <v>3.0903565263993925E-4</v>
      </c>
      <c r="N465" s="229">
        <v>308</v>
      </c>
      <c r="O465" s="28">
        <f>[1]!Table3[[#This Row],[C&amp;I Incentive Disbursements]]/'[1]1.) CLM Reference'!$B$5</f>
        <v>2.472975535631099E-6</v>
      </c>
      <c r="Q465">
        <f>VLOOKUP(Table3[[#This Row],[Census Tract]],'Population and Diversity Data'!$B$2:$K$823,10,FALSE)</f>
        <v>2</v>
      </c>
      <c r="R465" t="str">
        <f>VLOOKUP(Table3[[#This Row],[Census Tract]],'ES Energy Burden'!$B$2:$E$914,4,FALSE)</f>
        <v>No</v>
      </c>
    </row>
    <row r="466" spans="1:18" x14ac:dyDescent="0.2">
      <c r="A466" t="s">
        <v>2808</v>
      </c>
      <c r="B466" s="169">
        <v>9001257100</v>
      </c>
      <c r="C466" t="s">
        <v>944</v>
      </c>
      <c r="D466" s="170">
        <f>[1]!Table3[[#This Row],[Residential CLM $ Collected]]+[1]!Table3[[#This Row],[C&amp;I CLM $ Collected]]</f>
        <v>1131.3164100000001</v>
      </c>
      <c r="E466" s="28">
        <f>[1]!Table3[[#This Row],[CLM $ Collected ]]/'[1]1.) CLM Reference'!$B$4</f>
        <v>1.2179042312039572E-5</v>
      </c>
      <c r="F466" s="170">
        <f>[1]!Table3[[#This Row],[Residential Incentive Disbursements]]+[1]!Table3[[#This Row],[C&amp;I Incentive Disbursements]]</f>
        <v>0</v>
      </c>
      <c r="G466" s="28">
        <f>[1]!Table3[[#This Row],[Incentive Disbursements]]/'[1]1.) CLM Reference'!$B$5</f>
        <v>0</v>
      </c>
      <c r="H466" s="228">
        <v>1131.3164100000001</v>
      </c>
      <c r="I466" s="28">
        <f>[1]!Table3[[#This Row],[Residential CLM $ Collected]]/'[1]1.) CLM Reference'!$B$4</f>
        <v>1.2179042312039572E-5</v>
      </c>
      <c r="J466" s="229">
        <v>0</v>
      </c>
      <c r="K466" s="28">
        <f>[1]!Table3[[#This Row],[Residential Incentive Disbursements]]/'[1]1.) CLM Reference'!$B$5</f>
        <v>0</v>
      </c>
      <c r="L466" s="229">
        <v>0</v>
      </c>
      <c r="M466" s="28">
        <f>[1]!Table3[[#This Row],[C&amp;I CLM $ Collected]]/'[1]1.) CLM Reference'!$B$4</f>
        <v>0</v>
      </c>
      <c r="N466" s="229">
        <v>0</v>
      </c>
      <c r="O466" s="28">
        <f>[1]!Table3[[#This Row],[C&amp;I Incentive Disbursements]]/'[1]1.) CLM Reference'!$B$5</f>
        <v>0</v>
      </c>
      <c r="Q466">
        <f>VLOOKUP(Table3[[#This Row],[Census Tract]],'Population and Diversity Data'!$B$2:$K$823,10,FALSE)</f>
        <v>1</v>
      </c>
      <c r="R466" t="str">
        <f>VLOOKUP(Table3[[#This Row],[Census Tract]],'ES Energy Burden'!$B$2:$E$914,4,FALSE)</f>
        <v>No</v>
      </c>
    </row>
    <row r="467" spans="1:18" x14ac:dyDescent="0.2">
      <c r="A467" t="s">
        <v>2809</v>
      </c>
      <c r="B467" s="169">
        <v>9005306100</v>
      </c>
      <c r="C467" t="s">
        <v>944</v>
      </c>
      <c r="D467" s="170">
        <f>[1]!Table3[[#This Row],[Residential CLM $ Collected]]+[1]!Table3[[#This Row],[C&amp;I CLM $ Collected]]</f>
        <v>141521.92166699999</v>
      </c>
      <c r="E467" s="28">
        <f>[1]!Table3[[#This Row],[CLM $ Collected ]]/'[1]1.) CLM Reference'!$B$4</f>
        <v>1.5235361715150427E-3</v>
      </c>
      <c r="F467" s="170">
        <f>[1]!Table3[[#This Row],[Residential Incentive Disbursements]]+[1]!Table3[[#This Row],[C&amp;I Incentive Disbursements]]</f>
        <v>211576.22500000001</v>
      </c>
      <c r="G467" s="28">
        <f>[1]!Table3[[#This Row],[Incentive Disbursements]]/'[1]1.) CLM Reference'!$B$5</f>
        <v>1.6987754167083796E-3</v>
      </c>
      <c r="H467" s="228">
        <v>120936.041457</v>
      </c>
      <c r="I467" s="28">
        <f>[1]!Table3[[#This Row],[Residential CLM $ Collected]]/'[1]1.) CLM Reference'!$B$4</f>
        <v>1.3019215074899996E-3</v>
      </c>
      <c r="J467" s="229">
        <v>196373.76500000001</v>
      </c>
      <c r="K467" s="28">
        <f>[1]!Table3[[#This Row],[Residential Incentive Disbursements]]/'[1]1.) CLM Reference'!$B$5</f>
        <v>1.5767127165089954E-3</v>
      </c>
      <c r="L467" s="229">
        <v>20585.880209999999</v>
      </c>
      <c r="M467" s="28">
        <f>[1]!Table3[[#This Row],[C&amp;I CLM $ Collected]]/'[1]1.) CLM Reference'!$B$4</f>
        <v>2.216146640250432E-4</v>
      </c>
      <c r="N467" s="229">
        <v>15202.46</v>
      </c>
      <c r="O467" s="28">
        <f>[1]!Table3[[#This Row],[C&amp;I Incentive Disbursements]]/'[1]1.) CLM Reference'!$B$5</f>
        <v>1.2206270019938427E-4</v>
      </c>
      <c r="Q467">
        <f>VLOOKUP(Table3[[#This Row],[Census Tract]],'Population and Diversity Data'!$B$2:$K$823,10,FALSE)</f>
        <v>1</v>
      </c>
      <c r="R467" t="str">
        <f>VLOOKUP(Table3[[#This Row],[Census Tract]],'ES Energy Burden'!$B$2:$E$914,4,FALSE)</f>
        <v>No</v>
      </c>
    </row>
    <row r="468" spans="1:18" x14ac:dyDescent="0.2">
      <c r="A468" t="s">
        <v>2810</v>
      </c>
      <c r="B468" s="169">
        <v>9011690300</v>
      </c>
      <c r="C468" t="s">
        <v>944</v>
      </c>
      <c r="D468" s="170">
        <f>[1]!Table3[[#This Row],[Residential CLM $ Collected]]+[1]!Table3[[#This Row],[C&amp;I CLM $ Collected]]</f>
        <v>47979.760374000005</v>
      </c>
      <c r="E468" s="28">
        <f>[1]!Table3[[#This Row],[CLM $ Collected ]]/'[1]1.) CLM Reference'!$B$4</f>
        <v>5.1651998198847437E-4</v>
      </c>
      <c r="F468" s="170">
        <f>[1]!Table3[[#This Row],[Residential Incentive Disbursements]]+[1]!Table3[[#This Row],[C&amp;I Incentive Disbursements]]</f>
        <v>25104.06</v>
      </c>
      <c r="G468" s="28">
        <f>[1]!Table3[[#This Row],[Incentive Disbursements]]/'[1]1.) CLM Reference'!$B$5</f>
        <v>2.0156404618511443E-4</v>
      </c>
      <c r="H468" s="228">
        <v>47976.437334000002</v>
      </c>
      <c r="I468" s="28">
        <f>[1]!Table3[[#This Row],[Residential CLM $ Collected]]/'[1]1.) CLM Reference'!$B$4</f>
        <v>5.1648420822579684E-4</v>
      </c>
      <c r="J468" s="229">
        <v>25104.06</v>
      </c>
      <c r="K468" s="28">
        <f>[1]!Table3[[#This Row],[Residential Incentive Disbursements]]/'[1]1.) CLM Reference'!$B$5</f>
        <v>2.0156404618511443E-4</v>
      </c>
      <c r="L468" s="229">
        <v>3.3230400000000002</v>
      </c>
      <c r="M468" s="28">
        <f>[1]!Table3[[#This Row],[C&amp;I CLM $ Collected]]/'[1]1.) CLM Reference'!$B$4</f>
        <v>3.5773762677587232E-8</v>
      </c>
      <c r="N468" s="229">
        <v>0</v>
      </c>
      <c r="O468" s="28">
        <f>[1]!Table3[[#This Row],[C&amp;I Incentive Disbursements]]/'[1]1.) CLM Reference'!$B$5</f>
        <v>0</v>
      </c>
      <c r="Q468">
        <f>VLOOKUP(Table3[[#This Row],[Census Tract]],'Population and Diversity Data'!$B$2:$K$823,10,FALSE)</f>
        <v>5</v>
      </c>
      <c r="R468" t="str">
        <f>VLOOKUP(Table3[[#This Row],[Census Tract]],'ES Energy Burden'!$B$2:$E$914,4,FALSE)</f>
        <v>No</v>
      </c>
    </row>
    <row r="469" spans="1:18" x14ac:dyDescent="0.2">
      <c r="A469" t="s">
        <v>2810</v>
      </c>
      <c r="B469" s="169">
        <v>9011690400</v>
      </c>
      <c r="C469" t="s">
        <v>944</v>
      </c>
      <c r="D469" s="170">
        <f>[1]!Table3[[#This Row],[Residential CLM $ Collected]]+[1]!Table3[[#This Row],[C&amp;I CLM $ Collected]]</f>
        <v>22508.728326</v>
      </c>
      <c r="E469" s="28">
        <f>[1]!Table3[[#This Row],[CLM $ Collected ]]/'[1]1.) CLM Reference'!$B$4</f>
        <v>2.423148398179406E-4</v>
      </c>
      <c r="F469" s="170">
        <f>[1]!Table3[[#This Row],[Residential Incentive Disbursements]]+[1]!Table3[[#This Row],[C&amp;I Incentive Disbursements]]</f>
        <v>34880.410000000003</v>
      </c>
      <c r="G469" s="28">
        <f>[1]!Table3[[#This Row],[Incentive Disbursements]]/'[1]1.) CLM Reference'!$B$5</f>
        <v>2.800597422168258E-4</v>
      </c>
      <c r="H469" s="228">
        <v>22508.728326</v>
      </c>
      <c r="I469" s="28">
        <f>[1]!Table3[[#This Row],[Residential CLM $ Collected]]/'[1]1.) CLM Reference'!$B$4</f>
        <v>2.423148398179406E-4</v>
      </c>
      <c r="J469" s="229">
        <v>34880.410000000003</v>
      </c>
      <c r="K469" s="28">
        <f>[1]!Table3[[#This Row],[Residential Incentive Disbursements]]/'[1]1.) CLM Reference'!$B$5</f>
        <v>2.800597422168258E-4</v>
      </c>
      <c r="L469" s="229">
        <v>0</v>
      </c>
      <c r="M469" s="28">
        <f>[1]!Table3[[#This Row],[C&amp;I CLM $ Collected]]/'[1]1.) CLM Reference'!$B$4</f>
        <v>0</v>
      </c>
      <c r="N469" s="229">
        <v>0</v>
      </c>
      <c r="O469" s="28">
        <f>[1]!Table3[[#This Row],[C&amp;I Incentive Disbursements]]/'[1]1.) CLM Reference'!$B$5</f>
        <v>0</v>
      </c>
      <c r="Q469">
        <f>VLOOKUP(Table3[[#This Row],[Census Tract]],'Population and Diversity Data'!$B$2:$K$823,10,FALSE)</f>
        <v>5</v>
      </c>
      <c r="R469" t="str">
        <f>VLOOKUP(Table3[[#This Row],[Census Tract]],'ES Energy Burden'!$B$2:$E$914,4,FALSE)</f>
        <v>No</v>
      </c>
    </row>
    <row r="470" spans="1:18" x14ac:dyDescent="0.2">
      <c r="A470" t="s">
        <v>2810</v>
      </c>
      <c r="B470" s="169">
        <v>9011690500</v>
      </c>
      <c r="C470" t="s">
        <v>944</v>
      </c>
      <c r="D470" s="170">
        <f>[1]!Table3[[#This Row],[Residential CLM $ Collected]]+[1]!Table3[[#This Row],[C&amp;I CLM $ Collected]]</f>
        <v>317172.80301000003</v>
      </c>
      <c r="E470" s="28">
        <f>[1]!Table3[[#This Row],[CLM $ Collected ]]/'[1]1.) CLM Reference'!$B$4</f>
        <v>3.4144832992274742E-3</v>
      </c>
      <c r="F470" s="170">
        <f>[1]!Table3[[#This Row],[Residential Incentive Disbursements]]+[1]!Table3[[#This Row],[C&amp;I Incentive Disbursements]]</f>
        <v>939003.77500000002</v>
      </c>
      <c r="G470" s="28">
        <f>[1]!Table3[[#This Row],[Incentive Disbursements]]/'[1]1.) CLM Reference'!$B$5</f>
        <v>7.5393940371436654E-3</v>
      </c>
      <c r="H470" s="228">
        <v>134498.03472</v>
      </c>
      <c r="I470" s="28">
        <f>[1]!Table3[[#This Row],[Residential CLM $ Collected]]/'[1]1.) CLM Reference'!$B$4</f>
        <v>1.4479214137281427E-3</v>
      </c>
      <c r="J470" s="229">
        <v>191121.27499999999</v>
      </c>
      <c r="K470" s="28">
        <f>[1]!Table3[[#This Row],[Residential Incentive Disbursements]]/'[1]1.) CLM Reference'!$B$5</f>
        <v>1.5345397318624141E-3</v>
      </c>
      <c r="L470" s="229">
        <v>182674.76829000001</v>
      </c>
      <c r="M470" s="28">
        <f>[1]!Table3[[#This Row],[C&amp;I CLM $ Collected]]/'[1]1.) CLM Reference'!$B$4</f>
        <v>1.9665618854993313E-3</v>
      </c>
      <c r="N470" s="229">
        <v>747882.5</v>
      </c>
      <c r="O470" s="28">
        <f>[1]!Table3[[#This Row],[C&amp;I Incentive Disbursements]]/'[1]1.) CLM Reference'!$B$5</f>
        <v>6.0048543052812512E-3</v>
      </c>
      <c r="Q470">
        <f>VLOOKUP(Table3[[#This Row],[Census Tract]],'Population and Diversity Data'!$B$2:$K$823,10,FALSE)</f>
        <v>5</v>
      </c>
      <c r="R470" t="str">
        <f>VLOOKUP(Table3[[#This Row],[Census Tract]],'ES Energy Burden'!$B$2:$E$914,4,FALSE)</f>
        <v>No</v>
      </c>
    </row>
    <row r="471" spans="1:18" x14ac:dyDescent="0.2">
      <c r="A471" t="s">
        <v>2810</v>
      </c>
      <c r="B471" s="169">
        <v>9011690700</v>
      </c>
      <c r="C471" t="s">
        <v>944</v>
      </c>
      <c r="D471" s="170">
        <f>[1]!Table3[[#This Row],[Residential CLM $ Collected]]+[1]!Table3[[#This Row],[C&amp;I CLM $ Collected]]</f>
        <v>9356.9851199999994</v>
      </c>
      <c r="E471" s="28">
        <f>[1]!Table3[[#This Row],[CLM $ Collected ]]/'[1]1.) CLM Reference'!$B$4</f>
        <v>1.0073142816836241E-4</v>
      </c>
      <c r="F471" s="170">
        <f>[1]!Table3[[#This Row],[Residential Incentive Disbursements]]+[1]!Table3[[#This Row],[C&amp;I Incentive Disbursements]]</f>
        <v>3385.37</v>
      </c>
      <c r="G471" s="28">
        <f>[1]!Table3[[#This Row],[Incentive Disbursements]]/'[1]1.) CLM Reference'!$B$5</f>
        <v>2.718161425019303E-5</v>
      </c>
      <c r="H471" s="228">
        <v>9356.9851199999994</v>
      </c>
      <c r="I471" s="28">
        <f>[1]!Table3[[#This Row],[Residential CLM $ Collected]]/'[1]1.) CLM Reference'!$B$4</f>
        <v>1.0073142816836241E-4</v>
      </c>
      <c r="J471" s="229">
        <v>3385.37</v>
      </c>
      <c r="K471" s="28">
        <f>[1]!Table3[[#This Row],[Residential Incentive Disbursements]]/'[1]1.) CLM Reference'!$B$5</f>
        <v>2.718161425019303E-5</v>
      </c>
      <c r="L471" s="229">
        <v>0</v>
      </c>
      <c r="M471" s="28">
        <f>[1]!Table3[[#This Row],[C&amp;I CLM $ Collected]]/'[1]1.) CLM Reference'!$B$4</f>
        <v>0</v>
      </c>
      <c r="N471" s="229">
        <v>0</v>
      </c>
      <c r="O471" s="28">
        <f>[1]!Table3[[#This Row],[C&amp;I Incentive Disbursements]]/'[1]1.) CLM Reference'!$B$5</f>
        <v>0</v>
      </c>
      <c r="Q471">
        <f>VLOOKUP(Table3[[#This Row],[Census Tract]],'Population and Diversity Data'!$B$2:$K$823,10,FALSE)</f>
        <v>5</v>
      </c>
      <c r="R471" t="str">
        <f>VLOOKUP(Table3[[#This Row],[Census Tract]],'ES Energy Burden'!$B$2:$E$914,4,FALSE)</f>
        <v>No</v>
      </c>
    </row>
    <row r="472" spans="1:18" x14ac:dyDescent="0.2">
      <c r="A472" t="s">
        <v>2810</v>
      </c>
      <c r="B472" s="169">
        <v>9011690800</v>
      </c>
      <c r="C472" t="s">
        <v>944</v>
      </c>
      <c r="D472" s="170">
        <f>[1]!Table3[[#This Row],[Residential CLM $ Collected]]+[1]!Table3[[#This Row],[C&amp;I CLM $ Collected]]</f>
        <v>25667.32518</v>
      </c>
      <c r="E472" s="28">
        <f>[1]!Table3[[#This Row],[CLM $ Collected ]]/'[1]1.) CLM Reference'!$B$4</f>
        <v>2.7631831081111839E-4</v>
      </c>
      <c r="F472" s="170">
        <f>[1]!Table3[[#This Row],[Residential Incentive Disbursements]]+[1]!Table3[[#This Row],[C&amp;I Incentive Disbursements]]</f>
        <v>15165.95</v>
      </c>
      <c r="G472" s="28">
        <f>[1]!Table3[[#This Row],[Incentive Disbursements]]/'[1]1.) CLM Reference'!$B$5</f>
        <v>1.217695562487158E-4</v>
      </c>
      <c r="H472" s="228">
        <v>25667.32518</v>
      </c>
      <c r="I472" s="28">
        <f>[1]!Table3[[#This Row],[Residential CLM $ Collected]]/'[1]1.) CLM Reference'!$B$4</f>
        <v>2.7631831081111839E-4</v>
      </c>
      <c r="J472" s="229">
        <v>15165.95</v>
      </c>
      <c r="K472" s="28">
        <f>[1]!Table3[[#This Row],[Residential Incentive Disbursements]]/'[1]1.) CLM Reference'!$B$5</f>
        <v>1.217695562487158E-4</v>
      </c>
      <c r="L472" s="229">
        <v>0</v>
      </c>
      <c r="M472" s="28">
        <f>[1]!Table3[[#This Row],[C&amp;I CLM $ Collected]]/'[1]1.) CLM Reference'!$B$4</f>
        <v>0</v>
      </c>
      <c r="N472" s="229">
        <v>0</v>
      </c>
      <c r="O472" s="28">
        <f>[1]!Table3[[#This Row],[C&amp;I Incentive Disbursements]]/'[1]1.) CLM Reference'!$B$5</f>
        <v>0</v>
      </c>
      <c r="Q472">
        <f>VLOOKUP(Table3[[#This Row],[Census Tract]],'Population and Diversity Data'!$B$2:$K$823,10,FALSE)</f>
        <v>5</v>
      </c>
      <c r="R472" t="str">
        <f>VLOOKUP(Table3[[#This Row],[Census Tract]],'ES Energy Burden'!$B$2:$E$914,4,FALSE)</f>
        <v>Yes</v>
      </c>
    </row>
    <row r="473" spans="1:18" x14ac:dyDescent="0.2">
      <c r="A473" t="s">
        <v>2810</v>
      </c>
      <c r="B473" s="169">
        <v>9011690900</v>
      </c>
      <c r="C473" t="s">
        <v>944</v>
      </c>
      <c r="D473" s="170">
        <f>[1]!Table3[[#This Row],[Residential CLM $ Collected]]+[1]!Table3[[#This Row],[C&amp;I CLM $ Collected]]</f>
        <v>46706.904677999999</v>
      </c>
      <c r="E473" s="28">
        <f>[1]!Table3[[#This Row],[CLM $ Collected ]]/'[1]1.) CLM Reference'!$B$4</f>
        <v>5.0281721657141078E-4</v>
      </c>
      <c r="F473" s="170">
        <f>[1]!Table3[[#This Row],[Residential Incentive Disbursements]]+[1]!Table3[[#This Row],[C&amp;I Incentive Disbursements]]</f>
        <v>43727.93</v>
      </c>
      <c r="G473" s="28">
        <f>[1]!Table3[[#This Row],[Incentive Disbursements]]/'[1]1.) CLM Reference'!$B$5</f>
        <v>3.5109773088892596E-4</v>
      </c>
      <c r="H473" s="228">
        <v>46706.904677999999</v>
      </c>
      <c r="I473" s="28">
        <f>[1]!Table3[[#This Row],[Residential CLM $ Collected]]/'[1]1.) CLM Reference'!$B$4</f>
        <v>5.0281721657141078E-4</v>
      </c>
      <c r="J473" s="229">
        <v>43727.93</v>
      </c>
      <c r="K473" s="28">
        <f>[1]!Table3[[#This Row],[Residential Incentive Disbursements]]/'[1]1.) CLM Reference'!$B$5</f>
        <v>3.5109773088892596E-4</v>
      </c>
      <c r="L473" s="229">
        <v>0</v>
      </c>
      <c r="M473" s="28">
        <f>[1]!Table3[[#This Row],[C&amp;I CLM $ Collected]]/'[1]1.) CLM Reference'!$B$4</f>
        <v>0</v>
      </c>
      <c r="N473" s="229">
        <v>0</v>
      </c>
      <c r="O473" s="28">
        <f>[1]!Table3[[#This Row],[C&amp;I Incentive Disbursements]]/'[1]1.) CLM Reference'!$B$5</f>
        <v>0</v>
      </c>
      <c r="Q473">
        <f>VLOOKUP(Table3[[#This Row],[Census Tract]],'Population and Diversity Data'!$B$2:$K$823,10,FALSE)</f>
        <v>5</v>
      </c>
      <c r="R473" t="str">
        <f>VLOOKUP(Table3[[#This Row],[Census Tract]],'ES Energy Burden'!$B$2:$E$914,4,FALSE)</f>
        <v>No</v>
      </c>
    </row>
    <row r="474" spans="1:18" x14ac:dyDescent="0.2">
      <c r="A474" t="s">
        <v>2810</v>
      </c>
      <c r="B474" s="169">
        <v>9011693400</v>
      </c>
      <c r="C474" t="s">
        <v>944</v>
      </c>
      <c r="D474" s="170">
        <f>[1]!Table3[[#This Row],[Residential CLM $ Collected]]+[1]!Table3[[#This Row],[C&amp;I CLM $ Collected]]</f>
        <v>145.82253</v>
      </c>
      <c r="E474" s="28">
        <f>[1]!Table3[[#This Row],[CLM $ Collected ]]/'[1]1.) CLM Reference'!$B$4</f>
        <v>1.5698338212195291E-6</v>
      </c>
      <c r="F474" s="170">
        <f>[1]!Table3[[#This Row],[Residential Incentive Disbursements]]+[1]!Table3[[#This Row],[C&amp;I Incentive Disbursements]]</f>
        <v>0</v>
      </c>
      <c r="G474" s="28">
        <f>[1]!Table3[[#This Row],[Incentive Disbursements]]/'[1]1.) CLM Reference'!$B$5</f>
        <v>0</v>
      </c>
      <c r="H474" s="228">
        <v>145.82253</v>
      </c>
      <c r="I474" s="28">
        <f>[1]!Table3[[#This Row],[Residential CLM $ Collected]]/'[1]1.) CLM Reference'!$B$4</f>
        <v>1.5698338212195291E-6</v>
      </c>
      <c r="J474" s="229">
        <v>0</v>
      </c>
      <c r="K474" s="28">
        <f>[1]!Table3[[#This Row],[Residential Incentive Disbursements]]/'[1]1.) CLM Reference'!$B$5</f>
        <v>0</v>
      </c>
      <c r="L474" s="229">
        <v>0</v>
      </c>
      <c r="M474" s="28">
        <f>[1]!Table3[[#This Row],[C&amp;I CLM $ Collected]]/'[1]1.) CLM Reference'!$B$4</f>
        <v>0</v>
      </c>
      <c r="N474" s="229">
        <v>0</v>
      </c>
      <c r="O474" s="28">
        <f>[1]!Table3[[#This Row],[C&amp;I Incentive Disbursements]]/'[1]1.) CLM Reference'!$B$5</f>
        <v>0</v>
      </c>
      <c r="Q474">
        <f>VLOOKUP(Table3[[#This Row],[Census Tract]],'Population and Diversity Data'!$B$2:$K$823,10,FALSE)</f>
        <v>3</v>
      </c>
      <c r="R474" t="str">
        <f>VLOOKUP(Table3[[#This Row],[Census Tract]],'ES Energy Burden'!$B$2:$E$914,4,FALSE)</f>
        <v>No</v>
      </c>
    </row>
    <row r="475" spans="1:18" x14ac:dyDescent="0.2">
      <c r="A475" t="s">
        <v>2810</v>
      </c>
      <c r="B475" s="169">
        <v>9011870300</v>
      </c>
      <c r="C475" t="s">
        <v>944</v>
      </c>
      <c r="D475" s="170">
        <f>[1]!Table3[[#This Row],[Residential CLM $ Collected]]+[1]!Table3[[#This Row],[C&amp;I CLM $ Collected]]</f>
        <v>22642.012176</v>
      </c>
      <c r="E475" s="28">
        <f>[1]!Table3[[#This Row],[CLM $ Collected ]]/'[1]1.) CLM Reference'!$B$4</f>
        <v>2.4374969008114991E-4</v>
      </c>
      <c r="F475" s="170">
        <f>[1]!Table3[[#This Row],[Residential Incentive Disbursements]]+[1]!Table3[[#This Row],[C&amp;I Incentive Disbursements]]</f>
        <v>984.16</v>
      </c>
      <c r="G475" s="28">
        <f>[1]!Table3[[#This Row],[Incentive Disbursements]]/'[1]1.) CLM Reference'!$B$5</f>
        <v>7.9019597504763051E-6</v>
      </c>
      <c r="H475" s="228">
        <v>22642.012176</v>
      </c>
      <c r="I475" s="28">
        <f>[1]!Table3[[#This Row],[Residential CLM $ Collected]]/'[1]1.) CLM Reference'!$B$4</f>
        <v>2.4374969008114991E-4</v>
      </c>
      <c r="J475" s="229">
        <v>984.16</v>
      </c>
      <c r="K475" s="28">
        <f>[1]!Table3[[#This Row],[Residential Incentive Disbursements]]/'[1]1.) CLM Reference'!$B$5</f>
        <v>7.9019597504763051E-6</v>
      </c>
      <c r="L475" s="229">
        <v>0</v>
      </c>
      <c r="M475" s="28">
        <f>[1]!Table3[[#This Row],[C&amp;I CLM $ Collected]]/'[1]1.) CLM Reference'!$B$4</f>
        <v>0</v>
      </c>
      <c r="N475" s="229">
        <v>0</v>
      </c>
      <c r="O475" s="28">
        <f>[1]!Table3[[#This Row],[C&amp;I Incentive Disbursements]]/'[1]1.) CLM Reference'!$B$5</f>
        <v>0</v>
      </c>
      <c r="Q475">
        <f>VLOOKUP(Table3[[#This Row],[Census Tract]],'Population and Diversity Data'!$B$2:$K$823,10,FALSE)</f>
        <v>5</v>
      </c>
      <c r="R475" t="str">
        <f>VLOOKUP(Table3[[#This Row],[Census Tract]],'ES Energy Burden'!$B$2:$E$914,4,FALSE)</f>
        <v>No</v>
      </c>
    </row>
    <row r="476" spans="1:18" x14ac:dyDescent="0.2">
      <c r="A476" t="s">
        <v>2811</v>
      </c>
      <c r="B476" s="169">
        <v>9005253100</v>
      </c>
      <c r="C476" t="s">
        <v>944</v>
      </c>
      <c r="D476" s="170">
        <f>[1]!Table3[[#This Row],[Residential CLM $ Collected]]+[1]!Table3[[#This Row],[C&amp;I CLM $ Collected]]</f>
        <v>57364.048035</v>
      </c>
      <c r="E476" s="28">
        <f>[1]!Table3[[#This Row],[CLM $ Collected ]]/'[1]1.) CLM Reference'!$B$4</f>
        <v>6.1754533217469665E-4</v>
      </c>
      <c r="F476" s="170">
        <f>[1]!Table3[[#This Row],[Residential Incentive Disbursements]]+[1]!Table3[[#This Row],[C&amp;I Incentive Disbursements]]</f>
        <v>42343.54</v>
      </c>
      <c r="G476" s="28">
        <f>[1]!Table3[[#This Row],[Incentive Disbursements]]/'[1]1.) CLM Reference'!$B$5</f>
        <v>3.3998226789615866E-4</v>
      </c>
      <c r="H476" s="228">
        <v>57364.048035</v>
      </c>
      <c r="I476" s="28">
        <f>[1]!Table3[[#This Row],[Residential CLM $ Collected]]/'[1]1.) CLM Reference'!$B$4</f>
        <v>6.1754533217469665E-4</v>
      </c>
      <c r="J476" s="229">
        <v>42343.54</v>
      </c>
      <c r="K476" s="28">
        <f>[1]!Table3[[#This Row],[Residential Incentive Disbursements]]/'[1]1.) CLM Reference'!$B$5</f>
        <v>3.3998226789615866E-4</v>
      </c>
      <c r="L476" s="229">
        <v>0</v>
      </c>
      <c r="M476" s="28">
        <f>[1]!Table3[[#This Row],[C&amp;I CLM $ Collected]]/'[1]1.) CLM Reference'!$B$4</f>
        <v>0</v>
      </c>
      <c r="N476" s="229">
        <v>0</v>
      </c>
      <c r="O476" s="28">
        <f>[1]!Table3[[#This Row],[C&amp;I Incentive Disbursements]]/'[1]1.) CLM Reference'!$B$5</f>
        <v>0</v>
      </c>
      <c r="Q476">
        <f>VLOOKUP(Table3[[#This Row],[Census Tract]],'Population and Diversity Data'!$B$2:$K$823,10,FALSE)</f>
        <v>4</v>
      </c>
      <c r="R476" t="str">
        <f>VLOOKUP(Table3[[#This Row],[Census Tract]],'ES Energy Burden'!$B$2:$E$914,4,FALSE)</f>
        <v>No</v>
      </c>
    </row>
    <row r="477" spans="1:18" x14ac:dyDescent="0.2">
      <c r="A477" t="s">
        <v>2811</v>
      </c>
      <c r="B477" s="169">
        <v>9005253200</v>
      </c>
      <c r="C477" t="s">
        <v>944</v>
      </c>
      <c r="D477" s="170">
        <f>[1]!Table3[[#This Row],[Residential CLM $ Collected]]+[1]!Table3[[#This Row],[C&amp;I CLM $ Collected]]</f>
        <v>90661.357059000002</v>
      </c>
      <c r="E477" s="28">
        <f>[1]!Table3[[#This Row],[CLM $ Collected ]]/'[1]1.) CLM Reference'!$B$4</f>
        <v>9.7600325950234238E-4</v>
      </c>
      <c r="F477" s="170">
        <f>[1]!Table3[[#This Row],[Residential Incentive Disbursements]]+[1]!Table3[[#This Row],[C&amp;I Incentive Disbursements]]</f>
        <v>38403.11</v>
      </c>
      <c r="G477" s="28">
        <f>[1]!Table3[[#This Row],[Incentive Disbursements]]/'[1]1.) CLM Reference'!$B$5</f>
        <v>3.08343998448539E-4</v>
      </c>
      <c r="H477" s="228">
        <v>90661.357059000002</v>
      </c>
      <c r="I477" s="28">
        <f>[1]!Table3[[#This Row],[Residential CLM $ Collected]]/'[1]1.) CLM Reference'!$B$4</f>
        <v>9.7600325950234238E-4</v>
      </c>
      <c r="J477" s="229">
        <v>38403.11</v>
      </c>
      <c r="K477" s="28">
        <f>[1]!Table3[[#This Row],[Residential Incentive Disbursements]]/'[1]1.) CLM Reference'!$B$5</f>
        <v>3.08343998448539E-4</v>
      </c>
      <c r="L477" s="229">
        <v>0</v>
      </c>
      <c r="M477" s="28">
        <f>[1]!Table3[[#This Row],[C&amp;I CLM $ Collected]]/'[1]1.) CLM Reference'!$B$4</f>
        <v>0</v>
      </c>
      <c r="N477" s="229">
        <v>0</v>
      </c>
      <c r="O477" s="28">
        <f>[1]!Table3[[#This Row],[C&amp;I Incentive Disbursements]]/'[1]1.) CLM Reference'!$B$5</f>
        <v>0</v>
      </c>
      <c r="Q477">
        <f>VLOOKUP(Table3[[#This Row],[Census Tract]],'Population and Diversity Data'!$B$2:$K$823,10,FALSE)</f>
        <v>4</v>
      </c>
      <c r="R477" t="str">
        <f>VLOOKUP(Table3[[#This Row],[Census Tract]],'ES Energy Burden'!$B$2:$E$914,4,FALSE)</f>
        <v>No</v>
      </c>
    </row>
    <row r="478" spans="1:18" x14ac:dyDescent="0.2">
      <c r="A478" t="s">
        <v>2811</v>
      </c>
      <c r="B478" s="169">
        <v>9005253300</v>
      </c>
      <c r="C478" t="s">
        <v>944</v>
      </c>
      <c r="D478" s="170">
        <f>[1]!Table3[[#This Row],[Residential CLM $ Collected]]+[1]!Table3[[#This Row],[C&amp;I CLM $ Collected]]</f>
        <v>28366.010399999999</v>
      </c>
      <c r="E478" s="28">
        <f>[1]!Table3[[#This Row],[CLM $ Collected ]]/'[1]1.) CLM Reference'!$B$4</f>
        <v>3.0537066185166929E-4</v>
      </c>
      <c r="F478" s="170">
        <f>[1]!Table3[[#This Row],[Residential Incentive Disbursements]]+[1]!Table3[[#This Row],[C&amp;I Incentive Disbursements]]</f>
        <v>15122.88</v>
      </c>
      <c r="G478" s="28">
        <f>[1]!Table3[[#This Row],[Incentive Disbursements]]/'[1]1.) CLM Reference'!$B$5</f>
        <v>1.2142374113079491E-4</v>
      </c>
      <c r="H478" s="228">
        <v>28366.010399999999</v>
      </c>
      <c r="I478" s="28">
        <f>[1]!Table3[[#This Row],[Residential CLM $ Collected]]/'[1]1.) CLM Reference'!$B$4</f>
        <v>3.0537066185166929E-4</v>
      </c>
      <c r="J478" s="229">
        <v>15122.88</v>
      </c>
      <c r="K478" s="28">
        <f>[1]!Table3[[#This Row],[Residential Incentive Disbursements]]/'[1]1.) CLM Reference'!$B$5</f>
        <v>1.2142374113079491E-4</v>
      </c>
      <c r="L478" s="229">
        <v>0</v>
      </c>
      <c r="M478" s="28">
        <f>[1]!Table3[[#This Row],[C&amp;I CLM $ Collected]]/'[1]1.) CLM Reference'!$B$4</f>
        <v>0</v>
      </c>
      <c r="N478" s="229">
        <v>0</v>
      </c>
      <c r="O478" s="28">
        <f>[1]!Table3[[#This Row],[C&amp;I Incentive Disbursements]]/'[1]1.) CLM Reference'!$B$5</f>
        <v>0</v>
      </c>
      <c r="Q478">
        <f>VLOOKUP(Table3[[#This Row],[Census Tract]],'Population and Diversity Data'!$B$2:$K$823,10,FALSE)</f>
        <v>3</v>
      </c>
      <c r="R478" t="str">
        <f>VLOOKUP(Table3[[#This Row],[Census Tract]],'ES Energy Burden'!$B$2:$E$914,4,FALSE)</f>
        <v>No</v>
      </c>
    </row>
    <row r="479" spans="1:18" x14ac:dyDescent="0.2">
      <c r="A479" t="s">
        <v>2811</v>
      </c>
      <c r="B479" s="169">
        <v>9005253400</v>
      </c>
      <c r="C479" t="s">
        <v>944</v>
      </c>
      <c r="D479" s="170">
        <f>[1]!Table3[[#This Row],[Residential CLM $ Collected]]+[1]!Table3[[#This Row],[C&amp;I CLM $ Collected]]</f>
        <v>420565.933326</v>
      </c>
      <c r="E479" s="28">
        <f>[1]!Table3[[#This Row],[CLM $ Collected ]]/'[1]1.) CLM Reference'!$B$4</f>
        <v>4.5275488375349972E-3</v>
      </c>
      <c r="F479" s="170">
        <f>[1]!Table3[[#This Row],[Residential Incentive Disbursements]]+[1]!Table3[[#This Row],[C&amp;I Incentive Disbursements]]</f>
        <v>503614.60499999998</v>
      </c>
      <c r="G479" s="28">
        <f>[1]!Table3[[#This Row],[Incentive Disbursements]]/'[1]1.) CLM Reference'!$B$5</f>
        <v>4.0435928491932447E-3</v>
      </c>
      <c r="H479" s="228">
        <v>268110.63915300003</v>
      </c>
      <c r="I479" s="28">
        <f>[1]!Table3[[#This Row],[Residential CLM $ Collected]]/'[1]1.) CLM Reference'!$B$4</f>
        <v>2.8863108407950699E-3</v>
      </c>
      <c r="J479" s="229">
        <v>388002.38500000001</v>
      </c>
      <c r="K479" s="28">
        <f>[1]!Table3[[#This Row],[Residential Incentive Disbursements]]/'[1]1.) CLM Reference'!$B$5</f>
        <v>3.1153259930893468E-3</v>
      </c>
      <c r="L479" s="229">
        <v>152455.294173</v>
      </c>
      <c r="M479" s="28">
        <f>[1]!Table3[[#This Row],[C&amp;I CLM $ Collected]]/'[1]1.) CLM Reference'!$B$4</f>
        <v>1.6412379967399276E-3</v>
      </c>
      <c r="N479" s="229">
        <v>115612.22</v>
      </c>
      <c r="O479" s="28">
        <f>[1]!Table3[[#This Row],[C&amp;I Incentive Disbursements]]/'[1]1.) CLM Reference'!$B$5</f>
        <v>9.2826685610389759E-4</v>
      </c>
      <c r="Q479">
        <f>VLOOKUP(Table3[[#This Row],[Census Tract]],'Population and Diversity Data'!$B$2:$K$823,10,FALSE)</f>
        <v>2</v>
      </c>
      <c r="R479" t="str">
        <f>VLOOKUP(Table3[[#This Row],[Census Tract]],'ES Energy Burden'!$B$2:$E$914,4,FALSE)</f>
        <v>No</v>
      </c>
    </row>
    <row r="480" spans="1:18" x14ac:dyDescent="0.2">
      <c r="A480" t="s">
        <v>2811</v>
      </c>
      <c r="B480" s="169">
        <v>9005253500</v>
      </c>
      <c r="C480" t="s">
        <v>944</v>
      </c>
      <c r="D480" s="170">
        <f>[1]!Table3[[#This Row],[Residential CLM $ Collected]]+[1]!Table3[[#This Row],[C&amp;I CLM $ Collected]]</f>
        <v>84491.438745000007</v>
      </c>
      <c r="E480" s="28">
        <f>[1]!Table3[[#This Row],[CLM $ Collected ]]/'[1]1.) CLM Reference'!$B$4</f>
        <v>9.0958179195902811E-4</v>
      </c>
      <c r="F480" s="170">
        <f>[1]!Table3[[#This Row],[Residential Incentive Disbursements]]+[1]!Table3[[#This Row],[C&amp;I Incentive Disbursements]]</f>
        <v>126018.9</v>
      </c>
      <c r="G480" s="28">
        <f>[1]!Table3[[#This Row],[Incentive Disbursements]]/'[1]1.) CLM Reference'!$B$5</f>
        <v>1.0118235608024087E-3</v>
      </c>
      <c r="H480" s="228">
        <v>84491.438745000007</v>
      </c>
      <c r="I480" s="28">
        <f>[1]!Table3[[#This Row],[Residential CLM $ Collected]]/'[1]1.) CLM Reference'!$B$4</f>
        <v>9.0958179195902811E-4</v>
      </c>
      <c r="J480" s="229">
        <v>126018.9</v>
      </c>
      <c r="K480" s="28">
        <f>[1]!Table3[[#This Row],[Residential Incentive Disbursements]]/'[1]1.) CLM Reference'!$B$5</f>
        <v>1.0118235608024087E-3</v>
      </c>
      <c r="L480" s="229">
        <v>0</v>
      </c>
      <c r="M480" s="28">
        <f>[1]!Table3[[#This Row],[C&amp;I CLM $ Collected]]/'[1]1.) CLM Reference'!$B$4</f>
        <v>0</v>
      </c>
      <c r="N480" s="229">
        <v>0</v>
      </c>
      <c r="O480" s="28">
        <f>[1]!Table3[[#This Row],[C&amp;I Incentive Disbursements]]/'[1]1.) CLM Reference'!$B$5</f>
        <v>0</v>
      </c>
      <c r="Q480">
        <f>VLOOKUP(Table3[[#This Row],[Census Tract]],'Population and Diversity Data'!$B$2:$K$823,10,FALSE)</f>
        <v>4</v>
      </c>
      <c r="R480" t="str">
        <f>VLOOKUP(Table3[[#This Row],[Census Tract]],'ES Energy Burden'!$B$2:$E$914,4,FALSE)</f>
        <v>No</v>
      </c>
    </row>
    <row r="481" spans="1:18" x14ac:dyDescent="0.2">
      <c r="A481" t="s">
        <v>2811</v>
      </c>
      <c r="B481" s="169">
        <v>9005253600</v>
      </c>
      <c r="C481" t="s">
        <v>944</v>
      </c>
      <c r="D481" s="170">
        <f>[1]!Table3[[#This Row],[Residential CLM $ Collected]]+[1]!Table3[[#This Row],[C&amp;I CLM $ Collected]]</f>
        <v>30267.038507999998</v>
      </c>
      <c r="E481" s="28">
        <f>[1]!Table3[[#This Row],[CLM $ Collected ]]/'[1]1.) CLM Reference'!$B$4</f>
        <v>3.2583593713544998E-4</v>
      </c>
      <c r="F481" s="170">
        <f>[1]!Table3[[#This Row],[Residential Incentive Disbursements]]+[1]!Table3[[#This Row],[C&amp;I Incentive Disbursements]]</f>
        <v>37997.32</v>
      </c>
      <c r="G481" s="28">
        <f>[1]!Table3[[#This Row],[Incentive Disbursements]]/'[1]1.) CLM Reference'!$B$5</f>
        <v>3.0508585318034503E-4</v>
      </c>
      <c r="H481" s="228">
        <v>30267.038507999998</v>
      </c>
      <c r="I481" s="28">
        <f>[1]!Table3[[#This Row],[Residential CLM $ Collected]]/'[1]1.) CLM Reference'!$B$4</f>
        <v>3.2583593713544998E-4</v>
      </c>
      <c r="J481" s="229">
        <v>37997.32</v>
      </c>
      <c r="K481" s="28">
        <f>[1]!Table3[[#This Row],[Residential Incentive Disbursements]]/'[1]1.) CLM Reference'!$B$5</f>
        <v>3.0508585318034503E-4</v>
      </c>
      <c r="L481" s="229">
        <v>0</v>
      </c>
      <c r="M481" s="28">
        <f>[1]!Table3[[#This Row],[C&amp;I CLM $ Collected]]/'[1]1.) CLM Reference'!$B$4</f>
        <v>0</v>
      </c>
      <c r="N481" s="229">
        <v>0</v>
      </c>
      <c r="O481" s="28">
        <f>[1]!Table3[[#This Row],[C&amp;I Incentive Disbursements]]/'[1]1.) CLM Reference'!$B$5</f>
        <v>0</v>
      </c>
      <c r="Q481">
        <f>VLOOKUP(Table3[[#This Row],[Census Tract]],'Population and Diversity Data'!$B$2:$K$823,10,FALSE)</f>
        <v>4</v>
      </c>
      <c r="R481" t="str">
        <f>VLOOKUP(Table3[[#This Row],[Census Tract]],'ES Energy Burden'!$B$2:$E$914,4,FALSE)</f>
        <v>No</v>
      </c>
    </row>
    <row r="482" spans="1:18" x14ac:dyDescent="0.2">
      <c r="A482" t="s">
        <v>2811</v>
      </c>
      <c r="B482" s="169">
        <v>9005267100</v>
      </c>
      <c r="C482" t="s">
        <v>944</v>
      </c>
      <c r="D482" s="170">
        <f>[1]!Table3[[#This Row],[Residential CLM $ Collected]]+[1]!Table3[[#This Row],[C&amp;I CLM $ Collected]]</f>
        <v>498.77960999999999</v>
      </c>
      <c r="E482" s="28">
        <f>[1]!Table3[[#This Row],[CLM $ Collected ]]/'[1]1.) CLM Reference'!$B$4</f>
        <v>5.3695481837593032E-6</v>
      </c>
      <c r="F482" s="170">
        <f>[1]!Table3[[#This Row],[Residential Incentive Disbursements]]+[1]!Table3[[#This Row],[C&amp;I Incentive Disbursements]]</f>
        <v>0</v>
      </c>
      <c r="G482" s="28">
        <f>[1]!Table3[[#This Row],[Incentive Disbursements]]/'[1]1.) CLM Reference'!$B$5</f>
        <v>0</v>
      </c>
      <c r="H482" s="228">
        <v>498.77960999999999</v>
      </c>
      <c r="I482" s="28">
        <f>[1]!Table3[[#This Row],[Residential CLM $ Collected]]/'[1]1.) CLM Reference'!$B$4</f>
        <v>5.3695481837593032E-6</v>
      </c>
      <c r="J482" s="229">
        <v>0</v>
      </c>
      <c r="K482" s="28">
        <f>[1]!Table3[[#This Row],[Residential Incentive Disbursements]]/'[1]1.) CLM Reference'!$B$5</f>
        <v>0</v>
      </c>
      <c r="L482" s="229">
        <v>0</v>
      </c>
      <c r="M482" s="28">
        <f>[1]!Table3[[#This Row],[C&amp;I CLM $ Collected]]/'[1]1.) CLM Reference'!$B$4</f>
        <v>0</v>
      </c>
      <c r="N482" s="229">
        <v>0</v>
      </c>
      <c r="O482" s="28">
        <f>[1]!Table3[[#This Row],[C&amp;I Incentive Disbursements]]/'[1]1.) CLM Reference'!$B$5</f>
        <v>0</v>
      </c>
      <c r="Q482">
        <f>VLOOKUP(Table3[[#This Row],[Census Tract]],'Population and Diversity Data'!$B$2:$K$823,10,FALSE)</f>
        <v>3</v>
      </c>
      <c r="R482" t="str">
        <f>VLOOKUP(Table3[[#This Row],[Census Tract]],'ES Energy Burden'!$B$2:$E$914,4,FALSE)</f>
        <v>No</v>
      </c>
    </row>
    <row r="483" spans="1:18" x14ac:dyDescent="0.2">
      <c r="A483" t="s">
        <v>2812</v>
      </c>
      <c r="B483" s="169">
        <v>9003400100</v>
      </c>
      <c r="C483" t="s">
        <v>944</v>
      </c>
      <c r="D483" s="170">
        <f>[1]!Table3[[#This Row],[Residential CLM $ Collected]]+[1]!Table3[[#This Row],[C&amp;I CLM $ Collected]]</f>
        <v>254.25120000000001</v>
      </c>
      <c r="E483" s="28">
        <f>[1]!Table3[[#This Row],[CLM $ Collected ]]/'[1]1.) CLM Reference'!$B$4</f>
        <v>2.7371088188200461E-6</v>
      </c>
      <c r="F483" s="170">
        <f>[1]!Table3[[#This Row],[Residential Incentive Disbursements]]+[1]!Table3[[#This Row],[C&amp;I Incentive Disbursements]]</f>
        <v>430.16</v>
      </c>
      <c r="G483" s="28">
        <f>[1]!Table3[[#This Row],[Incentive Disbursements]]/'[1]1.) CLM Reference'!$B$5</f>
        <v>3.4538154428801089E-6</v>
      </c>
      <c r="H483" s="228">
        <v>254.25120000000001</v>
      </c>
      <c r="I483" s="28">
        <f>[1]!Table3[[#This Row],[Residential CLM $ Collected]]/'[1]1.) CLM Reference'!$B$4</f>
        <v>2.7371088188200461E-6</v>
      </c>
      <c r="J483" s="229">
        <v>430.16</v>
      </c>
      <c r="K483" s="28">
        <f>[1]!Table3[[#This Row],[Residential Incentive Disbursements]]/'[1]1.) CLM Reference'!$B$5</f>
        <v>3.4538154428801089E-6</v>
      </c>
      <c r="L483" s="229">
        <v>0</v>
      </c>
      <c r="M483" s="28">
        <f>[1]!Table3[[#This Row],[C&amp;I CLM $ Collected]]/'[1]1.) CLM Reference'!$B$4</f>
        <v>0</v>
      </c>
      <c r="N483" s="229">
        <v>0</v>
      </c>
      <c r="O483" s="28">
        <f>[1]!Table3[[#This Row],[C&amp;I Incentive Disbursements]]/'[1]1.) CLM Reference'!$B$5</f>
        <v>0</v>
      </c>
      <c r="Q483">
        <f>VLOOKUP(Table3[[#This Row],[Census Tract]],'Population and Diversity Data'!$B$2:$K$823,10,FALSE)</f>
        <v>2</v>
      </c>
      <c r="R483" t="str">
        <f>VLOOKUP(Table3[[#This Row],[Census Tract]],'ES Energy Burden'!$B$2:$E$914,4,FALSE)</f>
        <v>No</v>
      </c>
    </row>
    <row r="484" spans="1:18" x14ac:dyDescent="0.2">
      <c r="A484" t="s">
        <v>2812</v>
      </c>
      <c r="B484" s="169">
        <v>9003416300</v>
      </c>
      <c r="C484" t="s">
        <v>944</v>
      </c>
      <c r="D484" s="170">
        <f>[1]!Table3[[#This Row],[Residential CLM $ Collected]]+[1]!Table3[[#This Row],[C&amp;I CLM $ Collected]]</f>
        <v>66.924480000000003</v>
      </c>
      <c r="E484" s="28">
        <f>[1]!Table3[[#This Row],[CLM $ Collected ]]/'[1]1.) CLM Reference'!$B$4</f>
        <v>7.2046694136722188E-7</v>
      </c>
      <c r="F484" s="170">
        <f>[1]!Table3[[#This Row],[Residential Incentive Disbursements]]+[1]!Table3[[#This Row],[C&amp;I Incentive Disbursements]]</f>
        <v>0</v>
      </c>
      <c r="G484" s="28">
        <f>[1]!Table3[[#This Row],[Incentive Disbursements]]/'[1]1.) CLM Reference'!$B$5</f>
        <v>0</v>
      </c>
      <c r="H484" s="228">
        <v>66.924480000000003</v>
      </c>
      <c r="I484" s="28">
        <f>[1]!Table3[[#This Row],[Residential CLM $ Collected]]/'[1]1.) CLM Reference'!$B$4</f>
        <v>7.2046694136722188E-7</v>
      </c>
      <c r="J484" s="229">
        <v>0</v>
      </c>
      <c r="K484" s="28">
        <f>[1]!Table3[[#This Row],[Residential Incentive Disbursements]]/'[1]1.) CLM Reference'!$B$5</f>
        <v>0</v>
      </c>
      <c r="L484" s="229">
        <v>0</v>
      </c>
      <c r="M484" s="28">
        <f>[1]!Table3[[#This Row],[C&amp;I CLM $ Collected]]/'[1]1.) CLM Reference'!$B$4</f>
        <v>0</v>
      </c>
      <c r="N484" s="229">
        <v>0</v>
      </c>
      <c r="O484" s="28">
        <f>[1]!Table3[[#This Row],[C&amp;I Incentive Disbursements]]/'[1]1.) CLM Reference'!$B$5</f>
        <v>0</v>
      </c>
      <c r="Q484">
        <f>VLOOKUP(Table3[[#This Row],[Census Tract]],'Population and Diversity Data'!$B$2:$K$823,10,FALSE)</f>
        <v>4</v>
      </c>
      <c r="R484" t="str">
        <f>VLOOKUP(Table3[[#This Row],[Census Tract]],'ES Energy Burden'!$B$2:$E$914,4,FALSE)</f>
        <v>Yes</v>
      </c>
    </row>
    <row r="485" spans="1:18" x14ac:dyDescent="0.2">
      <c r="A485" t="s">
        <v>2812</v>
      </c>
      <c r="B485" s="169">
        <v>9003492600</v>
      </c>
      <c r="C485" t="s">
        <v>944</v>
      </c>
      <c r="D485" s="170">
        <f>[1]!Table3[[#This Row],[Residential CLM $ Collected]]+[1]!Table3[[#This Row],[C&amp;I CLM $ Collected]]</f>
        <v>165.65451000000002</v>
      </c>
      <c r="E485" s="28">
        <f>[1]!Table3[[#This Row],[CLM $ Collected ]]/'[1]1.) CLM Reference'!$B$4</f>
        <v>1.7833324688273392E-6</v>
      </c>
      <c r="F485" s="170">
        <f>[1]!Table3[[#This Row],[Residential Incentive Disbursements]]+[1]!Table3[[#This Row],[C&amp;I Incentive Disbursements]]</f>
        <v>0</v>
      </c>
      <c r="G485" s="28">
        <f>[1]!Table3[[#This Row],[Incentive Disbursements]]/'[1]1.) CLM Reference'!$B$5</f>
        <v>0</v>
      </c>
      <c r="H485" s="228">
        <v>165.65451000000002</v>
      </c>
      <c r="I485" s="28">
        <f>[1]!Table3[[#This Row],[Residential CLM $ Collected]]/'[1]1.) CLM Reference'!$B$4</f>
        <v>1.7833324688273392E-6</v>
      </c>
      <c r="J485" s="229">
        <v>0</v>
      </c>
      <c r="K485" s="28">
        <f>[1]!Table3[[#This Row],[Residential Incentive Disbursements]]/'[1]1.) CLM Reference'!$B$5</f>
        <v>0</v>
      </c>
      <c r="L485" s="229">
        <v>0</v>
      </c>
      <c r="M485" s="28">
        <f>[1]!Table3[[#This Row],[C&amp;I CLM $ Collected]]/'[1]1.) CLM Reference'!$B$4</f>
        <v>0</v>
      </c>
      <c r="N485" s="229">
        <v>0</v>
      </c>
      <c r="O485" s="28">
        <f>[1]!Table3[[#This Row],[C&amp;I Incentive Disbursements]]/'[1]1.) CLM Reference'!$B$5</f>
        <v>0</v>
      </c>
      <c r="Q485">
        <f>VLOOKUP(Table3[[#This Row],[Census Tract]],'Population and Diversity Data'!$B$2:$K$823,10,FALSE)</f>
        <v>1</v>
      </c>
      <c r="R485" t="str">
        <f>VLOOKUP(Table3[[#This Row],[Census Tract]],'ES Energy Burden'!$B$2:$E$914,4,FALSE)</f>
        <v>No</v>
      </c>
    </row>
    <row r="486" spans="1:18" x14ac:dyDescent="0.2">
      <c r="A486" t="s">
        <v>2812</v>
      </c>
      <c r="B486" s="169">
        <v>9003494100</v>
      </c>
      <c r="C486" t="s">
        <v>944</v>
      </c>
      <c r="D486" s="170">
        <f>[1]!Table3[[#This Row],[Residential CLM $ Collected]]+[1]!Table3[[#This Row],[C&amp;I CLM $ Collected]]</f>
        <v>53780.659926</v>
      </c>
      <c r="E486" s="28">
        <f>[1]!Table3[[#This Row],[CLM $ Collected ]]/'[1]1.) CLM Reference'!$B$4</f>
        <v>5.7896882518319068E-4</v>
      </c>
      <c r="F486" s="170">
        <f>[1]!Table3[[#This Row],[Residential Incentive Disbursements]]+[1]!Table3[[#This Row],[C&amp;I Incentive Disbursements]]</f>
        <v>25834.22</v>
      </c>
      <c r="G486" s="28">
        <f>[1]!Table3[[#This Row],[Incentive Disbursements]]/'[1]1.) CLM Reference'!$B$5</f>
        <v>2.0742660403283002E-4</v>
      </c>
      <c r="H486" s="228">
        <v>53780.659926</v>
      </c>
      <c r="I486" s="28">
        <f>[1]!Table3[[#This Row],[Residential CLM $ Collected]]/'[1]1.) CLM Reference'!$B$4</f>
        <v>5.7896882518319068E-4</v>
      </c>
      <c r="J486" s="229">
        <v>25834.22</v>
      </c>
      <c r="K486" s="28">
        <f>[1]!Table3[[#This Row],[Residential Incentive Disbursements]]/'[1]1.) CLM Reference'!$B$5</f>
        <v>2.0742660403283002E-4</v>
      </c>
      <c r="L486" s="229">
        <v>0</v>
      </c>
      <c r="M486" s="28">
        <f>[1]!Table3[[#This Row],[C&amp;I CLM $ Collected]]/'[1]1.) CLM Reference'!$B$4</f>
        <v>0</v>
      </c>
      <c r="N486" s="229">
        <v>0</v>
      </c>
      <c r="O486" s="28">
        <f>[1]!Table3[[#This Row],[C&amp;I Incentive Disbursements]]/'[1]1.) CLM Reference'!$B$5</f>
        <v>0</v>
      </c>
      <c r="Q486">
        <f>VLOOKUP(Table3[[#This Row],[Census Tract]],'Population and Diversity Data'!$B$2:$K$823,10,FALSE)</f>
        <v>4</v>
      </c>
      <c r="R486" t="str">
        <f>VLOOKUP(Table3[[#This Row],[Census Tract]],'ES Energy Burden'!$B$2:$E$914,4,FALSE)</f>
        <v>No</v>
      </c>
    </row>
    <row r="487" spans="1:18" x14ac:dyDescent="0.2">
      <c r="A487" t="s">
        <v>2812</v>
      </c>
      <c r="B487" s="169">
        <v>9003494201</v>
      </c>
      <c r="C487" t="s">
        <v>944</v>
      </c>
      <c r="D487" s="170">
        <f>[1]!Table3[[#This Row],[Residential CLM $ Collected]]+[1]!Table3[[#This Row],[C&amp;I CLM $ Collected]]</f>
        <v>368955.24122100003</v>
      </c>
      <c r="E487" s="28">
        <f>[1]!Table3[[#This Row],[CLM $ Collected ]]/'[1]1.) CLM Reference'!$B$4</f>
        <v>3.9719405237649873E-3</v>
      </c>
      <c r="F487" s="170">
        <f>[1]!Table3[[#This Row],[Residential Incentive Disbursements]]+[1]!Table3[[#This Row],[C&amp;I Incentive Disbursements]]</f>
        <v>355482.61249999999</v>
      </c>
      <c r="G487" s="28">
        <f>[1]!Table3[[#This Row],[Incentive Disbursements]]/'[1]1.) CLM Reference'!$B$5</f>
        <v>2.8542201430348372E-3</v>
      </c>
      <c r="H487" s="228">
        <v>172376.82044100002</v>
      </c>
      <c r="I487" s="28">
        <f>[1]!Table3[[#This Row],[Residential CLM $ Collected]]/'[1]1.) CLM Reference'!$B$4</f>
        <v>1.8557006432584025E-3</v>
      </c>
      <c r="J487" s="229">
        <v>248428.9425</v>
      </c>
      <c r="K487" s="28">
        <f>[1]!Table3[[#This Row],[Residential Incentive Disbursements]]/'[1]1.) CLM Reference'!$B$5</f>
        <v>1.994671094627289E-3</v>
      </c>
      <c r="L487" s="229">
        <v>196578.42078000001</v>
      </c>
      <c r="M487" s="28">
        <f>[1]!Table3[[#This Row],[C&amp;I CLM $ Collected]]/'[1]1.) CLM Reference'!$B$4</f>
        <v>2.116239880506585E-3</v>
      </c>
      <c r="N487" s="229">
        <v>107053.67</v>
      </c>
      <c r="O487" s="28">
        <f>[1]!Table3[[#This Row],[C&amp;I Incentive Disbursements]]/'[1]1.) CLM Reference'!$B$5</f>
        <v>8.595490484075484E-4</v>
      </c>
      <c r="Q487">
        <f>VLOOKUP(Table3[[#This Row],[Census Tract]],'Population and Diversity Data'!$B$2:$K$823,10,FALSE)</f>
        <v>4</v>
      </c>
      <c r="R487" t="str">
        <f>VLOOKUP(Table3[[#This Row],[Census Tract]],'ES Energy Burden'!$B$2:$E$914,4,FALSE)</f>
        <v>No</v>
      </c>
    </row>
    <row r="488" spans="1:18" x14ac:dyDescent="0.2">
      <c r="A488" t="s">
        <v>2812</v>
      </c>
      <c r="B488" s="169">
        <v>9003494202</v>
      </c>
      <c r="C488" t="s">
        <v>944</v>
      </c>
      <c r="D488" s="170">
        <f>[1]!Table3[[#This Row],[Residential CLM $ Collected]]+[1]!Table3[[#This Row],[C&amp;I CLM $ Collected]]</f>
        <v>27760.286862000001</v>
      </c>
      <c r="E488" s="28">
        <f>[1]!Table3[[#This Row],[CLM $ Collected ]]/'[1]1.) CLM Reference'!$B$4</f>
        <v>2.9884982247066862E-4</v>
      </c>
      <c r="F488" s="170">
        <f>[1]!Table3[[#This Row],[Residential Incentive Disbursements]]+[1]!Table3[[#This Row],[C&amp;I Incentive Disbursements]]</f>
        <v>9235.1200000000008</v>
      </c>
      <c r="G488" s="28">
        <f>[1]!Table3[[#This Row],[Incentive Disbursements]]/'[1]1.) CLM Reference'!$B$5</f>
        <v>7.4150083859147653E-5</v>
      </c>
      <c r="H488" s="228">
        <v>27760.286862000001</v>
      </c>
      <c r="I488" s="28">
        <f>[1]!Table3[[#This Row],[Residential CLM $ Collected]]/'[1]1.) CLM Reference'!$B$4</f>
        <v>2.9884982247066862E-4</v>
      </c>
      <c r="J488" s="229">
        <v>9235.1200000000008</v>
      </c>
      <c r="K488" s="28">
        <f>[1]!Table3[[#This Row],[Residential Incentive Disbursements]]/'[1]1.) CLM Reference'!$B$5</f>
        <v>7.4150083859147653E-5</v>
      </c>
      <c r="L488" s="229">
        <v>0</v>
      </c>
      <c r="M488" s="28">
        <f>[1]!Table3[[#This Row],[C&amp;I CLM $ Collected]]/'[1]1.) CLM Reference'!$B$4</f>
        <v>0</v>
      </c>
      <c r="N488" s="229">
        <v>0</v>
      </c>
      <c r="O488" s="28">
        <f>[1]!Table3[[#This Row],[C&amp;I Incentive Disbursements]]/'[1]1.) CLM Reference'!$B$5</f>
        <v>0</v>
      </c>
      <c r="Q488">
        <f>VLOOKUP(Table3[[#This Row],[Census Tract]],'Population and Diversity Data'!$B$2:$K$823,10,FALSE)</f>
        <v>4</v>
      </c>
      <c r="R488" t="str">
        <f>VLOOKUP(Table3[[#This Row],[Census Tract]],'ES Energy Burden'!$B$2:$E$914,4,FALSE)</f>
        <v>No</v>
      </c>
    </row>
    <row r="489" spans="1:18" x14ac:dyDescent="0.2">
      <c r="A489" t="s">
        <v>2812</v>
      </c>
      <c r="B489" s="169">
        <v>9003494300</v>
      </c>
      <c r="C489" t="s">
        <v>944</v>
      </c>
      <c r="D489" s="170">
        <f>[1]!Table3[[#This Row],[Residential CLM $ Collected]]+[1]!Table3[[#This Row],[C&amp;I CLM $ Collected]]</f>
        <v>38605.392567000003</v>
      </c>
      <c r="E489" s="28">
        <f>[1]!Table3[[#This Row],[CLM $ Collected ]]/'[1]1.) CLM Reference'!$B$4</f>
        <v>4.1560142272345447E-4</v>
      </c>
      <c r="F489" s="170">
        <f>[1]!Table3[[#This Row],[Residential Incentive Disbursements]]+[1]!Table3[[#This Row],[C&amp;I Incentive Disbursements]]</f>
        <v>29848</v>
      </c>
      <c r="G489" s="28">
        <f>[1]!Table3[[#This Row],[Incentive Disbursements]]/'[1]1.) CLM Reference'!$B$5</f>
        <v>2.3965381099843195E-4</v>
      </c>
      <c r="H489" s="228">
        <v>38605.392567000003</v>
      </c>
      <c r="I489" s="28">
        <f>[1]!Table3[[#This Row],[Residential CLM $ Collected]]/'[1]1.) CLM Reference'!$B$4</f>
        <v>4.1560142272345447E-4</v>
      </c>
      <c r="J489" s="229">
        <v>29848</v>
      </c>
      <c r="K489" s="28">
        <f>[1]!Table3[[#This Row],[Residential Incentive Disbursements]]/'[1]1.) CLM Reference'!$B$5</f>
        <v>2.3965381099843195E-4</v>
      </c>
      <c r="L489" s="229">
        <v>0</v>
      </c>
      <c r="M489" s="28">
        <f>[1]!Table3[[#This Row],[C&amp;I CLM $ Collected]]/'[1]1.) CLM Reference'!$B$4</f>
        <v>0</v>
      </c>
      <c r="N489" s="229">
        <v>0</v>
      </c>
      <c r="O489" s="28">
        <f>[1]!Table3[[#This Row],[C&amp;I Incentive Disbursements]]/'[1]1.) CLM Reference'!$B$5</f>
        <v>0</v>
      </c>
      <c r="Q489">
        <f>VLOOKUP(Table3[[#This Row],[Census Tract]],'Population and Diversity Data'!$B$2:$K$823,10,FALSE)</f>
        <v>3</v>
      </c>
      <c r="R489" t="str">
        <f>VLOOKUP(Table3[[#This Row],[Census Tract]],'ES Energy Burden'!$B$2:$E$914,4,FALSE)</f>
        <v>No</v>
      </c>
    </row>
    <row r="490" spans="1:18" x14ac:dyDescent="0.2">
      <c r="A490" t="s">
        <v>2812</v>
      </c>
      <c r="B490" s="169">
        <v>9003494400</v>
      </c>
      <c r="C490" t="s">
        <v>944</v>
      </c>
      <c r="D490" s="170">
        <f>[1]!Table3[[#This Row],[Residential CLM $ Collected]]+[1]!Table3[[#This Row],[C&amp;I CLM $ Collected]]</f>
        <v>48752.206817999999</v>
      </c>
      <c r="E490" s="28">
        <f>[1]!Table3[[#This Row],[CLM $ Collected ]]/'[1]1.) CLM Reference'!$B$4</f>
        <v>5.2483565551897718E-4</v>
      </c>
      <c r="F490" s="170">
        <f>[1]!Table3[[#This Row],[Residential Incentive Disbursements]]+[1]!Table3[[#This Row],[C&amp;I Incentive Disbursements]]</f>
        <v>81805.820000000007</v>
      </c>
      <c r="G490" s="28">
        <f>[1]!Table3[[#This Row],[Incentive Disbursements]]/'[1]1.) CLM Reference'!$B$5</f>
        <v>6.5683049198779638E-4</v>
      </c>
      <c r="H490" s="228">
        <v>48752.206817999999</v>
      </c>
      <c r="I490" s="28">
        <f>[1]!Table3[[#This Row],[Residential CLM $ Collected]]/'[1]1.) CLM Reference'!$B$4</f>
        <v>5.2483565551897718E-4</v>
      </c>
      <c r="J490" s="229">
        <v>81805.820000000007</v>
      </c>
      <c r="K490" s="28">
        <f>[1]!Table3[[#This Row],[Residential Incentive Disbursements]]/'[1]1.) CLM Reference'!$B$5</f>
        <v>6.5683049198779638E-4</v>
      </c>
      <c r="L490" s="229">
        <v>0</v>
      </c>
      <c r="M490" s="28">
        <f>[1]!Table3[[#This Row],[C&amp;I CLM $ Collected]]/'[1]1.) CLM Reference'!$B$4</f>
        <v>0</v>
      </c>
      <c r="N490" s="229">
        <v>0</v>
      </c>
      <c r="O490" s="28">
        <f>[1]!Table3[[#This Row],[C&amp;I Incentive Disbursements]]/'[1]1.) CLM Reference'!$B$5</f>
        <v>0</v>
      </c>
      <c r="Q490">
        <f>VLOOKUP(Table3[[#This Row],[Census Tract]],'Population and Diversity Data'!$B$2:$K$823,10,FALSE)</f>
        <v>4</v>
      </c>
      <c r="R490" t="str">
        <f>VLOOKUP(Table3[[#This Row],[Census Tract]],'ES Energy Burden'!$B$2:$E$914,4,FALSE)</f>
        <v>No</v>
      </c>
    </row>
    <row r="491" spans="1:18" x14ac:dyDescent="0.2">
      <c r="A491" t="s">
        <v>2812</v>
      </c>
      <c r="B491" s="169">
        <v>9003494500</v>
      </c>
      <c r="C491" t="s">
        <v>944</v>
      </c>
      <c r="D491" s="170">
        <f>[1]!Table3[[#This Row],[Residential CLM $ Collected]]+[1]!Table3[[#This Row],[C&amp;I CLM $ Collected]]</f>
        <v>39434.960039999998</v>
      </c>
      <c r="E491" s="28">
        <f>[1]!Table3[[#This Row],[CLM $ Collected ]]/'[1]1.) CLM Reference'!$B$4</f>
        <v>4.245320253957508E-4</v>
      </c>
      <c r="F491" s="170">
        <f>[1]!Table3[[#This Row],[Residential Incentive Disbursements]]+[1]!Table3[[#This Row],[C&amp;I Incentive Disbursements]]</f>
        <v>23408.66</v>
      </c>
      <c r="G491" s="28">
        <f>[1]!Table3[[#This Row],[Incentive Disbursements]]/'[1]1.) CLM Reference'!$B$5</f>
        <v>1.8795143994125417E-4</v>
      </c>
      <c r="H491" s="228">
        <v>39434.960039999998</v>
      </c>
      <c r="I491" s="28">
        <f>[1]!Table3[[#This Row],[Residential CLM $ Collected]]/'[1]1.) CLM Reference'!$B$4</f>
        <v>4.245320253957508E-4</v>
      </c>
      <c r="J491" s="229">
        <v>23408.66</v>
      </c>
      <c r="K491" s="28">
        <f>[1]!Table3[[#This Row],[Residential Incentive Disbursements]]/'[1]1.) CLM Reference'!$B$5</f>
        <v>1.8795143994125417E-4</v>
      </c>
      <c r="L491" s="229">
        <v>0</v>
      </c>
      <c r="M491" s="28">
        <f>[1]!Table3[[#This Row],[C&amp;I CLM $ Collected]]/'[1]1.) CLM Reference'!$B$4</f>
        <v>0</v>
      </c>
      <c r="N491" s="229">
        <v>0</v>
      </c>
      <c r="O491" s="28">
        <f>[1]!Table3[[#This Row],[C&amp;I Incentive Disbursements]]/'[1]1.) CLM Reference'!$B$5</f>
        <v>0</v>
      </c>
      <c r="Q491">
        <f>VLOOKUP(Table3[[#This Row],[Census Tract]],'Population and Diversity Data'!$B$2:$K$823,10,FALSE)</f>
        <v>4</v>
      </c>
      <c r="R491" t="str">
        <f>VLOOKUP(Table3[[#This Row],[Census Tract]],'ES Energy Burden'!$B$2:$E$914,4,FALSE)</f>
        <v>No</v>
      </c>
    </row>
    <row r="492" spans="1:18" x14ac:dyDescent="0.2">
      <c r="A492" t="s">
        <v>2812</v>
      </c>
      <c r="B492" s="169">
        <v>9003494600</v>
      </c>
      <c r="C492" t="s">
        <v>944</v>
      </c>
      <c r="D492" s="170">
        <f>[1]!Table3[[#This Row],[Residential CLM $ Collected]]+[1]!Table3[[#This Row],[C&amp;I CLM $ Collected]]</f>
        <v>32479.668270000002</v>
      </c>
      <c r="E492" s="28">
        <f>[1]!Table3[[#This Row],[CLM $ Collected ]]/'[1]1.) CLM Reference'!$B$4</f>
        <v>3.4965572022537802E-4</v>
      </c>
      <c r="F492" s="170">
        <f>[1]!Table3[[#This Row],[Residential Incentive Disbursements]]+[1]!Table3[[#This Row],[C&amp;I Incentive Disbursements]]</f>
        <v>30047.54</v>
      </c>
      <c r="G492" s="28">
        <f>[1]!Table3[[#This Row],[Incentive Disbursements]]/'[1]1.) CLM Reference'!$B$5</f>
        <v>2.4125594586330153E-4</v>
      </c>
      <c r="H492" s="228">
        <v>32479.668270000002</v>
      </c>
      <c r="I492" s="28">
        <f>[1]!Table3[[#This Row],[Residential CLM $ Collected]]/'[1]1.) CLM Reference'!$B$4</f>
        <v>3.4965572022537802E-4</v>
      </c>
      <c r="J492" s="229">
        <v>30047.54</v>
      </c>
      <c r="K492" s="28">
        <f>[1]!Table3[[#This Row],[Residential Incentive Disbursements]]/'[1]1.) CLM Reference'!$B$5</f>
        <v>2.4125594586330153E-4</v>
      </c>
      <c r="L492" s="229">
        <v>0</v>
      </c>
      <c r="M492" s="28">
        <f>[1]!Table3[[#This Row],[C&amp;I CLM $ Collected]]/'[1]1.) CLM Reference'!$B$4</f>
        <v>0</v>
      </c>
      <c r="N492" s="229">
        <v>0</v>
      </c>
      <c r="O492" s="28">
        <f>[1]!Table3[[#This Row],[C&amp;I Incentive Disbursements]]/'[1]1.) CLM Reference'!$B$5</f>
        <v>0</v>
      </c>
      <c r="Q492">
        <f>VLOOKUP(Table3[[#This Row],[Census Tract]],'Population and Diversity Data'!$B$2:$K$823,10,FALSE)</f>
        <v>3</v>
      </c>
      <c r="R492" t="str">
        <f>VLOOKUP(Table3[[#This Row],[Census Tract]],'ES Energy Burden'!$B$2:$E$914,4,FALSE)</f>
        <v>No</v>
      </c>
    </row>
    <row r="493" spans="1:18" x14ac:dyDescent="0.2">
      <c r="A493" t="s">
        <v>2813</v>
      </c>
      <c r="B493" s="169">
        <v>9001100100</v>
      </c>
      <c r="C493" t="s">
        <v>944</v>
      </c>
      <c r="D493" s="170">
        <f>[1]!Table3[[#This Row],[Residential CLM $ Collected]]+[1]!Table3[[#This Row],[C&amp;I CLM $ Collected]]</f>
        <v>201.38685000000001</v>
      </c>
      <c r="E493" s="28">
        <f>[1]!Table3[[#This Row],[CLM $ Collected ]]/'[1]1.) CLM Reference'!$B$4</f>
        <v>2.1680044111075574E-6</v>
      </c>
      <c r="F493" s="170">
        <f>[1]!Table3[[#This Row],[Residential Incentive Disbursements]]+[1]!Table3[[#This Row],[C&amp;I Incentive Disbursements]]</f>
        <v>27802.34</v>
      </c>
      <c r="G493" s="28">
        <f>[1]!Table3[[#This Row],[Incentive Disbursements]]/'[1]1.) CLM Reference'!$B$5</f>
        <v>2.2322891770551275E-4</v>
      </c>
      <c r="H493" s="228">
        <v>201.38685000000001</v>
      </c>
      <c r="I493" s="28">
        <f>[1]!Table3[[#This Row],[Residential CLM $ Collected]]/'[1]1.) CLM Reference'!$B$4</f>
        <v>2.1680044111075574E-6</v>
      </c>
      <c r="J493" s="229">
        <v>27802.34</v>
      </c>
      <c r="K493" s="28">
        <f>[1]!Table3[[#This Row],[Residential Incentive Disbursements]]/'[1]1.) CLM Reference'!$B$5</f>
        <v>2.2322891770551275E-4</v>
      </c>
      <c r="L493" s="229">
        <v>0</v>
      </c>
      <c r="M493" s="28">
        <f>[1]!Table3[[#This Row],[C&amp;I CLM $ Collected]]/'[1]1.) CLM Reference'!$B$4</f>
        <v>0</v>
      </c>
      <c r="N493" s="229">
        <v>0</v>
      </c>
      <c r="O493" s="28">
        <f>[1]!Table3[[#This Row],[C&amp;I Incentive Disbursements]]/'[1]1.) CLM Reference'!$B$5</f>
        <v>0</v>
      </c>
      <c r="Q493">
        <f>VLOOKUP(Table3[[#This Row],[Census Tract]],'Population and Diversity Data'!$B$2:$K$823,10,FALSE)</f>
        <v>3</v>
      </c>
      <c r="R493" t="str">
        <f>VLOOKUP(Table3[[#This Row],[Census Tract]],'ES Energy Burden'!$B$2:$E$914,4,FALSE)</f>
        <v>No</v>
      </c>
    </row>
    <row r="494" spans="1:18" x14ac:dyDescent="0.2">
      <c r="A494" t="s">
        <v>2813</v>
      </c>
      <c r="B494" s="169">
        <v>9001100300</v>
      </c>
      <c r="C494" t="s">
        <v>944</v>
      </c>
      <c r="D494" s="170">
        <f>[1]!Table3[[#This Row],[Residential CLM $ Collected]]+[1]!Table3[[#This Row],[C&amp;I CLM $ Collected]]</f>
        <v>1099.50603</v>
      </c>
      <c r="E494" s="28">
        <f>[1]!Table3[[#This Row],[CLM $ Collected ]]/'[1]1.) CLM Reference'!$B$4</f>
        <v>1.1836591729198597E-5</v>
      </c>
      <c r="F494" s="170">
        <f>[1]!Table3[[#This Row],[Residential Incentive Disbursements]]+[1]!Table3[[#This Row],[C&amp;I Incentive Disbursements]]</f>
        <v>2843.71</v>
      </c>
      <c r="G494" s="28">
        <f>[1]!Table3[[#This Row],[Incentive Disbursements]]/'[1]1.) CLM Reference'!$B$5</f>
        <v>2.2832549546849064E-5</v>
      </c>
      <c r="H494" s="228">
        <v>1099.50603</v>
      </c>
      <c r="I494" s="28">
        <f>[1]!Table3[[#This Row],[Residential CLM $ Collected]]/'[1]1.) CLM Reference'!$B$4</f>
        <v>1.1836591729198597E-5</v>
      </c>
      <c r="J494" s="229">
        <v>2843.71</v>
      </c>
      <c r="K494" s="28">
        <f>[1]!Table3[[#This Row],[Residential Incentive Disbursements]]/'[1]1.) CLM Reference'!$B$5</f>
        <v>2.2832549546849064E-5</v>
      </c>
      <c r="L494" s="229">
        <v>0</v>
      </c>
      <c r="M494" s="28">
        <f>[1]!Table3[[#This Row],[C&amp;I CLM $ Collected]]/'[1]1.) CLM Reference'!$B$4</f>
        <v>0</v>
      </c>
      <c r="N494" s="229">
        <v>0</v>
      </c>
      <c r="O494" s="28">
        <f>[1]!Table3[[#This Row],[C&amp;I Incentive Disbursements]]/'[1]1.) CLM Reference'!$B$5</f>
        <v>0</v>
      </c>
      <c r="Q494">
        <f>VLOOKUP(Table3[[#This Row],[Census Tract]],'Population and Diversity Data'!$B$2:$K$823,10,FALSE)</f>
        <v>2</v>
      </c>
      <c r="R494" t="str">
        <f>VLOOKUP(Table3[[#This Row],[Census Tract]],'ES Energy Burden'!$B$2:$E$914,4,FALSE)</f>
        <v>No</v>
      </c>
    </row>
    <row r="495" spans="1:18" x14ac:dyDescent="0.2">
      <c r="A495" t="s">
        <v>2813</v>
      </c>
      <c r="B495" s="169">
        <v>9001200302</v>
      </c>
      <c r="C495" t="s">
        <v>944</v>
      </c>
      <c r="D495" s="170">
        <f>[1]!Table3[[#This Row],[Residential CLM $ Collected]]+[1]!Table3[[#This Row],[C&amp;I CLM $ Collected]]</f>
        <v>232.89777000000001</v>
      </c>
      <c r="E495" s="28">
        <f>[1]!Table3[[#This Row],[CLM $ Collected ]]/'[1]1.) CLM Reference'!$B$4</f>
        <v>2.5072311955677015E-6</v>
      </c>
      <c r="F495" s="170">
        <f>[1]!Table3[[#This Row],[Residential Incentive Disbursements]]+[1]!Table3[[#This Row],[C&amp;I Incentive Disbursements]]</f>
        <v>0</v>
      </c>
      <c r="G495" s="28">
        <f>[1]!Table3[[#This Row],[Incentive Disbursements]]/'[1]1.) CLM Reference'!$B$5</f>
        <v>0</v>
      </c>
      <c r="H495" s="228">
        <v>232.89777000000001</v>
      </c>
      <c r="I495" s="28">
        <f>[1]!Table3[[#This Row],[Residential CLM $ Collected]]/'[1]1.) CLM Reference'!$B$4</f>
        <v>2.5072311955677015E-6</v>
      </c>
      <c r="J495" s="229">
        <v>0</v>
      </c>
      <c r="K495" s="28">
        <f>[1]!Table3[[#This Row],[Residential Incentive Disbursements]]/'[1]1.) CLM Reference'!$B$5</f>
        <v>0</v>
      </c>
      <c r="L495" s="229">
        <v>0</v>
      </c>
      <c r="M495" s="28">
        <f>[1]!Table3[[#This Row],[C&amp;I CLM $ Collected]]/'[1]1.) CLM Reference'!$B$4</f>
        <v>0</v>
      </c>
      <c r="N495" s="229">
        <v>0</v>
      </c>
      <c r="O495" s="28">
        <f>[1]!Table3[[#This Row],[C&amp;I Incentive Disbursements]]/'[1]1.) CLM Reference'!$B$5</f>
        <v>0</v>
      </c>
      <c r="Q495">
        <f>VLOOKUP(Table3[[#This Row],[Census Tract]],'Population and Diversity Data'!$B$2:$K$823,10,FALSE)</f>
        <v>1</v>
      </c>
      <c r="R495" t="str">
        <f>VLOOKUP(Table3[[#This Row],[Census Tract]],'ES Energy Burden'!$B$2:$E$914,4,FALSE)</f>
        <v>No</v>
      </c>
    </row>
    <row r="496" spans="1:18" x14ac:dyDescent="0.2">
      <c r="A496" t="s">
        <v>2813</v>
      </c>
      <c r="B496" s="169">
        <v>9001205200</v>
      </c>
      <c r="C496" t="s">
        <v>944</v>
      </c>
      <c r="D496" s="170">
        <f>[1]!Table3[[#This Row],[Residential CLM $ Collected]]+[1]!Table3[[#This Row],[C&amp;I CLM $ Collected]]</f>
        <v>637.87878000000001</v>
      </c>
      <c r="E496" s="28">
        <f>[1]!Table3[[#This Row],[CLM $ Collected ]]/'[1]1.) CLM Reference'!$B$4</f>
        <v>6.8670025316544113E-6</v>
      </c>
      <c r="F496" s="170">
        <f>[1]!Table3[[#This Row],[Residential Incentive Disbursements]]+[1]!Table3[[#This Row],[C&amp;I Incentive Disbursements]]</f>
        <v>0</v>
      </c>
      <c r="G496" s="28">
        <f>[1]!Table3[[#This Row],[Incentive Disbursements]]/'[1]1.) CLM Reference'!$B$5</f>
        <v>0</v>
      </c>
      <c r="H496" s="228">
        <v>637.87878000000001</v>
      </c>
      <c r="I496" s="28">
        <f>[1]!Table3[[#This Row],[Residential CLM $ Collected]]/'[1]1.) CLM Reference'!$B$4</f>
        <v>6.8670025316544113E-6</v>
      </c>
      <c r="J496" s="229">
        <v>0</v>
      </c>
      <c r="K496" s="28">
        <f>[1]!Table3[[#This Row],[Residential Incentive Disbursements]]/'[1]1.) CLM Reference'!$B$5</f>
        <v>0</v>
      </c>
      <c r="L496" s="229">
        <v>0</v>
      </c>
      <c r="M496" s="28">
        <f>[1]!Table3[[#This Row],[C&amp;I CLM $ Collected]]/'[1]1.) CLM Reference'!$B$4</f>
        <v>0</v>
      </c>
      <c r="N496" s="229">
        <v>0</v>
      </c>
      <c r="O496" s="28">
        <f>[1]!Table3[[#This Row],[C&amp;I Incentive Disbursements]]/'[1]1.) CLM Reference'!$B$5</f>
        <v>0</v>
      </c>
      <c r="Q496">
        <f>VLOOKUP(Table3[[#This Row],[Census Tract]],'Population and Diversity Data'!$B$2:$K$823,10,FALSE)</f>
        <v>1</v>
      </c>
      <c r="R496" t="str">
        <f>VLOOKUP(Table3[[#This Row],[Census Tract]],'ES Energy Burden'!$B$2:$E$914,4,FALSE)</f>
        <v>No</v>
      </c>
    </row>
    <row r="497" spans="1:18" x14ac:dyDescent="0.2">
      <c r="A497" t="s">
        <v>2813</v>
      </c>
      <c r="B497" s="169">
        <v>9001205300</v>
      </c>
      <c r="C497" t="s">
        <v>944</v>
      </c>
      <c r="D497" s="170">
        <f>[1]!Table3[[#This Row],[Residential CLM $ Collected]]+[1]!Table3[[#This Row],[C&amp;I CLM $ Collected]]</f>
        <v>344.32587000000001</v>
      </c>
      <c r="E497" s="28">
        <f>[1]!Table3[[#This Row],[CLM $ Collected ]]/'[1]1.) CLM Reference'!$B$4</f>
        <v>3.7067961737245874E-6</v>
      </c>
      <c r="F497" s="170">
        <f>[1]!Table3[[#This Row],[Residential Incentive Disbursements]]+[1]!Table3[[#This Row],[C&amp;I Incentive Disbursements]]</f>
        <v>0</v>
      </c>
      <c r="G497" s="28">
        <f>[1]!Table3[[#This Row],[Incentive Disbursements]]/'[1]1.) CLM Reference'!$B$5</f>
        <v>0</v>
      </c>
      <c r="H497" s="228">
        <v>344.32587000000001</v>
      </c>
      <c r="I497" s="28">
        <f>[1]!Table3[[#This Row],[Residential CLM $ Collected]]/'[1]1.) CLM Reference'!$B$4</f>
        <v>3.7067961737245874E-6</v>
      </c>
      <c r="J497" s="229">
        <v>0</v>
      </c>
      <c r="K497" s="28">
        <f>[1]!Table3[[#This Row],[Residential Incentive Disbursements]]/'[1]1.) CLM Reference'!$B$5</f>
        <v>0</v>
      </c>
      <c r="L497" s="229">
        <v>0</v>
      </c>
      <c r="M497" s="28">
        <f>[1]!Table3[[#This Row],[C&amp;I CLM $ Collected]]/'[1]1.) CLM Reference'!$B$4</f>
        <v>0</v>
      </c>
      <c r="N497" s="229">
        <v>0</v>
      </c>
      <c r="O497" s="28">
        <f>[1]!Table3[[#This Row],[C&amp;I Incentive Disbursements]]/'[1]1.) CLM Reference'!$B$5</f>
        <v>0</v>
      </c>
      <c r="Q497">
        <f>VLOOKUP(Table3[[#This Row],[Census Tract]],'Population and Diversity Data'!$B$2:$K$823,10,FALSE)</f>
        <v>4</v>
      </c>
      <c r="R497" t="str">
        <f>VLOOKUP(Table3[[#This Row],[Census Tract]],'ES Energy Burden'!$B$2:$E$914,4,FALSE)</f>
        <v>No</v>
      </c>
    </row>
    <row r="498" spans="1:18" x14ac:dyDescent="0.2">
      <c r="A498" t="s">
        <v>2813</v>
      </c>
      <c r="B498" s="169">
        <v>9001230100</v>
      </c>
      <c r="C498" t="s">
        <v>944</v>
      </c>
      <c r="D498" s="170">
        <f>[1]!Table3[[#This Row],[Residential CLM $ Collected]]+[1]!Table3[[#This Row],[C&amp;I CLM $ Collected]]</f>
        <v>358599.985422</v>
      </c>
      <c r="E498" s="28">
        <f>[1]!Table3[[#This Row],[CLM $ Collected ]]/'[1]1.) CLM Reference'!$B$4</f>
        <v>3.8604623401081142E-3</v>
      </c>
      <c r="F498" s="170">
        <f>[1]!Table3[[#This Row],[Residential Incentive Disbursements]]+[1]!Table3[[#This Row],[C&amp;I Incentive Disbursements]]</f>
        <v>445326.52500000002</v>
      </c>
      <c r="G498" s="28">
        <f>[1]!Table3[[#This Row],[Incentive Disbursements]]/'[1]1.) CLM Reference'!$B$5</f>
        <v>3.5755896158851008E-3</v>
      </c>
      <c r="H498" s="228">
        <v>255649.899897</v>
      </c>
      <c r="I498" s="28">
        <f>[1]!Table3[[#This Row],[Residential CLM $ Collected]]/'[1]1.) CLM Reference'!$B$4</f>
        <v>2.7521663439092547E-3</v>
      </c>
      <c r="J498" s="229">
        <v>414915.40500000003</v>
      </c>
      <c r="K498" s="28">
        <f>[1]!Table3[[#This Row],[Residential Incentive Disbursements]]/'[1]1.) CLM Reference'!$B$5</f>
        <v>3.3314144348099654E-3</v>
      </c>
      <c r="L498" s="229">
        <v>102950.085525</v>
      </c>
      <c r="M498" s="28">
        <f>[1]!Table3[[#This Row],[C&amp;I CLM $ Collected]]/'[1]1.) CLM Reference'!$B$4</f>
        <v>1.1082959961988595E-3</v>
      </c>
      <c r="N498" s="229">
        <v>30411.119999999999</v>
      </c>
      <c r="O498" s="28">
        <f>[1]!Table3[[#This Row],[C&amp;I Incentive Disbursements]]/'[1]1.) CLM Reference'!$B$5</f>
        <v>2.4417518107513515E-4</v>
      </c>
      <c r="Q498">
        <f>VLOOKUP(Table3[[#This Row],[Census Tract]],'Population and Diversity Data'!$B$2:$K$823,10,FALSE)</f>
        <v>2</v>
      </c>
      <c r="R498" t="str">
        <f>VLOOKUP(Table3[[#This Row],[Census Tract]],'ES Energy Burden'!$B$2:$E$914,4,FALSE)</f>
        <v>No</v>
      </c>
    </row>
    <row r="499" spans="1:18" x14ac:dyDescent="0.2">
      <c r="A499" t="s">
        <v>2813</v>
      </c>
      <c r="B499" s="169">
        <v>9001230200</v>
      </c>
      <c r="C499" t="s">
        <v>944</v>
      </c>
      <c r="D499" s="170">
        <f>[1]!Table3[[#This Row],[Residential CLM $ Collected]]+[1]!Table3[[#This Row],[C&amp;I CLM $ Collected]]</f>
        <v>28327.678553999998</v>
      </c>
      <c r="E499" s="28">
        <f>[1]!Table3[[#This Row],[CLM $ Collected ]]/'[1]1.) CLM Reference'!$B$4</f>
        <v>3.0495800525957357E-4</v>
      </c>
      <c r="F499" s="170">
        <f>[1]!Table3[[#This Row],[Residential Incentive Disbursements]]+[1]!Table3[[#This Row],[C&amp;I Incentive Disbursements]]</f>
        <v>11139.305</v>
      </c>
      <c r="G499" s="28">
        <f>[1]!Table3[[#This Row],[Incentive Disbursements]]/'[1]1.) CLM Reference'!$B$5</f>
        <v>8.9439054379653174E-5</v>
      </c>
      <c r="H499" s="228">
        <v>28327.678553999998</v>
      </c>
      <c r="I499" s="28">
        <f>[1]!Table3[[#This Row],[Residential CLM $ Collected]]/'[1]1.) CLM Reference'!$B$4</f>
        <v>3.0495800525957357E-4</v>
      </c>
      <c r="J499" s="229">
        <v>11139.305</v>
      </c>
      <c r="K499" s="28">
        <f>[1]!Table3[[#This Row],[Residential Incentive Disbursements]]/'[1]1.) CLM Reference'!$B$5</f>
        <v>8.9439054379653174E-5</v>
      </c>
      <c r="L499" s="229">
        <v>0</v>
      </c>
      <c r="M499" s="28">
        <f>[1]!Table3[[#This Row],[C&amp;I CLM $ Collected]]/'[1]1.) CLM Reference'!$B$4</f>
        <v>0</v>
      </c>
      <c r="N499" s="229">
        <v>0</v>
      </c>
      <c r="O499" s="28">
        <f>[1]!Table3[[#This Row],[C&amp;I Incentive Disbursements]]/'[1]1.) CLM Reference'!$B$5</f>
        <v>0</v>
      </c>
      <c r="Q499">
        <f>VLOOKUP(Table3[[#This Row],[Census Tract]],'Population and Diversity Data'!$B$2:$K$823,10,FALSE)</f>
        <v>2</v>
      </c>
      <c r="R499" t="str">
        <f>VLOOKUP(Table3[[#This Row],[Census Tract]],'ES Energy Burden'!$B$2:$E$914,4,FALSE)</f>
        <v>No</v>
      </c>
    </row>
    <row r="500" spans="1:18" x14ac:dyDescent="0.2">
      <c r="A500" t="s">
        <v>2813</v>
      </c>
      <c r="B500" s="169">
        <v>9001230300</v>
      </c>
      <c r="C500" t="s">
        <v>944</v>
      </c>
      <c r="D500" s="170">
        <f>[1]!Table3[[#This Row],[Residential CLM $ Collected]]+[1]!Table3[[#This Row],[C&amp;I CLM $ Collected]]</f>
        <v>47140.281258000003</v>
      </c>
      <c r="E500" s="28">
        <f>[1]!Table3[[#This Row],[CLM $ Collected ]]/'[1]1.) CLM Reference'!$B$4</f>
        <v>5.0748267678944736E-4</v>
      </c>
      <c r="F500" s="170">
        <f>[1]!Table3[[#This Row],[Residential Incentive Disbursements]]+[1]!Table3[[#This Row],[C&amp;I Incentive Disbursements]]</f>
        <v>30743.57</v>
      </c>
      <c r="G500" s="28">
        <f>[1]!Table3[[#This Row],[Incentive Disbursements]]/'[1]1.) CLM Reference'!$B$5</f>
        <v>2.4684446911676033E-4</v>
      </c>
      <c r="H500" s="228">
        <v>47140.281258000003</v>
      </c>
      <c r="I500" s="28">
        <f>[1]!Table3[[#This Row],[Residential CLM $ Collected]]/'[1]1.) CLM Reference'!$B$4</f>
        <v>5.0748267678944736E-4</v>
      </c>
      <c r="J500" s="229">
        <v>30743.57</v>
      </c>
      <c r="K500" s="28">
        <f>[1]!Table3[[#This Row],[Residential Incentive Disbursements]]/'[1]1.) CLM Reference'!$B$5</f>
        <v>2.4684446911676033E-4</v>
      </c>
      <c r="L500" s="229">
        <v>0</v>
      </c>
      <c r="M500" s="28">
        <f>[1]!Table3[[#This Row],[C&amp;I CLM $ Collected]]/'[1]1.) CLM Reference'!$B$4</f>
        <v>0</v>
      </c>
      <c r="N500" s="229">
        <v>0</v>
      </c>
      <c r="O500" s="28">
        <f>[1]!Table3[[#This Row],[C&amp;I Incentive Disbursements]]/'[1]1.) CLM Reference'!$B$5</f>
        <v>0</v>
      </c>
      <c r="Q500">
        <f>VLOOKUP(Table3[[#This Row],[Census Tract]],'Population and Diversity Data'!$B$2:$K$823,10,FALSE)</f>
        <v>1</v>
      </c>
      <c r="R500" t="str">
        <f>VLOOKUP(Table3[[#This Row],[Census Tract]],'ES Energy Burden'!$B$2:$E$914,4,FALSE)</f>
        <v>No</v>
      </c>
    </row>
    <row r="501" spans="1:18" x14ac:dyDescent="0.2">
      <c r="A501" t="s">
        <v>2813</v>
      </c>
      <c r="B501" s="169">
        <v>9001230400</v>
      </c>
      <c r="C501" t="s">
        <v>944</v>
      </c>
      <c r="D501" s="170">
        <f>[1]!Table3[[#This Row],[Residential CLM $ Collected]]+[1]!Table3[[#This Row],[C&amp;I CLM $ Collected]]</f>
        <v>74697.494150999992</v>
      </c>
      <c r="E501" s="28">
        <f>[1]!Table3[[#This Row],[CLM $ Collected ]]/'[1]1.) CLM Reference'!$B$4</f>
        <v>8.041463323849047E-4</v>
      </c>
      <c r="F501" s="170">
        <f>[1]!Table3[[#This Row],[Residential Incentive Disbursements]]+[1]!Table3[[#This Row],[C&amp;I Incentive Disbursements]]</f>
        <v>63721.11</v>
      </c>
      <c r="G501" s="28">
        <f>[1]!Table3[[#This Row],[Incentive Disbursements]]/'[1]1.) CLM Reference'!$B$5</f>
        <v>5.1162579913395512E-4</v>
      </c>
      <c r="H501" s="228">
        <v>74697.494150999992</v>
      </c>
      <c r="I501" s="28">
        <f>[1]!Table3[[#This Row],[Residential CLM $ Collected]]/'[1]1.) CLM Reference'!$B$4</f>
        <v>8.041463323849047E-4</v>
      </c>
      <c r="J501" s="229">
        <v>63721.11</v>
      </c>
      <c r="K501" s="28">
        <f>[1]!Table3[[#This Row],[Residential Incentive Disbursements]]/'[1]1.) CLM Reference'!$B$5</f>
        <v>5.1162579913395512E-4</v>
      </c>
      <c r="L501" s="229">
        <v>0</v>
      </c>
      <c r="M501" s="28">
        <f>[1]!Table3[[#This Row],[C&amp;I CLM $ Collected]]/'[1]1.) CLM Reference'!$B$4</f>
        <v>0</v>
      </c>
      <c r="N501" s="229">
        <v>0</v>
      </c>
      <c r="O501" s="28">
        <f>[1]!Table3[[#This Row],[C&amp;I Incentive Disbursements]]/'[1]1.) CLM Reference'!$B$5</f>
        <v>0</v>
      </c>
      <c r="Q501">
        <f>VLOOKUP(Table3[[#This Row],[Census Tract]],'Population and Diversity Data'!$B$2:$K$823,10,FALSE)</f>
        <v>2</v>
      </c>
      <c r="R501" t="str">
        <f>VLOOKUP(Table3[[#This Row],[Census Tract]],'ES Energy Burden'!$B$2:$E$914,4,FALSE)</f>
        <v>No</v>
      </c>
    </row>
    <row r="502" spans="1:18" x14ac:dyDescent="0.2">
      <c r="A502" t="s">
        <v>2813</v>
      </c>
      <c r="B502" s="169">
        <v>9001230501</v>
      </c>
      <c r="C502" t="s">
        <v>944</v>
      </c>
      <c r="D502" s="170">
        <f>[1]!Table3[[#This Row],[Residential CLM $ Collected]]+[1]!Table3[[#This Row],[C&amp;I CLM $ Collected]]</f>
        <v>50253.454859999998</v>
      </c>
      <c r="E502" s="28">
        <f>[1]!Table3[[#This Row],[CLM $ Collected ]]/'[1]1.) CLM Reference'!$B$4</f>
        <v>5.4099714956500143E-4</v>
      </c>
      <c r="F502" s="170">
        <f>[1]!Table3[[#This Row],[Residential Incentive Disbursements]]+[1]!Table3[[#This Row],[C&amp;I Incentive Disbursements]]</f>
        <v>63588.3</v>
      </c>
      <c r="G502" s="28">
        <f>[1]!Table3[[#This Row],[Incentive Disbursements]]/'[1]1.) CLM Reference'!$B$5</f>
        <v>5.1055944887133447E-4</v>
      </c>
      <c r="H502" s="228">
        <v>50253.454859999998</v>
      </c>
      <c r="I502" s="28">
        <f>[1]!Table3[[#This Row],[Residential CLM $ Collected]]/'[1]1.) CLM Reference'!$B$4</f>
        <v>5.4099714956500143E-4</v>
      </c>
      <c r="J502" s="229">
        <v>63588.3</v>
      </c>
      <c r="K502" s="28">
        <f>[1]!Table3[[#This Row],[Residential Incentive Disbursements]]/'[1]1.) CLM Reference'!$B$5</f>
        <v>5.1055944887133447E-4</v>
      </c>
      <c r="L502" s="229">
        <v>0</v>
      </c>
      <c r="M502" s="28">
        <f>[1]!Table3[[#This Row],[C&amp;I CLM $ Collected]]/'[1]1.) CLM Reference'!$B$4</f>
        <v>0</v>
      </c>
      <c r="N502" s="229">
        <v>0</v>
      </c>
      <c r="O502" s="28">
        <f>[1]!Table3[[#This Row],[C&amp;I Incentive Disbursements]]/'[1]1.) CLM Reference'!$B$5</f>
        <v>0</v>
      </c>
      <c r="Q502">
        <f>VLOOKUP(Table3[[#This Row],[Census Tract]],'Population and Diversity Data'!$B$2:$K$823,10,FALSE)</f>
        <v>2</v>
      </c>
      <c r="R502" t="str">
        <f>VLOOKUP(Table3[[#This Row],[Census Tract]],'ES Energy Burden'!$B$2:$E$914,4,FALSE)</f>
        <v>No</v>
      </c>
    </row>
    <row r="503" spans="1:18" x14ac:dyDescent="0.2">
      <c r="A503" t="s">
        <v>2813</v>
      </c>
      <c r="B503" s="169">
        <v>9001230502</v>
      </c>
      <c r="C503" t="s">
        <v>944</v>
      </c>
      <c r="D503" s="170">
        <f>[1]!Table3[[#This Row],[Residential CLM $ Collected]]+[1]!Table3[[#This Row],[C&amp;I CLM $ Collected]]</f>
        <v>50058.176510999998</v>
      </c>
      <c r="E503" s="28">
        <f>[1]!Table3[[#This Row],[CLM $ Collected ]]/'[1]1.) CLM Reference'!$B$4</f>
        <v>5.38894905441188E-4</v>
      </c>
      <c r="F503" s="170">
        <f>[1]!Table3[[#This Row],[Residential Incentive Disbursements]]+[1]!Table3[[#This Row],[C&amp;I Incentive Disbursements]]</f>
        <v>38579.24</v>
      </c>
      <c r="G503" s="28">
        <f>[1]!Table3[[#This Row],[Incentive Disbursements]]/'[1]1.) CLM Reference'!$B$5</f>
        <v>3.0975817111441787E-4</v>
      </c>
      <c r="H503" s="228">
        <v>50058.176510999998</v>
      </c>
      <c r="I503" s="28">
        <f>[1]!Table3[[#This Row],[Residential CLM $ Collected]]/'[1]1.) CLM Reference'!$B$4</f>
        <v>5.38894905441188E-4</v>
      </c>
      <c r="J503" s="229">
        <v>38579.24</v>
      </c>
      <c r="K503" s="28">
        <f>[1]!Table3[[#This Row],[Residential Incentive Disbursements]]/'[1]1.) CLM Reference'!$B$5</f>
        <v>3.0975817111441787E-4</v>
      </c>
      <c r="L503" s="229">
        <v>0</v>
      </c>
      <c r="M503" s="28">
        <f>[1]!Table3[[#This Row],[C&amp;I CLM $ Collected]]/'[1]1.) CLM Reference'!$B$4</f>
        <v>0</v>
      </c>
      <c r="N503" s="229">
        <v>0</v>
      </c>
      <c r="O503" s="28">
        <f>[1]!Table3[[#This Row],[C&amp;I Incentive Disbursements]]/'[1]1.) CLM Reference'!$B$5</f>
        <v>0</v>
      </c>
      <c r="Q503">
        <f>VLOOKUP(Table3[[#This Row],[Census Tract]],'Population and Diversity Data'!$B$2:$K$823,10,FALSE)</f>
        <v>2</v>
      </c>
      <c r="R503" t="str">
        <f>VLOOKUP(Table3[[#This Row],[Census Tract]],'ES Energy Burden'!$B$2:$E$914,4,FALSE)</f>
        <v>No</v>
      </c>
    </row>
    <row r="504" spans="1:18" x14ac:dyDescent="0.2">
      <c r="A504" t="s">
        <v>2814</v>
      </c>
      <c r="B504" s="169">
        <v>9005296100</v>
      </c>
      <c r="C504" t="s">
        <v>944</v>
      </c>
      <c r="D504" s="170">
        <f>[1]!Table3[[#This Row],[Residential CLM $ Collected]]+[1]!Table3[[#This Row],[C&amp;I CLM $ Collected]]</f>
        <v>93.982140000000001</v>
      </c>
      <c r="E504" s="28">
        <f>[1]!Table3[[#This Row],[CLM $ Collected ]]/'[1]1.) CLM Reference'!$B$4</f>
        <v>1.0117527240995529E-6</v>
      </c>
      <c r="F504" s="170">
        <f>[1]!Table3[[#This Row],[Residential Incentive Disbursements]]+[1]!Table3[[#This Row],[C&amp;I Incentive Disbursements]]</f>
        <v>0</v>
      </c>
      <c r="G504" s="28">
        <f>[1]!Table3[[#This Row],[Incentive Disbursements]]/'[1]1.) CLM Reference'!$B$5</f>
        <v>0</v>
      </c>
      <c r="H504" s="228">
        <v>93.982140000000001</v>
      </c>
      <c r="I504" s="28">
        <f>[1]!Table3[[#This Row],[Residential CLM $ Collected]]/'[1]1.) CLM Reference'!$B$4</f>
        <v>1.0117527240995529E-6</v>
      </c>
      <c r="J504" s="229">
        <v>0</v>
      </c>
      <c r="K504" s="28">
        <f>[1]!Table3[[#This Row],[Residential Incentive Disbursements]]/'[1]1.) CLM Reference'!$B$5</f>
        <v>0</v>
      </c>
      <c r="L504" s="229">
        <v>0</v>
      </c>
      <c r="M504" s="28">
        <f>[1]!Table3[[#This Row],[C&amp;I CLM $ Collected]]/'[1]1.) CLM Reference'!$B$4</f>
        <v>0</v>
      </c>
      <c r="N504" s="229">
        <v>0</v>
      </c>
      <c r="O504" s="28">
        <f>[1]!Table3[[#This Row],[C&amp;I Incentive Disbursements]]/'[1]1.) CLM Reference'!$B$5</f>
        <v>0</v>
      </c>
      <c r="Q504">
        <f>VLOOKUP(Table3[[#This Row],[Census Tract]],'Population and Diversity Data'!$B$2:$K$823,10,FALSE)</f>
        <v>3</v>
      </c>
      <c r="R504" t="str">
        <f>VLOOKUP(Table3[[#This Row],[Census Tract]],'ES Energy Burden'!$B$2:$E$914,4,FALSE)</f>
        <v>No</v>
      </c>
    </row>
    <row r="505" spans="1:18" x14ac:dyDescent="0.2">
      <c r="A505" t="s">
        <v>2814</v>
      </c>
      <c r="B505" s="169">
        <v>9005425600</v>
      </c>
      <c r="C505" t="s">
        <v>944</v>
      </c>
      <c r="D505" s="170">
        <f>[1]!Table3[[#This Row],[Residential CLM $ Collected]]+[1]!Table3[[#This Row],[C&amp;I CLM $ Collected]]</f>
        <v>44512.114038</v>
      </c>
      <c r="E505" s="28">
        <f>[1]!Table3[[#This Row],[CLM $ Collected ]]/'[1]1.) CLM Reference'!$B$4</f>
        <v>4.7918947827083362E-4</v>
      </c>
      <c r="F505" s="170">
        <f>[1]!Table3[[#This Row],[Residential Incentive Disbursements]]+[1]!Table3[[#This Row],[C&amp;I Incentive Disbursements]]</f>
        <v>32776.32</v>
      </c>
      <c r="G505" s="28">
        <f>[1]!Table3[[#This Row],[Incentive Disbursements]]/'[1]1.) CLM Reference'!$B$5</f>
        <v>2.6316570619485812E-4</v>
      </c>
      <c r="H505" s="228">
        <v>34062.225498</v>
      </c>
      <c r="I505" s="28">
        <f>[1]!Table3[[#This Row],[Residential CLM $ Collected]]/'[1]1.) CLM Reference'!$B$4</f>
        <v>3.6669253792789505E-4</v>
      </c>
      <c r="J505" s="229">
        <v>32266.32</v>
      </c>
      <c r="K505" s="28">
        <f>[1]!Table3[[#This Row],[Residential Incentive Disbursements]]/'[1]1.) CLM Reference'!$B$5</f>
        <v>2.590708441066378E-4</v>
      </c>
      <c r="L505" s="229">
        <v>10449.88854</v>
      </c>
      <c r="M505" s="28">
        <f>[1]!Table3[[#This Row],[C&amp;I CLM $ Collected]]/'[1]1.) CLM Reference'!$B$4</f>
        <v>1.1249694034293854E-4</v>
      </c>
      <c r="N505" s="229">
        <v>510</v>
      </c>
      <c r="O505" s="28">
        <f>[1]!Table3[[#This Row],[C&amp;I Incentive Disbursements]]/'[1]1.) CLM Reference'!$B$5</f>
        <v>4.0948620882203261E-6</v>
      </c>
      <c r="Q505">
        <f>VLOOKUP(Table3[[#This Row],[Census Tract]],'Population and Diversity Data'!$B$2:$K$823,10,FALSE)</f>
        <v>1</v>
      </c>
      <c r="R505" t="str">
        <f>VLOOKUP(Table3[[#This Row],[Census Tract]],'ES Energy Burden'!$B$2:$E$914,4,FALSE)</f>
        <v>No</v>
      </c>
    </row>
    <row r="506" spans="1:18" x14ac:dyDescent="0.2">
      <c r="A506" t="s">
        <v>2815</v>
      </c>
      <c r="B506" s="169">
        <v>9005260200</v>
      </c>
      <c r="C506" t="s">
        <v>944</v>
      </c>
      <c r="D506" s="170">
        <f>[1]!Table3[[#This Row],[Residential CLM $ Collected]]+[1]!Table3[[#This Row],[C&amp;I CLM $ Collected]]</f>
        <v>90858.437481000001</v>
      </c>
      <c r="E506" s="28">
        <f>[1]!Table3[[#This Row],[CLM $ Collected ]]/'[1]1.) CLM Reference'!$B$4</f>
        <v>9.7812490361286371E-4</v>
      </c>
      <c r="F506" s="170">
        <f>[1]!Table3[[#This Row],[Residential Incentive Disbursements]]+[1]!Table3[[#This Row],[C&amp;I Incentive Disbursements]]</f>
        <v>145585.47500000001</v>
      </c>
      <c r="G506" s="28">
        <f>[1]!Table3[[#This Row],[Incentive Disbursements]]/'[1]1.) CLM Reference'!$B$5</f>
        <v>1.1689263572020551E-3</v>
      </c>
      <c r="H506" s="228">
        <v>62576.405807999996</v>
      </c>
      <c r="I506" s="28">
        <f>[1]!Table3[[#This Row],[Residential CLM $ Collected]]/'[1]1.) CLM Reference'!$B$4</f>
        <v>6.7365830402034974E-4</v>
      </c>
      <c r="J506" s="229">
        <v>142499.51500000001</v>
      </c>
      <c r="K506" s="28">
        <f>[1]!Table3[[#This Row],[Residential Incentive Disbursements]]/'[1]1.) CLM Reference'!$B$5</f>
        <v>1.1441487481633015E-3</v>
      </c>
      <c r="L506" s="229">
        <v>28282.031672999998</v>
      </c>
      <c r="M506" s="28">
        <f>[1]!Table3[[#This Row],[C&amp;I CLM $ Collected]]/'[1]1.) CLM Reference'!$B$4</f>
        <v>3.0446659959251386E-4</v>
      </c>
      <c r="N506" s="229">
        <v>3085.96</v>
      </c>
      <c r="O506" s="28">
        <f>[1]!Table3[[#This Row],[C&amp;I Incentive Disbursements]]/'[1]1.) CLM Reference'!$B$5</f>
        <v>2.4777609038753722E-5</v>
      </c>
      <c r="Q506">
        <f>VLOOKUP(Table3[[#This Row],[Census Tract]],'Population and Diversity Data'!$B$2:$K$823,10,FALSE)</f>
        <v>1</v>
      </c>
      <c r="R506" t="str">
        <f>VLOOKUP(Table3[[#This Row],[Census Tract]],'ES Energy Burden'!$B$2:$E$914,4,FALSE)</f>
        <v>No</v>
      </c>
    </row>
    <row r="507" spans="1:18" x14ac:dyDescent="0.2">
      <c r="A507" t="s">
        <v>2816</v>
      </c>
      <c r="B507" s="169">
        <v>9011707100</v>
      </c>
      <c r="C507" t="s">
        <v>944</v>
      </c>
      <c r="D507" s="170">
        <f>[1]!Table3[[#This Row],[Residential CLM $ Collected]]+[1]!Table3[[#This Row],[C&amp;I CLM $ Collected]]</f>
        <v>126532.449435</v>
      </c>
      <c r="E507" s="28">
        <f>[1]!Table3[[#This Row],[CLM $ Collected ]]/'[1]1.) CLM Reference'!$B$4</f>
        <v>1.362168922763944E-3</v>
      </c>
      <c r="F507" s="170">
        <f>[1]!Table3[[#This Row],[Residential Incentive Disbursements]]+[1]!Table3[[#This Row],[C&amp;I Incentive Disbursements]]</f>
        <v>192382.39249999999</v>
      </c>
      <c r="G507" s="28">
        <f>[1]!Table3[[#This Row],[Incentive Disbursements]]/'[1]1.) CLM Reference'!$B$5</f>
        <v>1.544665422528181E-3</v>
      </c>
      <c r="H507" s="228">
        <v>94269.947625000001</v>
      </c>
      <c r="I507" s="28">
        <f>[1]!Table3[[#This Row],[Residential CLM $ Collected]]/'[1]1.) CLM Reference'!$B$4</f>
        <v>1.0148510803256439E-3</v>
      </c>
      <c r="J507" s="229">
        <v>189927.5925</v>
      </c>
      <c r="K507" s="28">
        <f>[1]!Table3[[#This Row],[Residential Incentive Disbursements]]/'[1]1.) CLM Reference'!$B$5</f>
        <v>1.5249554863435474E-3</v>
      </c>
      <c r="L507" s="229">
        <v>32262.501810000002</v>
      </c>
      <c r="M507" s="28">
        <f>[1]!Table3[[#This Row],[C&amp;I CLM $ Collected]]/'[1]1.) CLM Reference'!$B$4</f>
        <v>3.4731784243830004E-4</v>
      </c>
      <c r="N507" s="229">
        <v>2454.8000000000002</v>
      </c>
      <c r="O507" s="28">
        <f>[1]!Table3[[#This Row],[C&amp;I Incentive Disbursements]]/'[1]1.) CLM Reference'!$B$5</f>
        <v>1.9709936184633837E-5</v>
      </c>
      <c r="Q507">
        <f>VLOOKUP(Table3[[#This Row],[Census Tract]],'Population and Diversity Data'!$B$2:$K$823,10,FALSE)</f>
        <v>3</v>
      </c>
      <c r="R507" t="str">
        <f>VLOOKUP(Table3[[#This Row],[Census Tract]],'ES Energy Burden'!$B$2:$E$914,4,FALSE)</f>
        <v>No</v>
      </c>
    </row>
    <row r="508" spans="1:18" x14ac:dyDescent="0.2">
      <c r="A508" t="s">
        <v>2816</v>
      </c>
      <c r="B508" s="169">
        <v>9011708100</v>
      </c>
      <c r="C508" t="s">
        <v>944</v>
      </c>
      <c r="D508" s="170">
        <f>[1]!Table3[[#This Row],[Residential CLM $ Collected]]+[1]!Table3[[#This Row],[C&amp;I CLM $ Collected]]</f>
        <v>185.66037</v>
      </c>
      <c r="E508" s="28">
        <f>[1]!Table3[[#This Row],[CLM $ Collected ]]/'[1]1.) CLM Reference'!$B$4</f>
        <v>1.998702999365953E-6</v>
      </c>
      <c r="F508" s="170">
        <f>[1]!Table3[[#This Row],[Residential Incentive Disbursements]]+[1]!Table3[[#This Row],[C&amp;I Incentive Disbursements]]</f>
        <v>0</v>
      </c>
      <c r="G508" s="28">
        <f>[1]!Table3[[#This Row],[Incentive Disbursements]]/'[1]1.) CLM Reference'!$B$5</f>
        <v>0</v>
      </c>
      <c r="H508" s="228">
        <v>185.66037</v>
      </c>
      <c r="I508" s="28">
        <f>[1]!Table3[[#This Row],[Residential CLM $ Collected]]/'[1]1.) CLM Reference'!$B$4</f>
        <v>1.998702999365953E-6</v>
      </c>
      <c r="J508" s="229">
        <v>0</v>
      </c>
      <c r="K508" s="28">
        <f>[1]!Table3[[#This Row],[Residential Incentive Disbursements]]/'[1]1.) CLM Reference'!$B$5</f>
        <v>0</v>
      </c>
      <c r="L508" s="229">
        <v>0</v>
      </c>
      <c r="M508" s="28">
        <f>[1]!Table3[[#This Row],[C&amp;I CLM $ Collected]]/'[1]1.) CLM Reference'!$B$4</f>
        <v>0</v>
      </c>
      <c r="N508" s="229">
        <v>0</v>
      </c>
      <c r="O508" s="28">
        <f>[1]!Table3[[#This Row],[C&amp;I Incentive Disbursements]]/'[1]1.) CLM Reference'!$B$5</f>
        <v>0</v>
      </c>
      <c r="Q508">
        <f>VLOOKUP(Table3[[#This Row],[Census Tract]],'Population and Diversity Data'!$B$2:$K$823,10,FALSE)</f>
        <v>2</v>
      </c>
      <c r="R508" t="str">
        <f>VLOOKUP(Table3[[#This Row],[Census Tract]],'ES Energy Burden'!$B$2:$E$914,4,FALSE)</f>
        <v>No</v>
      </c>
    </row>
    <row r="509" spans="1:18" x14ac:dyDescent="0.2">
      <c r="A509" t="s">
        <v>2817</v>
      </c>
      <c r="B509" s="169">
        <v>9001035300</v>
      </c>
      <c r="C509" t="s">
        <v>944</v>
      </c>
      <c r="D509" s="170">
        <f>[1]!Table3[[#This Row],[Residential CLM $ Collected]]+[1]!Table3[[#This Row],[C&amp;I CLM $ Collected]]</f>
        <v>648.99743999999998</v>
      </c>
      <c r="E509" s="28">
        <f>[1]!Table3[[#This Row],[CLM $ Collected ]]/'[1]1.) CLM Reference'!$B$4</f>
        <v>6.9866990457297106E-6</v>
      </c>
      <c r="F509" s="170">
        <f>[1]!Table3[[#This Row],[Residential Incentive Disbursements]]+[1]!Table3[[#This Row],[C&amp;I Incentive Disbursements]]</f>
        <v>454</v>
      </c>
      <c r="G509" s="28">
        <f>[1]!Table3[[#This Row],[Incentive Disbursements]]/'[1]1.) CLM Reference'!$B$5</f>
        <v>3.6452301726510355E-6</v>
      </c>
      <c r="H509" s="228">
        <v>648.99743999999998</v>
      </c>
      <c r="I509" s="28">
        <f>[1]!Table3[[#This Row],[Residential CLM $ Collected]]/'[1]1.) CLM Reference'!$B$4</f>
        <v>6.9866990457297106E-6</v>
      </c>
      <c r="J509" s="229">
        <v>454</v>
      </c>
      <c r="K509" s="28">
        <f>[1]!Table3[[#This Row],[Residential Incentive Disbursements]]/'[1]1.) CLM Reference'!$B$5</f>
        <v>3.6452301726510355E-6</v>
      </c>
      <c r="L509" s="229">
        <v>0</v>
      </c>
      <c r="M509" s="28">
        <f>[1]!Table3[[#This Row],[C&amp;I CLM $ Collected]]/'[1]1.) CLM Reference'!$B$4</f>
        <v>0</v>
      </c>
      <c r="N509" s="229">
        <v>0</v>
      </c>
      <c r="O509" s="28">
        <f>[1]!Table3[[#This Row],[C&amp;I Incentive Disbursements]]/'[1]1.) CLM Reference'!$B$5</f>
        <v>0</v>
      </c>
      <c r="Q509">
        <f>VLOOKUP(Table3[[#This Row],[Census Tract]],'Population and Diversity Data'!$B$2:$K$823,10,FALSE)</f>
        <v>3</v>
      </c>
      <c r="R509" t="str">
        <f>VLOOKUP(Table3[[#This Row],[Census Tract]],'ES Energy Burden'!$B$2:$E$914,4,FALSE)</f>
        <v>No</v>
      </c>
    </row>
    <row r="510" spans="1:18" x14ac:dyDescent="0.2">
      <c r="A510" t="s">
        <v>2817</v>
      </c>
      <c r="B510" s="169">
        <v>9001035400</v>
      </c>
      <c r="C510" t="s">
        <v>944</v>
      </c>
      <c r="D510" s="170">
        <f>[1]!Table3[[#This Row],[Residential CLM $ Collected]]+[1]!Table3[[#This Row],[C&amp;I CLM $ Collected]]</f>
        <v>1367.5710300000001</v>
      </c>
      <c r="E510" s="28">
        <f>[1]!Table3[[#This Row],[CLM $ Collected ]]/'[1]1.) CLM Reference'!$B$4</f>
        <v>1.4722411247521404E-5</v>
      </c>
      <c r="F510" s="170">
        <f>[1]!Table3[[#This Row],[Residential Incentive Disbursements]]+[1]!Table3[[#This Row],[C&amp;I Incentive Disbursements]]</f>
        <v>0</v>
      </c>
      <c r="G510" s="28">
        <f>[1]!Table3[[#This Row],[Incentive Disbursements]]/'[1]1.) CLM Reference'!$B$5</f>
        <v>0</v>
      </c>
      <c r="H510" s="228">
        <v>1367.5710300000001</v>
      </c>
      <c r="I510" s="28">
        <f>[1]!Table3[[#This Row],[Residential CLM $ Collected]]/'[1]1.) CLM Reference'!$B$4</f>
        <v>1.4722411247521404E-5</v>
      </c>
      <c r="J510" s="229">
        <v>0</v>
      </c>
      <c r="K510" s="28">
        <f>[1]!Table3[[#This Row],[Residential Incentive Disbursements]]/'[1]1.) CLM Reference'!$B$5</f>
        <v>0</v>
      </c>
      <c r="L510" s="229">
        <v>0</v>
      </c>
      <c r="M510" s="28">
        <f>[1]!Table3[[#This Row],[C&amp;I CLM $ Collected]]/'[1]1.) CLM Reference'!$B$4</f>
        <v>0</v>
      </c>
      <c r="N510" s="229">
        <v>0</v>
      </c>
      <c r="O510" s="28">
        <f>[1]!Table3[[#This Row],[C&amp;I Incentive Disbursements]]/'[1]1.) CLM Reference'!$B$5</f>
        <v>0</v>
      </c>
      <c r="Q510">
        <f>VLOOKUP(Table3[[#This Row],[Census Tract]],'Population and Diversity Data'!$B$2:$K$823,10,FALSE)</f>
        <v>2</v>
      </c>
      <c r="R510" t="str">
        <f>VLOOKUP(Table3[[#This Row],[Census Tract]],'ES Energy Burden'!$B$2:$E$914,4,FALSE)</f>
        <v>No</v>
      </c>
    </row>
    <row r="511" spans="1:18" x14ac:dyDescent="0.2">
      <c r="A511" t="s">
        <v>2817</v>
      </c>
      <c r="B511" s="169">
        <v>9001042500</v>
      </c>
      <c r="C511" t="s">
        <v>944</v>
      </c>
      <c r="D511" s="170">
        <f>[1]!Table3[[#This Row],[Residential CLM $ Collected]]+[1]!Table3[[#This Row],[C&amp;I CLM $ Collected]]</f>
        <v>49986.95478</v>
      </c>
      <c r="E511" s="28">
        <f>[1]!Table3[[#This Row],[CLM $ Collected ]]/'[1]1.) CLM Reference'!$B$4</f>
        <v>5.3812817699305587E-4</v>
      </c>
      <c r="F511" s="170">
        <f>[1]!Table3[[#This Row],[Residential Incentive Disbursements]]+[1]!Table3[[#This Row],[C&amp;I Incentive Disbursements]]</f>
        <v>47346.81</v>
      </c>
      <c r="G511" s="28">
        <f>[1]!Table3[[#This Row],[Incentive Disbursements]]/'[1]1.) CLM Reference'!$B$5</f>
        <v>3.8015422993562941E-4</v>
      </c>
      <c r="H511" s="228">
        <v>49986.95478</v>
      </c>
      <c r="I511" s="28">
        <f>[1]!Table3[[#This Row],[Residential CLM $ Collected]]/'[1]1.) CLM Reference'!$B$4</f>
        <v>5.3812817699305587E-4</v>
      </c>
      <c r="J511" s="229">
        <v>47346.81</v>
      </c>
      <c r="K511" s="28">
        <f>[1]!Table3[[#This Row],[Residential Incentive Disbursements]]/'[1]1.) CLM Reference'!$B$5</f>
        <v>3.8015422993562941E-4</v>
      </c>
      <c r="L511" s="229">
        <v>0</v>
      </c>
      <c r="M511" s="28">
        <f>[1]!Table3[[#This Row],[C&amp;I CLM $ Collected]]/'[1]1.) CLM Reference'!$B$4</f>
        <v>0</v>
      </c>
      <c r="N511" s="229">
        <v>0</v>
      </c>
      <c r="O511" s="28">
        <f>[1]!Table3[[#This Row],[C&amp;I Incentive Disbursements]]/'[1]1.) CLM Reference'!$B$5</f>
        <v>0</v>
      </c>
      <c r="Q511">
        <f>VLOOKUP(Table3[[#This Row],[Census Tract]],'Population and Diversity Data'!$B$2:$K$823,10,FALSE)</f>
        <v>1</v>
      </c>
      <c r="R511" t="str">
        <f>VLOOKUP(Table3[[#This Row],[Census Tract]],'ES Energy Burden'!$B$2:$E$914,4,FALSE)</f>
        <v>No</v>
      </c>
    </row>
    <row r="512" spans="1:18" x14ac:dyDescent="0.2">
      <c r="A512" t="s">
        <v>2817</v>
      </c>
      <c r="B512" s="169">
        <v>9001042600</v>
      </c>
      <c r="C512" t="s">
        <v>944</v>
      </c>
      <c r="D512" s="170">
        <f>[1]!Table3[[#This Row],[Residential CLM $ Collected]]+[1]!Table3[[#This Row],[C&amp;I CLM $ Collected]]</f>
        <v>48363.922151999999</v>
      </c>
      <c r="E512" s="28">
        <f>[1]!Table3[[#This Row],[CLM $ Collected ]]/'[1]1.) CLM Reference'!$B$4</f>
        <v>5.2065562654164611E-4</v>
      </c>
      <c r="F512" s="170">
        <f>[1]!Table3[[#This Row],[Residential Incentive Disbursements]]+[1]!Table3[[#This Row],[C&amp;I Incentive Disbursements]]</f>
        <v>19823.990000000002</v>
      </c>
      <c r="G512" s="28">
        <f>[1]!Table3[[#This Row],[Incentive Disbursements]]/'[1]1.) CLM Reference'!$B$5</f>
        <v>1.5916961782011543E-4</v>
      </c>
      <c r="H512" s="228">
        <v>48363.922151999999</v>
      </c>
      <c r="I512" s="28">
        <f>[1]!Table3[[#This Row],[Residential CLM $ Collected]]/'[1]1.) CLM Reference'!$B$4</f>
        <v>5.2065562654164611E-4</v>
      </c>
      <c r="J512" s="229">
        <v>19823.990000000002</v>
      </c>
      <c r="K512" s="28">
        <f>[1]!Table3[[#This Row],[Residential Incentive Disbursements]]/'[1]1.) CLM Reference'!$B$5</f>
        <v>1.5916961782011543E-4</v>
      </c>
      <c r="L512" s="229">
        <v>0</v>
      </c>
      <c r="M512" s="28">
        <f>[1]!Table3[[#This Row],[C&amp;I CLM $ Collected]]/'[1]1.) CLM Reference'!$B$4</f>
        <v>0</v>
      </c>
      <c r="N512" s="229">
        <v>0</v>
      </c>
      <c r="O512" s="28">
        <f>[1]!Table3[[#This Row],[C&amp;I Incentive Disbursements]]/'[1]1.) CLM Reference'!$B$5</f>
        <v>0</v>
      </c>
      <c r="Q512">
        <f>VLOOKUP(Table3[[#This Row],[Census Tract]],'Population and Diversity Data'!$B$2:$K$823,10,FALSE)</f>
        <v>3</v>
      </c>
      <c r="R512" t="str">
        <f>VLOOKUP(Table3[[#This Row],[Census Tract]],'ES Energy Burden'!$B$2:$E$914,4,FALSE)</f>
        <v>No</v>
      </c>
    </row>
    <row r="513" spans="1:18" x14ac:dyDescent="0.2">
      <c r="A513" t="s">
        <v>2817</v>
      </c>
      <c r="B513" s="169">
        <v>9001042700</v>
      </c>
      <c r="C513" t="s">
        <v>944</v>
      </c>
      <c r="D513" s="170">
        <f>[1]!Table3[[#This Row],[Residential CLM $ Collected]]+[1]!Table3[[#This Row],[C&amp;I CLM $ Collected]]</f>
        <v>48698.349419999999</v>
      </c>
      <c r="E513" s="28">
        <f>[1]!Table3[[#This Row],[CLM $ Collected ]]/'[1]1.) CLM Reference'!$B$4</f>
        <v>5.2425586057985992E-4</v>
      </c>
      <c r="F513" s="170">
        <f>[1]!Table3[[#This Row],[Residential Incentive Disbursements]]+[1]!Table3[[#This Row],[C&amp;I Incentive Disbursements]]</f>
        <v>22563.360000000001</v>
      </c>
      <c r="G513" s="28">
        <f>[1]!Table3[[#This Row],[Incentive Disbursements]]/'[1]1.) CLM Reference'!$B$5</f>
        <v>1.8116440675856269E-4</v>
      </c>
      <c r="H513" s="228">
        <v>48698.349419999999</v>
      </c>
      <c r="I513" s="28">
        <f>[1]!Table3[[#This Row],[Residential CLM $ Collected]]/'[1]1.) CLM Reference'!$B$4</f>
        <v>5.2425586057985992E-4</v>
      </c>
      <c r="J513" s="229">
        <v>22563.360000000001</v>
      </c>
      <c r="K513" s="28">
        <f>[1]!Table3[[#This Row],[Residential Incentive Disbursements]]/'[1]1.) CLM Reference'!$B$5</f>
        <v>1.8116440675856269E-4</v>
      </c>
      <c r="L513" s="229">
        <v>0</v>
      </c>
      <c r="M513" s="28">
        <f>[1]!Table3[[#This Row],[C&amp;I CLM $ Collected]]/'[1]1.) CLM Reference'!$B$4</f>
        <v>0</v>
      </c>
      <c r="N513" s="229">
        <v>0</v>
      </c>
      <c r="O513" s="28">
        <f>[1]!Table3[[#This Row],[C&amp;I Incentive Disbursements]]/'[1]1.) CLM Reference'!$B$5</f>
        <v>0</v>
      </c>
      <c r="Q513">
        <f>VLOOKUP(Table3[[#This Row],[Census Tract]],'Population and Diversity Data'!$B$2:$K$823,10,FALSE)</f>
        <v>4</v>
      </c>
      <c r="R513" t="str">
        <f>VLOOKUP(Table3[[#This Row],[Census Tract]],'ES Energy Burden'!$B$2:$E$914,4,FALSE)</f>
        <v>No</v>
      </c>
    </row>
    <row r="514" spans="1:18" x14ac:dyDescent="0.2">
      <c r="A514" t="s">
        <v>2817</v>
      </c>
      <c r="B514" s="169">
        <v>9001042800</v>
      </c>
      <c r="C514" t="s">
        <v>944</v>
      </c>
      <c r="D514" s="170">
        <f>[1]!Table3[[#This Row],[Residential CLM $ Collected]]+[1]!Table3[[#This Row],[C&amp;I CLM $ Collected]]</f>
        <v>67569.142032000003</v>
      </c>
      <c r="E514" s="28">
        <f>[1]!Table3[[#This Row],[CLM $ Collected ]]/'[1]1.) CLM Reference'!$B$4</f>
        <v>7.2740696813187685E-4</v>
      </c>
      <c r="F514" s="170">
        <f>[1]!Table3[[#This Row],[Residential Incentive Disbursements]]+[1]!Table3[[#This Row],[C&amp;I Incentive Disbursements]]</f>
        <v>55463.35</v>
      </c>
      <c r="G514" s="28">
        <f>[1]!Table3[[#This Row],[Incentive Disbursements]]/'[1]1.) CLM Reference'!$B$5</f>
        <v>4.4532307686410749E-4</v>
      </c>
      <c r="H514" s="228">
        <v>67569.142032000003</v>
      </c>
      <c r="I514" s="28">
        <f>[1]!Table3[[#This Row],[Residential CLM $ Collected]]/'[1]1.) CLM Reference'!$B$4</f>
        <v>7.2740696813187685E-4</v>
      </c>
      <c r="J514" s="229">
        <v>55463.35</v>
      </c>
      <c r="K514" s="28">
        <f>[1]!Table3[[#This Row],[Residential Incentive Disbursements]]/'[1]1.) CLM Reference'!$B$5</f>
        <v>4.4532307686410749E-4</v>
      </c>
      <c r="L514" s="229">
        <v>0</v>
      </c>
      <c r="M514" s="28">
        <f>[1]!Table3[[#This Row],[C&amp;I CLM $ Collected]]/'[1]1.) CLM Reference'!$B$4</f>
        <v>0</v>
      </c>
      <c r="N514" s="229">
        <v>0</v>
      </c>
      <c r="O514" s="28">
        <f>[1]!Table3[[#This Row],[C&amp;I Incentive Disbursements]]/'[1]1.) CLM Reference'!$B$5</f>
        <v>0</v>
      </c>
      <c r="Q514">
        <f>VLOOKUP(Table3[[#This Row],[Census Tract]],'Population and Diversity Data'!$B$2:$K$823,10,FALSE)</f>
        <v>3</v>
      </c>
      <c r="R514" t="str">
        <f>VLOOKUP(Table3[[#This Row],[Census Tract]],'ES Energy Burden'!$B$2:$E$914,4,FALSE)</f>
        <v>No</v>
      </c>
    </row>
    <row r="515" spans="1:18" x14ac:dyDescent="0.2">
      <c r="A515" t="s">
        <v>2817</v>
      </c>
      <c r="B515" s="169">
        <v>9001042900</v>
      </c>
      <c r="C515" t="s">
        <v>944</v>
      </c>
      <c r="D515" s="170">
        <f>[1]!Table3[[#This Row],[Residential CLM $ Collected]]+[1]!Table3[[#This Row],[C&amp;I CLM $ Collected]]</f>
        <v>22361.423469000001</v>
      </c>
      <c r="E515" s="28">
        <f>[1]!Table3[[#This Row],[CLM $ Collected ]]/'[1]1.) CLM Reference'!$B$4</f>
        <v>2.4072904819473595E-4</v>
      </c>
      <c r="F515" s="170">
        <f>[1]!Table3[[#This Row],[Residential Incentive Disbursements]]+[1]!Table3[[#This Row],[C&amp;I Incentive Disbursements]]</f>
        <v>13098.59</v>
      </c>
      <c r="G515" s="28">
        <f>[1]!Table3[[#This Row],[Incentive Disbursements]]/'[1]1.) CLM Reference'!$B$5</f>
        <v>1.0517043058851349E-4</v>
      </c>
      <c r="H515" s="228">
        <v>22361.423469000001</v>
      </c>
      <c r="I515" s="28">
        <f>[1]!Table3[[#This Row],[Residential CLM $ Collected]]/'[1]1.) CLM Reference'!$B$4</f>
        <v>2.4072904819473595E-4</v>
      </c>
      <c r="J515" s="229">
        <v>13098.59</v>
      </c>
      <c r="K515" s="28">
        <f>[1]!Table3[[#This Row],[Residential Incentive Disbursements]]/'[1]1.) CLM Reference'!$B$5</f>
        <v>1.0517043058851349E-4</v>
      </c>
      <c r="L515" s="229">
        <v>0</v>
      </c>
      <c r="M515" s="28">
        <f>[1]!Table3[[#This Row],[C&amp;I CLM $ Collected]]/'[1]1.) CLM Reference'!$B$4</f>
        <v>0</v>
      </c>
      <c r="N515" s="229">
        <v>0</v>
      </c>
      <c r="O515" s="28">
        <f>[1]!Table3[[#This Row],[C&amp;I Incentive Disbursements]]/'[1]1.) CLM Reference'!$B$5</f>
        <v>0</v>
      </c>
      <c r="Q515">
        <f>VLOOKUP(Table3[[#This Row],[Census Tract]],'Population and Diversity Data'!$B$2:$K$823,10,FALSE)</f>
        <v>1</v>
      </c>
      <c r="R515" t="str">
        <f>VLOOKUP(Table3[[#This Row],[Census Tract]],'ES Energy Burden'!$B$2:$E$914,4,FALSE)</f>
        <v>No</v>
      </c>
    </row>
    <row r="516" spans="1:18" x14ac:dyDescent="0.2">
      <c r="A516" t="s">
        <v>2817</v>
      </c>
      <c r="B516" s="169">
        <v>9001043000</v>
      </c>
      <c r="C516" t="s">
        <v>944</v>
      </c>
      <c r="D516" s="170">
        <f>[1]!Table3[[#This Row],[Residential CLM $ Collected]]+[1]!Table3[[#This Row],[C&amp;I CLM $ Collected]]</f>
        <v>37380.07518</v>
      </c>
      <c r="E516" s="28">
        <f>[1]!Table3[[#This Row],[CLM $ Collected ]]/'[1]1.) CLM Reference'!$B$4</f>
        <v>4.024104248999978E-4</v>
      </c>
      <c r="F516" s="170">
        <f>[1]!Table3[[#This Row],[Residential Incentive Disbursements]]+[1]!Table3[[#This Row],[C&amp;I Incentive Disbursements]]</f>
        <v>21765.39</v>
      </c>
      <c r="G516" s="28">
        <f>[1]!Table3[[#This Row],[Incentive Disbursements]]/'[1]1.) CLM Reference'!$B$5</f>
        <v>1.7475739283594077E-4</v>
      </c>
      <c r="H516" s="228">
        <v>37380.07518</v>
      </c>
      <c r="I516" s="28">
        <f>[1]!Table3[[#This Row],[Residential CLM $ Collected]]/'[1]1.) CLM Reference'!$B$4</f>
        <v>4.024104248999978E-4</v>
      </c>
      <c r="J516" s="229">
        <v>21765.39</v>
      </c>
      <c r="K516" s="28">
        <f>[1]!Table3[[#This Row],[Residential Incentive Disbursements]]/'[1]1.) CLM Reference'!$B$5</f>
        <v>1.7475739283594077E-4</v>
      </c>
      <c r="L516" s="229">
        <v>0</v>
      </c>
      <c r="M516" s="28">
        <f>[1]!Table3[[#This Row],[C&amp;I CLM $ Collected]]/'[1]1.) CLM Reference'!$B$4</f>
        <v>0</v>
      </c>
      <c r="N516" s="229">
        <v>0</v>
      </c>
      <c r="O516" s="28">
        <f>[1]!Table3[[#This Row],[C&amp;I Incentive Disbursements]]/'[1]1.) CLM Reference'!$B$5</f>
        <v>0</v>
      </c>
      <c r="Q516">
        <f>VLOOKUP(Table3[[#This Row],[Census Tract]],'Population and Diversity Data'!$B$2:$K$823,10,FALSE)</f>
        <v>3</v>
      </c>
      <c r="R516" t="str">
        <f>VLOOKUP(Table3[[#This Row],[Census Tract]],'ES Energy Burden'!$B$2:$E$914,4,FALSE)</f>
        <v>No</v>
      </c>
    </row>
    <row r="517" spans="1:18" x14ac:dyDescent="0.2">
      <c r="A517" t="s">
        <v>2817</v>
      </c>
      <c r="B517" s="169">
        <v>9001043100</v>
      </c>
      <c r="C517" t="s">
        <v>944</v>
      </c>
      <c r="D517" s="170">
        <f>[1]!Table3[[#This Row],[Residential CLM $ Collected]]+[1]!Table3[[#This Row],[C&amp;I CLM $ Collected]]</f>
        <v>61237.018794000003</v>
      </c>
      <c r="E517" s="28">
        <f>[1]!Table3[[#This Row],[CLM $ Collected ]]/'[1]1.) CLM Reference'!$B$4</f>
        <v>6.592393041972125E-4</v>
      </c>
      <c r="F517" s="170">
        <f>[1]!Table3[[#This Row],[Residential Incentive Disbursements]]+[1]!Table3[[#This Row],[C&amp;I Incentive Disbursements]]</f>
        <v>24795.599999999999</v>
      </c>
      <c r="G517" s="28">
        <f>[1]!Table3[[#This Row],[Incentive Disbursements]]/'[1]1.) CLM Reference'!$B$5</f>
        <v>1.9908737724446258E-4</v>
      </c>
      <c r="H517" s="228">
        <v>61237.018794000003</v>
      </c>
      <c r="I517" s="28">
        <f>[1]!Table3[[#This Row],[Residential CLM $ Collected]]/'[1]1.) CLM Reference'!$B$4</f>
        <v>6.592393041972125E-4</v>
      </c>
      <c r="J517" s="229">
        <v>24795.599999999999</v>
      </c>
      <c r="K517" s="28">
        <f>[1]!Table3[[#This Row],[Residential Incentive Disbursements]]/'[1]1.) CLM Reference'!$B$5</f>
        <v>1.9908737724446258E-4</v>
      </c>
      <c r="L517" s="229">
        <v>0</v>
      </c>
      <c r="M517" s="28">
        <f>[1]!Table3[[#This Row],[C&amp;I CLM $ Collected]]/'[1]1.) CLM Reference'!$B$4</f>
        <v>0</v>
      </c>
      <c r="N517" s="229">
        <v>0</v>
      </c>
      <c r="O517" s="28">
        <f>[1]!Table3[[#This Row],[C&amp;I Incentive Disbursements]]/'[1]1.) CLM Reference'!$B$5</f>
        <v>0</v>
      </c>
      <c r="Q517">
        <f>VLOOKUP(Table3[[#This Row],[Census Tract]],'Population and Diversity Data'!$B$2:$K$823,10,FALSE)</f>
        <v>5</v>
      </c>
      <c r="R517" t="str">
        <f>VLOOKUP(Table3[[#This Row],[Census Tract]],'ES Energy Burden'!$B$2:$E$914,4,FALSE)</f>
        <v>No</v>
      </c>
    </row>
    <row r="518" spans="1:18" x14ac:dyDescent="0.2">
      <c r="A518" t="s">
        <v>2817</v>
      </c>
      <c r="B518" s="169">
        <v>9001043200</v>
      </c>
      <c r="C518" t="s">
        <v>944</v>
      </c>
      <c r="D518" s="170">
        <f>[1]!Table3[[#This Row],[Residential CLM $ Collected]]+[1]!Table3[[#This Row],[C&amp;I CLM $ Collected]]</f>
        <v>790725.73356000008</v>
      </c>
      <c r="E518" s="28">
        <f>[1]!Table3[[#This Row],[CLM $ Collected ]]/'[1]1.) CLM Reference'!$B$4</f>
        <v>8.5124568874995529E-3</v>
      </c>
      <c r="F518" s="170">
        <f>[1]!Table3[[#This Row],[Residential Incentive Disbursements]]+[1]!Table3[[#This Row],[C&amp;I Incentive Disbursements]]</f>
        <v>1082194.51</v>
      </c>
      <c r="G518" s="28">
        <f>[1]!Table3[[#This Row],[Incentive Disbursements]]/'[1]1.) CLM Reference'!$B$5</f>
        <v>8.6890926883905345E-3</v>
      </c>
      <c r="H518" s="228">
        <v>407754.74231100001</v>
      </c>
      <c r="I518" s="28">
        <f>[1]!Table3[[#This Row],[Residential CLM $ Collected]]/'[1]1.) CLM Reference'!$B$4</f>
        <v>4.3896315969998703E-3</v>
      </c>
      <c r="J518" s="229">
        <v>839355.39</v>
      </c>
      <c r="K518" s="28">
        <f>[1]!Table3[[#This Row],[Residential Incentive Disbursements]]/'[1]1.) CLM Reference'!$B$5</f>
        <v>6.7393030687340908E-3</v>
      </c>
      <c r="L518" s="229">
        <v>382970.99124900001</v>
      </c>
      <c r="M518" s="28">
        <f>[1]!Table3[[#This Row],[C&amp;I CLM $ Collected]]/'[1]1.) CLM Reference'!$B$4</f>
        <v>4.1228252904996817E-3</v>
      </c>
      <c r="N518" s="229">
        <v>242839.12</v>
      </c>
      <c r="O518" s="28">
        <f>[1]!Table3[[#This Row],[C&amp;I Incentive Disbursements]]/'[1]1.) CLM Reference'!$B$5</f>
        <v>1.9497896196564437E-3</v>
      </c>
      <c r="Q518">
        <f>VLOOKUP(Table3[[#This Row],[Census Tract]],'Population and Diversity Data'!$B$2:$K$823,10,FALSE)</f>
        <v>3</v>
      </c>
      <c r="R518" t="str">
        <f>VLOOKUP(Table3[[#This Row],[Census Tract]],'ES Energy Burden'!$B$2:$E$914,4,FALSE)</f>
        <v>No</v>
      </c>
    </row>
    <row r="519" spans="1:18" x14ac:dyDescent="0.2">
      <c r="A519" t="s">
        <v>2817</v>
      </c>
      <c r="B519" s="169">
        <v>9001043300</v>
      </c>
      <c r="C519" t="s">
        <v>944</v>
      </c>
      <c r="D519" s="170">
        <f>[1]!Table3[[#This Row],[Residential CLM $ Collected]]+[1]!Table3[[#This Row],[C&amp;I CLM $ Collected]]</f>
        <v>35963.052678</v>
      </c>
      <c r="E519" s="28">
        <f>[1]!Table3[[#This Row],[CLM $ Collected ]]/'[1]1.) CLM Reference'!$B$4</f>
        <v>3.8715565014695578E-4</v>
      </c>
      <c r="F519" s="170">
        <f>[1]!Table3[[#This Row],[Residential Incentive Disbursements]]+[1]!Table3[[#This Row],[C&amp;I Incentive Disbursements]]</f>
        <v>35917.040000000001</v>
      </c>
      <c r="G519" s="28">
        <f>[1]!Table3[[#This Row],[Incentive Disbursements]]/'[1]1.) CLM Reference'!$B$5</f>
        <v>2.8838299101390782E-4</v>
      </c>
      <c r="H519" s="228">
        <v>35963.052678</v>
      </c>
      <c r="I519" s="28">
        <f>[1]!Table3[[#This Row],[Residential CLM $ Collected]]/'[1]1.) CLM Reference'!$B$4</f>
        <v>3.8715565014695578E-4</v>
      </c>
      <c r="J519" s="229">
        <v>35917.040000000001</v>
      </c>
      <c r="K519" s="28">
        <f>[1]!Table3[[#This Row],[Residential Incentive Disbursements]]/'[1]1.) CLM Reference'!$B$5</f>
        <v>2.8838299101390782E-4</v>
      </c>
      <c r="L519" s="229">
        <v>0</v>
      </c>
      <c r="M519" s="28">
        <f>[1]!Table3[[#This Row],[C&amp;I CLM $ Collected]]/'[1]1.) CLM Reference'!$B$4</f>
        <v>0</v>
      </c>
      <c r="N519" s="229">
        <v>0</v>
      </c>
      <c r="O519" s="28">
        <f>[1]!Table3[[#This Row],[C&amp;I Incentive Disbursements]]/'[1]1.) CLM Reference'!$B$5</f>
        <v>0</v>
      </c>
      <c r="Q519">
        <f>VLOOKUP(Table3[[#This Row],[Census Tract]],'Population and Diversity Data'!$B$2:$K$823,10,FALSE)</f>
        <v>4</v>
      </c>
      <c r="R519" t="str">
        <f>VLOOKUP(Table3[[#This Row],[Census Tract]],'ES Energy Burden'!$B$2:$E$914,4,FALSE)</f>
        <v>No</v>
      </c>
    </row>
    <row r="520" spans="1:18" x14ac:dyDescent="0.2">
      <c r="A520" t="s">
        <v>2817</v>
      </c>
      <c r="B520" s="169">
        <v>9001043400</v>
      </c>
      <c r="C520" t="s">
        <v>944</v>
      </c>
      <c r="D520" s="170">
        <f>[1]!Table3[[#This Row],[Residential CLM $ Collected]]+[1]!Table3[[#This Row],[C&amp;I CLM $ Collected]]</f>
        <v>37069.379633999997</v>
      </c>
      <c r="E520" s="28">
        <f>[1]!Table3[[#This Row],[CLM $ Collected ]]/'[1]1.) CLM Reference'!$B$4</f>
        <v>3.990656716837899E-4</v>
      </c>
      <c r="F520" s="170">
        <f>[1]!Table3[[#This Row],[Residential Incentive Disbursements]]+[1]!Table3[[#This Row],[C&amp;I Incentive Disbursements]]</f>
        <v>19184.939999999999</v>
      </c>
      <c r="G520" s="28">
        <f>[1]!Table3[[#This Row],[Incentive Disbursements]]/'[1]1.) CLM Reference'!$B$5</f>
        <v>1.5403859504074834E-4</v>
      </c>
      <c r="H520" s="228">
        <v>37069.379633999997</v>
      </c>
      <c r="I520" s="28">
        <f>[1]!Table3[[#This Row],[Residential CLM $ Collected]]/'[1]1.) CLM Reference'!$B$4</f>
        <v>3.990656716837899E-4</v>
      </c>
      <c r="J520" s="229">
        <v>19184.939999999999</v>
      </c>
      <c r="K520" s="28">
        <f>[1]!Table3[[#This Row],[Residential Incentive Disbursements]]/'[1]1.) CLM Reference'!$B$5</f>
        <v>1.5403859504074834E-4</v>
      </c>
      <c r="L520" s="229">
        <v>0</v>
      </c>
      <c r="M520" s="28">
        <f>[1]!Table3[[#This Row],[C&amp;I CLM $ Collected]]/'[1]1.) CLM Reference'!$B$4</f>
        <v>0</v>
      </c>
      <c r="N520" s="229">
        <v>0</v>
      </c>
      <c r="O520" s="28">
        <f>[1]!Table3[[#This Row],[C&amp;I Incentive Disbursements]]/'[1]1.) CLM Reference'!$B$5</f>
        <v>0</v>
      </c>
      <c r="Q520">
        <f>VLOOKUP(Table3[[#This Row],[Census Tract]],'Population and Diversity Data'!$B$2:$K$823,10,FALSE)</f>
        <v>5</v>
      </c>
      <c r="R520" t="str">
        <f>VLOOKUP(Table3[[#This Row],[Census Tract]],'ES Energy Burden'!$B$2:$E$914,4,FALSE)</f>
        <v>No</v>
      </c>
    </row>
    <row r="521" spans="1:18" x14ac:dyDescent="0.2">
      <c r="A521" t="s">
        <v>2817</v>
      </c>
      <c r="B521" s="169">
        <v>9001043500</v>
      </c>
      <c r="C521" t="s">
        <v>944</v>
      </c>
      <c r="D521" s="170">
        <f>[1]!Table3[[#This Row],[Residential CLM $ Collected]]+[1]!Table3[[#This Row],[C&amp;I CLM $ Collected]]</f>
        <v>26598.92109</v>
      </c>
      <c r="E521" s="28">
        <f>[1]!Table3[[#This Row],[CLM $ Collected ]]/'[1]1.) CLM Reference'!$B$4</f>
        <v>2.8634728759013731E-4</v>
      </c>
      <c r="F521" s="170">
        <f>[1]!Table3[[#This Row],[Residential Incentive Disbursements]]+[1]!Table3[[#This Row],[C&amp;I Incentive Disbursements]]</f>
        <v>34097.82</v>
      </c>
      <c r="G521" s="28">
        <f>[1]!Table3[[#This Row],[Incentive Disbursements]]/'[1]1.) CLM Reference'!$B$5</f>
        <v>2.7377621648815844E-4</v>
      </c>
      <c r="H521" s="228">
        <v>26598.92109</v>
      </c>
      <c r="I521" s="28">
        <f>[1]!Table3[[#This Row],[Residential CLM $ Collected]]/'[1]1.) CLM Reference'!$B$4</f>
        <v>2.8634728759013731E-4</v>
      </c>
      <c r="J521" s="229">
        <v>34097.82</v>
      </c>
      <c r="K521" s="28">
        <f>[1]!Table3[[#This Row],[Residential Incentive Disbursements]]/'[1]1.) CLM Reference'!$B$5</f>
        <v>2.7377621648815844E-4</v>
      </c>
      <c r="L521" s="229">
        <v>0</v>
      </c>
      <c r="M521" s="28">
        <f>[1]!Table3[[#This Row],[C&amp;I CLM $ Collected]]/'[1]1.) CLM Reference'!$B$4</f>
        <v>0</v>
      </c>
      <c r="N521" s="229">
        <v>0</v>
      </c>
      <c r="O521" s="28">
        <f>[1]!Table3[[#This Row],[C&amp;I Incentive Disbursements]]/'[1]1.) CLM Reference'!$B$5</f>
        <v>0</v>
      </c>
      <c r="Q521">
        <f>VLOOKUP(Table3[[#This Row],[Census Tract]],'Population and Diversity Data'!$B$2:$K$823,10,FALSE)</f>
        <v>1</v>
      </c>
      <c r="R521" t="str">
        <f>VLOOKUP(Table3[[#This Row],[Census Tract]],'ES Energy Burden'!$B$2:$E$914,4,FALSE)</f>
        <v>No</v>
      </c>
    </row>
    <row r="522" spans="1:18" x14ac:dyDescent="0.2">
      <c r="A522" t="s">
        <v>2817</v>
      </c>
      <c r="B522" s="169">
        <v>9001043600</v>
      </c>
      <c r="C522" t="s">
        <v>944</v>
      </c>
      <c r="D522" s="170">
        <f>[1]!Table3[[#This Row],[Residential CLM $ Collected]]+[1]!Table3[[#This Row],[C&amp;I CLM $ Collected]]</f>
        <v>30816.62199</v>
      </c>
      <c r="E522" s="28">
        <f>[1]!Table3[[#This Row],[CLM $ Collected ]]/'[1]1.) CLM Reference'!$B$4</f>
        <v>3.3175240791419178E-4</v>
      </c>
      <c r="F522" s="170">
        <f>[1]!Table3[[#This Row],[Residential Incentive Disbursements]]+[1]!Table3[[#This Row],[C&amp;I Incentive Disbursements]]</f>
        <v>27502.42</v>
      </c>
      <c r="G522" s="28">
        <f>[1]!Table3[[#This Row],[Incentive Disbursements]]/'[1]1.) CLM Reference'!$B$5</f>
        <v>2.2082081763198519E-4</v>
      </c>
      <c r="H522" s="228">
        <v>30816.62199</v>
      </c>
      <c r="I522" s="28">
        <f>[1]!Table3[[#This Row],[Residential CLM $ Collected]]/'[1]1.) CLM Reference'!$B$4</f>
        <v>3.3175240791419178E-4</v>
      </c>
      <c r="J522" s="229">
        <v>27502.42</v>
      </c>
      <c r="K522" s="28">
        <f>[1]!Table3[[#This Row],[Residential Incentive Disbursements]]/'[1]1.) CLM Reference'!$B$5</f>
        <v>2.2082081763198519E-4</v>
      </c>
      <c r="L522" s="229">
        <v>0</v>
      </c>
      <c r="M522" s="28">
        <f>[1]!Table3[[#This Row],[C&amp;I CLM $ Collected]]/'[1]1.) CLM Reference'!$B$4</f>
        <v>0</v>
      </c>
      <c r="N522" s="229">
        <v>0</v>
      </c>
      <c r="O522" s="28">
        <f>[1]!Table3[[#This Row],[C&amp;I Incentive Disbursements]]/'[1]1.) CLM Reference'!$B$5</f>
        <v>0</v>
      </c>
      <c r="Q522">
        <f>VLOOKUP(Table3[[#This Row],[Census Tract]],'Population and Diversity Data'!$B$2:$K$823,10,FALSE)</f>
        <v>4</v>
      </c>
      <c r="R522" t="str">
        <f>VLOOKUP(Table3[[#This Row],[Census Tract]],'ES Energy Burden'!$B$2:$E$914,4,FALSE)</f>
        <v>No</v>
      </c>
    </row>
    <row r="523" spans="1:18" x14ac:dyDescent="0.2">
      <c r="A523" t="s">
        <v>2817</v>
      </c>
      <c r="B523" s="169">
        <v>9001043700</v>
      </c>
      <c r="C523" t="s">
        <v>944</v>
      </c>
      <c r="D523" s="170">
        <f>[1]!Table3[[#This Row],[Residential CLM $ Collected]]+[1]!Table3[[#This Row],[C&amp;I CLM $ Collected]]</f>
        <v>23978.845086000001</v>
      </c>
      <c r="E523" s="28">
        <f>[1]!Table3[[#This Row],[CLM $ Collected ]]/'[1]1.) CLM Reference'!$B$4</f>
        <v>2.5814119402390364E-4</v>
      </c>
      <c r="F523" s="170">
        <f>[1]!Table3[[#This Row],[Residential Incentive Disbursements]]+[1]!Table3[[#This Row],[C&amp;I Incentive Disbursements]]</f>
        <v>12341.02</v>
      </c>
      <c r="G523" s="28">
        <f>[1]!Table3[[#This Row],[Incentive Disbursements]]/'[1]1.) CLM Reference'!$B$5</f>
        <v>9.9087793976409435E-5</v>
      </c>
      <c r="H523" s="228">
        <v>23978.845086000001</v>
      </c>
      <c r="I523" s="28">
        <f>[1]!Table3[[#This Row],[Residential CLM $ Collected]]/'[1]1.) CLM Reference'!$B$4</f>
        <v>2.5814119402390364E-4</v>
      </c>
      <c r="J523" s="229">
        <v>12341.02</v>
      </c>
      <c r="K523" s="28">
        <f>[1]!Table3[[#This Row],[Residential Incentive Disbursements]]/'[1]1.) CLM Reference'!$B$5</f>
        <v>9.9087793976409435E-5</v>
      </c>
      <c r="L523" s="229">
        <v>0</v>
      </c>
      <c r="M523" s="28">
        <f>[1]!Table3[[#This Row],[C&amp;I CLM $ Collected]]/'[1]1.) CLM Reference'!$B$4</f>
        <v>0</v>
      </c>
      <c r="N523" s="229">
        <v>0</v>
      </c>
      <c r="O523" s="28">
        <f>[1]!Table3[[#This Row],[C&amp;I Incentive Disbursements]]/'[1]1.) CLM Reference'!$B$5</f>
        <v>0</v>
      </c>
      <c r="Q523">
        <f>VLOOKUP(Table3[[#This Row],[Census Tract]],'Population and Diversity Data'!$B$2:$K$823,10,FALSE)</f>
        <v>4</v>
      </c>
      <c r="R523" t="str">
        <f>VLOOKUP(Table3[[#This Row],[Census Tract]],'ES Energy Burden'!$B$2:$E$914,4,FALSE)</f>
        <v>No</v>
      </c>
    </row>
    <row r="524" spans="1:18" x14ac:dyDescent="0.2">
      <c r="A524" t="s">
        <v>2817</v>
      </c>
      <c r="B524" s="169">
        <v>9001043800</v>
      </c>
      <c r="C524" t="s">
        <v>944</v>
      </c>
      <c r="D524" s="170">
        <f>[1]!Table3[[#This Row],[Residential CLM $ Collected]]+[1]!Table3[[#This Row],[C&amp;I CLM $ Collected]]</f>
        <v>64265.555339999999</v>
      </c>
      <c r="E524" s="28">
        <f>[1]!Table3[[#This Row],[CLM $ Collected ]]/'[1]1.) CLM Reference'!$B$4</f>
        <v>6.9184262755684809E-4</v>
      </c>
      <c r="F524" s="170">
        <f>[1]!Table3[[#This Row],[Residential Incentive Disbursements]]+[1]!Table3[[#This Row],[C&amp;I Incentive Disbursements]]</f>
        <v>23954.17</v>
      </c>
      <c r="G524" s="28">
        <f>[1]!Table3[[#This Row],[Incentive Disbursements]]/'[1]1.) CLM Reference'!$B$5</f>
        <v>1.923314168387935E-4</v>
      </c>
      <c r="H524" s="228">
        <v>64265.555339999999</v>
      </c>
      <c r="I524" s="28">
        <f>[1]!Table3[[#This Row],[Residential CLM $ Collected]]/'[1]1.) CLM Reference'!$B$4</f>
        <v>6.9184262755684809E-4</v>
      </c>
      <c r="J524" s="229">
        <v>23954.17</v>
      </c>
      <c r="K524" s="28">
        <f>[1]!Table3[[#This Row],[Residential Incentive Disbursements]]/'[1]1.) CLM Reference'!$B$5</f>
        <v>1.923314168387935E-4</v>
      </c>
      <c r="L524" s="229">
        <v>0</v>
      </c>
      <c r="M524" s="28">
        <f>[1]!Table3[[#This Row],[C&amp;I CLM $ Collected]]/'[1]1.) CLM Reference'!$B$4</f>
        <v>0</v>
      </c>
      <c r="N524" s="229">
        <v>0</v>
      </c>
      <c r="O524" s="28">
        <f>[1]!Table3[[#This Row],[C&amp;I Incentive Disbursements]]/'[1]1.) CLM Reference'!$B$5</f>
        <v>0</v>
      </c>
      <c r="Q524">
        <f>VLOOKUP(Table3[[#This Row],[Census Tract]],'Population and Diversity Data'!$B$2:$K$823,10,FALSE)</f>
        <v>4</v>
      </c>
      <c r="R524" t="str">
        <f>VLOOKUP(Table3[[#This Row],[Census Tract]],'ES Energy Burden'!$B$2:$E$914,4,FALSE)</f>
        <v>No</v>
      </c>
    </row>
    <row r="525" spans="1:18" x14ac:dyDescent="0.2">
      <c r="A525" t="s">
        <v>2817</v>
      </c>
      <c r="B525" s="169">
        <v>9001043900</v>
      </c>
      <c r="C525" t="s">
        <v>944</v>
      </c>
      <c r="D525" s="170">
        <f>[1]!Table3[[#This Row],[Residential CLM $ Collected]]+[1]!Table3[[#This Row],[C&amp;I CLM $ Collected]]</f>
        <v>52499.392302</v>
      </c>
      <c r="E525" s="28">
        <f>[1]!Table3[[#This Row],[CLM $ Collected ]]/'[1]1.) CLM Reference'!$B$4</f>
        <v>5.6517550222967463E-4</v>
      </c>
      <c r="F525" s="170">
        <f>[1]!Table3[[#This Row],[Residential Incentive Disbursements]]+[1]!Table3[[#This Row],[C&amp;I Incentive Disbursements]]</f>
        <v>40667.61</v>
      </c>
      <c r="G525" s="28">
        <f>[1]!Table3[[#This Row],[Incentive Disbursements]]/'[1]1.) CLM Reference'!$B$5</f>
        <v>3.2652598903437218E-4</v>
      </c>
      <c r="H525" s="228">
        <v>52499.392302</v>
      </c>
      <c r="I525" s="28">
        <f>[1]!Table3[[#This Row],[Residential CLM $ Collected]]/'[1]1.) CLM Reference'!$B$4</f>
        <v>5.6517550222967463E-4</v>
      </c>
      <c r="J525" s="229">
        <v>40667.61</v>
      </c>
      <c r="K525" s="28">
        <f>[1]!Table3[[#This Row],[Residential Incentive Disbursements]]/'[1]1.) CLM Reference'!$B$5</f>
        <v>3.2652598903437218E-4</v>
      </c>
      <c r="L525" s="229">
        <v>0</v>
      </c>
      <c r="M525" s="28">
        <f>[1]!Table3[[#This Row],[C&amp;I CLM $ Collected]]/'[1]1.) CLM Reference'!$B$4</f>
        <v>0</v>
      </c>
      <c r="N525" s="229">
        <v>0</v>
      </c>
      <c r="O525" s="28">
        <f>[1]!Table3[[#This Row],[C&amp;I Incentive Disbursements]]/'[1]1.) CLM Reference'!$B$5</f>
        <v>0</v>
      </c>
      <c r="Q525">
        <f>VLOOKUP(Table3[[#This Row],[Census Tract]],'Population and Diversity Data'!$B$2:$K$823,10,FALSE)</f>
        <v>5</v>
      </c>
      <c r="R525" t="str">
        <f>VLOOKUP(Table3[[#This Row],[Census Tract]],'ES Energy Burden'!$B$2:$E$914,4,FALSE)</f>
        <v>No</v>
      </c>
    </row>
    <row r="526" spans="1:18" x14ac:dyDescent="0.2">
      <c r="A526" t="s">
        <v>2817</v>
      </c>
      <c r="B526" s="169">
        <v>9001044000</v>
      </c>
      <c r="C526" t="s">
        <v>944</v>
      </c>
      <c r="D526" s="170">
        <f>[1]!Table3[[#This Row],[Residential CLM $ Collected]]+[1]!Table3[[#This Row],[C&amp;I CLM $ Collected]]</f>
        <v>5511.7110300000004</v>
      </c>
      <c r="E526" s="28">
        <f>[1]!Table3[[#This Row],[CLM $ Collected ]]/'[1]1.) CLM Reference'!$B$4</f>
        <v>5.9335621098349665E-5</v>
      </c>
      <c r="F526" s="170">
        <f>[1]!Table3[[#This Row],[Residential Incentive Disbursements]]+[1]!Table3[[#This Row],[C&amp;I Incentive Disbursements]]</f>
        <v>164994.15</v>
      </c>
      <c r="G526" s="28">
        <f>[1]!Table3[[#This Row],[Incentive Disbursements]]/'[1]1.) CLM Reference'!$B$5</f>
        <v>1.3247613521826229E-3</v>
      </c>
      <c r="H526" s="228">
        <v>5511.7110300000004</v>
      </c>
      <c r="I526" s="28">
        <f>[1]!Table3[[#This Row],[Residential CLM $ Collected]]/'[1]1.) CLM Reference'!$B$4</f>
        <v>5.9335621098349665E-5</v>
      </c>
      <c r="J526" s="229">
        <v>164994.15</v>
      </c>
      <c r="K526" s="28">
        <f>[1]!Table3[[#This Row],[Residential Incentive Disbursements]]/'[1]1.) CLM Reference'!$B$5</f>
        <v>1.3247613521826229E-3</v>
      </c>
      <c r="L526" s="229">
        <v>0</v>
      </c>
      <c r="M526" s="28">
        <f>[1]!Table3[[#This Row],[C&amp;I CLM $ Collected]]/'[1]1.) CLM Reference'!$B$4</f>
        <v>0</v>
      </c>
      <c r="N526" s="229">
        <v>0</v>
      </c>
      <c r="O526" s="28">
        <f>[1]!Table3[[#This Row],[C&amp;I Incentive Disbursements]]/'[1]1.) CLM Reference'!$B$5</f>
        <v>0</v>
      </c>
      <c r="Q526">
        <f>VLOOKUP(Table3[[#This Row],[Census Tract]],'Population and Diversity Data'!$B$2:$K$823,10,FALSE)</f>
        <v>4</v>
      </c>
      <c r="R526" t="str">
        <f>VLOOKUP(Table3[[#This Row],[Census Tract]],'ES Energy Burden'!$B$2:$E$914,4,FALSE)</f>
        <v>No</v>
      </c>
    </row>
    <row r="527" spans="1:18" x14ac:dyDescent="0.2">
      <c r="A527" t="s">
        <v>2817</v>
      </c>
      <c r="B527" s="169">
        <v>9001044200</v>
      </c>
      <c r="C527" t="s">
        <v>944</v>
      </c>
      <c r="D527" s="170">
        <f>[1]!Table3[[#This Row],[Residential CLM $ Collected]]+[1]!Table3[[#This Row],[C&amp;I CLM $ Collected]]</f>
        <v>931.11291000000006</v>
      </c>
      <c r="E527" s="28">
        <f>[1]!Table3[[#This Row],[CLM $ Collected ]]/'[1]1.) CLM Reference'!$B$4</f>
        <v>1.0023777104211095E-5</v>
      </c>
      <c r="F527" s="170">
        <f>[1]!Table3[[#This Row],[Residential Incentive Disbursements]]+[1]!Table3[[#This Row],[C&amp;I Incentive Disbursements]]</f>
        <v>102.16</v>
      </c>
      <c r="G527" s="28">
        <f>[1]!Table3[[#This Row],[Incentive Disbursements]]/'[1]1.) CLM Reference'!$B$5</f>
        <v>8.2025708025997745E-7</v>
      </c>
      <c r="H527" s="228">
        <v>931.11291000000006</v>
      </c>
      <c r="I527" s="28">
        <f>[1]!Table3[[#This Row],[Residential CLM $ Collected]]/'[1]1.) CLM Reference'!$B$4</f>
        <v>1.0023777104211095E-5</v>
      </c>
      <c r="J527" s="229">
        <v>102.16</v>
      </c>
      <c r="K527" s="28">
        <f>[1]!Table3[[#This Row],[Residential Incentive Disbursements]]/'[1]1.) CLM Reference'!$B$5</f>
        <v>8.2025708025997745E-7</v>
      </c>
      <c r="L527" s="229">
        <v>0</v>
      </c>
      <c r="M527" s="28">
        <f>[1]!Table3[[#This Row],[C&amp;I CLM $ Collected]]/'[1]1.) CLM Reference'!$B$4</f>
        <v>0</v>
      </c>
      <c r="N527" s="229">
        <v>0</v>
      </c>
      <c r="O527" s="28">
        <f>[1]!Table3[[#This Row],[C&amp;I Incentive Disbursements]]/'[1]1.) CLM Reference'!$B$5</f>
        <v>0</v>
      </c>
      <c r="Q527">
        <f>VLOOKUP(Table3[[#This Row],[Census Tract]],'Population and Diversity Data'!$B$2:$K$823,10,FALSE)</f>
        <v>4</v>
      </c>
      <c r="R527" t="str">
        <f>VLOOKUP(Table3[[#This Row],[Census Tract]],'ES Energy Burden'!$B$2:$E$914,4,FALSE)</f>
        <v>No</v>
      </c>
    </row>
    <row r="528" spans="1:18" x14ac:dyDescent="0.2">
      <c r="A528" t="s">
        <v>2817</v>
      </c>
      <c r="B528" s="169">
        <v>9001044300</v>
      </c>
      <c r="C528" t="s">
        <v>944</v>
      </c>
      <c r="D528" s="170">
        <f>[1]!Table3[[#This Row],[Residential CLM $ Collected]]+[1]!Table3[[#This Row],[C&amp;I CLM $ Collected]]</f>
        <v>2718.0535199999999</v>
      </c>
      <c r="E528" s="28">
        <f>[1]!Table3[[#This Row],[CLM $ Collected ]]/'[1]1.) CLM Reference'!$B$4</f>
        <v>2.9260858000343236E-5</v>
      </c>
      <c r="F528" s="170">
        <f>[1]!Table3[[#This Row],[Residential Incentive Disbursements]]+[1]!Table3[[#This Row],[C&amp;I Incentive Disbursements]]</f>
        <v>0</v>
      </c>
      <c r="G528" s="28">
        <f>[1]!Table3[[#This Row],[Incentive Disbursements]]/'[1]1.) CLM Reference'!$B$5</f>
        <v>0</v>
      </c>
      <c r="H528" s="228">
        <v>2718.0535199999999</v>
      </c>
      <c r="I528" s="28">
        <f>[1]!Table3[[#This Row],[Residential CLM $ Collected]]/'[1]1.) CLM Reference'!$B$4</f>
        <v>2.9260858000343236E-5</v>
      </c>
      <c r="J528" s="229">
        <v>0</v>
      </c>
      <c r="K528" s="28">
        <f>[1]!Table3[[#This Row],[Residential Incentive Disbursements]]/'[1]1.) CLM Reference'!$B$5</f>
        <v>0</v>
      </c>
      <c r="L528" s="229">
        <v>0</v>
      </c>
      <c r="M528" s="28">
        <f>[1]!Table3[[#This Row],[C&amp;I CLM $ Collected]]/'[1]1.) CLM Reference'!$B$4</f>
        <v>0</v>
      </c>
      <c r="N528" s="229">
        <v>0</v>
      </c>
      <c r="O528" s="28">
        <f>[1]!Table3[[#This Row],[C&amp;I Incentive Disbursements]]/'[1]1.) CLM Reference'!$B$5</f>
        <v>0</v>
      </c>
      <c r="Q528">
        <f>VLOOKUP(Table3[[#This Row],[Census Tract]],'Population and Diversity Data'!$B$2:$K$823,10,FALSE)</f>
        <v>3</v>
      </c>
      <c r="R528" t="str">
        <f>VLOOKUP(Table3[[#This Row],[Census Tract]],'ES Energy Burden'!$B$2:$E$914,4,FALSE)</f>
        <v>No</v>
      </c>
    </row>
    <row r="529" spans="1:18" x14ac:dyDescent="0.2">
      <c r="A529" t="s">
        <v>2817</v>
      </c>
      <c r="B529" s="169">
        <v>9001044400</v>
      </c>
      <c r="C529" t="s">
        <v>944</v>
      </c>
      <c r="D529" s="170">
        <f>[1]!Table3[[#This Row],[Residential CLM $ Collected]]+[1]!Table3[[#This Row],[C&amp;I CLM $ Collected]]</f>
        <v>7686.9691499999999</v>
      </c>
      <c r="E529" s="28">
        <f>[1]!Table3[[#This Row],[CLM $ Collected ]]/'[1]1.) CLM Reference'!$B$4</f>
        <v>8.27530845496998E-5</v>
      </c>
      <c r="F529" s="170">
        <f>[1]!Table3[[#This Row],[Residential Incentive Disbursements]]+[1]!Table3[[#This Row],[C&amp;I Incentive Disbursements]]</f>
        <v>1735.61</v>
      </c>
      <c r="G529" s="28">
        <f>[1]!Table3[[#This Row],[Incentive Disbursements]]/'[1]1.) CLM Reference'!$B$5</f>
        <v>1.3935458017521724E-5</v>
      </c>
      <c r="H529" s="228">
        <v>7686.9691499999999</v>
      </c>
      <c r="I529" s="28">
        <f>[1]!Table3[[#This Row],[Residential CLM $ Collected]]/'[1]1.) CLM Reference'!$B$4</f>
        <v>8.27530845496998E-5</v>
      </c>
      <c r="J529" s="229">
        <v>1735.61</v>
      </c>
      <c r="K529" s="28">
        <f>[1]!Table3[[#This Row],[Residential Incentive Disbursements]]/'[1]1.) CLM Reference'!$B$5</f>
        <v>1.3935458017521724E-5</v>
      </c>
      <c r="L529" s="229">
        <v>0</v>
      </c>
      <c r="M529" s="28">
        <f>[1]!Table3[[#This Row],[C&amp;I CLM $ Collected]]/'[1]1.) CLM Reference'!$B$4</f>
        <v>0</v>
      </c>
      <c r="N529" s="229">
        <v>0</v>
      </c>
      <c r="O529" s="28">
        <f>[1]!Table3[[#This Row],[C&amp;I Incentive Disbursements]]/'[1]1.) CLM Reference'!$B$5</f>
        <v>0</v>
      </c>
      <c r="Q529">
        <f>VLOOKUP(Table3[[#This Row],[Census Tract]],'Population and Diversity Data'!$B$2:$K$823,10,FALSE)</f>
        <v>2</v>
      </c>
      <c r="R529" t="str">
        <f>VLOOKUP(Table3[[#This Row],[Census Tract]],'ES Energy Burden'!$B$2:$E$914,4,FALSE)</f>
        <v>No</v>
      </c>
    </row>
    <row r="530" spans="1:18" x14ac:dyDescent="0.2">
      <c r="A530" t="s">
        <v>2817</v>
      </c>
      <c r="B530" s="169">
        <v>9001044500</v>
      </c>
      <c r="C530" t="s">
        <v>944</v>
      </c>
      <c r="D530" s="170">
        <f>[1]!Table3[[#This Row],[Residential CLM $ Collected]]+[1]!Table3[[#This Row],[C&amp;I CLM $ Collected]]</f>
        <v>12912.217710000001</v>
      </c>
      <c r="E530" s="28">
        <f>[1]!Table3[[#This Row],[CLM $ Collected ]]/'[1]1.) CLM Reference'!$B$4</f>
        <v>1.3900483051629799E-4</v>
      </c>
      <c r="F530" s="170">
        <f>[1]!Table3[[#This Row],[Residential Incentive Disbursements]]+[1]!Table3[[#This Row],[C&amp;I Incentive Disbursements]]</f>
        <v>384.42</v>
      </c>
      <c r="G530" s="28">
        <f>[1]!Table3[[#This Row],[Incentive Disbursements]]/'[1]1.) CLM Reference'!$B$5</f>
        <v>3.086562517556192E-6</v>
      </c>
      <c r="H530" s="228">
        <v>12912.217710000001</v>
      </c>
      <c r="I530" s="28">
        <f>[1]!Table3[[#This Row],[Residential CLM $ Collected]]/'[1]1.) CLM Reference'!$B$4</f>
        <v>1.3900483051629799E-4</v>
      </c>
      <c r="J530" s="229">
        <v>384.42</v>
      </c>
      <c r="K530" s="28">
        <f>[1]!Table3[[#This Row],[Residential Incentive Disbursements]]/'[1]1.) CLM Reference'!$B$5</f>
        <v>3.086562517556192E-6</v>
      </c>
      <c r="L530" s="229">
        <v>0</v>
      </c>
      <c r="M530" s="28">
        <f>[1]!Table3[[#This Row],[C&amp;I CLM $ Collected]]/'[1]1.) CLM Reference'!$B$4</f>
        <v>0</v>
      </c>
      <c r="N530" s="229">
        <v>0</v>
      </c>
      <c r="O530" s="28">
        <f>[1]!Table3[[#This Row],[C&amp;I Incentive Disbursements]]/'[1]1.) CLM Reference'!$B$5</f>
        <v>0</v>
      </c>
      <c r="Q530">
        <f>VLOOKUP(Table3[[#This Row],[Census Tract]],'Population and Diversity Data'!$B$2:$K$823,10,FALSE)</f>
        <v>3</v>
      </c>
      <c r="R530" t="str">
        <f>VLOOKUP(Table3[[#This Row],[Census Tract]],'ES Energy Burden'!$B$2:$E$914,4,FALSE)</f>
        <v>No</v>
      </c>
    </row>
    <row r="531" spans="1:18" x14ac:dyDescent="0.2">
      <c r="A531" t="s">
        <v>2817</v>
      </c>
      <c r="B531" s="169">
        <v>9001044600</v>
      </c>
      <c r="C531" t="s">
        <v>944</v>
      </c>
      <c r="D531" s="170">
        <f>[1]!Table3[[#This Row],[Residential CLM $ Collected]]+[1]!Table3[[#This Row],[C&amp;I CLM $ Collected]]</f>
        <v>66609.119640000004</v>
      </c>
      <c r="E531" s="28">
        <f>[1]!Table3[[#This Row],[CLM $ Collected ]]/'[1]1.) CLM Reference'!$B$4</f>
        <v>7.1707196969172037E-4</v>
      </c>
      <c r="F531" s="170">
        <f>[1]!Table3[[#This Row],[Residential Incentive Disbursements]]+[1]!Table3[[#This Row],[C&amp;I Incentive Disbursements]]</f>
        <v>26423.49</v>
      </c>
      <c r="G531" s="28">
        <f>[1]!Table3[[#This Row],[Incentive Disbursements]]/'[1]1.) CLM Reference'!$B$5</f>
        <v>2.1215793615582138E-4</v>
      </c>
      <c r="H531" s="228">
        <v>66609.119640000004</v>
      </c>
      <c r="I531" s="28">
        <f>[1]!Table3[[#This Row],[Residential CLM $ Collected]]/'[1]1.) CLM Reference'!$B$4</f>
        <v>7.1707196969172037E-4</v>
      </c>
      <c r="J531" s="229">
        <v>26423.49</v>
      </c>
      <c r="K531" s="28">
        <f>[1]!Table3[[#This Row],[Residential Incentive Disbursements]]/'[1]1.) CLM Reference'!$B$5</f>
        <v>2.1215793615582138E-4</v>
      </c>
      <c r="L531" s="229">
        <v>0</v>
      </c>
      <c r="M531" s="28">
        <f>[1]!Table3[[#This Row],[C&amp;I CLM $ Collected]]/'[1]1.) CLM Reference'!$B$4</f>
        <v>0</v>
      </c>
      <c r="N531" s="229">
        <v>0</v>
      </c>
      <c r="O531" s="28">
        <f>[1]!Table3[[#This Row],[C&amp;I Incentive Disbursements]]/'[1]1.) CLM Reference'!$B$5</f>
        <v>0</v>
      </c>
      <c r="Q531">
        <f>VLOOKUP(Table3[[#This Row],[Census Tract]],'Population and Diversity Data'!$B$2:$K$823,10,FALSE)</f>
        <v>1</v>
      </c>
      <c r="R531" t="str">
        <f>VLOOKUP(Table3[[#This Row],[Census Tract]],'ES Energy Burden'!$B$2:$E$914,4,FALSE)</f>
        <v>No</v>
      </c>
    </row>
    <row r="532" spans="1:18" x14ac:dyDescent="0.2">
      <c r="A532" t="s">
        <v>2817</v>
      </c>
      <c r="B532" s="169">
        <v>9001045300</v>
      </c>
      <c r="C532" t="s">
        <v>944</v>
      </c>
      <c r="D532" s="170">
        <f>[1]!Table3[[#This Row],[Residential CLM $ Collected]]+[1]!Table3[[#This Row],[C&amp;I CLM $ Collected]]</f>
        <v>140.07</v>
      </c>
      <c r="E532" s="28">
        <f>[1]!Table3[[#This Row],[CLM $ Collected ]]/'[1]1.) CLM Reference'!$B$4</f>
        <v>1.507905694258764E-6</v>
      </c>
      <c r="F532" s="170">
        <f>[1]!Table3[[#This Row],[Residential Incentive Disbursements]]+[1]!Table3[[#This Row],[C&amp;I Incentive Disbursements]]</f>
        <v>1569.51</v>
      </c>
      <c r="G532" s="28">
        <f>[1]!Table3[[#This Row],[Incentive Disbursements]]/'[1]1.) CLM Reference'!$B$5</f>
        <v>1.2601817639377811E-5</v>
      </c>
      <c r="H532" s="228">
        <v>140.07</v>
      </c>
      <c r="I532" s="28">
        <f>[1]!Table3[[#This Row],[Residential CLM $ Collected]]/'[1]1.) CLM Reference'!$B$4</f>
        <v>1.507905694258764E-6</v>
      </c>
      <c r="J532" s="229">
        <v>1569.51</v>
      </c>
      <c r="K532" s="28">
        <f>[1]!Table3[[#This Row],[Residential Incentive Disbursements]]/'[1]1.) CLM Reference'!$B$5</f>
        <v>1.2601817639377811E-5</v>
      </c>
      <c r="L532" s="229">
        <v>0</v>
      </c>
      <c r="M532" s="28">
        <f>[1]!Table3[[#This Row],[C&amp;I CLM $ Collected]]/'[1]1.) CLM Reference'!$B$4</f>
        <v>0</v>
      </c>
      <c r="N532" s="229">
        <v>0</v>
      </c>
      <c r="O532" s="28">
        <f>[1]!Table3[[#This Row],[C&amp;I Incentive Disbursements]]/'[1]1.) CLM Reference'!$B$5</f>
        <v>0</v>
      </c>
      <c r="Q532">
        <f>VLOOKUP(Table3[[#This Row],[Census Tract]],'Population and Diversity Data'!$B$2:$K$823,10,FALSE)</f>
        <v>4</v>
      </c>
      <c r="R532" t="str">
        <f>VLOOKUP(Table3[[#This Row],[Census Tract]],'ES Energy Burden'!$B$2:$E$914,4,FALSE)</f>
        <v>No</v>
      </c>
    </row>
    <row r="533" spans="1:18" x14ac:dyDescent="0.2">
      <c r="A533" t="s">
        <v>2817</v>
      </c>
      <c r="B533" s="169">
        <v>9001045400</v>
      </c>
      <c r="C533" t="s">
        <v>944</v>
      </c>
      <c r="D533" s="170">
        <f>[1]!Table3[[#This Row],[Residential CLM $ Collected]]+[1]!Table3[[#This Row],[C&amp;I CLM $ Collected]]</f>
        <v>1766.5000500000001</v>
      </c>
      <c r="E533" s="28">
        <f>[1]!Table3[[#This Row],[CLM $ Collected ]]/'[1]1.) CLM Reference'!$B$4</f>
        <v>1.9017030658266522E-5</v>
      </c>
      <c r="F533" s="170">
        <f>[1]!Table3[[#This Row],[Residential Incentive Disbursements]]+[1]!Table3[[#This Row],[C&amp;I Incentive Disbursements]]</f>
        <v>1185.68</v>
      </c>
      <c r="G533" s="28">
        <f>[1]!Table3[[#This Row],[Incentive Disbursements]]/'[1]1.) CLM Reference'!$B$5</f>
        <v>9.5199923152177972E-6</v>
      </c>
      <c r="H533" s="228">
        <v>1766.5000500000001</v>
      </c>
      <c r="I533" s="28">
        <f>[1]!Table3[[#This Row],[Residential CLM $ Collected]]/'[1]1.) CLM Reference'!$B$4</f>
        <v>1.9017030658266522E-5</v>
      </c>
      <c r="J533" s="229">
        <v>1185.68</v>
      </c>
      <c r="K533" s="28">
        <f>[1]!Table3[[#This Row],[Residential Incentive Disbursements]]/'[1]1.) CLM Reference'!$B$5</f>
        <v>9.5199923152177972E-6</v>
      </c>
      <c r="L533" s="229">
        <v>0</v>
      </c>
      <c r="M533" s="28">
        <f>[1]!Table3[[#This Row],[C&amp;I CLM $ Collected]]/'[1]1.) CLM Reference'!$B$4</f>
        <v>0</v>
      </c>
      <c r="N533" s="229">
        <v>0</v>
      </c>
      <c r="O533" s="28">
        <f>[1]!Table3[[#This Row],[C&amp;I Incentive Disbursements]]/'[1]1.) CLM Reference'!$B$5</f>
        <v>0</v>
      </c>
      <c r="Q533">
        <f>VLOOKUP(Table3[[#This Row],[Census Tract]],'Population and Diversity Data'!$B$2:$K$823,10,FALSE)</f>
        <v>4</v>
      </c>
      <c r="R533" t="str">
        <f>VLOOKUP(Table3[[#This Row],[Census Tract]],'ES Energy Burden'!$B$2:$E$914,4,FALSE)</f>
        <v>No</v>
      </c>
    </row>
    <row r="534" spans="1:18" x14ac:dyDescent="0.2">
      <c r="A534" t="s">
        <v>2818</v>
      </c>
      <c r="B534" s="169">
        <v>9011650100</v>
      </c>
      <c r="C534" t="s">
        <v>944</v>
      </c>
      <c r="D534" s="170">
        <f>[1]!Table3[[#This Row],[Residential CLM $ Collected]]+[1]!Table3[[#This Row],[C&amp;I CLM $ Collected]]</f>
        <v>2200.2243899999999</v>
      </c>
      <c r="E534" s="28">
        <f>[1]!Table3[[#This Row],[CLM $ Collected ]]/'[1]1.) CLM Reference'!$B$4</f>
        <v>2.3686234642164741E-5</v>
      </c>
      <c r="F534" s="170">
        <f>[1]!Table3[[#This Row],[Residential Incentive Disbursements]]+[1]!Table3[[#This Row],[C&amp;I Incentive Disbursements]]</f>
        <v>2095.67</v>
      </c>
      <c r="G534" s="28">
        <f>[1]!Table3[[#This Row],[Incentive Disbursements]]/'[1]1.) CLM Reference'!$B$5</f>
        <v>1.6826430651805277E-5</v>
      </c>
      <c r="H534" s="228">
        <v>2193.3319799999999</v>
      </c>
      <c r="I534" s="28">
        <f>[1]!Table3[[#This Row],[Residential CLM $ Collected]]/'[1]1.) CLM Reference'!$B$4</f>
        <v>2.3612035282657594E-5</v>
      </c>
      <c r="J534" s="229">
        <v>2095.67</v>
      </c>
      <c r="K534" s="28">
        <f>[1]!Table3[[#This Row],[Residential Incentive Disbursements]]/'[1]1.) CLM Reference'!$B$5</f>
        <v>1.6826430651805277E-5</v>
      </c>
      <c r="L534" s="229">
        <v>6.8924099999999999</v>
      </c>
      <c r="M534" s="28">
        <f>[1]!Table3[[#This Row],[C&amp;I CLM $ Collected]]/'[1]1.) CLM Reference'!$B$4</f>
        <v>7.419935950714677E-8</v>
      </c>
      <c r="N534" s="229">
        <v>0</v>
      </c>
      <c r="O534" s="28">
        <f>[1]!Table3[[#This Row],[C&amp;I Incentive Disbursements]]/'[1]1.) CLM Reference'!$B$5</f>
        <v>0</v>
      </c>
      <c r="Q534">
        <f>VLOOKUP(Table3[[#This Row],[Census Tract]],'Population and Diversity Data'!$B$2:$K$823,10,FALSE)</f>
        <v>1</v>
      </c>
      <c r="R534" t="str">
        <f>VLOOKUP(Table3[[#This Row],[Census Tract]],'ES Energy Burden'!$B$2:$E$914,4,FALSE)</f>
        <v>No</v>
      </c>
    </row>
    <row r="535" spans="1:18" x14ac:dyDescent="0.2">
      <c r="A535" t="s">
        <v>2818</v>
      </c>
      <c r="B535" s="169">
        <v>9011660101</v>
      </c>
      <c r="C535" t="s">
        <v>944</v>
      </c>
      <c r="D535" s="170">
        <f>[1]!Table3[[#This Row],[Residential CLM $ Collected]]+[1]!Table3[[#This Row],[C&amp;I CLM $ Collected]]</f>
        <v>169714.71715800001</v>
      </c>
      <c r="E535" s="28">
        <f>[1]!Table3[[#This Row],[CLM $ Collected ]]/'[1]1.) CLM Reference'!$B$4</f>
        <v>1.8270421103881186E-3</v>
      </c>
      <c r="F535" s="170">
        <f>[1]!Table3[[#This Row],[Residential Incentive Disbursements]]+[1]!Table3[[#This Row],[C&amp;I Incentive Disbursements]]</f>
        <v>327026.23499999999</v>
      </c>
      <c r="G535" s="28">
        <f>[1]!Table3[[#This Row],[Incentive Disbursements]]/'[1]1.) CLM Reference'!$B$5</f>
        <v>2.6257398657939823E-3</v>
      </c>
      <c r="H535" s="228">
        <v>128876.033538</v>
      </c>
      <c r="I535" s="28">
        <f>[1]!Table3[[#This Row],[Residential CLM $ Collected]]/'[1]1.) CLM Reference'!$B$4</f>
        <v>1.3873984780854833E-3</v>
      </c>
      <c r="J535" s="229">
        <v>324657.59499999997</v>
      </c>
      <c r="K535" s="28">
        <f>[1]!Table3[[#This Row],[Residential Incentive Disbursements]]/'[1]1.) CLM Reference'!$B$5</f>
        <v>2.6067217204280174E-3</v>
      </c>
      <c r="L535" s="229">
        <v>40838.683620000003</v>
      </c>
      <c r="M535" s="28">
        <f>[1]!Table3[[#This Row],[C&amp;I CLM $ Collected]]/'[1]1.) CLM Reference'!$B$4</f>
        <v>4.3964363230263525E-4</v>
      </c>
      <c r="N535" s="229">
        <v>2368.64</v>
      </c>
      <c r="O535" s="28">
        <f>[1]!Table3[[#This Row],[C&amp;I Incentive Disbursements]]/'[1]1.) CLM Reference'!$B$5</f>
        <v>1.9018145365965084E-5</v>
      </c>
      <c r="Q535">
        <f>VLOOKUP(Table3[[#This Row],[Census Tract]],'Population and Diversity Data'!$B$2:$K$823,10,FALSE)</f>
        <v>2</v>
      </c>
      <c r="R535" t="str">
        <f>VLOOKUP(Table3[[#This Row],[Census Tract]],'ES Energy Burden'!$B$2:$E$914,4,FALSE)</f>
        <v>No</v>
      </c>
    </row>
    <row r="536" spans="1:18" x14ac:dyDescent="0.2">
      <c r="A536" t="s">
        <v>2818</v>
      </c>
      <c r="B536" s="169">
        <v>9011660102</v>
      </c>
      <c r="C536" t="s">
        <v>944</v>
      </c>
      <c r="D536" s="170">
        <f>[1]!Table3[[#This Row],[Residential CLM $ Collected]]+[1]!Table3[[#This Row],[C&amp;I CLM $ Collected]]</f>
        <v>68340.617645999999</v>
      </c>
      <c r="E536" s="28">
        <f>[1]!Table3[[#This Row],[CLM $ Collected ]]/'[1]1.) CLM Reference'!$B$4</f>
        <v>7.35712190316016E-4</v>
      </c>
      <c r="F536" s="170">
        <f>[1]!Table3[[#This Row],[Residential Incentive Disbursements]]+[1]!Table3[[#This Row],[C&amp;I Incentive Disbursements]]</f>
        <v>140152.995</v>
      </c>
      <c r="G536" s="28">
        <f>[1]!Table3[[#This Row],[Incentive Disbursements]]/'[1]1.) CLM Reference'!$B$5</f>
        <v>1.1253082074039861E-3</v>
      </c>
      <c r="H536" s="228">
        <v>68340.617645999999</v>
      </c>
      <c r="I536" s="28">
        <f>[1]!Table3[[#This Row],[Residential CLM $ Collected]]/'[1]1.) CLM Reference'!$B$4</f>
        <v>7.35712190316016E-4</v>
      </c>
      <c r="J536" s="229">
        <v>140152.995</v>
      </c>
      <c r="K536" s="28">
        <f>[1]!Table3[[#This Row],[Residential Incentive Disbursements]]/'[1]1.) CLM Reference'!$B$5</f>
        <v>1.1253082074039861E-3</v>
      </c>
      <c r="L536" s="229">
        <v>0</v>
      </c>
      <c r="M536" s="28">
        <f>[1]!Table3[[#This Row],[C&amp;I CLM $ Collected]]/'[1]1.) CLM Reference'!$B$4</f>
        <v>0</v>
      </c>
      <c r="N536" s="229">
        <v>0</v>
      </c>
      <c r="O536" s="28">
        <f>[1]!Table3[[#This Row],[C&amp;I Incentive Disbursements]]/'[1]1.) CLM Reference'!$B$5</f>
        <v>0</v>
      </c>
      <c r="Q536">
        <f>VLOOKUP(Table3[[#This Row],[Census Tract]],'Population and Diversity Data'!$B$2:$K$823,10,FALSE)</f>
        <v>1</v>
      </c>
      <c r="R536" t="str">
        <f>VLOOKUP(Table3[[#This Row],[Census Tract]],'ES Energy Burden'!$B$2:$E$914,4,FALSE)</f>
        <v>No</v>
      </c>
    </row>
    <row r="537" spans="1:18" x14ac:dyDescent="0.2">
      <c r="A537" t="s">
        <v>2819</v>
      </c>
      <c r="B537" s="169">
        <v>9007670100</v>
      </c>
      <c r="C537" t="s">
        <v>944</v>
      </c>
      <c r="D537" s="170">
        <f>[1]!Table3[[#This Row],[Residential CLM $ Collected]]+[1]!Table3[[#This Row],[C&amp;I CLM $ Collected]]</f>
        <v>72743.177135999998</v>
      </c>
      <c r="E537" s="28">
        <f>[1]!Table3[[#This Row],[CLM $ Collected ]]/'[1]1.) CLM Reference'!$B$4</f>
        <v>7.8310738217925559E-4</v>
      </c>
      <c r="F537" s="170">
        <f>[1]!Table3[[#This Row],[Residential Incentive Disbursements]]+[1]!Table3[[#This Row],[C&amp;I Incentive Disbursements]]</f>
        <v>85663.29</v>
      </c>
      <c r="G537" s="28">
        <f>[1]!Table3[[#This Row],[Incentive Disbursements]]/'[1]1.) CLM Reference'!$B$5</f>
        <v>6.8780266386906535E-4</v>
      </c>
      <c r="H537" s="228">
        <v>72743.177135999998</v>
      </c>
      <c r="I537" s="28">
        <f>[1]!Table3[[#This Row],[Residential CLM $ Collected]]/'[1]1.) CLM Reference'!$B$4</f>
        <v>7.8310738217925559E-4</v>
      </c>
      <c r="J537" s="229">
        <v>85663.29</v>
      </c>
      <c r="K537" s="28">
        <f>[1]!Table3[[#This Row],[Residential Incentive Disbursements]]/'[1]1.) CLM Reference'!$B$5</f>
        <v>6.8780266386906535E-4</v>
      </c>
      <c r="L537" s="229">
        <v>0</v>
      </c>
      <c r="M537" s="28">
        <f>[1]!Table3[[#This Row],[C&amp;I CLM $ Collected]]/'[1]1.) CLM Reference'!$B$4</f>
        <v>0</v>
      </c>
      <c r="N537" s="229">
        <v>0</v>
      </c>
      <c r="O537" s="28">
        <f>[1]!Table3[[#This Row],[C&amp;I Incentive Disbursements]]/'[1]1.) CLM Reference'!$B$5</f>
        <v>0</v>
      </c>
      <c r="Q537">
        <f>VLOOKUP(Table3[[#This Row],[Census Tract]],'Population and Diversity Data'!$B$2:$K$823,10,FALSE)</f>
        <v>2</v>
      </c>
      <c r="R537" t="str">
        <f>VLOOKUP(Table3[[#This Row],[Census Tract]],'ES Energy Burden'!$B$2:$E$914,4,FALSE)</f>
        <v>No</v>
      </c>
    </row>
    <row r="538" spans="1:18" x14ac:dyDescent="0.2">
      <c r="A538" t="s">
        <v>2819</v>
      </c>
      <c r="B538" s="169">
        <v>9007670200</v>
      </c>
      <c r="C538" t="s">
        <v>944</v>
      </c>
      <c r="D538" s="170">
        <f>[1]!Table3[[#This Row],[Residential CLM $ Collected]]+[1]!Table3[[#This Row],[C&amp;I CLM $ Collected]]</f>
        <v>288477.86139899999</v>
      </c>
      <c r="E538" s="28">
        <f>[1]!Table3[[#This Row],[CLM $ Collected ]]/'[1]1.) CLM Reference'!$B$4</f>
        <v>3.1055715704372284E-3</v>
      </c>
      <c r="F538" s="170">
        <f>[1]!Table3[[#This Row],[Residential Incentive Disbursements]]+[1]!Table3[[#This Row],[C&amp;I Incentive Disbursements]]</f>
        <v>353029.97249999997</v>
      </c>
      <c r="G538" s="28">
        <f>[1]!Table3[[#This Row],[Incentive Disbursements]]/'[1]1.) CLM Reference'!$B$5</f>
        <v>2.834527549795518E-3</v>
      </c>
      <c r="H538" s="228">
        <v>165478.35651899999</v>
      </c>
      <c r="I538" s="28">
        <f>[1]!Table3[[#This Row],[Residential CLM $ Collected]]/'[1]1.) CLM Reference'!$B$4</f>
        <v>1.7814361110272147E-3</v>
      </c>
      <c r="J538" s="229">
        <v>309457.03249999997</v>
      </c>
      <c r="K538" s="28">
        <f>[1]!Table3[[#This Row],[Residential Incentive Disbursements]]/'[1]1.) CLM Reference'!$B$5</f>
        <v>2.4846742555243435E-3</v>
      </c>
      <c r="L538" s="229">
        <v>122999.50488000001</v>
      </c>
      <c r="M538" s="28">
        <f>[1]!Table3[[#This Row],[C&amp;I CLM $ Collected]]/'[1]1.) CLM Reference'!$B$4</f>
        <v>1.3241354594100139E-3</v>
      </c>
      <c r="N538" s="229">
        <v>43572.94</v>
      </c>
      <c r="O538" s="28">
        <f>[1]!Table3[[#This Row],[C&amp;I Incentive Disbursements]]/'[1]1.) CLM Reference'!$B$5</f>
        <v>3.498532942711745E-4</v>
      </c>
      <c r="Q538">
        <f>VLOOKUP(Table3[[#This Row],[Census Tract]],'Population and Diversity Data'!$B$2:$K$823,10,FALSE)</f>
        <v>1</v>
      </c>
      <c r="R538" t="str">
        <f>VLOOKUP(Table3[[#This Row],[Census Tract]],'ES Energy Burden'!$B$2:$E$914,4,FALSE)</f>
        <v>No</v>
      </c>
    </row>
    <row r="539" spans="1:18" x14ac:dyDescent="0.2">
      <c r="A539" t="s">
        <v>2820</v>
      </c>
      <c r="B539" s="169">
        <v>9009344200</v>
      </c>
      <c r="C539" t="s">
        <v>944</v>
      </c>
      <c r="D539" s="170">
        <f>[1]!Table3[[#This Row],[Residential CLM $ Collected]]+[1]!Table3[[#This Row],[C&amp;I CLM $ Collected]]</f>
        <v>379.04390999999998</v>
      </c>
      <c r="E539" s="28">
        <f>[1]!Table3[[#This Row],[CLM $ Collected ]]/'[1]1.) CLM Reference'!$B$4</f>
        <v>4.0805487989084491E-6</v>
      </c>
      <c r="F539" s="170">
        <f>[1]!Table3[[#This Row],[Residential Incentive Disbursements]]+[1]!Table3[[#This Row],[C&amp;I Incentive Disbursements]]</f>
        <v>0</v>
      </c>
      <c r="G539" s="28">
        <f>[1]!Table3[[#This Row],[Incentive Disbursements]]/'[1]1.) CLM Reference'!$B$5</f>
        <v>0</v>
      </c>
      <c r="H539" s="228">
        <v>379.04390999999998</v>
      </c>
      <c r="I539" s="28">
        <f>[1]!Table3[[#This Row],[Residential CLM $ Collected]]/'[1]1.) CLM Reference'!$B$4</f>
        <v>4.0805487989084491E-6</v>
      </c>
      <c r="J539" s="229">
        <v>0</v>
      </c>
      <c r="K539" s="28">
        <f>[1]!Table3[[#This Row],[Residential Incentive Disbursements]]/'[1]1.) CLM Reference'!$B$5</f>
        <v>0</v>
      </c>
      <c r="L539" s="229">
        <v>0</v>
      </c>
      <c r="M539" s="28">
        <f>[1]!Table3[[#This Row],[C&amp;I CLM $ Collected]]/'[1]1.) CLM Reference'!$B$4</f>
        <v>0</v>
      </c>
      <c r="N539" s="229">
        <v>0</v>
      </c>
      <c r="O539" s="28">
        <f>[1]!Table3[[#This Row],[C&amp;I Incentive Disbursements]]/'[1]1.) CLM Reference'!$B$5</f>
        <v>0</v>
      </c>
      <c r="Q539">
        <f>VLOOKUP(Table3[[#This Row],[Census Tract]],'Population and Diversity Data'!$B$2:$K$823,10,FALSE)</f>
        <v>3</v>
      </c>
      <c r="R539" t="str">
        <f>VLOOKUP(Table3[[#This Row],[Census Tract]],'ES Energy Burden'!$B$2:$E$914,4,FALSE)</f>
        <v>No</v>
      </c>
    </row>
    <row r="540" spans="1:18" x14ac:dyDescent="0.2">
      <c r="A540" t="s">
        <v>2820</v>
      </c>
      <c r="B540" s="169">
        <v>9009346101</v>
      </c>
      <c r="C540" t="s">
        <v>944</v>
      </c>
      <c r="D540" s="170">
        <f>[1]!Table3[[#This Row],[Residential CLM $ Collected]]+[1]!Table3[[#This Row],[C&amp;I CLM $ Collected]]</f>
        <v>214189.401594</v>
      </c>
      <c r="E540" s="28">
        <f>[1]!Table3[[#This Row],[CLM $ Collected ]]/'[1]1.) CLM Reference'!$B$4</f>
        <v>2.3058286450593972E-3</v>
      </c>
      <c r="F540" s="170">
        <f>[1]!Table3[[#This Row],[Residential Incentive Disbursements]]+[1]!Table3[[#This Row],[C&amp;I Incentive Disbursements]]</f>
        <v>263859.86</v>
      </c>
      <c r="G540" s="28">
        <f>[1]!Table3[[#This Row],[Incentive Disbursements]]/'[1]1.) CLM Reference'!$B$5</f>
        <v>2.1185681123865154E-3</v>
      </c>
      <c r="H540" s="228">
        <v>150811.170384</v>
      </c>
      <c r="I540" s="28">
        <f>[1]!Table3[[#This Row],[Residential CLM $ Collected]]/'[1]1.) CLM Reference'!$B$4</f>
        <v>1.6235383920886861E-3</v>
      </c>
      <c r="J540" s="229">
        <v>218372.89</v>
      </c>
      <c r="K540" s="28">
        <f>[1]!Table3[[#This Row],[Residential Incentive Disbursements]]/'[1]1.) CLM Reference'!$B$5</f>
        <v>1.7533468006982501E-3</v>
      </c>
      <c r="L540" s="229">
        <v>63378.231209999998</v>
      </c>
      <c r="M540" s="28">
        <f>[1]!Table3[[#This Row],[C&amp;I CLM $ Collected]]/'[1]1.) CLM Reference'!$B$4</f>
        <v>6.8229025297071111E-4</v>
      </c>
      <c r="N540" s="229">
        <v>45486.97</v>
      </c>
      <c r="O540" s="28">
        <f>[1]!Table3[[#This Row],[C&amp;I Incentive Disbursements]]/'[1]1.) CLM Reference'!$B$5</f>
        <v>3.6522131168826536E-4</v>
      </c>
      <c r="Q540">
        <f>VLOOKUP(Table3[[#This Row],[Census Tract]],'Population and Diversity Data'!$B$2:$K$823,10,FALSE)</f>
        <v>1</v>
      </c>
      <c r="R540" t="str">
        <f>VLOOKUP(Table3[[#This Row],[Census Tract]],'ES Energy Burden'!$B$2:$E$914,4,FALSE)</f>
        <v>No</v>
      </c>
    </row>
    <row r="541" spans="1:18" x14ac:dyDescent="0.2">
      <c r="A541" t="s">
        <v>2820</v>
      </c>
      <c r="B541" s="169">
        <v>9009346102</v>
      </c>
      <c r="C541" t="s">
        <v>944</v>
      </c>
      <c r="D541" s="170">
        <f>[1]!Table3[[#This Row],[Residential CLM $ Collected]]+[1]!Table3[[#This Row],[C&amp;I CLM $ Collected]]</f>
        <v>78888.896184000012</v>
      </c>
      <c r="E541" s="28">
        <f>[1]!Table3[[#This Row],[CLM $ Collected ]]/'[1]1.) CLM Reference'!$B$4</f>
        <v>8.4926833561535021E-4</v>
      </c>
      <c r="F541" s="170">
        <f>[1]!Table3[[#This Row],[Residential Incentive Disbursements]]+[1]!Table3[[#This Row],[C&amp;I Incentive Disbursements]]</f>
        <v>127516.02</v>
      </c>
      <c r="G541" s="28">
        <f>[1]!Table3[[#This Row],[Incentive Disbursements]]/'[1]1.) CLM Reference'!$B$5</f>
        <v>1.0238441488994998E-3</v>
      </c>
      <c r="H541" s="228">
        <v>78888.896184000012</v>
      </c>
      <c r="I541" s="28">
        <f>[1]!Table3[[#This Row],[Residential CLM $ Collected]]/'[1]1.) CLM Reference'!$B$4</f>
        <v>8.4926833561535021E-4</v>
      </c>
      <c r="J541" s="229">
        <v>127516.02</v>
      </c>
      <c r="K541" s="28">
        <f>[1]!Table3[[#This Row],[Residential Incentive Disbursements]]/'[1]1.) CLM Reference'!$B$5</f>
        <v>1.0238441488994998E-3</v>
      </c>
      <c r="L541" s="229">
        <v>0</v>
      </c>
      <c r="M541" s="28">
        <f>[1]!Table3[[#This Row],[C&amp;I CLM $ Collected]]/'[1]1.) CLM Reference'!$B$4</f>
        <v>0</v>
      </c>
      <c r="N541" s="229">
        <v>0</v>
      </c>
      <c r="O541" s="28">
        <f>[1]!Table3[[#This Row],[C&amp;I Incentive Disbursements]]/'[1]1.) CLM Reference'!$B$5</f>
        <v>0</v>
      </c>
      <c r="Q541">
        <f>VLOOKUP(Table3[[#This Row],[Census Tract]],'Population and Diversity Data'!$B$2:$K$823,10,FALSE)</f>
        <v>2</v>
      </c>
      <c r="R541" t="str">
        <f>VLOOKUP(Table3[[#This Row],[Census Tract]],'ES Energy Burden'!$B$2:$E$914,4,FALSE)</f>
        <v>No</v>
      </c>
    </row>
    <row r="542" spans="1:18" x14ac:dyDescent="0.2">
      <c r="A542" t="s">
        <v>2821</v>
      </c>
      <c r="B542" s="169">
        <v>9011709100</v>
      </c>
      <c r="C542" t="s">
        <v>944</v>
      </c>
      <c r="D542" s="170">
        <f>[1]!Table3[[#This Row],[Residential CLM $ Collected]]+[1]!Table3[[#This Row],[C&amp;I CLM $ Collected]]</f>
        <v>223.51308</v>
      </c>
      <c r="E542" s="28">
        <f>[1]!Table3[[#This Row],[CLM $ Collected ]]/'[1]1.) CLM Reference'!$B$4</f>
        <v>2.4062015140523641E-6</v>
      </c>
      <c r="F542" s="170">
        <f>[1]!Table3[[#This Row],[Residential Incentive Disbursements]]+[1]!Table3[[#This Row],[C&amp;I Incentive Disbursements]]</f>
        <v>45508.805</v>
      </c>
      <c r="G542" s="28">
        <f>[1]!Table3[[#This Row],[Incentive Disbursements]]/'[1]1.) CLM Reference'!$B$5</f>
        <v>3.653966279896306E-4</v>
      </c>
      <c r="H542" s="228">
        <v>223.51308</v>
      </c>
      <c r="I542" s="28">
        <f>[1]!Table3[[#This Row],[Residential CLM $ Collected]]/'[1]1.) CLM Reference'!$B$4</f>
        <v>2.4062015140523641E-6</v>
      </c>
      <c r="J542" s="229">
        <v>45508.805</v>
      </c>
      <c r="K542" s="28">
        <f>[1]!Table3[[#This Row],[Residential Incentive Disbursements]]/'[1]1.) CLM Reference'!$B$5</f>
        <v>3.653966279896306E-4</v>
      </c>
      <c r="L542" s="229">
        <v>0</v>
      </c>
      <c r="M542" s="28">
        <f>[1]!Table3[[#This Row],[C&amp;I CLM $ Collected]]/'[1]1.) CLM Reference'!$B$4</f>
        <v>0</v>
      </c>
      <c r="N542" s="229">
        <v>0</v>
      </c>
      <c r="O542" s="28">
        <f>[1]!Table3[[#This Row],[C&amp;I Incentive Disbursements]]/'[1]1.) CLM Reference'!$B$5</f>
        <v>0</v>
      </c>
      <c r="Q542">
        <f>VLOOKUP(Table3[[#This Row],[Census Tract]],'Population and Diversity Data'!$B$2:$K$823,10,FALSE)</f>
        <v>3</v>
      </c>
      <c r="R542" t="str">
        <f>VLOOKUP(Table3[[#This Row],[Census Tract]],'ES Energy Burden'!$B$2:$E$914,4,FALSE)</f>
        <v>No</v>
      </c>
    </row>
    <row r="543" spans="1:18" x14ac:dyDescent="0.2">
      <c r="A543" t="s">
        <v>2821</v>
      </c>
      <c r="B543" s="169">
        <v>9015906100</v>
      </c>
      <c r="C543" t="s">
        <v>944</v>
      </c>
      <c r="D543" s="170">
        <f>[1]!Table3[[#This Row],[Residential CLM $ Collected]]+[1]!Table3[[#This Row],[C&amp;I CLM $ Collected]]</f>
        <v>148.76400000000001</v>
      </c>
      <c r="E543" s="28">
        <f>[1]!Table3[[#This Row],[CLM $ Collected ]]/'[1]1.) CLM Reference'!$B$4</f>
        <v>1.6014998407989633E-6</v>
      </c>
      <c r="F543" s="170">
        <f>[1]!Table3[[#This Row],[Residential Incentive Disbursements]]+[1]!Table3[[#This Row],[C&amp;I Incentive Disbursements]]</f>
        <v>0</v>
      </c>
      <c r="G543" s="28">
        <f>[1]!Table3[[#This Row],[Incentive Disbursements]]/'[1]1.) CLM Reference'!$B$5</f>
        <v>0</v>
      </c>
      <c r="H543" s="228">
        <v>148.76400000000001</v>
      </c>
      <c r="I543" s="28">
        <f>[1]!Table3[[#This Row],[Residential CLM $ Collected]]/'[1]1.) CLM Reference'!$B$4</f>
        <v>1.6014998407989633E-6</v>
      </c>
      <c r="J543" s="229">
        <v>0</v>
      </c>
      <c r="K543" s="28">
        <f>[1]!Table3[[#This Row],[Residential Incentive Disbursements]]/'[1]1.) CLM Reference'!$B$5</f>
        <v>0</v>
      </c>
      <c r="L543" s="229">
        <v>0</v>
      </c>
      <c r="M543" s="28">
        <f>[1]!Table3[[#This Row],[C&amp;I CLM $ Collected]]/'[1]1.) CLM Reference'!$B$4</f>
        <v>0</v>
      </c>
      <c r="N543" s="229">
        <v>0</v>
      </c>
      <c r="O543" s="28">
        <f>[1]!Table3[[#This Row],[C&amp;I Incentive Disbursements]]/'[1]1.) CLM Reference'!$B$5</f>
        <v>0</v>
      </c>
      <c r="Q543">
        <f>VLOOKUP(Table3[[#This Row],[Census Tract]],'Population and Diversity Data'!$B$2:$K$823,10,FALSE)</f>
        <v>1</v>
      </c>
      <c r="R543" t="str">
        <f>VLOOKUP(Table3[[#This Row],[Census Tract]],'ES Energy Burden'!$B$2:$E$914,4,FALSE)</f>
        <v>No</v>
      </c>
    </row>
    <row r="544" spans="1:18" x14ac:dyDescent="0.2">
      <c r="A544" t="s">
        <v>2821</v>
      </c>
      <c r="B544" s="169">
        <v>9015907100</v>
      </c>
      <c r="C544" t="s">
        <v>944</v>
      </c>
      <c r="D544" s="170">
        <f>[1]!Table3[[#This Row],[Residential CLM $ Collected]]+[1]!Table3[[#This Row],[C&amp;I CLM $ Collected]]</f>
        <v>182464.03152600001</v>
      </c>
      <c r="E544" s="28">
        <f>[1]!Table3[[#This Row],[CLM $ Collected ]]/'[1]1.) CLM Reference'!$B$4</f>
        <v>1.9642932257832942E-3</v>
      </c>
      <c r="F544" s="170">
        <f>[1]!Table3[[#This Row],[Residential Incentive Disbursements]]+[1]!Table3[[#This Row],[C&amp;I Incentive Disbursements]]</f>
        <v>328050.31</v>
      </c>
      <c r="G544" s="28">
        <f>[1]!Table3[[#This Row],[Incentive Disbursements]]/'[1]1.) CLM Reference'!$B$5</f>
        <v>2.6339623087214222E-3</v>
      </c>
      <c r="H544" s="228">
        <v>118125.439341</v>
      </c>
      <c r="I544" s="28">
        <f>[1]!Table3[[#This Row],[Residential CLM $ Collected]]/'[1]1.) CLM Reference'!$B$4</f>
        <v>1.2716643294003863E-3</v>
      </c>
      <c r="J544" s="229">
        <v>178747.58</v>
      </c>
      <c r="K544" s="28">
        <f>[1]!Table3[[#This Row],[Residential Incentive Disbursements]]/'[1]1.) CLM Reference'!$B$5</f>
        <v>1.4351895856924114E-3</v>
      </c>
      <c r="L544" s="229">
        <v>64338.592185000001</v>
      </c>
      <c r="M544" s="28">
        <f>[1]!Table3[[#This Row],[C&amp;I CLM $ Collected]]/'[1]1.) CLM Reference'!$B$4</f>
        <v>6.9262889638290793E-4</v>
      </c>
      <c r="N544" s="229">
        <v>149302.73000000001</v>
      </c>
      <c r="O544" s="28">
        <f>[1]!Table3[[#This Row],[C&amp;I Incentive Disbursements]]/'[1]1.) CLM Reference'!$B$5</f>
        <v>1.1987727230290109E-3</v>
      </c>
      <c r="Q544">
        <f>VLOOKUP(Table3[[#This Row],[Census Tract]],'Population and Diversity Data'!$B$2:$K$823,10,FALSE)</f>
        <v>4</v>
      </c>
      <c r="R544" t="str">
        <f>VLOOKUP(Table3[[#This Row],[Census Tract]],'ES Energy Burden'!$B$2:$E$914,4,FALSE)</f>
        <v>No</v>
      </c>
    </row>
    <row r="545" spans="1:18" x14ac:dyDescent="0.2">
      <c r="A545" t="s">
        <v>2821</v>
      </c>
      <c r="B545" s="169">
        <v>9015907200</v>
      </c>
      <c r="C545" t="s">
        <v>944</v>
      </c>
      <c r="D545" s="170">
        <f>[1]!Table3[[#This Row],[Residential CLM $ Collected]]+[1]!Table3[[#This Row],[C&amp;I CLM $ Collected]]</f>
        <v>54276.186047999996</v>
      </c>
      <c r="E545" s="28">
        <f>[1]!Table3[[#This Row],[CLM $ Collected ]]/'[1]1.) CLM Reference'!$B$4</f>
        <v>5.8430334835744466E-4</v>
      </c>
      <c r="F545" s="170">
        <f>[1]!Table3[[#This Row],[Residential Incentive Disbursements]]+[1]!Table3[[#This Row],[C&amp;I Incentive Disbursements]]</f>
        <v>85040.21</v>
      </c>
      <c r="G545" s="28">
        <f>[1]!Table3[[#This Row],[Incentive Disbursements]]/'[1]1.) CLM Reference'!$B$5</f>
        <v>6.8279986647704917E-4</v>
      </c>
      <c r="H545" s="228">
        <v>54276.186047999996</v>
      </c>
      <c r="I545" s="28">
        <f>[1]!Table3[[#This Row],[Residential CLM $ Collected]]/'[1]1.) CLM Reference'!$B$4</f>
        <v>5.8430334835744466E-4</v>
      </c>
      <c r="J545" s="229">
        <v>85040.21</v>
      </c>
      <c r="K545" s="28">
        <f>[1]!Table3[[#This Row],[Residential Incentive Disbursements]]/'[1]1.) CLM Reference'!$B$5</f>
        <v>6.8279986647704917E-4</v>
      </c>
      <c r="L545" s="229">
        <v>0</v>
      </c>
      <c r="M545" s="28">
        <f>[1]!Table3[[#This Row],[C&amp;I CLM $ Collected]]/'[1]1.) CLM Reference'!$B$4</f>
        <v>0</v>
      </c>
      <c r="N545" s="229">
        <v>0</v>
      </c>
      <c r="O545" s="28">
        <f>[1]!Table3[[#This Row],[C&amp;I Incentive Disbursements]]/'[1]1.) CLM Reference'!$B$5</f>
        <v>0</v>
      </c>
      <c r="Q545">
        <f>VLOOKUP(Table3[[#This Row],[Census Tract]],'Population and Diversity Data'!$B$2:$K$823,10,FALSE)</f>
        <v>3</v>
      </c>
      <c r="R545" t="str">
        <f>VLOOKUP(Table3[[#This Row],[Census Tract]],'ES Energy Burden'!$B$2:$E$914,4,FALSE)</f>
        <v>No</v>
      </c>
    </row>
    <row r="546" spans="1:18" x14ac:dyDescent="0.2">
      <c r="A546" t="s">
        <v>2821</v>
      </c>
      <c r="B546" s="169">
        <v>9015907300</v>
      </c>
      <c r="C546" t="s">
        <v>944</v>
      </c>
      <c r="D546" s="170">
        <f>[1]!Table3[[#This Row],[Residential CLM $ Collected]]+[1]!Table3[[#This Row],[C&amp;I CLM $ Collected]]</f>
        <v>60815.317773000002</v>
      </c>
      <c r="E546" s="28">
        <f>[1]!Table3[[#This Row],[CLM $ Collected ]]/'[1]1.) CLM Reference'!$B$4</f>
        <v>6.5469953571830458E-4</v>
      </c>
      <c r="F546" s="170">
        <f>[1]!Table3[[#This Row],[Residential Incentive Disbursements]]+[1]!Table3[[#This Row],[C&amp;I Incentive Disbursements]]</f>
        <v>69144.09</v>
      </c>
      <c r="G546" s="28">
        <f>[1]!Table3[[#This Row],[Incentive Disbursements]]/'[1]1.) CLM Reference'!$B$5</f>
        <v>5.5516767208920424E-4</v>
      </c>
      <c r="H546" s="228">
        <v>60815.317773000002</v>
      </c>
      <c r="I546" s="28">
        <f>[1]!Table3[[#This Row],[Residential CLM $ Collected]]/'[1]1.) CLM Reference'!$B$4</f>
        <v>6.5469953571830458E-4</v>
      </c>
      <c r="J546" s="229">
        <v>69144.09</v>
      </c>
      <c r="K546" s="28">
        <f>[1]!Table3[[#This Row],[Residential Incentive Disbursements]]/'[1]1.) CLM Reference'!$B$5</f>
        <v>5.5516767208920424E-4</v>
      </c>
      <c r="L546" s="229">
        <v>0</v>
      </c>
      <c r="M546" s="28">
        <f>[1]!Table3[[#This Row],[C&amp;I CLM $ Collected]]/'[1]1.) CLM Reference'!$B$4</f>
        <v>0</v>
      </c>
      <c r="N546" s="229">
        <v>0</v>
      </c>
      <c r="O546" s="28">
        <f>[1]!Table3[[#This Row],[C&amp;I Incentive Disbursements]]/'[1]1.) CLM Reference'!$B$5</f>
        <v>0</v>
      </c>
      <c r="Q546">
        <f>VLOOKUP(Table3[[#This Row],[Census Tract]],'Population and Diversity Data'!$B$2:$K$823,10,FALSE)</f>
        <v>5</v>
      </c>
      <c r="R546" t="str">
        <f>VLOOKUP(Table3[[#This Row],[Census Tract]],'ES Energy Burden'!$B$2:$E$914,4,FALSE)</f>
        <v>No</v>
      </c>
    </row>
    <row r="547" spans="1:18" x14ac:dyDescent="0.2">
      <c r="A547" t="s">
        <v>2822</v>
      </c>
      <c r="B547" s="169">
        <v>9003405401</v>
      </c>
      <c r="C547" t="s">
        <v>944</v>
      </c>
      <c r="D547" s="170">
        <f>[1]!Table3[[#This Row],[Residential CLM $ Collected]]+[1]!Table3[[#This Row],[C&amp;I CLM $ Collected]]</f>
        <v>662.36688000000004</v>
      </c>
      <c r="E547" s="28">
        <f>[1]!Table3[[#This Row],[CLM $ Collected ]]/'[1]1.) CLM Reference'!$B$4</f>
        <v>7.1306260444093058E-6</v>
      </c>
      <c r="F547" s="170">
        <f>[1]!Table3[[#This Row],[Residential Incentive Disbursements]]+[1]!Table3[[#This Row],[C&amp;I Incentive Disbursements]]</f>
        <v>0</v>
      </c>
      <c r="G547" s="28">
        <f>[1]!Table3[[#This Row],[Incentive Disbursements]]/'[1]1.) CLM Reference'!$B$5</f>
        <v>0</v>
      </c>
      <c r="H547" s="228">
        <v>662.36688000000004</v>
      </c>
      <c r="I547" s="28">
        <f>[1]!Table3[[#This Row],[Residential CLM $ Collected]]/'[1]1.) CLM Reference'!$B$4</f>
        <v>7.1306260444093058E-6</v>
      </c>
      <c r="J547" s="229">
        <v>0</v>
      </c>
      <c r="K547" s="28">
        <f>[1]!Table3[[#This Row],[Residential Incentive Disbursements]]/'[1]1.) CLM Reference'!$B$5</f>
        <v>0</v>
      </c>
      <c r="L547" s="229">
        <v>0</v>
      </c>
      <c r="M547" s="28">
        <f>[1]!Table3[[#This Row],[C&amp;I CLM $ Collected]]/'[1]1.) CLM Reference'!$B$4</f>
        <v>0</v>
      </c>
      <c r="N547" s="229">
        <v>0</v>
      </c>
      <c r="O547" s="28">
        <f>[1]!Table3[[#This Row],[C&amp;I Incentive Disbursements]]/'[1]1.) CLM Reference'!$B$5</f>
        <v>0</v>
      </c>
      <c r="Q547">
        <f>VLOOKUP(Table3[[#This Row],[Census Tract]],'Population and Diversity Data'!$B$2:$K$823,10,FALSE)</f>
        <v>4</v>
      </c>
      <c r="R547" t="str">
        <f>VLOOKUP(Table3[[#This Row],[Census Tract]],'ES Energy Burden'!$B$2:$E$914,4,FALSE)</f>
        <v>No</v>
      </c>
    </row>
    <row r="548" spans="1:18" x14ac:dyDescent="0.2">
      <c r="A548" t="s">
        <v>2822</v>
      </c>
      <c r="B548" s="169">
        <v>9003420400</v>
      </c>
      <c r="C548" t="s">
        <v>944</v>
      </c>
      <c r="D548" s="170">
        <f>[1]!Table3[[#This Row],[Residential CLM $ Collected]]+[1]!Table3[[#This Row],[C&amp;I CLM $ Collected]]</f>
        <v>35687.456258999999</v>
      </c>
      <c r="E548" s="28">
        <f>[1]!Table3[[#This Row],[CLM $ Collected ]]/'[1]1.) CLM Reference'!$B$4</f>
        <v>3.8418875209935506E-4</v>
      </c>
      <c r="F548" s="170">
        <f>[1]!Table3[[#This Row],[Residential Incentive Disbursements]]+[1]!Table3[[#This Row],[C&amp;I Incentive Disbursements]]</f>
        <v>40212.58</v>
      </c>
      <c r="G548" s="28">
        <f>[1]!Table3[[#This Row],[Incentive Disbursements]]/'[1]1.) CLM Reference'!$B$5</f>
        <v>3.2287248884613125E-4</v>
      </c>
      <c r="H548" s="228">
        <v>35687.456258999999</v>
      </c>
      <c r="I548" s="28">
        <f>[1]!Table3[[#This Row],[Residential CLM $ Collected]]/'[1]1.) CLM Reference'!$B$4</f>
        <v>3.8418875209935506E-4</v>
      </c>
      <c r="J548" s="229">
        <v>40212.58</v>
      </c>
      <c r="K548" s="28">
        <f>[1]!Table3[[#This Row],[Residential Incentive Disbursements]]/'[1]1.) CLM Reference'!$B$5</f>
        <v>3.2287248884613125E-4</v>
      </c>
      <c r="L548" s="229">
        <v>0</v>
      </c>
      <c r="M548" s="28">
        <f>[1]!Table3[[#This Row],[C&amp;I CLM $ Collected]]/'[1]1.) CLM Reference'!$B$4</f>
        <v>0</v>
      </c>
      <c r="N548" s="229">
        <v>0</v>
      </c>
      <c r="O548" s="28">
        <f>[1]!Table3[[#This Row],[C&amp;I Incentive Disbursements]]/'[1]1.) CLM Reference'!$B$5</f>
        <v>0</v>
      </c>
      <c r="Q548">
        <f>VLOOKUP(Table3[[#This Row],[Census Tract]],'Population and Diversity Data'!$B$2:$K$823,10,FALSE)</f>
        <v>4</v>
      </c>
      <c r="R548" t="str">
        <f>VLOOKUP(Table3[[#This Row],[Census Tract]],'ES Energy Burden'!$B$2:$E$914,4,FALSE)</f>
        <v>No</v>
      </c>
    </row>
    <row r="549" spans="1:18" x14ac:dyDescent="0.2">
      <c r="A549" t="s">
        <v>2822</v>
      </c>
      <c r="B549" s="169">
        <v>9003420500</v>
      </c>
      <c r="C549" t="s">
        <v>944</v>
      </c>
      <c r="D549" s="170">
        <f>[1]!Table3[[#This Row],[Residential CLM $ Collected]]+[1]!Table3[[#This Row],[C&amp;I CLM $ Collected]]</f>
        <v>56414.140145999998</v>
      </c>
      <c r="E549" s="28">
        <f>[1]!Table3[[#This Row],[CLM $ Collected ]]/'[1]1.) CLM Reference'!$B$4</f>
        <v>6.0731922012469011E-4</v>
      </c>
      <c r="F549" s="170">
        <f>[1]!Table3[[#This Row],[Residential Incentive Disbursements]]+[1]!Table3[[#This Row],[C&amp;I Incentive Disbursements]]</f>
        <v>124645.66</v>
      </c>
      <c r="G549" s="28">
        <f>[1]!Table3[[#This Row],[Incentive Disbursements]]/'[1]1.) CLM Reference'!$B$5</f>
        <v>1.0007976227356878E-3</v>
      </c>
      <c r="H549" s="228">
        <v>56413.975925999999</v>
      </c>
      <c r="I549" s="28">
        <f>[1]!Table3[[#This Row],[Residential CLM $ Collected]]/'[1]1.) CLM Reference'!$B$4</f>
        <v>6.0731745223525544E-4</v>
      </c>
      <c r="J549" s="229">
        <v>124645.66</v>
      </c>
      <c r="K549" s="28">
        <f>[1]!Table3[[#This Row],[Residential Incentive Disbursements]]/'[1]1.) CLM Reference'!$B$5</f>
        <v>1.0007976227356878E-3</v>
      </c>
      <c r="L549" s="229">
        <v>0.16422</v>
      </c>
      <c r="M549" s="28">
        <f>[1]!Table3[[#This Row],[C&amp;I CLM $ Collected]]/'[1]1.) CLM Reference'!$B$4</f>
        <v>1.7678894346482061E-9</v>
      </c>
      <c r="N549" s="229">
        <v>0</v>
      </c>
      <c r="O549" s="28">
        <f>[1]!Table3[[#This Row],[C&amp;I Incentive Disbursements]]/'[1]1.) CLM Reference'!$B$5</f>
        <v>0</v>
      </c>
      <c r="Q549">
        <f>VLOOKUP(Table3[[#This Row],[Census Tract]],'Population and Diversity Data'!$B$2:$K$823,10,FALSE)</f>
        <v>4</v>
      </c>
      <c r="R549" t="str">
        <f>VLOOKUP(Table3[[#This Row],[Census Tract]],'ES Energy Burden'!$B$2:$E$914,4,FALSE)</f>
        <v>No</v>
      </c>
    </row>
    <row r="550" spans="1:18" x14ac:dyDescent="0.2">
      <c r="A550" t="s">
        <v>2822</v>
      </c>
      <c r="B550" s="169">
        <v>9003420600</v>
      </c>
      <c r="C550" t="s">
        <v>944</v>
      </c>
      <c r="D550" s="170">
        <f>[1]!Table3[[#This Row],[Residential CLM $ Collected]]+[1]!Table3[[#This Row],[C&amp;I CLM $ Collected]]</f>
        <v>276486.33828899998</v>
      </c>
      <c r="E550" s="28">
        <f>[1]!Table3[[#This Row],[CLM $ Collected ]]/'[1]1.) CLM Reference'!$B$4</f>
        <v>2.9764783600395375E-3</v>
      </c>
      <c r="F550" s="170">
        <f>[1]!Table3[[#This Row],[Residential Incentive Disbursements]]+[1]!Table3[[#This Row],[C&amp;I Incentive Disbursements]]</f>
        <v>325326.125</v>
      </c>
      <c r="G550" s="28">
        <f>[1]!Table3[[#This Row],[Incentive Disbursements]]/'[1]1.) CLM Reference'!$B$5</f>
        <v>2.6120894422943662E-3</v>
      </c>
      <c r="H550" s="228">
        <v>149006.447163</v>
      </c>
      <c r="I550" s="28">
        <f>[1]!Table3[[#This Row],[Residential CLM $ Collected]]/'[1]1.) CLM Reference'!$B$4</f>
        <v>1.6041098747651558E-3</v>
      </c>
      <c r="J550" s="229">
        <v>275245.35499999998</v>
      </c>
      <c r="K550" s="28">
        <f>[1]!Table3[[#This Row],[Residential Incentive Disbursements]]/'[1]1.) CLM Reference'!$B$5</f>
        <v>2.20998386107499E-3</v>
      </c>
      <c r="L550" s="229">
        <v>127479.891126</v>
      </c>
      <c r="M550" s="28">
        <f>[1]!Table3[[#This Row],[C&amp;I CLM $ Collected]]/'[1]1.) CLM Reference'!$B$4</f>
        <v>1.372368485274382E-3</v>
      </c>
      <c r="N550" s="229">
        <v>50080.77</v>
      </c>
      <c r="O550" s="28">
        <f>[1]!Table3[[#This Row],[C&amp;I Incentive Disbursements]]/'[1]1.) CLM Reference'!$B$5</f>
        <v>4.0210558121937616E-4</v>
      </c>
      <c r="Q550">
        <f>VLOOKUP(Table3[[#This Row],[Census Tract]],'Population and Diversity Data'!$B$2:$K$823,10,FALSE)</f>
        <v>3</v>
      </c>
      <c r="R550" t="str">
        <f>VLOOKUP(Table3[[#This Row],[Census Tract]],'ES Energy Burden'!$B$2:$E$914,4,FALSE)</f>
        <v>No</v>
      </c>
    </row>
    <row r="551" spans="1:18" x14ac:dyDescent="0.2">
      <c r="A551" t="s">
        <v>2822</v>
      </c>
      <c r="B551" s="169">
        <v>9003420700</v>
      </c>
      <c r="C551" t="s">
        <v>944</v>
      </c>
      <c r="D551" s="170">
        <f>[1]!Table3[[#This Row],[Residential CLM $ Collected]]+[1]!Table3[[#This Row],[C&amp;I CLM $ Collected]]</f>
        <v>40227.401234999998</v>
      </c>
      <c r="E551" s="28">
        <f>[1]!Table3[[#This Row],[CLM $ Collected ]]/'[1]1.) CLM Reference'!$B$4</f>
        <v>4.3306294986427166E-4</v>
      </c>
      <c r="F551" s="170">
        <f>[1]!Table3[[#This Row],[Residential Incentive Disbursements]]+[1]!Table3[[#This Row],[C&amp;I Incentive Disbursements]]</f>
        <v>42437.39</v>
      </c>
      <c r="G551" s="28">
        <f>[1]!Table3[[#This Row],[Incentive Disbursements]]/'[1]1.) CLM Reference'!$B$5</f>
        <v>3.4073580281180466E-4</v>
      </c>
      <c r="H551" s="228">
        <v>40227.401234999998</v>
      </c>
      <c r="I551" s="28">
        <f>[1]!Table3[[#This Row],[Residential CLM $ Collected]]/'[1]1.) CLM Reference'!$B$4</f>
        <v>4.3306294986427166E-4</v>
      </c>
      <c r="J551" s="229">
        <v>42437.39</v>
      </c>
      <c r="K551" s="28">
        <f>[1]!Table3[[#This Row],[Residential Incentive Disbursements]]/'[1]1.) CLM Reference'!$B$5</f>
        <v>3.4073580281180466E-4</v>
      </c>
      <c r="L551" s="229">
        <v>0</v>
      </c>
      <c r="M551" s="28">
        <f>[1]!Table3[[#This Row],[C&amp;I CLM $ Collected]]/'[1]1.) CLM Reference'!$B$4</f>
        <v>0</v>
      </c>
      <c r="N551" s="229">
        <v>0</v>
      </c>
      <c r="O551" s="28">
        <f>[1]!Table3[[#This Row],[C&amp;I Incentive Disbursements]]/'[1]1.) CLM Reference'!$B$5</f>
        <v>0</v>
      </c>
      <c r="Q551">
        <f>VLOOKUP(Table3[[#This Row],[Census Tract]],'Population and Diversity Data'!$B$2:$K$823,10,FALSE)</f>
        <v>1</v>
      </c>
      <c r="R551" t="str">
        <f>VLOOKUP(Table3[[#This Row],[Census Tract]],'ES Energy Burden'!$B$2:$E$914,4,FALSE)</f>
        <v>No</v>
      </c>
    </row>
    <row r="552" spans="1:18" x14ac:dyDescent="0.2">
      <c r="A552" t="s">
        <v>2823</v>
      </c>
      <c r="B552" s="169">
        <v>9005349200</v>
      </c>
      <c r="C552" t="s">
        <v>944</v>
      </c>
      <c r="D552" s="170">
        <f>[1]!Table3[[#This Row],[Residential CLM $ Collected]]+[1]!Table3[[#This Row],[C&amp;I CLM $ Collected]]</f>
        <v>63.59178</v>
      </c>
      <c r="E552" s="28">
        <f>[1]!Table3[[#This Row],[CLM $ Collected ]]/'[1]1.) CLM Reference'!$B$4</f>
        <v>6.8458918519347887E-7</v>
      </c>
      <c r="F552" s="170">
        <f>[1]!Table3[[#This Row],[Residential Incentive Disbursements]]+[1]!Table3[[#This Row],[C&amp;I Incentive Disbursements]]</f>
        <v>17038.25</v>
      </c>
      <c r="G552" s="28">
        <f>[1]!Table3[[#This Row],[Incentive Disbursements]]/'[1]1.) CLM Reference'!$B$5</f>
        <v>1.3680251759729407E-4</v>
      </c>
      <c r="H552" s="228">
        <v>63.59178</v>
      </c>
      <c r="I552" s="28">
        <f>[1]!Table3[[#This Row],[Residential CLM $ Collected]]/'[1]1.) CLM Reference'!$B$4</f>
        <v>6.8458918519347887E-7</v>
      </c>
      <c r="J552" s="229">
        <v>17038.25</v>
      </c>
      <c r="K552" s="28">
        <f>[1]!Table3[[#This Row],[Residential Incentive Disbursements]]/'[1]1.) CLM Reference'!$B$5</f>
        <v>1.3680251759729407E-4</v>
      </c>
      <c r="L552" s="229">
        <v>0</v>
      </c>
      <c r="M552" s="28">
        <f>[1]!Table3[[#This Row],[C&amp;I CLM $ Collected]]/'[1]1.) CLM Reference'!$B$4</f>
        <v>0</v>
      </c>
      <c r="N552" s="229">
        <v>0</v>
      </c>
      <c r="O552" s="28">
        <f>[1]!Table3[[#This Row],[C&amp;I Incentive Disbursements]]/'[1]1.) CLM Reference'!$B$5</f>
        <v>0</v>
      </c>
      <c r="Q552">
        <f>VLOOKUP(Table3[[#This Row],[Census Tract]],'Population and Diversity Data'!$B$2:$K$823,10,FALSE)</f>
        <v>1</v>
      </c>
      <c r="R552" t="str">
        <f>VLOOKUP(Table3[[#This Row],[Census Tract]],'ES Energy Burden'!$B$2:$E$914,4,FALSE)</f>
        <v>No</v>
      </c>
    </row>
    <row r="553" spans="1:18" x14ac:dyDescent="0.2">
      <c r="A553" t="s">
        <v>2823</v>
      </c>
      <c r="B553" s="169">
        <v>9005425300</v>
      </c>
      <c r="C553" t="s">
        <v>944</v>
      </c>
      <c r="D553" s="170">
        <f>[1]!Table3[[#This Row],[Residential CLM $ Collected]]+[1]!Table3[[#This Row],[C&amp;I CLM $ Collected]]</f>
        <v>161307.43803299998</v>
      </c>
      <c r="E553" s="28">
        <f>[1]!Table3[[#This Row],[CLM $ Collected ]]/'[1]1.) CLM Reference'!$B$4</f>
        <v>1.7365346208056927E-3</v>
      </c>
      <c r="F553" s="170">
        <f>[1]!Table3[[#This Row],[Residential Incentive Disbursements]]+[1]!Table3[[#This Row],[C&amp;I Incentive Disbursements]]</f>
        <v>188385.17</v>
      </c>
      <c r="G553" s="28">
        <f>[1]!Table3[[#This Row],[Incentive Disbursements]]/'[1]1.) CLM Reference'!$B$5</f>
        <v>1.5125711580704728E-3</v>
      </c>
      <c r="H553" s="228">
        <v>108070.297041</v>
      </c>
      <c r="I553" s="28">
        <f>[1]!Table3[[#This Row],[Residential CLM $ Collected]]/'[1]1.) CLM Reference'!$B$4</f>
        <v>1.1634169792843574E-3</v>
      </c>
      <c r="J553" s="229">
        <v>124211.66</v>
      </c>
      <c r="K553" s="28">
        <f>[1]!Table3[[#This Row],[Residential Incentive Disbursements]]/'[1]1.) CLM Reference'!$B$5</f>
        <v>9.9731297539002589E-4</v>
      </c>
      <c r="L553" s="229">
        <v>53237.140992000001</v>
      </c>
      <c r="M553" s="28">
        <f>[1]!Table3[[#This Row],[C&amp;I CLM $ Collected]]/'[1]1.) CLM Reference'!$B$4</f>
        <v>5.7311764152133556E-4</v>
      </c>
      <c r="N553" s="229">
        <v>64173.51</v>
      </c>
      <c r="O553" s="28">
        <f>[1]!Table3[[#This Row],[C&amp;I Incentive Disbursements]]/'[1]1.) CLM Reference'!$B$5</f>
        <v>5.1525818268044704E-4</v>
      </c>
      <c r="Q553">
        <f>VLOOKUP(Table3[[#This Row],[Census Tract]],'Population and Diversity Data'!$B$2:$K$823,10,FALSE)</f>
        <v>1</v>
      </c>
      <c r="R553" t="str">
        <f>VLOOKUP(Table3[[#This Row],[Census Tract]],'ES Energy Burden'!$B$2:$E$914,4,FALSE)</f>
        <v>No</v>
      </c>
    </row>
    <row r="554" spans="1:18" x14ac:dyDescent="0.2">
      <c r="A554" t="s">
        <v>2823</v>
      </c>
      <c r="B554" s="169">
        <v>9005425400</v>
      </c>
      <c r="C554" t="s">
        <v>944</v>
      </c>
      <c r="D554" s="170">
        <f>[1]!Table3[[#This Row],[Residential CLM $ Collected]]+[1]!Table3[[#This Row],[C&amp;I CLM $ Collected]]</f>
        <v>61133.092167000003</v>
      </c>
      <c r="E554" s="28">
        <f>[1]!Table3[[#This Row],[CLM $ Collected ]]/'[1]1.) CLM Reference'!$B$4</f>
        <v>6.5812049536849535E-4</v>
      </c>
      <c r="F554" s="170">
        <f>[1]!Table3[[#This Row],[Residential Incentive Disbursements]]+[1]!Table3[[#This Row],[C&amp;I Incentive Disbursements]]</f>
        <v>43027.99</v>
      </c>
      <c r="G554" s="28">
        <f>[1]!Table3[[#This Row],[Incentive Disbursements]]/'[1]1.) CLM Reference'!$B$5</f>
        <v>3.4547781369279079E-4</v>
      </c>
      <c r="H554" s="228">
        <v>61133.092167000003</v>
      </c>
      <c r="I554" s="28">
        <f>[1]!Table3[[#This Row],[Residential CLM $ Collected]]/'[1]1.) CLM Reference'!$B$4</f>
        <v>6.5812049536849535E-4</v>
      </c>
      <c r="J554" s="229">
        <v>43027.99</v>
      </c>
      <c r="K554" s="28">
        <f>[1]!Table3[[#This Row],[Residential Incentive Disbursements]]/'[1]1.) CLM Reference'!$B$5</f>
        <v>3.4547781369279079E-4</v>
      </c>
      <c r="L554" s="229">
        <v>0</v>
      </c>
      <c r="M554" s="28">
        <f>[1]!Table3[[#This Row],[C&amp;I CLM $ Collected]]/'[1]1.) CLM Reference'!$B$4</f>
        <v>0</v>
      </c>
      <c r="N554" s="229">
        <v>0</v>
      </c>
      <c r="O554" s="28">
        <f>[1]!Table3[[#This Row],[C&amp;I Incentive Disbursements]]/'[1]1.) CLM Reference'!$B$5</f>
        <v>0</v>
      </c>
      <c r="Q554">
        <f>VLOOKUP(Table3[[#This Row],[Census Tract]],'Population and Diversity Data'!$B$2:$K$823,10,FALSE)</f>
        <v>2</v>
      </c>
      <c r="R554" t="str">
        <f>VLOOKUP(Table3[[#This Row],[Census Tract]],'ES Energy Burden'!$B$2:$E$914,4,FALSE)</f>
        <v>No</v>
      </c>
    </row>
    <row r="555" spans="1:18" x14ac:dyDescent="0.2">
      <c r="A555" t="s">
        <v>2823</v>
      </c>
      <c r="B555" s="169">
        <v>9005425500</v>
      </c>
      <c r="C555" t="s">
        <v>944</v>
      </c>
      <c r="D555" s="170">
        <f>[1]!Table3[[#This Row],[Residential CLM $ Collected]]+[1]!Table3[[#This Row],[C&amp;I CLM $ Collected]]</f>
        <v>33257.810250000002</v>
      </c>
      <c r="E555" s="28">
        <f>[1]!Table3[[#This Row],[CLM $ Collected ]]/'[1]1.) CLM Reference'!$B$4</f>
        <v>3.5803270832121433E-4</v>
      </c>
      <c r="F555" s="170">
        <f>[1]!Table3[[#This Row],[Residential Incentive Disbursements]]+[1]!Table3[[#This Row],[C&amp;I Incentive Disbursements]]</f>
        <v>14886.14</v>
      </c>
      <c r="G555" s="28">
        <f>[1]!Table3[[#This Row],[Incentive Disbursements]]/'[1]1.) CLM Reference'!$B$5</f>
        <v>1.1952292220772574E-4</v>
      </c>
      <c r="H555" s="228">
        <v>33257.810250000002</v>
      </c>
      <c r="I555" s="28">
        <f>[1]!Table3[[#This Row],[Residential CLM $ Collected]]/'[1]1.) CLM Reference'!$B$4</f>
        <v>3.5803270832121433E-4</v>
      </c>
      <c r="J555" s="229">
        <v>14886.14</v>
      </c>
      <c r="K555" s="28">
        <f>[1]!Table3[[#This Row],[Residential Incentive Disbursements]]/'[1]1.) CLM Reference'!$B$5</f>
        <v>1.1952292220772574E-4</v>
      </c>
      <c r="L555" s="229">
        <v>0</v>
      </c>
      <c r="M555" s="28">
        <f>[1]!Table3[[#This Row],[C&amp;I CLM $ Collected]]/'[1]1.) CLM Reference'!$B$4</f>
        <v>0</v>
      </c>
      <c r="N555" s="229">
        <v>0</v>
      </c>
      <c r="O555" s="28">
        <f>[1]!Table3[[#This Row],[C&amp;I Incentive Disbursements]]/'[1]1.) CLM Reference'!$B$5</f>
        <v>0</v>
      </c>
      <c r="Q555">
        <f>VLOOKUP(Table3[[#This Row],[Census Tract]],'Population and Diversity Data'!$B$2:$K$823,10,FALSE)</f>
        <v>3</v>
      </c>
      <c r="R555" t="str">
        <f>VLOOKUP(Table3[[#This Row],[Census Tract]],'ES Energy Burden'!$B$2:$E$914,4,FALSE)</f>
        <v>No</v>
      </c>
    </row>
    <row r="556" spans="1:18" x14ac:dyDescent="0.2">
      <c r="A556" t="s">
        <v>2824</v>
      </c>
      <c r="B556" s="169">
        <v>9015901100</v>
      </c>
      <c r="C556" t="s">
        <v>944</v>
      </c>
      <c r="D556" s="170">
        <f>[1]!Table3[[#This Row],[Residential CLM $ Collected]]+[1]!Table3[[#This Row],[C&amp;I CLM $ Collected]]</f>
        <v>95.189639999999997</v>
      </c>
      <c r="E556" s="28">
        <f>[1]!Table3[[#This Row],[CLM $ Collected ]]/'[1]1.) CLM Reference'!$B$4</f>
        <v>1.0247519111190249E-6</v>
      </c>
      <c r="F556" s="170">
        <f>[1]!Table3[[#This Row],[Residential Incentive Disbursements]]+[1]!Table3[[#This Row],[C&amp;I Incentive Disbursements]]</f>
        <v>11144.51</v>
      </c>
      <c r="G556" s="28">
        <f>[1]!Table3[[#This Row],[Incentive Disbursements]]/'[1]1.) CLM Reference'!$B$5</f>
        <v>8.9480846060377076E-5</v>
      </c>
      <c r="H556" s="228">
        <v>95.189639999999997</v>
      </c>
      <c r="I556" s="28">
        <f>[1]!Table3[[#This Row],[Residential CLM $ Collected]]/'[1]1.) CLM Reference'!$B$4</f>
        <v>1.0247519111190249E-6</v>
      </c>
      <c r="J556" s="229">
        <v>11144.51</v>
      </c>
      <c r="K556" s="28">
        <f>[1]!Table3[[#This Row],[Residential Incentive Disbursements]]/'[1]1.) CLM Reference'!$B$5</f>
        <v>8.9480846060377076E-5</v>
      </c>
      <c r="L556" s="229">
        <v>0</v>
      </c>
      <c r="M556" s="28">
        <f>[1]!Table3[[#This Row],[C&amp;I CLM $ Collected]]/'[1]1.) CLM Reference'!$B$4</f>
        <v>0</v>
      </c>
      <c r="N556" s="229">
        <v>0</v>
      </c>
      <c r="O556" s="28">
        <f>[1]!Table3[[#This Row],[C&amp;I Incentive Disbursements]]/'[1]1.) CLM Reference'!$B$5</f>
        <v>0</v>
      </c>
      <c r="Q556">
        <f>VLOOKUP(Table3[[#This Row],[Census Tract]],'Population and Diversity Data'!$B$2:$K$823,10,FALSE)</f>
        <v>1</v>
      </c>
      <c r="R556" t="str">
        <f>VLOOKUP(Table3[[#This Row],[Census Tract]],'ES Energy Burden'!$B$2:$E$914,4,FALSE)</f>
        <v>No</v>
      </c>
    </row>
    <row r="557" spans="1:18" x14ac:dyDescent="0.2">
      <c r="A557" t="s">
        <v>2824</v>
      </c>
      <c r="B557" s="169">
        <v>9015902500</v>
      </c>
      <c r="C557" t="s">
        <v>944</v>
      </c>
      <c r="D557" s="170">
        <f>[1]!Table3[[#This Row],[Residential CLM $ Collected]]+[1]!Table3[[#This Row],[C&amp;I CLM $ Collected]]</f>
        <v>87551.258235000001</v>
      </c>
      <c r="E557" s="28">
        <f>[1]!Table3[[#This Row],[CLM $ Collected ]]/'[1]1.) CLM Reference'!$B$4</f>
        <v>9.425218878566146E-4</v>
      </c>
      <c r="F557" s="170">
        <f>[1]!Table3[[#This Row],[Residential Incentive Disbursements]]+[1]!Table3[[#This Row],[C&amp;I Incentive Disbursements]]</f>
        <v>109095.565</v>
      </c>
      <c r="G557" s="28">
        <f>[1]!Table3[[#This Row],[Incentive Disbursements]]/'[1]1.) CLM Reference'!$B$5</f>
        <v>8.759437119832869E-4</v>
      </c>
      <c r="H557" s="228">
        <v>67551.353625000003</v>
      </c>
      <c r="I557" s="28">
        <f>[1]!Table3[[#This Row],[Residential CLM $ Collected]]/'[1]1.) CLM Reference'!$B$4</f>
        <v>7.2721546930838081E-4</v>
      </c>
      <c r="J557" s="229">
        <v>48692.565000000002</v>
      </c>
      <c r="K557" s="28">
        <f>[1]!Table3[[#This Row],[Residential Incentive Disbursements]]/'[1]1.) CLM Reference'!$B$5</f>
        <v>3.909594870523607E-4</v>
      </c>
      <c r="L557" s="229">
        <v>19999.904610000001</v>
      </c>
      <c r="M557" s="28">
        <f>[1]!Table3[[#This Row],[C&amp;I CLM $ Collected]]/'[1]1.) CLM Reference'!$B$4</f>
        <v>2.1530641854823379E-4</v>
      </c>
      <c r="N557" s="229">
        <v>60403</v>
      </c>
      <c r="O557" s="28">
        <f>[1]!Table3[[#This Row],[C&amp;I Incentive Disbursements]]/'[1]1.) CLM Reference'!$B$5</f>
        <v>4.849842249309262E-4</v>
      </c>
      <c r="Q557">
        <f>VLOOKUP(Table3[[#This Row],[Census Tract]],'Population and Diversity Data'!$B$2:$K$823,10,FALSE)</f>
        <v>2</v>
      </c>
      <c r="R557" t="str">
        <f>VLOOKUP(Table3[[#This Row],[Census Tract]],'ES Energy Burden'!$B$2:$E$914,4,FALSE)</f>
        <v>No</v>
      </c>
    </row>
    <row r="558" spans="1:18" x14ac:dyDescent="0.2">
      <c r="A558" t="s">
        <v>2824</v>
      </c>
      <c r="B558" s="169">
        <v>9015905100</v>
      </c>
      <c r="C558" t="s">
        <v>944</v>
      </c>
      <c r="D558" s="170">
        <f>[1]!Table3[[#This Row],[Residential CLM $ Collected]]+[1]!Table3[[#This Row],[C&amp;I CLM $ Collected]]</f>
        <v>500.39766000000003</v>
      </c>
      <c r="E558" s="28">
        <f>[1]!Table3[[#This Row],[CLM $ Collected ]]/'[1]1.) CLM Reference'!$B$4</f>
        <v>5.3869670943653962E-6</v>
      </c>
      <c r="F558" s="170">
        <f>[1]!Table3[[#This Row],[Residential Incentive Disbursements]]+[1]!Table3[[#This Row],[C&amp;I Incentive Disbursements]]</f>
        <v>0</v>
      </c>
      <c r="G558" s="28">
        <f>[1]!Table3[[#This Row],[Incentive Disbursements]]/'[1]1.) CLM Reference'!$B$5</f>
        <v>0</v>
      </c>
      <c r="H558" s="228">
        <v>500.39766000000003</v>
      </c>
      <c r="I558" s="28">
        <f>[1]!Table3[[#This Row],[Residential CLM $ Collected]]/'[1]1.) CLM Reference'!$B$4</f>
        <v>5.3869670943653962E-6</v>
      </c>
      <c r="J558" s="229">
        <v>0</v>
      </c>
      <c r="K558" s="28">
        <f>[1]!Table3[[#This Row],[Residential Incentive Disbursements]]/'[1]1.) CLM Reference'!$B$5</f>
        <v>0</v>
      </c>
      <c r="L558" s="229">
        <v>0</v>
      </c>
      <c r="M558" s="28">
        <f>[1]!Table3[[#This Row],[C&amp;I CLM $ Collected]]/'[1]1.) CLM Reference'!$B$4</f>
        <v>0</v>
      </c>
      <c r="N558" s="229">
        <v>0</v>
      </c>
      <c r="O558" s="28">
        <f>[1]!Table3[[#This Row],[C&amp;I Incentive Disbursements]]/'[1]1.) CLM Reference'!$B$5</f>
        <v>0</v>
      </c>
      <c r="Q558">
        <f>VLOOKUP(Table3[[#This Row],[Census Tract]],'Population and Diversity Data'!$B$2:$K$823,10,FALSE)</f>
        <v>4</v>
      </c>
      <c r="R558" t="str">
        <f>VLOOKUP(Table3[[#This Row],[Census Tract]],'ES Energy Burden'!$B$2:$E$914,4,FALSE)</f>
        <v>No</v>
      </c>
    </row>
    <row r="559" spans="1:18" x14ac:dyDescent="0.2">
      <c r="A559" t="s">
        <v>2825</v>
      </c>
      <c r="B559" s="169">
        <v>9007560100</v>
      </c>
      <c r="C559" t="s">
        <v>944</v>
      </c>
      <c r="D559" s="170">
        <f>[1]!Table3[[#This Row],[Residential CLM $ Collected]]+[1]!Table3[[#This Row],[C&amp;I CLM $ Collected]]</f>
        <v>71395.951515000008</v>
      </c>
      <c r="E559" s="28">
        <f>[1]!Table3[[#This Row],[CLM $ Collected ]]/'[1]1.) CLM Reference'!$B$4</f>
        <v>7.6860399683366279E-4</v>
      </c>
      <c r="F559" s="170">
        <f>[1]!Table3[[#This Row],[Residential Incentive Disbursements]]+[1]!Table3[[#This Row],[C&amp;I Incentive Disbursements]]</f>
        <v>80971.360000000001</v>
      </c>
      <c r="G559" s="28">
        <f>[1]!Table3[[#This Row],[Incentive Disbursements]]/'[1]1.) CLM Reference'!$B$5</f>
        <v>6.5013049469733286E-4</v>
      </c>
      <c r="H559" s="228">
        <v>71395.951515000008</v>
      </c>
      <c r="I559" s="28">
        <f>[1]!Table3[[#This Row],[Residential CLM $ Collected]]/'[1]1.) CLM Reference'!$B$4</f>
        <v>7.6860399683366279E-4</v>
      </c>
      <c r="J559" s="229">
        <v>80971.360000000001</v>
      </c>
      <c r="K559" s="28">
        <f>[1]!Table3[[#This Row],[Residential Incentive Disbursements]]/'[1]1.) CLM Reference'!$B$5</f>
        <v>6.5013049469733286E-4</v>
      </c>
      <c r="L559" s="229">
        <v>0</v>
      </c>
      <c r="M559" s="28">
        <f>[1]!Table3[[#This Row],[C&amp;I CLM $ Collected]]/'[1]1.) CLM Reference'!$B$4</f>
        <v>0</v>
      </c>
      <c r="N559" s="229">
        <v>0</v>
      </c>
      <c r="O559" s="28">
        <f>[1]!Table3[[#This Row],[C&amp;I Incentive Disbursements]]/'[1]1.) CLM Reference'!$B$5</f>
        <v>0</v>
      </c>
      <c r="Q559">
        <f>VLOOKUP(Table3[[#This Row],[Census Tract]],'Population and Diversity Data'!$B$2:$K$823,10,FALSE)</f>
        <v>1</v>
      </c>
      <c r="R559" t="str">
        <f>VLOOKUP(Table3[[#This Row],[Census Tract]],'ES Energy Burden'!$B$2:$E$914,4,FALSE)</f>
        <v>No</v>
      </c>
    </row>
    <row r="560" spans="1:18" x14ac:dyDescent="0.2">
      <c r="A560" t="s">
        <v>2825</v>
      </c>
      <c r="B560" s="169">
        <v>9007560200</v>
      </c>
      <c r="C560" t="s">
        <v>936</v>
      </c>
      <c r="D560" s="170">
        <f>[1]!Table3[[#This Row],[Residential CLM $ Collected]]+[1]!Table3[[#This Row],[C&amp;I CLM $ Collected]]</f>
        <v>138603.56852999999</v>
      </c>
      <c r="E560" s="28">
        <f>[1]!Table3[[#This Row],[CLM $ Collected ]]/'[1]1.) CLM Reference'!$B$4</f>
        <v>1.4921190135715843E-3</v>
      </c>
      <c r="F560" s="170">
        <f>[1]!Table3[[#This Row],[Residential Incentive Disbursements]]+[1]!Table3[[#This Row],[C&amp;I Incentive Disbursements]]</f>
        <v>281638.04499999998</v>
      </c>
      <c r="G560" s="28">
        <f>[1]!Table3[[#This Row],[Incentive Disbursements]]/'[1]1.) CLM Reference'!$B$5</f>
        <v>2.2613116726882157E-3</v>
      </c>
      <c r="H560" s="228">
        <v>84395.686409999995</v>
      </c>
      <c r="I560" s="28">
        <f>[1]!Table3[[#This Row],[Residential CLM $ Collected]]/'[1]1.) CLM Reference'!$B$4</f>
        <v>9.0855098242675794E-4</v>
      </c>
      <c r="J560" s="229">
        <v>167508.58499999999</v>
      </c>
      <c r="K560" s="28">
        <f>[1]!Table3[[#This Row],[Residential Incentive Disbursements]]/'[1]1.) CLM Reference'!$B$5</f>
        <v>1.3449501062116312E-3</v>
      </c>
      <c r="L560" s="229">
        <v>54207.882120000002</v>
      </c>
      <c r="M560" s="28">
        <f>[1]!Table3[[#This Row],[C&amp;I CLM $ Collected]]/'[1]1.) CLM Reference'!$B$4</f>
        <v>5.8356803114482643E-4</v>
      </c>
      <c r="N560" s="229">
        <v>114129.46</v>
      </c>
      <c r="O560" s="28">
        <f>[1]!Table3[[#This Row],[C&amp;I Incentive Disbursements]]/'[1]1.) CLM Reference'!$B$5</f>
        <v>9.1636156647658469E-4</v>
      </c>
      <c r="Q560">
        <f>VLOOKUP(Table3[[#This Row],[Census Tract]],'Population and Diversity Data'!$B$2:$K$823,10,FALSE)</f>
        <v>1</v>
      </c>
      <c r="R560" t="str">
        <f>VLOOKUP(Table3[[#This Row],[Census Tract]],'ES Energy Burden'!$B$2:$E$914,4,FALSE)</f>
        <v>No</v>
      </c>
    </row>
    <row r="561" spans="1:18" x14ac:dyDescent="0.2">
      <c r="A561" t="s">
        <v>2826</v>
      </c>
      <c r="B561" s="169">
        <v>9011700100</v>
      </c>
      <c r="C561" t="s">
        <v>944</v>
      </c>
      <c r="D561" s="170">
        <f>[1]!Table3[[#This Row],[Residential CLM $ Collected]]+[1]!Table3[[#This Row],[C&amp;I CLM $ Collected]]</f>
        <v>109280.15504699999</v>
      </c>
      <c r="E561" s="28">
        <f>[1]!Table3[[#This Row],[CLM $ Collected ]]/'[1]1.) CLM Reference'!$B$4</f>
        <v>1.1764415511162413E-3</v>
      </c>
      <c r="F561" s="170">
        <f>[1]!Table3[[#This Row],[Residential Incentive Disbursements]]+[1]!Table3[[#This Row],[C&amp;I Incentive Disbursements]]</f>
        <v>86808.464999999997</v>
      </c>
      <c r="G561" s="28">
        <f>[1]!Table3[[#This Row],[Incentive Disbursements]]/'[1]1.) CLM Reference'!$B$5</f>
        <v>6.9699743581392367E-4</v>
      </c>
      <c r="H561" s="228">
        <v>90254.142656999989</v>
      </c>
      <c r="I561" s="28">
        <f>[1]!Table3[[#This Row],[Residential CLM $ Collected]]/'[1]1.) CLM Reference'!$B$4</f>
        <v>9.7161944486994433E-4</v>
      </c>
      <c r="J561" s="229">
        <v>80069.065000000002</v>
      </c>
      <c r="K561" s="28">
        <f>[1]!Table3[[#This Row],[Residential Incentive Disbursements]]/'[1]1.) CLM Reference'!$B$5</f>
        <v>6.4288584060342947E-4</v>
      </c>
      <c r="L561" s="229">
        <v>19026.01239</v>
      </c>
      <c r="M561" s="28">
        <f>[1]!Table3[[#This Row],[C&amp;I CLM $ Collected]]/'[1]1.) CLM Reference'!$B$4</f>
        <v>2.0482210624629682E-4</v>
      </c>
      <c r="N561" s="229">
        <v>6739.4</v>
      </c>
      <c r="O561" s="28">
        <f>[1]!Table3[[#This Row],[C&amp;I Incentive Disbursements]]/'[1]1.) CLM Reference'!$B$5</f>
        <v>5.4111595210494245E-5</v>
      </c>
      <c r="Q561">
        <f>VLOOKUP(Table3[[#This Row],[Census Tract]],'Population and Diversity Data'!$B$2:$K$823,10,FALSE)</f>
        <v>4</v>
      </c>
      <c r="R561" t="str">
        <f>VLOOKUP(Table3[[#This Row],[Census Tract]],'ES Energy Burden'!$B$2:$E$914,4,FALSE)</f>
        <v>No</v>
      </c>
    </row>
    <row r="562" spans="1:18" x14ac:dyDescent="0.2">
      <c r="A562" t="s">
        <v>2826</v>
      </c>
      <c r="B562" s="169">
        <v>9011707100</v>
      </c>
      <c r="C562" t="s">
        <v>944</v>
      </c>
      <c r="D562" s="170">
        <f>[1]!Table3[[#This Row],[Residential CLM $ Collected]]+[1]!Table3[[#This Row],[C&amp;I CLM $ Collected]]</f>
        <v>595.22505000000001</v>
      </c>
      <c r="E562" s="28">
        <f>[1]!Table3[[#This Row],[CLM $ Collected ]]/'[1]1.) CLM Reference'!$B$4</f>
        <v>6.4078192493785785E-6</v>
      </c>
      <c r="F562" s="170">
        <f>[1]!Table3[[#This Row],[Residential Incentive Disbursements]]+[1]!Table3[[#This Row],[C&amp;I Incentive Disbursements]]</f>
        <v>462.76</v>
      </c>
      <c r="G562" s="28">
        <f>[1]!Table3[[#This Row],[Incentive Disbursements]]/'[1]1.) CLM Reference'!$B$5</f>
        <v>3.7155654508722316E-6</v>
      </c>
      <c r="H562" s="228">
        <v>595.22505000000001</v>
      </c>
      <c r="I562" s="28">
        <f>[1]!Table3[[#This Row],[Residential CLM $ Collected]]/'[1]1.) CLM Reference'!$B$4</f>
        <v>6.4078192493785785E-6</v>
      </c>
      <c r="J562" s="229">
        <v>462.76</v>
      </c>
      <c r="K562" s="28">
        <f>[1]!Table3[[#This Row],[Residential Incentive Disbursements]]/'[1]1.) CLM Reference'!$B$5</f>
        <v>3.7155654508722316E-6</v>
      </c>
      <c r="L562" s="229">
        <v>0</v>
      </c>
      <c r="M562" s="28">
        <f>[1]!Table3[[#This Row],[C&amp;I CLM $ Collected]]/'[1]1.) CLM Reference'!$B$4</f>
        <v>0</v>
      </c>
      <c r="N562" s="229">
        <v>0</v>
      </c>
      <c r="O562" s="28">
        <f>[1]!Table3[[#This Row],[C&amp;I Incentive Disbursements]]/'[1]1.) CLM Reference'!$B$5</f>
        <v>0</v>
      </c>
      <c r="Q562">
        <f>VLOOKUP(Table3[[#This Row],[Census Tract]],'Population and Diversity Data'!$B$2:$K$823,10,FALSE)</f>
        <v>3</v>
      </c>
      <c r="R562" t="str">
        <f>VLOOKUP(Table3[[#This Row],[Census Tract]],'ES Energy Burden'!$B$2:$E$914,4,FALSE)</f>
        <v>No</v>
      </c>
    </row>
    <row r="563" spans="1:18" x14ac:dyDescent="0.2">
      <c r="A563" t="s">
        <v>2827</v>
      </c>
      <c r="B563" s="169">
        <v>9009347100</v>
      </c>
      <c r="C563" t="s">
        <v>944</v>
      </c>
      <c r="D563" s="170">
        <f>[1]!Table3[[#This Row],[Residential CLM $ Collected]]+[1]!Table3[[#This Row],[C&amp;I CLM $ Collected]]</f>
        <v>155503.08068400002</v>
      </c>
      <c r="E563" s="28">
        <f>[1]!Table3[[#This Row],[CLM $ Collected ]]/'[1]1.) CLM Reference'!$B$4</f>
        <v>1.6740485531390279E-3</v>
      </c>
      <c r="F563" s="170">
        <f>[1]!Table3[[#This Row],[Residential Incentive Disbursements]]+[1]!Table3[[#This Row],[C&amp;I Incentive Disbursements]]</f>
        <v>253804.505</v>
      </c>
      <c r="G563" s="28">
        <f>[1]!Table3[[#This Row],[Incentive Disbursements]]/'[1]1.) CLM Reference'!$B$5</f>
        <v>2.0378322457726005E-3</v>
      </c>
      <c r="H563" s="228">
        <v>121821.162624</v>
      </c>
      <c r="I563" s="28">
        <f>[1]!Table3[[#This Row],[Residential CLM $ Collected]]/'[1]1.) CLM Reference'!$B$4</f>
        <v>1.3114501663593382E-3</v>
      </c>
      <c r="J563" s="229">
        <v>236724.505</v>
      </c>
      <c r="K563" s="28">
        <f>[1]!Table3[[#This Row],[Residential Incentive Disbursements]]/'[1]1.) CLM Reference'!$B$5</f>
        <v>1.9006945115239667E-3</v>
      </c>
      <c r="L563" s="229">
        <v>33681.918060000004</v>
      </c>
      <c r="M563" s="28">
        <f>[1]!Table3[[#This Row],[C&amp;I CLM $ Collected]]/'[1]1.) CLM Reference'!$B$4</f>
        <v>3.6259838677968949E-4</v>
      </c>
      <c r="N563" s="229">
        <v>17080</v>
      </c>
      <c r="O563" s="28">
        <f>[1]!Table3[[#This Row],[C&amp;I Incentive Disbursements]]/'[1]1.) CLM Reference'!$B$5</f>
        <v>1.3713773424863367E-4</v>
      </c>
      <c r="Q563">
        <f>VLOOKUP(Table3[[#This Row],[Census Tract]],'Population and Diversity Data'!$B$2:$K$823,10,FALSE)</f>
        <v>1</v>
      </c>
      <c r="R563" t="str">
        <f>VLOOKUP(Table3[[#This Row],[Census Tract]],'ES Energy Burden'!$B$2:$E$914,4,FALSE)</f>
        <v>No</v>
      </c>
    </row>
    <row r="564" spans="1:18" x14ac:dyDescent="0.2">
      <c r="A564" t="s">
        <v>2827</v>
      </c>
      <c r="B564" s="169">
        <v>9009347200</v>
      </c>
      <c r="C564" t="s">
        <v>944</v>
      </c>
      <c r="D564" s="170">
        <f>[1]!Table3[[#This Row],[Residential CLM $ Collected]]+[1]!Table3[[#This Row],[C&amp;I CLM $ Collected]]</f>
        <v>41695.198145999995</v>
      </c>
      <c r="E564" s="28">
        <f>[1]!Table3[[#This Row],[CLM $ Collected ]]/'[1]1.) CLM Reference'!$B$4</f>
        <v>4.4886433003213291E-4</v>
      </c>
      <c r="F564" s="170">
        <f>[1]!Table3[[#This Row],[Residential Incentive Disbursements]]+[1]!Table3[[#This Row],[C&amp;I Incentive Disbursements]]</f>
        <v>57181</v>
      </c>
      <c r="G564" s="28">
        <f>[1]!Table3[[#This Row],[Incentive Disbursements]]/'[1]1.) CLM Reference'!$B$5</f>
        <v>4.5911433150299307E-4</v>
      </c>
      <c r="H564" s="228">
        <v>41695.198145999995</v>
      </c>
      <c r="I564" s="28">
        <f>[1]!Table3[[#This Row],[Residential CLM $ Collected]]/'[1]1.) CLM Reference'!$B$4</f>
        <v>4.4886433003213291E-4</v>
      </c>
      <c r="J564" s="229">
        <v>57181</v>
      </c>
      <c r="K564" s="28">
        <f>[1]!Table3[[#This Row],[Residential Incentive Disbursements]]/'[1]1.) CLM Reference'!$B$5</f>
        <v>4.5911433150299307E-4</v>
      </c>
      <c r="L564" s="229">
        <v>0</v>
      </c>
      <c r="M564" s="28">
        <f>[1]!Table3[[#This Row],[C&amp;I CLM $ Collected]]/'[1]1.) CLM Reference'!$B$4</f>
        <v>0</v>
      </c>
      <c r="N564" s="229">
        <v>0</v>
      </c>
      <c r="O564" s="28">
        <f>[1]!Table3[[#This Row],[C&amp;I Incentive Disbursements]]/'[1]1.) CLM Reference'!$B$5</f>
        <v>0</v>
      </c>
      <c r="Q564">
        <f>VLOOKUP(Table3[[#This Row],[Census Tract]],'Population and Diversity Data'!$B$2:$K$823,10,FALSE)</f>
        <v>2</v>
      </c>
      <c r="R564" t="str">
        <f>VLOOKUP(Table3[[#This Row],[Census Tract]],'ES Energy Burden'!$B$2:$E$914,4,FALSE)</f>
        <v>No</v>
      </c>
    </row>
    <row r="565" spans="1:18" x14ac:dyDescent="0.2">
      <c r="A565" t="s">
        <v>2827</v>
      </c>
      <c r="B565" s="169">
        <v>9009352800</v>
      </c>
      <c r="C565" t="s">
        <v>944</v>
      </c>
      <c r="D565" s="170">
        <f>[1]!Table3[[#This Row],[Residential CLM $ Collected]]+[1]!Table3[[#This Row],[C&amp;I CLM $ Collected]]</f>
        <v>825.21033</v>
      </c>
      <c r="E565" s="28">
        <f>[1]!Table3[[#This Row],[CLM $ Collected ]]/'[1]1.) CLM Reference'!$B$4</f>
        <v>8.8836964058553133E-6</v>
      </c>
      <c r="F565" s="170">
        <f>[1]!Table3[[#This Row],[Residential Incentive Disbursements]]+[1]!Table3[[#This Row],[C&amp;I Incentive Disbursements]]</f>
        <v>1572.2</v>
      </c>
      <c r="G565" s="28">
        <f>[1]!Table3[[#This Row],[Incentive Disbursements]]/'[1]1.) CLM Reference'!$B$5</f>
        <v>1.2623416029607837E-5</v>
      </c>
      <c r="H565" s="228">
        <v>825.21033</v>
      </c>
      <c r="I565" s="28">
        <f>[1]!Table3[[#This Row],[Residential CLM $ Collected]]/'[1]1.) CLM Reference'!$B$4</f>
        <v>8.8836964058553133E-6</v>
      </c>
      <c r="J565" s="229">
        <v>1572.2</v>
      </c>
      <c r="K565" s="28">
        <f>[1]!Table3[[#This Row],[Residential Incentive Disbursements]]/'[1]1.) CLM Reference'!$B$5</f>
        <v>1.2623416029607837E-5</v>
      </c>
      <c r="L565" s="229">
        <v>0</v>
      </c>
      <c r="M565" s="28">
        <f>[1]!Table3[[#This Row],[C&amp;I CLM $ Collected]]/'[1]1.) CLM Reference'!$B$4</f>
        <v>0</v>
      </c>
      <c r="N565" s="229">
        <v>0</v>
      </c>
      <c r="O565" s="28">
        <f>[1]!Table3[[#This Row],[C&amp;I Incentive Disbursements]]/'[1]1.) CLM Reference'!$B$5</f>
        <v>0</v>
      </c>
      <c r="Q565">
        <f>VLOOKUP(Table3[[#This Row],[Census Tract]],'Population and Diversity Data'!$B$2:$K$823,10,FALSE)</f>
        <v>5</v>
      </c>
      <c r="R565" t="str">
        <f>VLOOKUP(Table3[[#This Row],[Census Tract]],'ES Energy Burden'!$B$2:$E$914,4,FALSE)</f>
        <v>No</v>
      </c>
    </row>
    <row r="566" spans="1:18" x14ac:dyDescent="0.2">
      <c r="A566" t="s">
        <v>2828</v>
      </c>
      <c r="B566" s="169">
        <v>9015901100</v>
      </c>
      <c r="C566" t="s">
        <v>944</v>
      </c>
      <c r="D566" s="170">
        <f>[1]!Table3[[#This Row],[Residential CLM $ Collected]]+[1]!Table3[[#This Row],[C&amp;I CLM $ Collected]]</f>
        <v>99.396569999999997</v>
      </c>
      <c r="E566" s="28">
        <f>[1]!Table3[[#This Row],[CLM $ Collected ]]/'[1]1.) CLM Reference'!$B$4</f>
        <v>1.0700410786948657E-6</v>
      </c>
      <c r="F566" s="170">
        <f>[1]!Table3[[#This Row],[Residential Incentive Disbursements]]+[1]!Table3[[#This Row],[C&amp;I Incentive Disbursements]]</f>
        <v>0</v>
      </c>
      <c r="G566" s="28">
        <f>[1]!Table3[[#This Row],[Incentive Disbursements]]/'[1]1.) CLM Reference'!$B$5</f>
        <v>0</v>
      </c>
      <c r="H566" s="228">
        <v>99.396569999999997</v>
      </c>
      <c r="I566" s="28">
        <f>[1]!Table3[[#This Row],[Residential CLM $ Collected]]/'[1]1.) CLM Reference'!$B$4</f>
        <v>1.0700410786948657E-6</v>
      </c>
      <c r="J566" s="229">
        <v>0</v>
      </c>
      <c r="K566" s="28">
        <f>[1]!Table3[[#This Row],[Residential Incentive Disbursements]]/'[1]1.) CLM Reference'!$B$5</f>
        <v>0</v>
      </c>
      <c r="L566" s="229">
        <v>0</v>
      </c>
      <c r="M566" s="28">
        <f>[1]!Table3[[#This Row],[C&amp;I CLM $ Collected]]/'[1]1.) CLM Reference'!$B$4</f>
        <v>0</v>
      </c>
      <c r="N566" s="229">
        <v>0</v>
      </c>
      <c r="O566" s="28">
        <f>[1]!Table3[[#This Row],[C&amp;I Incentive Disbursements]]/'[1]1.) CLM Reference'!$B$5</f>
        <v>0</v>
      </c>
      <c r="Q566">
        <f>VLOOKUP(Table3[[#This Row],[Census Tract]],'Population and Diversity Data'!$B$2:$K$823,10,FALSE)</f>
        <v>1</v>
      </c>
      <c r="R566" t="str">
        <f>VLOOKUP(Table3[[#This Row],[Census Tract]],'ES Energy Burden'!$B$2:$E$914,4,FALSE)</f>
        <v>No</v>
      </c>
    </row>
    <row r="567" spans="1:18" x14ac:dyDescent="0.2">
      <c r="A567" t="s">
        <v>2828</v>
      </c>
      <c r="B567" s="169">
        <v>9015902500</v>
      </c>
      <c r="C567" t="s">
        <v>944</v>
      </c>
      <c r="D567" s="170">
        <f>[1]!Table3[[#This Row],[Residential CLM $ Collected]]+[1]!Table3[[#This Row],[C&amp;I CLM $ Collected]]</f>
        <v>121.56723600000001</v>
      </c>
      <c r="E567" s="28">
        <f>[1]!Table3[[#This Row],[CLM $ Collected ]]/'[1]1.) CLM Reference'!$B$4</f>
        <v>1.3087165517219891E-6</v>
      </c>
      <c r="F567" s="170">
        <f>[1]!Table3[[#This Row],[Residential Incentive Disbursements]]+[1]!Table3[[#This Row],[C&amp;I Incentive Disbursements]]</f>
        <v>0</v>
      </c>
      <c r="G567" s="28">
        <f>[1]!Table3[[#This Row],[Incentive Disbursements]]/'[1]1.) CLM Reference'!$B$5</f>
        <v>0</v>
      </c>
      <c r="H567" s="228">
        <v>121.56723600000001</v>
      </c>
      <c r="I567" s="28">
        <f>[1]!Table3[[#This Row],[Residential CLM $ Collected]]/'[1]1.) CLM Reference'!$B$4</f>
        <v>1.3087165517219891E-6</v>
      </c>
      <c r="J567" s="229">
        <v>0</v>
      </c>
      <c r="K567" s="28">
        <f>[1]!Table3[[#This Row],[Residential Incentive Disbursements]]/'[1]1.) CLM Reference'!$B$5</f>
        <v>0</v>
      </c>
      <c r="L567" s="229">
        <v>0</v>
      </c>
      <c r="M567" s="28">
        <f>[1]!Table3[[#This Row],[C&amp;I CLM $ Collected]]/'[1]1.) CLM Reference'!$B$4</f>
        <v>0</v>
      </c>
      <c r="N567" s="229">
        <v>0</v>
      </c>
      <c r="O567" s="28">
        <f>[1]!Table3[[#This Row],[C&amp;I Incentive Disbursements]]/'[1]1.) CLM Reference'!$B$5</f>
        <v>0</v>
      </c>
      <c r="Q567">
        <f>VLOOKUP(Table3[[#This Row],[Census Tract]],'Population and Diversity Data'!$B$2:$K$823,10,FALSE)</f>
        <v>2</v>
      </c>
      <c r="R567" t="str">
        <f>VLOOKUP(Table3[[#This Row],[Census Tract]],'ES Energy Burden'!$B$2:$E$914,4,FALSE)</f>
        <v>No</v>
      </c>
    </row>
    <row r="568" spans="1:18" x14ac:dyDescent="0.2">
      <c r="A568" t="s">
        <v>2828</v>
      </c>
      <c r="B568" s="169">
        <v>9015903100</v>
      </c>
      <c r="C568" t="s">
        <v>944</v>
      </c>
      <c r="D568" s="170">
        <f>[1]!Table3[[#This Row],[Residential CLM $ Collected]]+[1]!Table3[[#This Row],[C&amp;I CLM $ Collected]]</f>
        <v>188004.95149800001</v>
      </c>
      <c r="E568" s="28">
        <f>[1]!Table3[[#This Row],[CLM $ Collected ]]/'[1]1.) CLM Reference'!$B$4</f>
        <v>2.0239432920159703E-3</v>
      </c>
      <c r="F568" s="170">
        <f>[1]!Table3[[#This Row],[Residential Incentive Disbursements]]+[1]!Table3[[#This Row],[C&amp;I Incentive Disbursements]]</f>
        <v>155918.16</v>
      </c>
      <c r="G568" s="28">
        <f>[1]!Table3[[#This Row],[Incentive Disbursements]]/'[1]1.) CLM Reference'!$B$5</f>
        <v>1.2518889455864137E-3</v>
      </c>
      <c r="H568" s="228">
        <v>118068.95200800001</v>
      </c>
      <c r="I568" s="28">
        <f>[1]!Table3[[#This Row],[Residential CLM $ Collected]]/'[1]1.) CLM Reference'!$B$4</f>
        <v>1.2710562222319408E-3</v>
      </c>
      <c r="J568" s="229">
        <v>95700.07</v>
      </c>
      <c r="K568" s="28">
        <f>[1]!Table3[[#This Row],[Residential Incentive Disbursements]]/'[1]1.) CLM Reference'!$B$5</f>
        <v>7.6838938918241456E-4</v>
      </c>
      <c r="L568" s="229">
        <v>69935.999490000002</v>
      </c>
      <c r="M568" s="28">
        <f>[1]!Table3[[#This Row],[C&amp;I CLM $ Collected]]/'[1]1.) CLM Reference'!$B$4</f>
        <v>7.5288706978402951E-4</v>
      </c>
      <c r="N568" s="229">
        <v>60218.09</v>
      </c>
      <c r="O568" s="28">
        <f>[1]!Table3[[#This Row],[C&amp;I Incentive Disbursements]]/'[1]1.) CLM Reference'!$B$5</f>
        <v>4.8349955640399907E-4</v>
      </c>
      <c r="Q568">
        <f>VLOOKUP(Table3[[#This Row],[Census Tract]],'Population and Diversity Data'!$B$2:$K$823,10,FALSE)</f>
        <v>2</v>
      </c>
      <c r="R568" t="str">
        <f>VLOOKUP(Table3[[#This Row],[Census Tract]],'ES Energy Burden'!$B$2:$E$914,4,FALSE)</f>
        <v>No</v>
      </c>
    </row>
    <row r="569" spans="1:18" x14ac:dyDescent="0.2">
      <c r="A569" t="s">
        <v>2828</v>
      </c>
      <c r="B569" s="169">
        <v>9015903200</v>
      </c>
      <c r="C569" t="s">
        <v>944</v>
      </c>
      <c r="D569" s="170">
        <f>[1]!Table3[[#This Row],[Residential CLM $ Collected]]+[1]!Table3[[#This Row],[C&amp;I CLM $ Collected]]</f>
        <v>25402.228214999999</v>
      </c>
      <c r="E569" s="28">
        <f>[1]!Table3[[#This Row],[CLM $ Collected ]]/'[1]1.) CLM Reference'!$B$4</f>
        <v>2.7346444329448945E-4</v>
      </c>
      <c r="F569" s="170">
        <f>[1]!Table3[[#This Row],[Residential Incentive Disbursements]]+[1]!Table3[[#This Row],[C&amp;I Incentive Disbursements]]</f>
        <v>16329.46</v>
      </c>
      <c r="G569" s="28">
        <f>[1]!Table3[[#This Row],[Incentive Disbursements]]/'[1]1.) CLM Reference'!$B$5</f>
        <v>1.3111154250021624E-4</v>
      </c>
      <c r="H569" s="228">
        <v>25402.228214999999</v>
      </c>
      <c r="I569" s="28">
        <f>[1]!Table3[[#This Row],[Residential CLM $ Collected]]/'[1]1.) CLM Reference'!$B$4</f>
        <v>2.7346444329448945E-4</v>
      </c>
      <c r="J569" s="229">
        <v>16329.46</v>
      </c>
      <c r="K569" s="28">
        <f>[1]!Table3[[#This Row],[Residential Incentive Disbursements]]/'[1]1.) CLM Reference'!$B$5</f>
        <v>1.3111154250021624E-4</v>
      </c>
      <c r="L569" s="229">
        <v>0</v>
      </c>
      <c r="M569" s="28">
        <f>[1]!Table3[[#This Row],[C&amp;I CLM $ Collected]]/'[1]1.) CLM Reference'!$B$4</f>
        <v>0</v>
      </c>
      <c r="N569" s="229">
        <v>0</v>
      </c>
      <c r="O569" s="28">
        <f>[1]!Table3[[#This Row],[C&amp;I Incentive Disbursements]]/'[1]1.) CLM Reference'!$B$5</f>
        <v>0</v>
      </c>
      <c r="Q569">
        <f>VLOOKUP(Table3[[#This Row],[Census Tract]],'Population and Diversity Data'!$B$2:$K$823,10,FALSE)</f>
        <v>3</v>
      </c>
      <c r="R569" t="str">
        <f>VLOOKUP(Table3[[#This Row],[Census Tract]],'ES Energy Burden'!$B$2:$E$914,4,FALSE)</f>
        <v>No</v>
      </c>
    </row>
    <row r="570" spans="1:18" x14ac:dyDescent="0.2">
      <c r="A570" t="s">
        <v>2829</v>
      </c>
      <c r="B570" s="169">
        <v>9001055100</v>
      </c>
      <c r="C570" t="s">
        <v>944</v>
      </c>
      <c r="D570" s="170">
        <f>[1]!Table3[[#This Row],[Residential CLM $ Collected]]+[1]!Table3[[#This Row],[C&amp;I CLM $ Collected]]</f>
        <v>3507.4204199999999</v>
      </c>
      <c r="E570" s="28">
        <f>[1]!Table3[[#This Row],[CLM $ Collected ]]/'[1]1.) CLM Reference'!$B$4</f>
        <v>3.7758686538712538E-5</v>
      </c>
      <c r="F570" s="170">
        <f>[1]!Table3[[#This Row],[Residential Incentive Disbursements]]+[1]!Table3[[#This Row],[C&amp;I Incentive Disbursements]]</f>
        <v>16482.080000000002</v>
      </c>
      <c r="G570" s="28">
        <f>[1]!Table3[[#This Row],[Incentive Disbursements]]/'[1]1.) CLM Reference'!$B$5</f>
        <v>1.3233695005296958E-4</v>
      </c>
      <c r="H570" s="228">
        <v>3507.4204199999999</v>
      </c>
      <c r="I570" s="28">
        <f>[1]!Table3[[#This Row],[Residential CLM $ Collected]]/'[1]1.) CLM Reference'!$B$4</f>
        <v>3.7758686538712538E-5</v>
      </c>
      <c r="J570" s="229">
        <v>16482.080000000002</v>
      </c>
      <c r="K570" s="28">
        <f>[1]!Table3[[#This Row],[Residential Incentive Disbursements]]/'[1]1.) CLM Reference'!$B$5</f>
        <v>1.3233695005296958E-4</v>
      </c>
      <c r="L570" s="229">
        <v>0</v>
      </c>
      <c r="M570" s="28">
        <f>[1]!Table3[[#This Row],[C&amp;I CLM $ Collected]]/'[1]1.) CLM Reference'!$B$4</f>
        <v>0</v>
      </c>
      <c r="N570" s="229">
        <v>0</v>
      </c>
      <c r="O570" s="28">
        <f>[1]!Table3[[#This Row],[C&amp;I Incentive Disbursements]]/'[1]1.) CLM Reference'!$B$5</f>
        <v>0</v>
      </c>
      <c r="Q570">
        <f>VLOOKUP(Table3[[#This Row],[Census Tract]],'Population and Diversity Data'!$B$2:$K$823,10,FALSE)</f>
        <v>4</v>
      </c>
      <c r="R570" t="str">
        <f>VLOOKUP(Table3[[#This Row],[Census Tract]],'ES Energy Burden'!$B$2:$E$914,4,FALSE)</f>
        <v>No</v>
      </c>
    </row>
    <row r="571" spans="1:18" x14ac:dyDescent="0.2">
      <c r="A571" t="s">
        <v>2829</v>
      </c>
      <c r="B571" s="169">
        <v>9001240100</v>
      </c>
      <c r="C571" t="s">
        <v>944</v>
      </c>
      <c r="D571" s="170">
        <f>[1]!Table3[[#This Row],[Residential CLM $ Collected]]+[1]!Table3[[#This Row],[C&amp;I CLM $ Collected]]</f>
        <v>60110.244515999999</v>
      </c>
      <c r="E571" s="28">
        <f>[1]!Table3[[#This Row],[CLM $ Collected ]]/'[1]1.) CLM Reference'!$B$4</f>
        <v>6.4710915962706535E-4</v>
      </c>
      <c r="F571" s="170">
        <f>[1]!Table3[[#This Row],[Residential Incentive Disbursements]]+[1]!Table3[[#This Row],[C&amp;I Incentive Disbursements]]</f>
        <v>45503</v>
      </c>
      <c r="G571" s="28">
        <f>[1]!Table3[[#This Row],[Incentive Disbursements]]/'[1]1.) CLM Reference'!$B$5</f>
        <v>3.6535001882409703E-4</v>
      </c>
      <c r="H571" s="228">
        <v>60110.244515999999</v>
      </c>
      <c r="I571" s="28">
        <f>[1]!Table3[[#This Row],[Residential CLM $ Collected]]/'[1]1.) CLM Reference'!$B$4</f>
        <v>6.4710915962706535E-4</v>
      </c>
      <c r="J571" s="229">
        <v>45503</v>
      </c>
      <c r="K571" s="28">
        <f>[1]!Table3[[#This Row],[Residential Incentive Disbursements]]/'[1]1.) CLM Reference'!$B$5</f>
        <v>3.6535001882409703E-4</v>
      </c>
      <c r="L571" s="229">
        <v>0</v>
      </c>
      <c r="M571" s="28">
        <f>[1]!Table3[[#This Row],[C&amp;I CLM $ Collected]]/'[1]1.) CLM Reference'!$B$4</f>
        <v>0</v>
      </c>
      <c r="N571" s="229">
        <v>0</v>
      </c>
      <c r="O571" s="28">
        <f>[1]!Table3[[#This Row],[C&amp;I Incentive Disbursements]]/'[1]1.) CLM Reference'!$B$5</f>
        <v>0</v>
      </c>
      <c r="Q571">
        <f>VLOOKUP(Table3[[#This Row],[Census Tract]],'Population and Diversity Data'!$B$2:$K$823,10,FALSE)</f>
        <v>1</v>
      </c>
      <c r="R571" t="str">
        <f>VLOOKUP(Table3[[#This Row],[Census Tract]],'ES Energy Burden'!$B$2:$E$914,4,FALSE)</f>
        <v>No</v>
      </c>
    </row>
    <row r="572" spans="1:18" x14ac:dyDescent="0.2">
      <c r="A572" t="s">
        <v>2829</v>
      </c>
      <c r="B572" s="169">
        <v>9001240200</v>
      </c>
      <c r="C572" t="s">
        <v>944</v>
      </c>
      <c r="D572" s="170">
        <f>[1]!Table3[[#This Row],[Residential CLM $ Collected]]+[1]!Table3[[#This Row],[C&amp;I CLM $ Collected]]</f>
        <v>176305.02273299999</v>
      </c>
      <c r="E572" s="28">
        <f>[1]!Table3[[#This Row],[CLM $ Collected ]]/'[1]1.) CLM Reference'!$B$4</f>
        <v>1.8979892032948635E-3</v>
      </c>
      <c r="F572" s="170">
        <f>[1]!Table3[[#This Row],[Residential Incentive Disbursements]]+[1]!Table3[[#This Row],[C&amp;I Incentive Disbursements]]</f>
        <v>217180.245</v>
      </c>
      <c r="G572" s="28">
        <f>[1]!Table3[[#This Row],[Incentive Disbursements]]/'[1]1.) CLM Reference'!$B$5</f>
        <v>1.7437708854135335E-3</v>
      </c>
      <c r="H572" s="228">
        <v>149326.444323</v>
      </c>
      <c r="I572" s="28">
        <f>[1]!Table3[[#This Row],[Residential CLM $ Collected]]/'[1]1.) CLM Reference'!$B$4</f>
        <v>1.607554763318812E-3</v>
      </c>
      <c r="J572" s="229">
        <v>212190.125</v>
      </c>
      <c r="K572" s="28">
        <f>[1]!Table3[[#This Row],[Residential Incentive Disbursements]]/'[1]1.) CLM Reference'!$B$5</f>
        <v>1.7037045065828079E-3</v>
      </c>
      <c r="L572" s="229">
        <v>26978.578410000002</v>
      </c>
      <c r="M572" s="28">
        <f>[1]!Table3[[#This Row],[C&amp;I CLM $ Collected]]/'[1]1.) CLM Reference'!$B$4</f>
        <v>2.9043443997605164E-4</v>
      </c>
      <c r="N572" s="229">
        <v>4990.12</v>
      </c>
      <c r="O572" s="28">
        <f>[1]!Table3[[#This Row],[C&amp;I Incentive Disbursements]]/'[1]1.) CLM Reference'!$B$5</f>
        <v>4.0066378830725516E-5</v>
      </c>
      <c r="Q572">
        <f>VLOOKUP(Table3[[#This Row],[Census Tract]],'Population and Diversity Data'!$B$2:$K$823,10,FALSE)</f>
        <v>2</v>
      </c>
      <c r="R572" t="str">
        <f>VLOOKUP(Table3[[#This Row],[Census Tract]],'ES Energy Burden'!$B$2:$E$914,4,FALSE)</f>
        <v>No</v>
      </c>
    </row>
    <row r="573" spans="1:18" x14ac:dyDescent="0.2">
      <c r="A573" t="s">
        <v>2829</v>
      </c>
      <c r="B573" s="169">
        <v>9001245200</v>
      </c>
      <c r="C573" t="s">
        <v>944</v>
      </c>
      <c r="D573" s="170">
        <f>[1]!Table3[[#This Row],[Residential CLM $ Collected]]+[1]!Table3[[#This Row],[C&amp;I CLM $ Collected]]</f>
        <v>203.28504000000001</v>
      </c>
      <c r="E573" s="28">
        <f>[1]!Table3[[#This Row],[CLM $ Collected ]]/'[1]1.) CLM Reference'!$B$4</f>
        <v>2.1884391331021675E-6</v>
      </c>
      <c r="F573" s="170">
        <f>[1]!Table3[[#This Row],[Residential Incentive Disbursements]]+[1]!Table3[[#This Row],[C&amp;I Incentive Disbursements]]</f>
        <v>0</v>
      </c>
      <c r="G573" s="28">
        <f>[1]!Table3[[#This Row],[Incentive Disbursements]]/'[1]1.) CLM Reference'!$B$5</f>
        <v>0</v>
      </c>
      <c r="H573" s="228">
        <v>203.28504000000001</v>
      </c>
      <c r="I573" s="28">
        <f>[1]!Table3[[#This Row],[Residential CLM $ Collected]]/'[1]1.) CLM Reference'!$B$4</f>
        <v>2.1884391331021675E-6</v>
      </c>
      <c r="J573" s="229">
        <v>0</v>
      </c>
      <c r="K573" s="28">
        <f>[1]!Table3[[#This Row],[Residential Incentive Disbursements]]/'[1]1.) CLM Reference'!$B$5</f>
        <v>0</v>
      </c>
      <c r="L573" s="229">
        <v>0</v>
      </c>
      <c r="M573" s="28">
        <f>[1]!Table3[[#This Row],[C&amp;I CLM $ Collected]]/'[1]1.) CLM Reference'!$B$4</f>
        <v>0</v>
      </c>
      <c r="N573" s="229">
        <v>0</v>
      </c>
      <c r="O573" s="28">
        <f>[1]!Table3[[#This Row],[C&amp;I Incentive Disbursements]]/'[1]1.) CLM Reference'!$B$5</f>
        <v>0</v>
      </c>
      <c r="Q573">
        <f>VLOOKUP(Table3[[#This Row],[Census Tract]],'Population and Diversity Data'!$B$2:$K$823,10,FALSE)</f>
        <v>3</v>
      </c>
      <c r="R573" t="str">
        <f>VLOOKUP(Table3[[#This Row],[Census Tract]],'ES Energy Burden'!$B$2:$E$914,4,FALSE)</f>
        <v>No</v>
      </c>
    </row>
    <row r="574" spans="1:18" x14ac:dyDescent="0.2">
      <c r="A574" t="s">
        <v>2830</v>
      </c>
      <c r="B574" s="169">
        <v>9001210500</v>
      </c>
      <c r="C574" t="s">
        <v>944</v>
      </c>
      <c r="D574" s="170">
        <f>[1]!Table3[[#This Row],[Residential CLM $ Collected]]+[1]!Table3[[#This Row],[C&amp;I CLM $ Collected]]</f>
        <v>217.91028</v>
      </c>
      <c r="E574" s="28">
        <f>[1]!Table3[[#This Row],[CLM $ Collected ]]/'[1]1.) CLM Reference'!$B$4</f>
        <v>2.3458852862820137E-6</v>
      </c>
      <c r="F574" s="170">
        <f>[1]!Table3[[#This Row],[Residential Incentive Disbursements]]+[1]!Table3[[#This Row],[C&amp;I Incentive Disbursements]]</f>
        <v>26.25</v>
      </c>
      <c r="G574" s="28">
        <f>[1]!Table3[[#This Row],[Incentive Disbursements]]/'[1]1.) CLM Reference'!$B$5</f>
        <v>2.1076496042310501E-7</v>
      </c>
      <c r="H574" s="228">
        <v>217.91028</v>
      </c>
      <c r="I574" s="28">
        <f>[1]!Table3[[#This Row],[Residential CLM $ Collected]]/'[1]1.) CLM Reference'!$B$4</f>
        <v>2.3458852862820137E-6</v>
      </c>
      <c r="J574" s="229">
        <v>26.25</v>
      </c>
      <c r="K574" s="28">
        <f>[1]!Table3[[#This Row],[Residential Incentive Disbursements]]/'[1]1.) CLM Reference'!$B$5</f>
        <v>2.1076496042310501E-7</v>
      </c>
      <c r="L574" s="229">
        <v>0</v>
      </c>
      <c r="M574" s="28">
        <f>[1]!Table3[[#This Row],[C&amp;I CLM $ Collected]]/'[1]1.) CLM Reference'!$B$4</f>
        <v>0</v>
      </c>
      <c r="N574" s="229">
        <v>0</v>
      </c>
      <c r="O574" s="28">
        <f>[1]!Table3[[#This Row],[C&amp;I Incentive Disbursements]]/'[1]1.) CLM Reference'!$B$5</f>
        <v>0</v>
      </c>
      <c r="Q574">
        <f>VLOOKUP(Table3[[#This Row],[Census Tract]],'Population and Diversity Data'!$B$2:$K$823,10,FALSE)</f>
        <v>4</v>
      </c>
      <c r="R574" t="str">
        <f>VLOOKUP(Table3[[#This Row],[Census Tract]],'ES Energy Burden'!$B$2:$E$914,4,FALSE)</f>
        <v>No</v>
      </c>
    </row>
    <row r="575" spans="1:18" x14ac:dyDescent="0.2">
      <c r="A575" t="s">
        <v>2830</v>
      </c>
      <c r="B575" s="169">
        <v>9001240100</v>
      </c>
      <c r="C575" t="s">
        <v>944</v>
      </c>
      <c r="D575" s="170">
        <f>[1]!Table3[[#This Row],[Residential CLM $ Collected]]+[1]!Table3[[#This Row],[C&amp;I CLM $ Collected]]</f>
        <v>368.51934</v>
      </c>
      <c r="E575" s="28">
        <f>[1]!Table3[[#This Row],[CLM $ Collected ]]/'[1]1.) CLM Reference'!$B$4</f>
        <v>3.9672478848467301E-6</v>
      </c>
      <c r="F575" s="170">
        <f>[1]!Table3[[#This Row],[Residential Incentive Disbursements]]+[1]!Table3[[#This Row],[C&amp;I Incentive Disbursements]]</f>
        <v>0</v>
      </c>
      <c r="G575" s="28">
        <f>[1]!Table3[[#This Row],[Incentive Disbursements]]/'[1]1.) CLM Reference'!$B$5</f>
        <v>0</v>
      </c>
      <c r="H575" s="228">
        <v>368.51934</v>
      </c>
      <c r="I575" s="28">
        <f>[1]!Table3[[#This Row],[Residential CLM $ Collected]]/'[1]1.) CLM Reference'!$B$4</f>
        <v>3.9672478848467301E-6</v>
      </c>
      <c r="J575" s="229">
        <v>0</v>
      </c>
      <c r="K575" s="28">
        <f>[1]!Table3[[#This Row],[Residential Incentive Disbursements]]/'[1]1.) CLM Reference'!$B$5</f>
        <v>0</v>
      </c>
      <c r="L575" s="229">
        <v>0</v>
      </c>
      <c r="M575" s="28">
        <f>[1]!Table3[[#This Row],[C&amp;I CLM $ Collected]]/'[1]1.) CLM Reference'!$B$4</f>
        <v>0</v>
      </c>
      <c r="N575" s="229">
        <v>0</v>
      </c>
      <c r="O575" s="28">
        <f>[1]!Table3[[#This Row],[C&amp;I Incentive Disbursements]]/'[1]1.) CLM Reference'!$B$5</f>
        <v>0</v>
      </c>
      <c r="Q575">
        <f>VLOOKUP(Table3[[#This Row],[Census Tract]],'Population and Diversity Data'!$B$2:$K$823,10,FALSE)</f>
        <v>1</v>
      </c>
      <c r="R575" t="str">
        <f>VLOOKUP(Table3[[#This Row],[Census Tract]],'ES Energy Burden'!$B$2:$E$914,4,FALSE)</f>
        <v>No</v>
      </c>
    </row>
    <row r="576" spans="1:18" x14ac:dyDescent="0.2">
      <c r="A576" t="s">
        <v>2830</v>
      </c>
      <c r="B576" s="169">
        <v>9001245100</v>
      </c>
      <c r="C576" t="s">
        <v>944</v>
      </c>
      <c r="D576" s="170">
        <f>[1]!Table3[[#This Row],[Residential CLM $ Collected]]+[1]!Table3[[#This Row],[C&amp;I CLM $ Collected]]</f>
        <v>33072.37689</v>
      </c>
      <c r="E576" s="28">
        <f>[1]!Table3[[#This Row],[CLM $ Collected ]]/'[1]1.) CLM Reference'!$B$4</f>
        <v>3.5603644916900804E-4</v>
      </c>
      <c r="F576" s="170">
        <f>[1]!Table3[[#This Row],[Residential Incentive Disbursements]]+[1]!Table3[[#This Row],[C&amp;I Incentive Disbursements]]</f>
        <v>41884.339999999997</v>
      </c>
      <c r="G576" s="28">
        <f>[1]!Table3[[#This Row],[Incentive Disbursements]]/'[1]1.) CLM Reference'!$B$5</f>
        <v>3.362952861884904E-4</v>
      </c>
      <c r="H576" s="228">
        <v>33072.37689</v>
      </c>
      <c r="I576" s="28">
        <f>[1]!Table3[[#This Row],[Residential CLM $ Collected]]/'[1]1.) CLM Reference'!$B$4</f>
        <v>3.5603644916900804E-4</v>
      </c>
      <c r="J576" s="229">
        <v>41884.339999999997</v>
      </c>
      <c r="K576" s="28">
        <f>[1]!Table3[[#This Row],[Residential Incentive Disbursements]]/'[1]1.) CLM Reference'!$B$5</f>
        <v>3.362952861884904E-4</v>
      </c>
      <c r="L576" s="229">
        <v>0</v>
      </c>
      <c r="M576" s="28">
        <f>[1]!Table3[[#This Row],[C&amp;I CLM $ Collected]]/'[1]1.) CLM Reference'!$B$4</f>
        <v>0</v>
      </c>
      <c r="N576" s="229">
        <v>0</v>
      </c>
      <c r="O576" s="28">
        <f>[1]!Table3[[#This Row],[C&amp;I Incentive Disbursements]]/'[1]1.) CLM Reference'!$B$5</f>
        <v>0</v>
      </c>
      <c r="Q576">
        <f>VLOOKUP(Table3[[#This Row],[Census Tract]],'Population and Diversity Data'!$B$2:$K$823,10,FALSE)</f>
        <v>1</v>
      </c>
      <c r="R576" t="str">
        <f>VLOOKUP(Table3[[#This Row],[Census Tract]],'ES Energy Burden'!$B$2:$E$914,4,FALSE)</f>
        <v>No</v>
      </c>
    </row>
    <row r="577" spans="1:18" x14ac:dyDescent="0.2">
      <c r="A577" t="s">
        <v>2830</v>
      </c>
      <c r="B577" s="169">
        <v>9001245200</v>
      </c>
      <c r="C577" t="s">
        <v>944</v>
      </c>
      <c r="D577" s="170">
        <f>[1]!Table3[[#This Row],[Residential CLM $ Collected]]+[1]!Table3[[#This Row],[C&amp;I CLM $ Collected]]</f>
        <v>363697.00617600005</v>
      </c>
      <c r="E577" s="28">
        <f>[1]!Table3[[#This Row],[CLM $ Collected ]]/'[1]1.) CLM Reference'!$B$4</f>
        <v>3.9153336660073916E-3</v>
      </c>
      <c r="F577" s="170">
        <f>[1]!Table3[[#This Row],[Residential Incentive Disbursements]]+[1]!Table3[[#This Row],[C&amp;I Incentive Disbursements]]</f>
        <v>463485.64749999996</v>
      </c>
      <c r="G577" s="28">
        <f>[1]!Table3[[#This Row],[Incentive Disbursements]]/'[1]1.) CLM Reference'!$B$5</f>
        <v>3.7213917772196074E-3</v>
      </c>
      <c r="H577" s="228">
        <v>234055.90112100003</v>
      </c>
      <c r="I577" s="28">
        <f>[1]!Table3[[#This Row],[Residential CLM $ Collected]]/'[1]1.) CLM Reference'!$B$4</f>
        <v>2.5196989082260455E-3</v>
      </c>
      <c r="J577" s="229">
        <v>383821.09749999997</v>
      </c>
      <c r="K577" s="28">
        <f>[1]!Table3[[#This Row],[Residential Incentive Disbursements]]/'[1]1.) CLM Reference'!$B$5</f>
        <v>3.0817538447291517E-3</v>
      </c>
      <c r="L577" s="229">
        <v>129641.10505500001</v>
      </c>
      <c r="M577" s="28">
        <f>[1]!Table3[[#This Row],[C&amp;I CLM $ Collected]]/'[1]1.) CLM Reference'!$B$4</f>
        <v>1.3956347577813461E-3</v>
      </c>
      <c r="N577" s="229">
        <v>79664.55</v>
      </c>
      <c r="O577" s="28">
        <f>[1]!Table3[[#This Row],[C&amp;I Incentive Disbursements]]/'[1]1.) CLM Reference'!$B$5</f>
        <v>6.3963793249045603E-4</v>
      </c>
      <c r="Q577">
        <f>VLOOKUP(Table3[[#This Row],[Census Tract]],'Population and Diversity Data'!$B$2:$K$823,10,FALSE)</f>
        <v>3</v>
      </c>
      <c r="R577" t="str">
        <f>VLOOKUP(Table3[[#This Row],[Census Tract]],'ES Energy Burden'!$B$2:$E$914,4,FALSE)</f>
        <v>No</v>
      </c>
    </row>
    <row r="578" spans="1:18" x14ac:dyDescent="0.2">
      <c r="A578" t="s">
        <v>2830</v>
      </c>
      <c r="B578" s="169">
        <v>9001245300</v>
      </c>
      <c r="C578" t="s">
        <v>944</v>
      </c>
      <c r="D578" s="170">
        <f>[1]!Table3[[#This Row],[Residential CLM $ Collected]]+[1]!Table3[[#This Row],[C&amp;I CLM $ Collected]]</f>
        <v>77014.340339999995</v>
      </c>
      <c r="E578" s="28">
        <f>[1]!Table3[[#This Row],[CLM $ Collected ]]/'[1]1.) CLM Reference'!$B$4</f>
        <v>8.2908804410843453E-4</v>
      </c>
      <c r="F578" s="170">
        <f>[1]!Table3[[#This Row],[Residential Incentive Disbursements]]+[1]!Table3[[#This Row],[C&amp;I Incentive Disbursements]]</f>
        <v>26086.63</v>
      </c>
      <c r="G578" s="28">
        <f>[1]!Table3[[#This Row],[Incentive Disbursements]]/'[1]1.) CLM Reference'!$B$5</f>
        <v>2.0945323960084512E-4</v>
      </c>
      <c r="H578" s="228">
        <v>77014.340339999995</v>
      </c>
      <c r="I578" s="28">
        <f>[1]!Table3[[#This Row],[Residential CLM $ Collected]]/'[1]1.) CLM Reference'!$B$4</f>
        <v>8.2908804410843453E-4</v>
      </c>
      <c r="J578" s="229">
        <v>26086.63</v>
      </c>
      <c r="K578" s="28">
        <f>[1]!Table3[[#This Row],[Residential Incentive Disbursements]]/'[1]1.) CLM Reference'!$B$5</f>
        <v>2.0945323960084512E-4</v>
      </c>
      <c r="L578" s="229">
        <v>0</v>
      </c>
      <c r="M578" s="28">
        <f>[1]!Table3[[#This Row],[C&amp;I CLM $ Collected]]/'[1]1.) CLM Reference'!$B$4</f>
        <v>0</v>
      </c>
      <c r="N578" s="229">
        <v>0</v>
      </c>
      <c r="O578" s="28">
        <f>[1]!Table3[[#This Row],[C&amp;I Incentive Disbursements]]/'[1]1.) CLM Reference'!$B$5</f>
        <v>0</v>
      </c>
      <c r="Q578">
        <f>VLOOKUP(Table3[[#This Row],[Census Tract]],'Population and Diversity Data'!$B$2:$K$823,10,FALSE)</f>
        <v>2</v>
      </c>
      <c r="R578" t="str">
        <f>VLOOKUP(Table3[[#This Row],[Census Tract]],'ES Energy Burden'!$B$2:$E$914,4,FALSE)</f>
        <v>No</v>
      </c>
    </row>
    <row r="579" spans="1:18" x14ac:dyDescent="0.2">
      <c r="A579" t="s">
        <v>2830</v>
      </c>
      <c r="B579" s="169">
        <v>9001245400</v>
      </c>
      <c r="C579" t="s">
        <v>944</v>
      </c>
      <c r="D579" s="170">
        <f>[1]!Table3[[#This Row],[Residential CLM $ Collected]]+[1]!Table3[[#This Row],[C&amp;I CLM $ Collected]]</f>
        <v>53062.085370000001</v>
      </c>
      <c r="E579" s="28">
        <f>[1]!Table3[[#This Row],[CLM $ Collected ]]/'[1]1.) CLM Reference'!$B$4</f>
        <v>5.7123310258204939E-4</v>
      </c>
      <c r="F579" s="170">
        <f>[1]!Table3[[#This Row],[Residential Incentive Disbursements]]+[1]!Table3[[#This Row],[C&amp;I Incentive Disbursements]]</f>
        <v>13607.26</v>
      </c>
      <c r="G579" s="28">
        <f>[1]!Table3[[#This Row],[Incentive Disbursements]]/'[1]1.) CLM Reference'!$B$5</f>
        <v>1.0925461391873905E-4</v>
      </c>
      <c r="H579" s="228">
        <v>53062.085370000001</v>
      </c>
      <c r="I579" s="28">
        <f>[1]!Table3[[#This Row],[Residential CLM $ Collected]]/'[1]1.) CLM Reference'!$B$4</f>
        <v>5.7123310258204939E-4</v>
      </c>
      <c r="J579" s="229">
        <v>13607.26</v>
      </c>
      <c r="K579" s="28">
        <f>[1]!Table3[[#This Row],[Residential Incentive Disbursements]]/'[1]1.) CLM Reference'!$B$5</f>
        <v>1.0925461391873905E-4</v>
      </c>
      <c r="L579" s="229">
        <v>0</v>
      </c>
      <c r="M579" s="28">
        <f>[1]!Table3[[#This Row],[C&amp;I CLM $ Collected]]/'[1]1.) CLM Reference'!$B$4</f>
        <v>0</v>
      </c>
      <c r="N579" s="229">
        <v>0</v>
      </c>
      <c r="O579" s="28">
        <f>[1]!Table3[[#This Row],[C&amp;I Incentive Disbursements]]/'[1]1.) CLM Reference'!$B$5</f>
        <v>0</v>
      </c>
      <c r="Q579">
        <f>VLOOKUP(Table3[[#This Row],[Census Tract]],'Population and Diversity Data'!$B$2:$K$823,10,FALSE)</f>
        <v>1</v>
      </c>
      <c r="R579" t="str">
        <f>VLOOKUP(Table3[[#This Row],[Census Tract]],'ES Energy Burden'!$B$2:$E$914,4,FALSE)</f>
        <v>No</v>
      </c>
    </row>
    <row r="580" spans="1:18" x14ac:dyDescent="0.2">
      <c r="A580" t="s">
        <v>2830</v>
      </c>
      <c r="B580" s="169">
        <v>9001245500</v>
      </c>
      <c r="C580" t="s">
        <v>944</v>
      </c>
      <c r="D580" s="170">
        <f>[1]!Table3[[#This Row],[Residential CLM $ Collected]]+[1]!Table3[[#This Row],[C&amp;I CLM $ Collected]]</f>
        <v>46970.230482000006</v>
      </c>
      <c r="E580" s="28">
        <f>[1]!Table3[[#This Row],[CLM $ Collected ]]/'[1]1.) CLM Reference'!$B$4</f>
        <v>5.0565201688051954E-4</v>
      </c>
      <c r="F580" s="170">
        <f>[1]!Table3[[#This Row],[Residential Incentive Disbursements]]+[1]!Table3[[#This Row],[C&amp;I Incentive Disbursements]]</f>
        <v>19536.689999999999</v>
      </c>
      <c r="G580" s="28">
        <f>[1]!Table3[[#This Row],[Incentive Disbursements]]/'[1]1.) CLM Reference'!$B$5</f>
        <v>1.5686284551041796E-4</v>
      </c>
      <c r="H580" s="228">
        <v>46970.230482000006</v>
      </c>
      <c r="I580" s="28">
        <f>[1]!Table3[[#This Row],[Residential CLM $ Collected]]/'[1]1.) CLM Reference'!$B$4</f>
        <v>5.0565201688051954E-4</v>
      </c>
      <c r="J580" s="229">
        <v>19536.689999999999</v>
      </c>
      <c r="K580" s="28">
        <f>[1]!Table3[[#This Row],[Residential Incentive Disbursements]]/'[1]1.) CLM Reference'!$B$5</f>
        <v>1.5686284551041796E-4</v>
      </c>
      <c r="L580" s="229">
        <v>0</v>
      </c>
      <c r="M580" s="28">
        <f>[1]!Table3[[#This Row],[C&amp;I CLM $ Collected]]/'[1]1.) CLM Reference'!$B$4</f>
        <v>0</v>
      </c>
      <c r="N580" s="229">
        <v>0</v>
      </c>
      <c r="O580" s="28">
        <f>[1]!Table3[[#This Row],[C&amp;I Incentive Disbursements]]/'[1]1.) CLM Reference'!$B$5</f>
        <v>0</v>
      </c>
      <c r="Q580">
        <f>VLOOKUP(Table3[[#This Row],[Census Tract]],'Population and Diversity Data'!$B$2:$K$823,10,FALSE)</f>
        <v>3</v>
      </c>
      <c r="R580" t="str">
        <f>VLOOKUP(Table3[[#This Row],[Census Tract]],'ES Energy Burden'!$B$2:$E$914,4,FALSE)</f>
        <v>No</v>
      </c>
    </row>
    <row r="581" spans="1:18" x14ac:dyDescent="0.2">
      <c r="A581" t="s">
        <v>2830</v>
      </c>
      <c r="B581" s="169">
        <v>9001245600</v>
      </c>
      <c r="C581" t="s">
        <v>944</v>
      </c>
      <c r="D581" s="170">
        <f>[1]!Table3[[#This Row],[Residential CLM $ Collected]]+[1]!Table3[[#This Row],[C&amp;I CLM $ Collected]]</f>
        <v>90802.915181999997</v>
      </c>
      <c r="E581" s="28">
        <f>[1]!Table3[[#This Row],[CLM $ Collected ]]/'[1]1.) CLM Reference'!$B$4</f>
        <v>9.7752718539468393E-4</v>
      </c>
      <c r="F581" s="170">
        <f>[1]!Table3[[#This Row],[Residential Incentive Disbursements]]+[1]!Table3[[#This Row],[C&amp;I Incentive Disbursements]]</f>
        <v>57749.06</v>
      </c>
      <c r="G581" s="28">
        <f>[1]!Table3[[#This Row],[Incentive Disbursements]]/'[1]1.) CLM Reference'!$B$5</f>
        <v>4.6367536553796256E-4</v>
      </c>
      <c r="H581" s="228">
        <v>90802.915181999997</v>
      </c>
      <c r="I581" s="28">
        <f>[1]!Table3[[#This Row],[Residential CLM $ Collected]]/'[1]1.) CLM Reference'!$B$4</f>
        <v>9.7752718539468393E-4</v>
      </c>
      <c r="J581" s="229">
        <v>57749.06</v>
      </c>
      <c r="K581" s="28">
        <f>[1]!Table3[[#This Row],[Residential Incentive Disbursements]]/'[1]1.) CLM Reference'!$B$5</f>
        <v>4.6367536553796256E-4</v>
      </c>
      <c r="L581" s="229">
        <v>0</v>
      </c>
      <c r="M581" s="28">
        <f>[1]!Table3[[#This Row],[C&amp;I CLM $ Collected]]/'[1]1.) CLM Reference'!$B$4</f>
        <v>0</v>
      </c>
      <c r="N581" s="229">
        <v>0</v>
      </c>
      <c r="O581" s="28">
        <f>[1]!Table3[[#This Row],[C&amp;I Incentive Disbursements]]/'[1]1.) CLM Reference'!$B$5</f>
        <v>0</v>
      </c>
      <c r="Q581">
        <f>VLOOKUP(Table3[[#This Row],[Census Tract]],'Population and Diversity Data'!$B$2:$K$823,10,FALSE)</f>
        <v>3</v>
      </c>
      <c r="R581" t="str">
        <f>VLOOKUP(Table3[[#This Row],[Census Tract]],'ES Energy Burden'!$B$2:$E$914,4,FALSE)</f>
        <v>No</v>
      </c>
    </row>
    <row r="582" spans="1:18" x14ac:dyDescent="0.2">
      <c r="A582" t="s">
        <v>2831</v>
      </c>
      <c r="B582" s="169">
        <v>9003490100</v>
      </c>
      <c r="C582" t="s">
        <v>944</v>
      </c>
      <c r="D582" s="170">
        <f>[1]!Table3[[#This Row],[Residential CLM $ Collected]]+[1]!Table3[[#This Row],[C&amp;I CLM $ Collected]]</f>
        <v>46378.276790999997</v>
      </c>
      <c r="E582" s="28">
        <f>[1]!Table3[[#This Row],[CLM $ Collected ]]/'[1]1.) CLM Reference'!$B$4</f>
        <v>4.9927941502861406E-4</v>
      </c>
      <c r="F582" s="170">
        <f>[1]!Table3[[#This Row],[Residential Incentive Disbursements]]+[1]!Table3[[#This Row],[C&amp;I Incentive Disbursements]]</f>
        <v>72265.899999999994</v>
      </c>
      <c r="G582" s="28">
        <f>[1]!Table3[[#This Row],[Incentive Disbursements]]/'[1]1.) CLM Reference'!$B$5</f>
        <v>5.8023312584533577E-4</v>
      </c>
      <c r="H582" s="228">
        <v>46378.276790999997</v>
      </c>
      <c r="I582" s="28">
        <f>[1]!Table3[[#This Row],[Residential CLM $ Collected]]/'[1]1.) CLM Reference'!$B$4</f>
        <v>4.9927941502861406E-4</v>
      </c>
      <c r="J582" s="229">
        <v>72265.899999999994</v>
      </c>
      <c r="K582" s="28">
        <f>[1]!Table3[[#This Row],[Residential Incentive Disbursements]]/'[1]1.) CLM Reference'!$B$5</f>
        <v>5.8023312584533577E-4</v>
      </c>
      <c r="L582" s="229">
        <v>0</v>
      </c>
      <c r="M582" s="28">
        <f>[1]!Table3[[#This Row],[C&amp;I CLM $ Collected]]/'[1]1.) CLM Reference'!$B$4</f>
        <v>0</v>
      </c>
      <c r="N582" s="229">
        <v>0</v>
      </c>
      <c r="O582" s="28">
        <f>[1]!Table3[[#This Row],[C&amp;I Incentive Disbursements]]/'[1]1.) CLM Reference'!$B$5</f>
        <v>0</v>
      </c>
      <c r="Q582">
        <f>VLOOKUP(Table3[[#This Row],[Census Tract]],'Population and Diversity Data'!$B$2:$K$823,10,FALSE)</f>
        <v>4</v>
      </c>
      <c r="R582" t="str">
        <f>VLOOKUP(Table3[[#This Row],[Census Tract]],'ES Energy Burden'!$B$2:$E$914,4,FALSE)</f>
        <v>No</v>
      </c>
    </row>
    <row r="583" spans="1:18" x14ac:dyDescent="0.2">
      <c r="A583" t="s">
        <v>2831</v>
      </c>
      <c r="B583" s="169">
        <v>9003490302</v>
      </c>
      <c r="C583" t="s">
        <v>944</v>
      </c>
      <c r="D583" s="170">
        <f>[1]!Table3[[#This Row],[Residential CLM $ Collected]]+[1]!Table3[[#This Row],[C&amp;I CLM $ Collected]]</f>
        <v>295401.81516300002</v>
      </c>
      <c r="E583" s="28">
        <f>[1]!Table3[[#This Row],[CLM $ Collected ]]/'[1]1.) CLM Reference'!$B$4</f>
        <v>3.1801105103067225E-3</v>
      </c>
      <c r="F583" s="170">
        <f>[1]!Table3[[#This Row],[Residential Incentive Disbursements]]+[1]!Table3[[#This Row],[C&amp;I Incentive Disbursements]]</f>
        <v>261765.49249999999</v>
      </c>
      <c r="G583" s="28">
        <f>[1]!Table3[[#This Row],[Incentive Disbursements]]/'[1]1.) CLM Reference'!$B$5</f>
        <v>2.1017521396913177E-3</v>
      </c>
      <c r="H583" s="228">
        <v>171705.22294800001</v>
      </c>
      <c r="I583" s="28">
        <f>[1]!Table3[[#This Row],[Residential CLM $ Collected]]/'[1]1.) CLM Reference'!$B$4</f>
        <v>1.8484706462287414E-3</v>
      </c>
      <c r="J583" s="229">
        <v>208482.1225</v>
      </c>
      <c r="K583" s="28">
        <f>[1]!Table3[[#This Row],[Residential Incentive Disbursements]]/'[1]1.) CLM Reference'!$B$5</f>
        <v>1.6739324303861878E-3</v>
      </c>
      <c r="L583" s="229">
        <v>123696.592215</v>
      </c>
      <c r="M583" s="28">
        <f>[1]!Table3[[#This Row],[C&amp;I CLM $ Collected]]/'[1]1.) CLM Reference'!$B$4</f>
        <v>1.331639864077981E-3</v>
      </c>
      <c r="N583" s="229">
        <v>53283.37</v>
      </c>
      <c r="O583" s="28">
        <f>[1]!Table3[[#This Row],[C&amp;I Incentive Disbursements]]/'[1]1.) CLM Reference'!$B$5</f>
        <v>4.2781970930512995E-4</v>
      </c>
      <c r="Q583">
        <f>VLOOKUP(Table3[[#This Row],[Census Tract]],'Population and Diversity Data'!$B$2:$K$823,10,FALSE)</f>
        <v>5</v>
      </c>
      <c r="R583" t="str">
        <f>VLOOKUP(Table3[[#This Row],[Census Tract]],'ES Energy Burden'!$B$2:$E$914,4,FALSE)</f>
        <v>No</v>
      </c>
    </row>
    <row r="584" spans="1:18" x14ac:dyDescent="0.2">
      <c r="A584" t="s">
        <v>2831</v>
      </c>
      <c r="B584" s="169">
        <v>9003492600</v>
      </c>
      <c r="C584" t="s">
        <v>944</v>
      </c>
      <c r="D584" s="170">
        <f>[1]!Table3[[#This Row],[Residential CLM $ Collected]]+[1]!Table3[[#This Row],[C&amp;I CLM $ Collected]]</f>
        <v>31.32255</v>
      </c>
      <c r="E584" s="28">
        <f>[1]!Table3[[#This Row],[CLM $ Collected ]]/'[1]1.) CLM Reference'!$B$4</f>
        <v>3.3719891128510636E-7</v>
      </c>
      <c r="F584" s="170">
        <f>[1]!Table3[[#This Row],[Residential Incentive Disbursements]]+[1]!Table3[[#This Row],[C&amp;I Incentive Disbursements]]</f>
        <v>0</v>
      </c>
      <c r="G584" s="28">
        <f>[1]!Table3[[#This Row],[Incentive Disbursements]]/'[1]1.) CLM Reference'!$B$5</f>
        <v>0</v>
      </c>
      <c r="H584" s="228">
        <v>31.32255</v>
      </c>
      <c r="I584" s="28">
        <f>[1]!Table3[[#This Row],[Residential CLM $ Collected]]/'[1]1.) CLM Reference'!$B$4</f>
        <v>3.3719891128510636E-7</v>
      </c>
      <c r="J584" s="229">
        <v>0</v>
      </c>
      <c r="K584" s="28">
        <f>[1]!Table3[[#This Row],[Residential Incentive Disbursements]]/'[1]1.) CLM Reference'!$B$5</f>
        <v>0</v>
      </c>
      <c r="L584" s="229">
        <v>0</v>
      </c>
      <c r="M584" s="28">
        <f>[1]!Table3[[#This Row],[C&amp;I CLM $ Collected]]/'[1]1.) CLM Reference'!$B$4</f>
        <v>0</v>
      </c>
      <c r="N584" s="229">
        <v>0</v>
      </c>
      <c r="O584" s="28">
        <f>[1]!Table3[[#This Row],[C&amp;I Incentive Disbursements]]/'[1]1.) CLM Reference'!$B$5</f>
        <v>0</v>
      </c>
      <c r="Q584">
        <f>VLOOKUP(Table3[[#This Row],[Census Tract]],'Population and Diversity Data'!$B$2:$K$823,10,FALSE)</f>
        <v>1</v>
      </c>
      <c r="R584" t="str">
        <f>VLOOKUP(Table3[[#This Row],[Census Tract]],'ES Energy Burden'!$B$2:$E$914,4,FALSE)</f>
        <v>No</v>
      </c>
    </row>
    <row r="585" spans="1:18" x14ac:dyDescent="0.2">
      <c r="A585" t="s">
        <v>2831</v>
      </c>
      <c r="B585" s="169">
        <v>9003524200</v>
      </c>
      <c r="C585" t="s">
        <v>944</v>
      </c>
      <c r="D585" s="170">
        <f>[1]!Table3[[#This Row],[Residential CLM $ Collected]]+[1]!Table3[[#This Row],[C&amp;I CLM $ Collected]]</f>
        <v>57713.538140999997</v>
      </c>
      <c r="E585" s="28">
        <f>[1]!Table3[[#This Row],[CLM $ Collected ]]/'[1]1.) CLM Reference'!$B$4</f>
        <v>6.2130772327146614E-4</v>
      </c>
      <c r="F585" s="170">
        <f>[1]!Table3[[#This Row],[Residential Incentive Disbursements]]+[1]!Table3[[#This Row],[C&amp;I Incentive Disbursements]]</f>
        <v>31825.62</v>
      </c>
      <c r="G585" s="28">
        <f>[1]!Table3[[#This Row],[Incentive Disbursements]]/'[1]1.) CLM Reference'!$B$5</f>
        <v>2.5553240151393445E-4</v>
      </c>
      <c r="H585" s="228">
        <v>57713.538140999997</v>
      </c>
      <c r="I585" s="28">
        <f>[1]!Table3[[#This Row],[Residential CLM $ Collected]]/'[1]1.) CLM Reference'!$B$4</f>
        <v>6.2130772327146614E-4</v>
      </c>
      <c r="J585" s="229">
        <v>31825.62</v>
      </c>
      <c r="K585" s="28">
        <f>[1]!Table3[[#This Row],[Residential Incentive Disbursements]]/'[1]1.) CLM Reference'!$B$5</f>
        <v>2.5553240151393445E-4</v>
      </c>
      <c r="L585" s="229">
        <v>0</v>
      </c>
      <c r="M585" s="28">
        <f>[1]!Table3[[#This Row],[C&amp;I CLM $ Collected]]/'[1]1.) CLM Reference'!$B$4</f>
        <v>0</v>
      </c>
      <c r="N585" s="229">
        <v>0</v>
      </c>
      <c r="O585" s="28">
        <f>[1]!Table3[[#This Row],[C&amp;I Incentive Disbursements]]/'[1]1.) CLM Reference'!$B$5</f>
        <v>0</v>
      </c>
      <c r="Q585">
        <f>VLOOKUP(Table3[[#This Row],[Census Tract]],'Population and Diversity Data'!$B$2:$K$823,10,FALSE)</f>
        <v>4</v>
      </c>
      <c r="R585" t="str">
        <f>VLOOKUP(Table3[[#This Row],[Census Tract]],'ES Energy Burden'!$B$2:$E$914,4,FALSE)</f>
        <v>No</v>
      </c>
    </row>
    <row r="586" spans="1:18" x14ac:dyDescent="0.2">
      <c r="A586" t="s">
        <v>2832</v>
      </c>
      <c r="B586" s="169">
        <v>9005268100</v>
      </c>
      <c r="C586" t="s">
        <v>944</v>
      </c>
      <c r="D586" s="170">
        <f>[1]!Table3[[#This Row],[Residential CLM $ Collected]]+[1]!Table3[[#This Row],[C&amp;I CLM $ Collected]]</f>
        <v>84247.663332000011</v>
      </c>
      <c r="E586" s="28">
        <f>[1]!Table3[[#This Row],[CLM $ Collected ]]/'[1]1.) CLM Reference'!$B$4</f>
        <v>9.069574588871143E-4</v>
      </c>
      <c r="F586" s="170">
        <f>[1]!Table3[[#This Row],[Residential Incentive Disbursements]]+[1]!Table3[[#This Row],[C&amp;I Incentive Disbursements]]</f>
        <v>115922.63499999999</v>
      </c>
      <c r="G586" s="28">
        <f>[1]!Table3[[#This Row],[Incentive Disbursements]]/'[1]1.) CLM Reference'!$B$5</f>
        <v>9.3075922201588752E-4</v>
      </c>
      <c r="H586" s="228">
        <v>78854.891052000006</v>
      </c>
      <c r="I586" s="28">
        <f>[1]!Table3[[#This Row],[Residential CLM $ Collected]]/'[1]1.) CLM Reference'!$B$4</f>
        <v>8.4890225771018252E-4</v>
      </c>
      <c r="J586" s="229">
        <v>115655.435</v>
      </c>
      <c r="K586" s="28">
        <f>[1]!Table3[[#This Row],[Residential Incentive Disbursements]]/'[1]1.) CLM Reference'!$B$5</f>
        <v>9.2861383544731409E-4</v>
      </c>
      <c r="L586" s="229">
        <v>5392.7722800000001</v>
      </c>
      <c r="M586" s="28">
        <f>[1]!Table3[[#This Row],[C&amp;I CLM $ Collected]]/'[1]1.) CLM Reference'!$B$4</f>
        <v>5.8055201176931659E-5</v>
      </c>
      <c r="N586" s="229">
        <v>267.2</v>
      </c>
      <c r="O586" s="28">
        <f>[1]!Table3[[#This Row],[C&amp;I Incentive Disbursements]]/'[1]1.) CLM Reference'!$B$5</f>
        <v>2.1453865685734729E-6</v>
      </c>
      <c r="Q586">
        <f>VLOOKUP(Table3[[#This Row],[Census Tract]],'Population and Diversity Data'!$B$2:$K$823,10,FALSE)</f>
        <v>1</v>
      </c>
      <c r="R586" t="str">
        <f>VLOOKUP(Table3[[#This Row],[Census Tract]],'ES Energy Burden'!$B$2:$E$914,4,FALSE)</f>
        <v>No</v>
      </c>
    </row>
    <row r="587" spans="1:18" x14ac:dyDescent="0.2">
      <c r="A587" t="s">
        <v>2833</v>
      </c>
      <c r="B587" s="169">
        <v>9007595101</v>
      </c>
      <c r="C587" t="s">
        <v>944</v>
      </c>
      <c r="D587" s="170">
        <f>[1]!Table3[[#This Row],[Residential CLM $ Collected]]+[1]!Table3[[#This Row],[C&amp;I CLM $ Collected]]</f>
        <v>310.96989000000002</v>
      </c>
      <c r="E587" s="28">
        <f>[1]!Table3[[#This Row],[CLM $ Collected ]]/'[1]1.) CLM Reference'!$B$4</f>
        <v>3.34770663149869E-6</v>
      </c>
      <c r="F587" s="170">
        <f>[1]!Table3[[#This Row],[Residential Incentive Disbursements]]+[1]!Table3[[#This Row],[C&amp;I Incentive Disbursements]]</f>
        <v>0</v>
      </c>
      <c r="G587" s="28">
        <f>[1]!Table3[[#This Row],[Incentive Disbursements]]/'[1]1.) CLM Reference'!$B$5</f>
        <v>0</v>
      </c>
      <c r="H587" s="228">
        <v>310.96989000000002</v>
      </c>
      <c r="I587" s="28">
        <f>[1]!Table3[[#This Row],[Residential CLM $ Collected]]/'[1]1.) CLM Reference'!$B$4</f>
        <v>3.34770663149869E-6</v>
      </c>
      <c r="J587" s="229">
        <v>0</v>
      </c>
      <c r="K587" s="28">
        <f>[1]!Table3[[#This Row],[Residential Incentive Disbursements]]/'[1]1.) CLM Reference'!$B$5</f>
        <v>0</v>
      </c>
      <c r="L587" s="229">
        <v>0</v>
      </c>
      <c r="M587" s="28">
        <f>[1]!Table3[[#This Row],[C&amp;I CLM $ Collected]]/'[1]1.) CLM Reference'!$B$4</f>
        <v>0</v>
      </c>
      <c r="N587" s="229">
        <v>0</v>
      </c>
      <c r="O587" s="28">
        <f>[1]!Table3[[#This Row],[C&amp;I Incentive Disbursements]]/'[1]1.) CLM Reference'!$B$5</f>
        <v>0</v>
      </c>
      <c r="Q587">
        <f>VLOOKUP(Table3[[#This Row],[Census Tract]],'Population and Diversity Data'!$B$2:$K$823,10,FALSE)</f>
        <v>1</v>
      </c>
      <c r="R587" t="str">
        <f>VLOOKUP(Table3[[#This Row],[Census Tract]],'ES Energy Burden'!$B$2:$E$914,4,FALSE)</f>
        <v>No</v>
      </c>
    </row>
    <row r="588" spans="1:18" x14ac:dyDescent="0.2">
      <c r="A588" t="s">
        <v>2833</v>
      </c>
      <c r="B588" s="169">
        <v>9011715100</v>
      </c>
      <c r="C588" t="s">
        <v>944</v>
      </c>
      <c r="D588" s="170">
        <f>[1]!Table3[[#This Row],[Residential CLM $ Collected]]+[1]!Table3[[#This Row],[C&amp;I CLM $ Collected]]</f>
        <v>97614.638583000007</v>
      </c>
      <c r="E588" s="28">
        <f>[1]!Table3[[#This Row],[CLM $ Collected ]]/'[1]1.) CLM Reference'!$B$4</f>
        <v>1.0508579236261652E-3</v>
      </c>
      <c r="F588" s="170">
        <f>[1]!Table3[[#This Row],[Residential Incentive Disbursements]]+[1]!Table3[[#This Row],[C&amp;I Incentive Disbursements]]</f>
        <v>143501.97</v>
      </c>
      <c r="G588" s="28">
        <f>[1]!Table3[[#This Row],[Incentive Disbursements]]/'[1]1.) CLM Reference'!$B$5</f>
        <v>1.1521976010547658E-3</v>
      </c>
      <c r="H588" s="228">
        <v>81863.863683000003</v>
      </c>
      <c r="I588" s="28">
        <f>[1]!Table3[[#This Row],[Residential CLM $ Collected]]/'[1]1.) CLM Reference'!$B$4</f>
        <v>8.8129496824172868E-4</v>
      </c>
      <c r="J588" s="229">
        <v>122564.54</v>
      </c>
      <c r="K588" s="28">
        <f>[1]!Table3[[#This Row],[Residential Incentive Disbursements]]/'[1]1.) CLM Reference'!$B$5</f>
        <v>9.8408801609051687E-4</v>
      </c>
      <c r="L588" s="229">
        <v>15750.7749</v>
      </c>
      <c r="M588" s="28">
        <f>[1]!Table3[[#This Row],[C&amp;I CLM $ Collected]]/'[1]1.) CLM Reference'!$B$4</f>
        <v>1.6956295538443647E-4</v>
      </c>
      <c r="N588" s="229">
        <v>20937.43</v>
      </c>
      <c r="O588" s="28">
        <f>[1]!Table3[[#This Row],[C&amp;I Incentive Disbursements]]/'[1]1.) CLM Reference'!$B$5</f>
        <v>1.6810958496424883E-4</v>
      </c>
      <c r="Q588">
        <f>VLOOKUP(Table3[[#This Row],[Census Tract]],'Population and Diversity Data'!$B$2:$K$823,10,FALSE)</f>
        <v>3</v>
      </c>
      <c r="R588" t="str">
        <f>VLOOKUP(Table3[[#This Row],[Census Tract]],'ES Energy Burden'!$B$2:$E$914,4,FALSE)</f>
        <v>No</v>
      </c>
    </row>
    <row r="589" spans="1:18" x14ac:dyDescent="0.2">
      <c r="A589" t="s">
        <v>2834</v>
      </c>
      <c r="B589" s="169">
        <v>9005261100</v>
      </c>
      <c r="C589" t="s">
        <v>944</v>
      </c>
      <c r="D589" s="170">
        <f>[1]!Table3[[#This Row],[Residential CLM $ Collected]]+[1]!Table3[[#This Row],[C&amp;I CLM $ Collected]]</f>
        <v>149224.667529</v>
      </c>
      <c r="E589" s="28">
        <f>[1]!Table3[[#This Row],[CLM $ Collected ]]/'[1]1.) CLM Reference'!$B$4</f>
        <v>1.6064590982426642E-3</v>
      </c>
      <c r="F589" s="170">
        <f>[1]!Table3[[#This Row],[Residential Incentive Disbursements]]+[1]!Table3[[#This Row],[C&amp;I Incentive Disbursements]]</f>
        <v>90519.815000000002</v>
      </c>
      <c r="G589" s="28">
        <f>[1]!Table3[[#This Row],[Incentive Disbursements]]/'[1]1.) CLM Reference'!$B$5</f>
        <v>7.2679638956121102E-4</v>
      </c>
      <c r="H589" s="228">
        <v>117172.90827900001</v>
      </c>
      <c r="I589" s="28">
        <f>[1]!Table3[[#This Row],[Residential CLM $ Collected]]/'[1]1.) CLM Reference'!$B$4</f>
        <v>1.2614099779164989E-3</v>
      </c>
      <c r="J589" s="229">
        <v>85628.214999999997</v>
      </c>
      <c r="K589" s="28">
        <f>[1]!Table3[[#This Row],[Residential Incentive Disbursements]]/'[1]1.) CLM Reference'!$B$5</f>
        <v>6.8752104173623336E-4</v>
      </c>
      <c r="L589" s="229">
        <v>32051.759249999999</v>
      </c>
      <c r="M589" s="28">
        <f>[1]!Table3[[#This Row],[C&amp;I CLM $ Collected]]/'[1]1.) CLM Reference'!$B$4</f>
        <v>3.4504912032616559E-4</v>
      </c>
      <c r="N589" s="229">
        <v>4891.6000000000004</v>
      </c>
      <c r="O589" s="28">
        <f>[1]!Table3[[#This Row],[C&amp;I Incentive Disbursements]]/'[1]1.) CLM Reference'!$B$5</f>
        <v>3.9275347824977546E-5</v>
      </c>
      <c r="Q589">
        <f>VLOOKUP(Table3[[#This Row],[Census Tract]],'Population and Diversity Data'!$B$2:$K$823,10,FALSE)</f>
        <v>1</v>
      </c>
      <c r="R589" t="str">
        <f>VLOOKUP(Table3[[#This Row],[Census Tract]],'ES Energy Burden'!$B$2:$E$914,4,FALSE)</f>
        <v>No</v>
      </c>
    </row>
    <row r="590" spans="1:18" x14ac:dyDescent="0.2">
      <c r="A590" t="s">
        <v>2834</v>
      </c>
      <c r="B590" s="169">
        <v>9005262100</v>
      </c>
      <c r="C590" t="s">
        <v>944</v>
      </c>
      <c r="D590" s="170">
        <f>[1]!Table3[[#This Row],[Residential CLM $ Collected]]+[1]!Table3[[#This Row],[C&amp;I CLM $ Collected]]</f>
        <v>515.77638000000002</v>
      </c>
      <c r="E590" s="28">
        <f>[1]!Table3[[#This Row],[CLM $ Collected ]]/'[1]1.) CLM Reference'!$B$4</f>
        <v>5.5525247402453924E-6</v>
      </c>
      <c r="F590" s="170">
        <f>[1]!Table3[[#This Row],[Residential Incentive Disbursements]]+[1]!Table3[[#This Row],[C&amp;I Incentive Disbursements]]</f>
        <v>0</v>
      </c>
      <c r="G590" s="28">
        <f>[1]!Table3[[#This Row],[Incentive Disbursements]]/'[1]1.) CLM Reference'!$B$5</f>
        <v>0</v>
      </c>
      <c r="H590" s="228">
        <v>515.77638000000002</v>
      </c>
      <c r="I590" s="28">
        <f>[1]!Table3[[#This Row],[Residential CLM $ Collected]]/'[1]1.) CLM Reference'!$B$4</f>
        <v>5.5525247402453924E-6</v>
      </c>
      <c r="J590" s="229">
        <v>0</v>
      </c>
      <c r="K590" s="28">
        <f>[1]!Table3[[#This Row],[Residential Incentive Disbursements]]/'[1]1.) CLM Reference'!$B$5</f>
        <v>0</v>
      </c>
      <c r="L590" s="229">
        <v>0</v>
      </c>
      <c r="M590" s="28">
        <f>[1]!Table3[[#This Row],[C&amp;I CLM $ Collected]]/'[1]1.) CLM Reference'!$B$4</f>
        <v>0</v>
      </c>
      <c r="N590" s="229">
        <v>0</v>
      </c>
      <c r="O590" s="28">
        <f>[1]!Table3[[#This Row],[C&amp;I Incentive Disbursements]]/'[1]1.) CLM Reference'!$B$5</f>
        <v>0</v>
      </c>
      <c r="Q590">
        <f>VLOOKUP(Table3[[#This Row],[Census Tract]],'Population and Diversity Data'!$B$2:$K$823,10,FALSE)</f>
        <v>1</v>
      </c>
      <c r="R590" t="str">
        <f>VLOOKUP(Table3[[#This Row],[Census Tract]],'ES Energy Burden'!$B$2:$E$914,4,FALSE)</f>
        <v>No</v>
      </c>
    </row>
    <row r="591" spans="1:18" x14ac:dyDescent="0.2">
      <c r="A591" t="s">
        <v>2835</v>
      </c>
      <c r="B591" s="169">
        <v>9015825000</v>
      </c>
      <c r="C591" t="s">
        <v>944</v>
      </c>
      <c r="D591" s="170">
        <f>[1]!Table3[[#This Row],[Residential CLM $ Collected]]+[1]!Table3[[#This Row],[C&amp;I CLM $ Collected]]</f>
        <v>28575.067772999999</v>
      </c>
      <c r="E591" s="28">
        <f>[1]!Table3[[#This Row],[CLM $ Collected ]]/'[1]1.) CLM Reference'!$B$4</f>
        <v>3.0762124229839934E-4</v>
      </c>
      <c r="F591" s="170">
        <f>[1]!Table3[[#This Row],[Residential Incentive Disbursements]]+[1]!Table3[[#This Row],[C&amp;I Incentive Disbursements]]</f>
        <v>26036.080000000002</v>
      </c>
      <c r="G591" s="28">
        <f>[1]!Table3[[#This Row],[Incentive Disbursements]]/'[1]1.) CLM Reference'!$B$5</f>
        <v>2.0904736650563033E-4</v>
      </c>
      <c r="H591" s="228">
        <v>26886.393512999999</v>
      </c>
      <c r="I591" s="28">
        <f>[1]!Table3[[#This Row],[Residential CLM $ Collected]]/'[1]1.) CLM Reference'!$B$4</f>
        <v>2.8944203524191187E-4</v>
      </c>
      <c r="J591" s="229">
        <v>26036.080000000002</v>
      </c>
      <c r="K591" s="28">
        <f>[1]!Table3[[#This Row],[Residential Incentive Disbursements]]/'[1]1.) CLM Reference'!$B$5</f>
        <v>2.0904736650563033E-4</v>
      </c>
      <c r="L591" s="229">
        <v>1688.67426</v>
      </c>
      <c r="M591" s="28">
        <f>[1]!Table3[[#This Row],[C&amp;I CLM $ Collected]]/'[1]1.) CLM Reference'!$B$4</f>
        <v>1.8179207056487502E-5</v>
      </c>
      <c r="N591" s="229">
        <v>0</v>
      </c>
      <c r="O591" s="28">
        <f>[1]!Table3[[#This Row],[C&amp;I Incentive Disbursements]]/'[1]1.) CLM Reference'!$B$5</f>
        <v>0</v>
      </c>
      <c r="Q591">
        <f>VLOOKUP(Table3[[#This Row],[Census Tract]],'Population and Diversity Data'!$B$2:$K$823,10,FALSE)</f>
        <v>2</v>
      </c>
      <c r="R591" t="str">
        <f>VLOOKUP(Table3[[#This Row],[Census Tract]],'ES Energy Burden'!$B$2:$E$914,4,FALSE)</f>
        <v>No</v>
      </c>
    </row>
    <row r="592" spans="1:18" x14ac:dyDescent="0.2">
      <c r="A592" t="s">
        <v>2836</v>
      </c>
      <c r="B592" s="169">
        <v>9009120200</v>
      </c>
      <c r="C592" t="s">
        <v>944</v>
      </c>
      <c r="D592" s="170">
        <f>[1]!Table3[[#This Row],[Residential CLM $ Collected]]+[1]!Table3[[#This Row],[C&amp;I CLM $ Collected]]</f>
        <v>82.235579999999999</v>
      </c>
      <c r="E592" s="28">
        <f>[1]!Table3[[#This Row],[CLM $ Collected ]]/'[1]1.) CLM Reference'!$B$4</f>
        <v>8.8529663277412816E-7</v>
      </c>
      <c r="F592" s="170">
        <f>[1]!Table3[[#This Row],[Residential Incentive Disbursements]]+[1]!Table3[[#This Row],[C&amp;I Incentive Disbursements]]</f>
        <v>0</v>
      </c>
      <c r="G592" s="28">
        <f>[1]!Table3[[#This Row],[Incentive Disbursements]]/'[1]1.) CLM Reference'!$B$5</f>
        <v>0</v>
      </c>
      <c r="H592" s="228">
        <v>82.235579999999999</v>
      </c>
      <c r="I592" s="28">
        <f>[1]!Table3[[#This Row],[Residential CLM $ Collected]]/'[1]1.) CLM Reference'!$B$4</f>
        <v>8.8529663277412816E-7</v>
      </c>
      <c r="J592" s="229">
        <v>0</v>
      </c>
      <c r="K592" s="28">
        <f>[1]!Table3[[#This Row],[Residential Incentive Disbursements]]/'[1]1.) CLM Reference'!$B$5</f>
        <v>0</v>
      </c>
      <c r="L592" s="229">
        <v>0</v>
      </c>
      <c r="M592" s="28">
        <f>[1]!Table3[[#This Row],[C&amp;I CLM $ Collected]]/'[1]1.) CLM Reference'!$B$4</f>
        <v>0</v>
      </c>
      <c r="N592" s="229">
        <v>0</v>
      </c>
      <c r="O592" s="28">
        <f>[1]!Table3[[#This Row],[C&amp;I Incentive Disbursements]]/'[1]1.) CLM Reference'!$B$5</f>
        <v>0</v>
      </c>
      <c r="Q592">
        <f>VLOOKUP(Table3[[#This Row],[Census Tract]],'Population and Diversity Data'!$B$2:$K$823,10,FALSE)</f>
        <v>4</v>
      </c>
      <c r="R592" t="str">
        <f>VLOOKUP(Table3[[#This Row],[Census Tract]],'ES Energy Burden'!$B$2:$E$914,4,FALSE)</f>
        <v>Yes</v>
      </c>
    </row>
    <row r="593" spans="1:18" x14ac:dyDescent="0.2">
      <c r="A593" t="s">
        <v>2836</v>
      </c>
      <c r="B593" s="169">
        <v>9009125300</v>
      </c>
      <c r="C593" t="s">
        <v>944</v>
      </c>
      <c r="D593" s="170">
        <f>[1]!Table3[[#This Row],[Residential CLM $ Collected]]+[1]!Table3[[#This Row],[C&amp;I CLM $ Collected]]</f>
        <v>35.635739999999998</v>
      </c>
      <c r="E593" s="28">
        <f>[1]!Table3[[#This Row],[CLM $ Collected ]]/'[1]1.) CLM Reference'!$B$4</f>
        <v>3.8363200731866071E-7</v>
      </c>
      <c r="F593" s="170">
        <f>[1]!Table3[[#This Row],[Residential Incentive Disbursements]]+[1]!Table3[[#This Row],[C&amp;I Incentive Disbursements]]</f>
        <v>0</v>
      </c>
      <c r="G593" s="28">
        <f>[1]!Table3[[#This Row],[Incentive Disbursements]]/'[1]1.) CLM Reference'!$B$5</f>
        <v>0</v>
      </c>
      <c r="H593" s="228">
        <v>35.635739999999998</v>
      </c>
      <c r="I593" s="28">
        <f>[1]!Table3[[#This Row],[Residential CLM $ Collected]]/'[1]1.) CLM Reference'!$B$4</f>
        <v>3.8363200731866071E-7</v>
      </c>
      <c r="J593" s="229">
        <v>0</v>
      </c>
      <c r="K593" s="28">
        <f>[1]!Table3[[#This Row],[Residential Incentive Disbursements]]/'[1]1.) CLM Reference'!$B$5</f>
        <v>0</v>
      </c>
      <c r="L593" s="229">
        <v>0</v>
      </c>
      <c r="M593" s="28">
        <f>[1]!Table3[[#This Row],[C&amp;I CLM $ Collected]]/'[1]1.) CLM Reference'!$B$4</f>
        <v>0</v>
      </c>
      <c r="N593" s="229">
        <v>0</v>
      </c>
      <c r="O593" s="28">
        <f>[1]!Table3[[#This Row],[C&amp;I Incentive Disbursements]]/'[1]1.) CLM Reference'!$B$5</f>
        <v>0</v>
      </c>
      <c r="Q593">
        <f>VLOOKUP(Table3[[#This Row],[Census Tract]],'Population and Diversity Data'!$B$2:$K$823,10,FALSE)</f>
        <v>5</v>
      </c>
      <c r="R593" t="str">
        <f>VLOOKUP(Table3[[#This Row],[Census Tract]],'ES Energy Burden'!$B$2:$E$914,4,FALSE)</f>
        <v>No</v>
      </c>
    </row>
    <row r="594" spans="1:18" x14ac:dyDescent="0.2">
      <c r="A594" t="s">
        <v>2836</v>
      </c>
      <c r="B594" s="169">
        <v>9009125400</v>
      </c>
      <c r="C594" t="s">
        <v>944</v>
      </c>
      <c r="D594" s="170">
        <f>[1]!Table3[[#This Row],[Residential CLM $ Collected]]+[1]!Table3[[#This Row],[C&amp;I CLM $ Collected]]</f>
        <v>673.70771999999999</v>
      </c>
      <c r="E594" s="28">
        <f>[1]!Table3[[#This Row],[CLM $ Collected ]]/'[1]1.) CLM Reference'!$B$4</f>
        <v>7.2527144088961877E-6</v>
      </c>
      <c r="F594" s="170">
        <f>[1]!Table3[[#This Row],[Residential Incentive Disbursements]]+[1]!Table3[[#This Row],[C&amp;I Incentive Disbursements]]</f>
        <v>2816.59</v>
      </c>
      <c r="G594" s="28">
        <f>[1]!Table3[[#This Row],[Incentive Disbursements]]/'[1]1.) CLM Reference'!$B$5</f>
        <v>2.2614799233451939E-5</v>
      </c>
      <c r="H594" s="228">
        <v>673.70771999999999</v>
      </c>
      <c r="I594" s="28">
        <f>[1]!Table3[[#This Row],[Residential CLM $ Collected]]/'[1]1.) CLM Reference'!$B$4</f>
        <v>7.2527144088961877E-6</v>
      </c>
      <c r="J594" s="229">
        <v>2816.59</v>
      </c>
      <c r="K594" s="28">
        <f>[1]!Table3[[#This Row],[Residential Incentive Disbursements]]/'[1]1.) CLM Reference'!$B$5</f>
        <v>2.2614799233451939E-5</v>
      </c>
      <c r="L594" s="229">
        <v>0</v>
      </c>
      <c r="M594" s="28">
        <f>[1]!Table3[[#This Row],[C&amp;I CLM $ Collected]]/'[1]1.) CLM Reference'!$B$4</f>
        <v>0</v>
      </c>
      <c r="N594" s="229">
        <v>0</v>
      </c>
      <c r="O594" s="28">
        <f>[1]!Table3[[#This Row],[C&amp;I Incentive Disbursements]]/'[1]1.) CLM Reference'!$B$5</f>
        <v>0</v>
      </c>
      <c r="Q594">
        <f>VLOOKUP(Table3[[#This Row],[Census Tract]],'Population and Diversity Data'!$B$2:$K$823,10,FALSE)</f>
        <v>3</v>
      </c>
      <c r="R594" t="str">
        <f>VLOOKUP(Table3[[#This Row],[Census Tract]],'ES Energy Burden'!$B$2:$E$914,4,FALSE)</f>
        <v>No</v>
      </c>
    </row>
    <row r="595" spans="1:18" x14ac:dyDescent="0.2">
      <c r="A595" t="s">
        <v>2836</v>
      </c>
      <c r="B595" s="169">
        <v>9009130101</v>
      </c>
      <c r="C595" t="s">
        <v>944</v>
      </c>
      <c r="D595" s="170">
        <f>[1]!Table3[[#This Row],[Residential CLM $ Collected]]+[1]!Table3[[#This Row],[C&amp;I CLM $ Collected]]</f>
        <v>197726.65184999999</v>
      </c>
      <c r="E595" s="28">
        <f>[1]!Table3[[#This Row],[CLM $ Collected ]]/'[1]1.) CLM Reference'!$B$4</f>
        <v>2.128601015430393E-3</v>
      </c>
      <c r="F595" s="170">
        <f>[1]!Table3[[#This Row],[Residential Incentive Disbursements]]+[1]!Table3[[#This Row],[C&amp;I Incentive Disbursements]]</f>
        <v>589813.6</v>
      </c>
      <c r="G595" s="28">
        <f>[1]!Table3[[#This Row],[Incentive Disbursements]]/'[1]1.) CLM Reference'!$B$5</f>
        <v>4.7356967642289173E-3</v>
      </c>
      <c r="H595" s="228">
        <v>135871.99439099999</v>
      </c>
      <c r="I595" s="28">
        <f>[1]!Table3[[#This Row],[Residential CLM $ Collected]]/'[1]1.) CLM Reference'!$B$4</f>
        <v>1.4627126010743465E-3</v>
      </c>
      <c r="J595" s="229">
        <v>320647.8</v>
      </c>
      <c r="K595" s="28">
        <f>[1]!Table3[[#This Row],[Residential Incentive Disbursements]]/'[1]1.) CLM Reference'!$B$5</f>
        <v>2.5745265095906932E-3</v>
      </c>
      <c r="L595" s="229">
        <v>61854.657459000002</v>
      </c>
      <c r="M595" s="28">
        <f>[1]!Table3[[#This Row],[C&amp;I CLM $ Collected]]/'[1]1.) CLM Reference'!$B$4</f>
        <v>6.6588841435604655E-4</v>
      </c>
      <c r="N595" s="229">
        <v>269165.8</v>
      </c>
      <c r="O595" s="28">
        <f>[1]!Table3[[#This Row],[C&amp;I Incentive Disbursements]]/'[1]1.) CLM Reference'!$B$5</f>
        <v>2.1611702546382246E-3</v>
      </c>
      <c r="Q595">
        <f>VLOOKUP(Table3[[#This Row],[Census Tract]],'Population and Diversity Data'!$B$2:$K$823,10,FALSE)</f>
        <v>2</v>
      </c>
      <c r="R595" t="str">
        <f>VLOOKUP(Table3[[#This Row],[Census Tract]],'ES Energy Burden'!$B$2:$E$914,4,FALSE)</f>
        <v>No</v>
      </c>
    </row>
    <row r="596" spans="1:18" x14ac:dyDescent="0.2">
      <c r="A596" t="s">
        <v>2836</v>
      </c>
      <c r="B596" s="169">
        <v>9009130102</v>
      </c>
      <c r="C596" t="s">
        <v>944</v>
      </c>
      <c r="D596" s="170">
        <f>[1]!Table3[[#This Row],[Residential CLM $ Collected]]+[1]!Table3[[#This Row],[C&amp;I CLM $ Collected]]</f>
        <v>31390.566060000001</v>
      </c>
      <c r="E596" s="28">
        <f>[1]!Table3[[#This Row],[CLM $ Collected ]]/'[1]1.) CLM Reference'!$B$4</f>
        <v>3.3793112949153921E-4</v>
      </c>
      <c r="F596" s="170">
        <f>[1]!Table3[[#This Row],[Residential Incentive Disbursements]]+[1]!Table3[[#This Row],[C&amp;I Incentive Disbursements]]</f>
        <v>13943.8</v>
      </c>
      <c r="G596" s="28">
        <f>[1]!Table3[[#This Row],[Incentive Disbursements]]/'[1]1.) CLM Reference'!$B$5</f>
        <v>1.1195674114848348E-4</v>
      </c>
      <c r="H596" s="228">
        <v>31390.566060000001</v>
      </c>
      <c r="I596" s="28">
        <f>[1]!Table3[[#This Row],[Residential CLM $ Collected]]/'[1]1.) CLM Reference'!$B$4</f>
        <v>3.3793112949153921E-4</v>
      </c>
      <c r="J596" s="229">
        <v>13943.8</v>
      </c>
      <c r="K596" s="28">
        <f>[1]!Table3[[#This Row],[Residential Incentive Disbursements]]/'[1]1.) CLM Reference'!$B$5</f>
        <v>1.1195674114848348E-4</v>
      </c>
      <c r="L596" s="229">
        <v>0</v>
      </c>
      <c r="M596" s="28">
        <f>[1]!Table3[[#This Row],[C&amp;I CLM $ Collected]]/'[1]1.) CLM Reference'!$B$4</f>
        <v>0</v>
      </c>
      <c r="N596" s="229">
        <v>0</v>
      </c>
      <c r="O596" s="28">
        <f>[1]!Table3[[#This Row],[C&amp;I Incentive Disbursements]]/'[1]1.) CLM Reference'!$B$5</f>
        <v>0</v>
      </c>
      <c r="Q596">
        <f>VLOOKUP(Table3[[#This Row],[Census Tract]],'Population and Diversity Data'!$B$2:$K$823,10,FALSE)</f>
        <v>2</v>
      </c>
      <c r="R596" t="str">
        <f>VLOOKUP(Table3[[#This Row],[Census Tract]],'ES Energy Burden'!$B$2:$E$914,4,FALSE)</f>
        <v>No</v>
      </c>
    </row>
    <row r="597" spans="1:18" x14ac:dyDescent="0.2">
      <c r="A597" t="s">
        <v>2836</v>
      </c>
      <c r="B597" s="169">
        <v>9009130200</v>
      </c>
      <c r="C597" t="s">
        <v>944</v>
      </c>
      <c r="D597" s="170">
        <f>[1]!Table3[[#This Row],[Residential CLM $ Collected]]+[1]!Table3[[#This Row],[C&amp;I CLM $ Collected]]</f>
        <v>94043.91231900001</v>
      </c>
      <c r="E597" s="28">
        <f>[1]!Table3[[#This Row],[CLM $ Collected ]]/'[1]1.) CLM Reference'!$B$4</f>
        <v>1.0124177261097455E-3</v>
      </c>
      <c r="F597" s="170">
        <f>[1]!Table3[[#This Row],[Residential Incentive Disbursements]]+[1]!Table3[[#This Row],[C&amp;I Incentive Disbursements]]</f>
        <v>140529.685</v>
      </c>
      <c r="G597" s="28">
        <f>[1]!Table3[[#This Row],[Incentive Disbursements]]/'[1]1.) CLM Reference'!$B$5</f>
        <v>1.128332704658911E-3</v>
      </c>
      <c r="H597" s="228">
        <v>94043.91231900001</v>
      </c>
      <c r="I597" s="28">
        <f>[1]!Table3[[#This Row],[Residential CLM $ Collected]]/'[1]1.) CLM Reference'!$B$4</f>
        <v>1.0124177261097455E-3</v>
      </c>
      <c r="J597" s="229">
        <v>140529.685</v>
      </c>
      <c r="K597" s="28">
        <f>[1]!Table3[[#This Row],[Residential Incentive Disbursements]]/'[1]1.) CLM Reference'!$B$5</f>
        <v>1.128332704658911E-3</v>
      </c>
      <c r="L597" s="229">
        <v>0</v>
      </c>
      <c r="M597" s="28">
        <f>[1]!Table3[[#This Row],[C&amp;I CLM $ Collected]]/'[1]1.) CLM Reference'!$B$4</f>
        <v>0</v>
      </c>
      <c r="N597" s="229">
        <v>0</v>
      </c>
      <c r="O597" s="28">
        <f>[1]!Table3[[#This Row],[C&amp;I Incentive Disbursements]]/'[1]1.) CLM Reference'!$B$5</f>
        <v>0</v>
      </c>
      <c r="Q597">
        <f>VLOOKUP(Table3[[#This Row],[Census Tract]],'Population and Diversity Data'!$B$2:$K$823,10,FALSE)</f>
        <v>3</v>
      </c>
      <c r="R597" t="str">
        <f>VLOOKUP(Table3[[#This Row],[Census Tract]],'ES Energy Burden'!$B$2:$E$914,4,FALSE)</f>
        <v>No</v>
      </c>
    </row>
    <row r="598" spans="1:18" x14ac:dyDescent="0.2">
      <c r="A598" t="s">
        <v>2837</v>
      </c>
      <c r="B598" s="169">
        <v>9005262100</v>
      </c>
      <c r="C598" t="s">
        <v>944</v>
      </c>
      <c r="D598" s="170">
        <f>[1]!Table3[[#This Row],[Residential CLM $ Collected]]+[1]!Table3[[#This Row],[C&amp;I CLM $ Collected]]</f>
        <v>98514.427010999992</v>
      </c>
      <c r="E598" s="28">
        <f>[1]!Table3[[#This Row],[CLM $ Collected ]]/'[1]1.) CLM Reference'!$B$4</f>
        <v>1.0605444810203918E-3</v>
      </c>
      <c r="F598" s="170">
        <f>[1]!Table3[[#This Row],[Residential Incentive Disbursements]]+[1]!Table3[[#This Row],[C&amp;I Incentive Disbursements]]</f>
        <v>48756.182500000003</v>
      </c>
      <c r="G598" s="28">
        <f>[1]!Table3[[#This Row],[Incentive Disbursements]]/'[1]1.) CLM Reference'!$B$5</f>
        <v>3.9147028095215948E-4</v>
      </c>
      <c r="H598" s="228">
        <v>83729.574830999991</v>
      </c>
      <c r="I598" s="28">
        <f>[1]!Table3[[#This Row],[Residential CLM $ Collected]]/'[1]1.) CLM Reference'!$B$4</f>
        <v>9.0138004330356377E-4</v>
      </c>
      <c r="J598" s="229">
        <v>46758.102500000001</v>
      </c>
      <c r="K598" s="28">
        <f>[1]!Table3[[#This Row],[Residential Incentive Disbursements]]/'[1]1.) CLM Reference'!$B$5</f>
        <v>3.7542741420464715E-4</v>
      </c>
      <c r="L598" s="229">
        <v>14784.85218</v>
      </c>
      <c r="M598" s="28">
        <f>[1]!Table3[[#This Row],[C&amp;I CLM $ Collected]]/'[1]1.) CLM Reference'!$B$4</f>
        <v>1.5916443771682803E-4</v>
      </c>
      <c r="N598" s="229">
        <v>1998.08</v>
      </c>
      <c r="O598" s="28">
        <f>[1]!Table3[[#This Row],[C&amp;I Incentive Disbursements]]/'[1]1.) CLM Reference'!$B$5</f>
        <v>1.6042866747512291E-5</v>
      </c>
      <c r="Q598">
        <f>VLOOKUP(Table3[[#This Row],[Census Tract]],'Population and Diversity Data'!$B$2:$K$823,10,FALSE)</f>
        <v>1</v>
      </c>
      <c r="R598" t="str">
        <f>VLOOKUP(Table3[[#This Row],[Census Tract]],'ES Energy Burden'!$B$2:$E$914,4,FALSE)</f>
        <v>No</v>
      </c>
    </row>
    <row r="599" spans="1:18" x14ac:dyDescent="0.2">
      <c r="A599" t="s">
        <v>2837</v>
      </c>
      <c r="B599" s="169">
        <v>9005266100</v>
      </c>
      <c r="C599" t="s">
        <v>944</v>
      </c>
      <c r="D599" s="170">
        <f>[1]!Table3[[#This Row],[Residential CLM $ Collected]]+[1]!Table3[[#This Row],[C&amp;I CLM $ Collected]]</f>
        <v>419.75115</v>
      </c>
      <c r="E599" s="28">
        <f>[1]!Table3[[#This Row],[CLM $ Collected ]]/'[1]1.) CLM Reference'!$B$4</f>
        <v>4.5187773917088925E-6</v>
      </c>
      <c r="F599" s="170">
        <f>[1]!Table3[[#This Row],[Residential Incentive Disbursements]]+[1]!Table3[[#This Row],[C&amp;I Incentive Disbursements]]</f>
        <v>0</v>
      </c>
      <c r="G599" s="28">
        <f>[1]!Table3[[#This Row],[Incentive Disbursements]]/'[1]1.) CLM Reference'!$B$5</f>
        <v>0</v>
      </c>
      <c r="H599" s="228">
        <v>419.75115</v>
      </c>
      <c r="I599" s="28">
        <f>[1]!Table3[[#This Row],[Residential CLM $ Collected]]/'[1]1.) CLM Reference'!$B$4</f>
        <v>4.5187773917088925E-6</v>
      </c>
      <c r="J599" s="229">
        <v>0</v>
      </c>
      <c r="K599" s="28">
        <f>[1]!Table3[[#This Row],[Residential Incentive Disbursements]]/'[1]1.) CLM Reference'!$B$5</f>
        <v>0</v>
      </c>
      <c r="L599" s="229">
        <v>0</v>
      </c>
      <c r="M599" s="28">
        <f>[1]!Table3[[#This Row],[C&amp;I CLM $ Collected]]/'[1]1.) CLM Reference'!$B$4</f>
        <v>0</v>
      </c>
      <c r="N599" s="229">
        <v>0</v>
      </c>
      <c r="O599" s="28">
        <f>[1]!Table3[[#This Row],[C&amp;I Incentive Disbursements]]/'[1]1.) CLM Reference'!$B$5</f>
        <v>0</v>
      </c>
      <c r="Q599">
        <f>VLOOKUP(Table3[[#This Row],[Census Tract]],'Population and Diversity Data'!$B$2:$K$823,10,FALSE)</f>
        <v>2</v>
      </c>
      <c r="R599" t="str">
        <f>VLOOKUP(Table3[[#This Row],[Census Tract]],'ES Energy Burden'!$B$2:$E$914,4,FALSE)</f>
        <v>No</v>
      </c>
    </row>
    <row r="600" spans="1:18" x14ac:dyDescent="0.2">
      <c r="A600" t="s">
        <v>2838</v>
      </c>
      <c r="B600" s="169">
        <v>9001220200</v>
      </c>
      <c r="C600" t="s">
        <v>944</v>
      </c>
      <c r="D600" s="170">
        <f>[1]!Table3[[#This Row],[Residential CLM $ Collected]]+[1]!Table3[[#This Row],[C&amp;I CLM $ Collected]]</f>
        <v>270.75047999999998</v>
      </c>
      <c r="E600" s="28">
        <f>[1]!Table3[[#This Row],[CLM $ Collected ]]/'[1]1.) CLM Reference'!$B$4</f>
        <v>2.9147297102541126E-6</v>
      </c>
      <c r="F600" s="170">
        <f>[1]!Table3[[#This Row],[Residential Incentive Disbursements]]+[1]!Table3[[#This Row],[C&amp;I Incentive Disbursements]]</f>
        <v>0</v>
      </c>
      <c r="G600" s="28">
        <f>[1]!Table3[[#This Row],[Incentive Disbursements]]/'[1]1.) CLM Reference'!$B$5</f>
        <v>0</v>
      </c>
      <c r="H600" s="228">
        <v>270.75047999999998</v>
      </c>
      <c r="I600" s="28">
        <f>[1]!Table3[[#This Row],[Residential CLM $ Collected]]/'[1]1.) CLM Reference'!$B$4</f>
        <v>2.9147297102541126E-6</v>
      </c>
      <c r="J600" s="229">
        <v>0</v>
      </c>
      <c r="K600" s="28">
        <f>[1]!Table3[[#This Row],[Residential Incentive Disbursements]]/'[1]1.) CLM Reference'!$B$5</f>
        <v>0</v>
      </c>
      <c r="L600" s="229">
        <v>0</v>
      </c>
      <c r="M600" s="28">
        <f>[1]!Table3[[#This Row],[C&amp;I CLM $ Collected]]/'[1]1.) CLM Reference'!$B$4</f>
        <v>0</v>
      </c>
      <c r="N600" s="229">
        <v>0</v>
      </c>
      <c r="O600" s="28">
        <f>[1]!Table3[[#This Row],[C&amp;I Incentive Disbursements]]/'[1]1.) CLM Reference'!$B$5</f>
        <v>0</v>
      </c>
      <c r="Q600">
        <f>VLOOKUP(Table3[[#This Row],[Census Tract]],'Population and Diversity Data'!$B$2:$K$823,10,FALSE)</f>
        <v>3</v>
      </c>
      <c r="R600" t="str">
        <f>VLOOKUP(Table3[[#This Row],[Census Tract]],'ES Energy Burden'!$B$2:$E$914,4,FALSE)</f>
        <v>No</v>
      </c>
    </row>
    <row r="601" spans="1:18" x14ac:dyDescent="0.2">
      <c r="A601" t="s">
        <v>2838</v>
      </c>
      <c r="B601" s="169">
        <v>9001220300</v>
      </c>
      <c r="C601" t="s">
        <v>944</v>
      </c>
      <c r="D601" s="170">
        <f>[1]!Table3[[#This Row],[Residential CLM $ Collected]]+[1]!Table3[[#This Row],[C&amp;I CLM $ Collected]]</f>
        <v>399.60522000000003</v>
      </c>
      <c r="E601" s="28">
        <f>[1]!Table3[[#This Row],[CLM $ Collected ]]/'[1]1.) CLM Reference'!$B$4</f>
        <v>4.3018989554760206E-6</v>
      </c>
      <c r="F601" s="170">
        <f>[1]!Table3[[#This Row],[Residential Incentive Disbursements]]+[1]!Table3[[#This Row],[C&amp;I Incentive Disbursements]]</f>
        <v>0</v>
      </c>
      <c r="G601" s="28">
        <f>[1]!Table3[[#This Row],[Incentive Disbursements]]/'[1]1.) CLM Reference'!$B$5</f>
        <v>0</v>
      </c>
      <c r="H601" s="228">
        <v>399.60522000000003</v>
      </c>
      <c r="I601" s="28">
        <f>[1]!Table3[[#This Row],[Residential CLM $ Collected]]/'[1]1.) CLM Reference'!$B$4</f>
        <v>4.3018989554760206E-6</v>
      </c>
      <c r="J601" s="229">
        <v>0</v>
      </c>
      <c r="K601" s="28">
        <f>[1]!Table3[[#This Row],[Residential Incentive Disbursements]]/'[1]1.) CLM Reference'!$B$5</f>
        <v>0</v>
      </c>
      <c r="L601" s="229">
        <v>0</v>
      </c>
      <c r="M601" s="28">
        <f>[1]!Table3[[#This Row],[C&amp;I CLM $ Collected]]/'[1]1.) CLM Reference'!$B$4</f>
        <v>0</v>
      </c>
      <c r="N601" s="229">
        <v>0</v>
      </c>
      <c r="O601" s="28">
        <f>[1]!Table3[[#This Row],[C&amp;I Incentive Disbursements]]/'[1]1.) CLM Reference'!$B$5</f>
        <v>0</v>
      </c>
      <c r="Q601">
        <f>VLOOKUP(Table3[[#This Row],[Census Tract]],'Population and Diversity Data'!$B$2:$K$823,10,FALSE)</f>
        <v>2</v>
      </c>
      <c r="R601" t="str">
        <f>VLOOKUP(Table3[[#This Row],[Census Tract]],'ES Energy Burden'!$B$2:$E$914,4,FALSE)</f>
        <v>No</v>
      </c>
    </row>
    <row r="602" spans="1:18" x14ac:dyDescent="0.2">
      <c r="A602" t="s">
        <v>2838</v>
      </c>
      <c r="B602" s="169">
        <v>9001257100</v>
      </c>
      <c r="C602" t="s">
        <v>944</v>
      </c>
      <c r="D602" s="170">
        <f>[1]!Table3[[#This Row],[Residential CLM $ Collected]]+[1]!Table3[[#This Row],[C&amp;I CLM $ Collected]]</f>
        <v>106637.616645</v>
      </c>
      <c r="E602" s="28">
        <f>[1]!Table3[[#This Row],[CLM $ Collected ]]/'[1]1.) CLM Reference'!$B$4</f>
        <v>1.1479936414733965E-3</v>
      </c>
      <c r="F602" s="170">
        <f>[1]!Table3[[#This Row],[Residential Incentive Disbursements]]+[1]!Table3[[#This Row],[C&amp;I Incentive Disbursements]]</f>
        <v>116109.63</v>
      </c>
      <c r="G602" s="28">
        <f>[1]!Table3[[#This Row],[Incentive Disbursements]]/'[1]1.) CLM Reference'!$B$5</f>
        <v>9.3226063130252834E-4</v>
      </c>
      <c r="H602" s="228">
        <v>99224.223525000009</v>
      </c>
      <c r="I602" s="28">
        <f>[1]!Table3[[#This Row],[Residential CLM $ Collected]]/'[1]1.) CLM Reference'!$B$4</f>
        <v>1.0681857047315766E-3</v>
      </c>
      <c r="J602" s="229">
        <v>116109.63</v>
      </c>
      <c r="K602" s="28">
        <f>[1]!Table3[[#This Row],[Residential Incentive Disbursements]]/'[1]1.) CLM Reference'!$B$5</f>
        <v>9.3226063130252834E-4</v>
      </c>
      <c r="L602" s="229">
        <v>7413.3931199999997</v>
      </c>
      <c r="M602" s="28">
        <f>[1]!Table3[[#This Row],[C&amp;I CLM $ Collected]]/'[1]1.) CLM Reference'!$B$4</f>
        <v>7.9807936741820116E-5</v>
      </c>
      <c r="N602" s="229">
        <v>0</v>
      </c>
      <c r="O602" s="28">
        <f>[1]!Table3[[#This Row],[C&amp;I Incentive Disbursements]]/'[1]1.) CLM Reference'!$B$5</f>
        <v>0</v>
      </c>
      <c r="Q602">
        <f>VLOOKUP(Table3[[#This Row],[Census Tract]],'Population and Diversity Data'!$B$2:$K$823,10,FALSE)</f>
        <v>1</v>
      </c>
      <c r="R602" t="str">
        <f>VLOOKUP(Table3[[#This Row],[Census Tract]],'ES Energy Burden'!$B$2:$E$914,4,FALSE)</f>
        <v>No</v>
      </c>
    </row>
    <row r="603" spans="1:18" x14ac:dyDescent="0.2">
      <c r="A603" t="s">
        <v>2838</v>
      </c>
      <c r="B603" s="169">
        <v>9005253400</v>
      </c>
      <c r="C603" t="s">
        <v>944</v>
      </c>
      <c r="D603" s="170">
        <f>[1]!Table3[[#This Row],[Residential CLM $ Collected]]+[1]!Table3[[#This Row],[C&amp;I CLM $ Collected]]</f>
        <v>537.46307999999999</v>
      </c>
      <c r="E603" s="28">
        <f>[1]!Table3[[#This Row],[CLM $ Collected ]]/'[1]1.) CLM Reference'!$B$4</f>
        <v>5.785990139115111E-6</v>
      </c>
      <c r="F603" s="170">
        <f>[1]!Table3[[#This Row],[Residential Incentive Disbursements]]+[1]!Table3[[#This Row],[C&amp;I Incentive Disbursements]]</f>
        <v>0</v>
      </c>
      <c r="G603" s="28">
        <f>[1]!Table3[[#This Row],[Incentive Disbursements]]/'[1]1.) CLM Reference'!$B$5</f>
        <v>0</v>
      </c>
      <c r="H603" s="228">
        <v>537.46307999999999</v>
      </c>
      <c r="I603" s="28">
        <f>[1]!Table3[[#This Row],[Residential CLM $ Collected]]/'[1]1.) CLM Reference'!$B$4</f>
        <v>5.785990139115111E-6</v>
      </c>
      <c r="J603" s="229">
        <v>0</v>
      </c>
      <c r="K603" s="28">
        <f>[1]!Table3[[#This Row],[Residential Incentive Disbursements]]/'[1]1.) CLM Reference'!$B$5</f>
        <v>0</v>
      </c>
      <c r="L603" s="229">
        <v>0</v>
      </c>
      <c r="M603" s="28">
        <f>[1]!Table3[[#This Row],[C&amp;I CLM $ Collected]]/'[1]1.) CLM Reference'!$B$4</f>
        <v>0</v>
      </c>
      <c r="N603" s="229">
        <v>0</v>
      </c>
      <c r="O603" s="28">
        <f>[1]!Table3[[#This Row],[C&amp;I Incentive Disbursements]]/'[1]1.) CLM Reference'!$B$5</f>
        <v>0</v>
      </c>
      <c r="Q603">
        <f>VLOOKUP(Table3[[#This Row],[Census Tract]],'Population and Diversity Data'!$B$2:$K$823,10,FALSE)</f>
        <v>2</v>
      </c>
      <c r="R603" t="str">
        <f>VLOOKUP(Table3[[#This Row],[Census Tract]],'ES Energy Burden'!$B$2:$E$914,4,FALSE)</f>
        <v>No</v>
      </c>
    </row>
    <row r="604" spans="1:18" x14ac:dyDescent="0.2">
      <c r="A604" t="s">
        <v>2839</v>
      </c>
      <c r="B604" s="169">
        <v>9003464101</v>
      </c>
      <c r="C604" t="s">
        <v>944</v>
      </c>
      <c r="D604" s="170">
        <f>[1]!Table3[[#This Row],[Residential CLM $ Collected]]+[1]!Table3[[#This Row],[C&amp;I CLM $ Collected]]</f>
        <v>632.32911000000001</v>
      </c>
      <c r="E604" s="28">
        <f>[1]!Table3[[#This Row],[CLM $ Collected ]]/'[1]1.) CLM Reference'!$B$4</f>
        <v>6.8072582681129178E-6</v>
      </c>
      <c r="F604" s="170">
        <f>[1]!Table3[[#This Row],[Residential Incentive Disbursements]]+[1]!Table3[[#This Row],[C&amp;I Incentive Disbursements]]</f>
        <v>25930.91</v>
      </c>
      <c r="G604" s="28">
        <f>[1]!Table3[[#This Row],[Incentive Disbursements]]/'[1]1.) CLM Reference'!$B$5</f>
        <v>2.0820294170990851E-4</v>
      </c>
      <c r="H604" s="228">
        <v>632.32911000000001</v>
      </c>
      <c r="I604" s="28">
        <f>[1]!Table3[[#This Row],[Residential CLM $ Collected]]/'[1]1.) CLM Reference'!$B$4</f>
        <v>6.8072582681129178E-6</v>
      </c>
      <c r="J604" s="229">
        <v>25930.91</v>
      </c>
      <c r="K604" s="28">
        <f>[1]!Table3[[#This Row],[Residential Incentive Disbursements]]/'[1]1.) CLM Reference'!$B$5</f>
        <v>2.0820294170990851E-4</v>
      </c>
      <c r="L604" s="229">
        <v>0</v>
      </c>
      <c r="M604" s="28">
        <f>[1]!Table3[[#This Row],[C&amp;I CLM $ Collected]]/'[1]1.) CLM Reference'!$B$4</f>
        <v>0</v>
      </c>
      <c r="N604" s="229">
        <v>0</v>
      </c>
      <c r="O604" s="28">
        <f>[1]!Table3[[#This Row],[C&amp;I Incentive Disbursements]]/'[1]1.) CLM Reference'!$B$5</f>
        <v>0</v>
      </c>
      <c r="Q604">
        <f>VLOOKUP(Table3[[#This Row],[Census Tract]],'Population and Diversity Data'!$B$2:$K$823,10,FALSE)</f>
        <v>1</v>
      </c>
      <c r="R604" t="str">
        <f>VLOOKUP(Table3[[#This Row],[Census Tract]],'ES Energy Burden'!$B$2:$E$914,4,FALSE)</f>
        <v>No</v>
      </c>
    </row>
    <row r="605" spans="1:18" x14ac:dyDescent="0.2">
      <c r="A605" t="s">
        <v>2839</v>
      </c>
      <c r="B605" s="169">
        <v>9003466101</v>
      </c>
      <c r="C605" t="s">
        <v>944</v>
      </c>
      <c r="D605" s="170">
        <f>[1]!Table3[[#This Row],[Residential CLM $ Collected]]+[1]!Table3[[#This Row],[C&amp;I CLM $ Collected]]</f>
        <v>53075.812230000003</v>
      </c>
      <c r="E605" s="28">
        <f>[1]!Table3[[#This Row],[CLM $ Collected ]]/'[1]1.) CLM Reference'!$B$4</f>
        <v>5.7138087734008678E-4</v>
      </c>
      <c r="F605" s="170">
        <f>[1]!Table3[[#This Row],[Residential Incentive Disbursements]]+[1]!Table3[[#This Row],[C&amp;I Incentive Disbursements]]</f>
        <v>51010.19</v>
      </c>
      <c r="G605" s="28">
        <f>[1]!Table3[[#This Row],[Incentive Disbursements]]/'[1]1.) CLM Reference'!$B$5</f>
        <v>4.0956802577238354E-4</v>
      </c>
      <c r="H605" s="228">
        <v>53075.812230000003</v>
      </c>
      <c r="I605" s="28">
        <f>[1]!Table3[[#This Row],[Residential CLM $ Collected]]/'[1]1.) CLM Reference'!$B$4</f>
        <v>5.7138087734008678E-4</v>
      </c>
      <c r="J605" s="229">
        <v>51010.19</v>
      </c>
      <c r="K605" s="28">
        <f>[1]!Table3[[#This Row],[Residential Incentive Disbursements]]/'[1]1.) CLM Reference'!$B$5</f>
        <v>4.0956802577238354E-4</v>
      </c>
      <c r="L605" s="229">
        <v>0</v>
      </c>
      <c r="M605" s="28">
        <f>[1]!Table3[[#This Row],[C&amp;I CLM $ Collected]]/'[1]1.) CLM Reference'!$B$4</f>
        <v>0</v>
      </c>
      <c r="N605" s="229">
        <v>0</v>
      </c>
      <c r="O605" s="28">
        <f>[1]!Table3[[#This Row],[C&amp;I Incentive Disbursements]]/'[1]1.) CLM Reference'!$B$5</f>
        <v>0</v>
      </c>
      <c r="Q605">
        <f>VLOOKUP(Table3[[#This Row],[Census Tract]],'Population and Diversity Data'!$B$2:$K$823,10,FALSE)</f>
        <v>1</v>
      </c>
      <c r="R605" t="str">
        <f>VLOOKUP(Table3[[#This Row],[Census Tract]],'ES Energy Burden'!$B$2:$E$914,4,FALSE)</f>
        <v>No</v>
      </c>
    </row>
    <row r="606" spans="1:18" x14ac:dyDescent="0.2">
      <c r="A606" t="s">
        <v>2839</v>
      </c>
      <c r="B606" s="169">
        <v>9003466102</v>
      </c>
      <c r="C606" t="s">
        <v>944</v>
      </c>
      <c r="D606" s="170">
        <f>[1]!Table3[[#This Row],[Residential CLM $ Collected]]+[1]!Table3[[#This Row],[C&amp;I CLM $ Collected]]</f>
        <v>62044.981677000003</v>
      </c>
      <c r="E606" s="28">
        <f>[1]!Table3[[#This Row],[CLM $ Collected ]]/'[1]1.) CLM Reference'!$B$4</f>
        <v>6.6793732541535651E-4</v>
      </c>
      <c r="F606" s="170">
        <f>[1]!Table3[[#This Row],[Residential Incentive Disbursements]]+[1]!Table3[[#This Row],[C&amp;I Incentive Disbursements]]</f>
        <v>57366.044999999998</v>
      </c>
      <c r="G606" s="28">
        <f>[1]!Table3[[#This Row],[Incentive Disbursements]]/'[1]1.) CLM Reference'!$B$5</f>
        <v>4.6060008396400234E-4</v>
      </c>
      <c r="H606" s="228">
        <v>62044.981677000003</v>
      </c>
      <c r="I606" s="28">
        <f>[1]!Table3[[#This Row],[Residential CLM $ Collected]]/'[1]1.) CLM Reference'!$B$4</f>
        <v>6.6793732541535651E-4</v>
      </c>
      <c r="J606" s="229">
        <v>57366.044999999998</v>
      </c>
      <c r="K606" s="28">
        <f>[1]!Table3[[#This Row],[Residential Incentive Disbursements]]/'[1]1.) CLM Reference'!$B$5</f>
        <v>4.6060008396400234E-4</v>
      </c>
      <c r="L606" s="229">
        <v>0</v>
      </c>
      <c r="M606" s="28">
        <f>[1]!Table3[[#This Row],[C&amp;I CLM $ Collected]]/'[1]1.) CLM Reference'!$B$4</f>
        <v>0</v>
      </c>
      <c r="N606" s="229">
        <v>0</v>
      </c>
      <c r="O606" s="28">
        <f>[1]!Table3[[#This Row],[C&amp;I Incentive Disbursements]]/'[1]1.) CLM Reference'!$B$5</f>
        <v>0</v>
      </c>
      <c r="Q606">
        <f>VLOOKUP(Table3[[#This Row],[Census Tract]],'Population and Diversity Data'!$B$2:$K$823,10,FALSE)</f>
        <v>2</v>
      </c>
      <c r="R606" t="str">
        <f>VLOOKUP(Table3[[#This Row],[Census Tract]],'ES Energy Burden'!$B$2:$E$914,4,FALSE)</f>
        <v>No</v>
      </c>
    </row>
    <row r="607" spans="1:18" x14ac:dyDescent="0.2">
      <c r="A607" t="s">
        <v>2839</v>
      </c>
      <c r="B607" s="169">
        <v>9003466201</v>
      </c>
      <c r="C607" t="s">
        <v>944</v>
      </c>
      <c r="D607" s="170">
        <f>[1]!Table3[[#This Row],[Residential CLM $ Collected]]+[1]!Table3[[#This Row],[C&amp;I CLM $ Collected]]</f>
        <v>280582.85690399999</v>
      </c>
      <c r="E607" s="28">
        <f>[1]!Table3[[#This Row],[CLM $ Collected ]]/'[1]1.) CLM Reference'!$B$4</f>
        <v>3.0205789079526917E-3</v>
      </c>
      <c r="F607" s="170">
        <f>[1]!Table3[[#This Row],[Residential Incentive Disbursements]]+[1]!Table3[[#This Row],[C&amp;I Incentive Disbursements]]</f>
        <v>352706.30000000005</v>
      </c>
      <c r="G607" s="28">
        <f>[1]!Table3[[#This Row],[Incentive Disbursements]]/'[1]1.) CLM Reference'!$B$5</f>
        <v>2.8319287375420882E-3</v>
      </c>
      <c r="H607" s="228">
        <v>172999.42531200001</v>
      </c>
      <c r="I607" s="28">
        <f>[1]!Table3[[#This Row],[Residential CLM $ Collected]]/'[1]1.) CLM Reference'!$B$4</f>
        <v>1.86240321647361E-3</v>
      </c>
      <c r="J607" s="229">
        <v>318478.40000000002</v>
      </c>
      <c r="K607" s="28">
        <f>[1]!Table3[[#This Row],[Residential Incentive Disbursements]]/'[1]1.) CLM Reference'!$B$5</f>
        <v>2.557108090347193E-3</v>
      </c>
      <c r="L607" s="229">
        <v>107583.43159199999</v>
      </c>
      <c r="M607" s="28">
        <f>[1]!Table3[[#This Row],[C&amp;I CLM $ Collected]]/'[1]1.) CLM Reference'!$B$4</f>
        <v>1.1581756914790819E-3</v>
      </c>
      <c r="N607" s="229">
        <v>34227.9</v>
      </c>
      <c r="O607" s="28">
        <f>[1]!Table3[[#This Row],[C&amp;I Incentive Disbursements]]/'[1]1.) CLM Reference'!$B$5</f>
        <v>2.7482064719489512E-4</v>
      </c>
      <c r="Q607">
        <f>VLOOKUP(Table3[[#This Row],[Census Tract]],'Population and Diversity Data'!$B$2:$K$823,10,FALSE)</f>
        <v>3</v>
      </c>
      <c r="R607" t="str">
        <f>VLOOKUP(Table3[[#This Row],[Census Tract]],'ES Energy Burden'!$B$2:$E$914,4,FALSE)</f>
        <v>No</v>
      </c>
    </row>
    <row r="608" spans="1:18" x14ac:dyDescent="0.2">
      <c r="A608" t="s">
        <v>2839</v>
      </c>
      <c r="B608" s="169">
        <v>9003466202</v>
      </c>
      <c r="C608" t="s">
        <v>944</v>
      </c>
      <c r="D608" s="170">
        <f>[1]!Table3[[#This Row],[Residential CLM $ Collected]]+[1]!Table3[[#This Row],[C&amp;I CLM $ Collected]]</f>
        <v>57805.937490000004</v>
      </c>
      <c r="E608" s="28">
        <f>[1]!Table3[[#This Row],[CLM $ Collected ]]/'[1]1.) CLM Reference'!$B$4</f>
        <v>6.2230243666122056E-4</v>
      </c>
      <c r="F608" s="170">
        <f>[1]!Table3[[#This Row],[Residential Incentive Disbursements]]+[1]!Table3[[#This Row],[C&amp;I Incentive Disbursements]]</f>
        <v>75848.67</v>
      </c>
      <c r="G608" s="28">
        <f>[1]!Table3[[#This Row],[Incentive Disbursements]]/'[1]1.) CLM Reference'!$B$5</f>
        <v>6.089996925979106E-4</v>
      </c>
      <c r="H608" s="228">
        <v>57805.937490000004</v>
      </c>
      <c r="I608" s="28">
        <f>[1]!Table3[[#This Row],[Residential CLM $ Collected]]/'[1]1.) CLM Reference'!$B$4</f>
        <v>6.2230243666122056E-4</v>
      </c>
      <c r="J608" s="229">
        <v>75848.67</v>
      </c>
      <c r="K608" s="28">
        <f>[1]!Table3[[#This Row],[Residential Incentive Disbursements]]/'[1]1.) CLM Reference'!$B$5</f>
        <v>6.089996925979106E-4</v>
      </c>
      <c r="L608" s="229">
        <v>0</v>
      </c>
      <c r="M608" s="28">
        <f>[1]!Table3[[#This Row],[C&amp;I CLM $ Collected]]/'[1]1.) CLM Reference'!$B$4</f>
        <v>0</v>
      </c>
      <c r="N608" s="229">
        <v>0</v>
      </c>
      <c r="O608" s="28">
        <f>[1]!Table3[[#This Row],[C&amp;I Incentive Disbursements]]/'[1]1.) CLM Reference'!$B$5</f>
        <v>0</v>
      </c>
      <c r="Q608">
        <f>VLOOKUP(Table3[[#This Row],[Census Tract]],'Population and Diversity Data'!$B$2:$K$823,10,FALSE)</f>
        <v>2</v>
      </c>
      <c r="R608" t="str">
        <f>VLOOKUP(Table3[[#This Row],[Census Tract]],'ES Energy Burden'!$B$2:$E$914,4,FALSE)</f>
        <v>No</v>
      </c>
    </row>
    <row r="609" spans="1:18" x14ac:dyDescent="0.2">
      <c r="A609" t="s">
        <v>2839</v>
      </c>
      <c r="B609" s="169">
        <v>9003466300</v>
      </c>
      <c r="C609" t="s">
        <v>944</v>
      </c>
      <c r="D609" s="170">
        <f>[1]!Table3[[#This Row],[Residential CLM $ Collected]]+[1]!Table3[[#This Row],[C&amp;I CLM $ Collected]]</f>
        <v>58728.268977</v>
      </c>
      <c r="E609" s="28">
        <f>[1]!Table3[[#This Row],[CLM $ Collected ]]/'[1]1.) CLM Reference'!$B$4</f>
        <v>6.3223167847775122E-4</v>
      </c>
      <c r="F609" s="170">
        <f>[1]!Table3[[#This Row],[Residential Incentive Disbursements]]+[1]!Table3[[#This Row],[C&amp;I Incentive Disbursements]]</f>
        <v>86922.46</v>
      </c>
      <c r="G609" s="28">
        <f>[1]!Table3[[#This Row],[Incentive Disbursements]]/'[1]1.) CLM Reference'!$B$5</f>
        <v>6.9791271778205446E-4</v>
      </c>
      <c r="H609" s="228">
        <v>58728.268977</v>
      </c>
      <c r="I609" s="28">
        <f>[1]!Table3[[#This Row],[Residential CLM $ Collected]]/'[1]1.) CLM Reference'!$B$4</f>
        <v>6.3223167847775122E-4</v>
      </c>
      <c r="J609" s="229">
        <v>86922.46</v>
      </c>
      <c r="K609" s="28">
        <f>[1]!Table3[[#This Row],[Residential Incentive Disbursements]]/'[1]1.) CLM Reference'!$B$5</f>
        <v>6.9791271778205446E-4</v>
      </c>
      <c r="L609" s="229">
        <v>0</v>
      </c>
      <c r="M609" s="28">
        <f>[1]!Table3[[#This Row],[C&amp;I CLM $ Collected]]/'[1]1.) CLM Reference'!$B$4</f>
        <v>0</v>
      </c>
      <c r="N609" s="229">
        <v>0</v>
      </c>
      <c r="O609" s="28">
        <f>[1]!Table3[[#This Row],[C&amp;I Incentive Disbursements]]/'[1]1.) CLM Reference'!$B$5</f>
        <v>0</v>
      </c>
      <c r="Q609">
        <f>VLOOKUP(Table3[[#This Row],[Census Tract]],'Population and Diversity Data'!$B$2:$K$823,10,FALSE)</f>
        <v>2</v>
      </c>
      <c r="R609" t="str">
        <f>VLOOKUP(Table3[[#This Row],[Census Tract]],'ES Energy Burden'!$B$2:$E$914,4,FALSE)</f>
        <v>No</v>
      </c>
    </row>
    <row r="610" spans="1:18" x14ac:dyDescent="0.2">
      <c r="A610" t="s">
        <v>2839</v>
      </c>
      <c r="B610" s="169">
        <v>9003466400</v>
      </c>
      <c r="C610" t="s">
        <v>944</v>
      </c>
      <c r="D610" s="170">
        <f>[1]!Table3[[#This Row],[Residential CLM $ Collected]]+[1]!Table3[[#This Row],[C&amp;I CLM $ Collected]]</f>
        <v>34736.427810000001</v>
      </c>
      <c r="E610" s="28">
        <f>[1]!Table3[[#This Row],[CLM $ Collected ]]/'[1]1.) CLM Reference'!$B$4</f>
        <v>3.7395057680379446E-4</v>
      </c>
      <c r="F610" s="170">
        <f>[1]!Table3[[#This Row],[Residential Incentive Disbursements]]+[1]!Table3[[#This Row],[C&amp;I Incentive Disbursements]]</f>
        <v>91814.76</v>
      </c>
      <c r="G610" s="28">
        <f>[1]!Table3[[#This Row],[Incentive Disbursements]]/'[1]1.) CLM Reference'!$B$5</f>
        <v>7.3719368600597655E-4</v>
      </c>
      <c r="H610" s="228">
        <v>34736.427810000001</v>
      </c>
      <c r="I610" s="28">
        <f>[1]!Table3[[#This Row],[Residential CLM $ Collected]]/'[1]1.) CLM Reference'!$B$4</f>
        <v>3.7395057680379446E-4</v>
      </c>
      <c r="J610" s="229">
        <v>91814.76</v>
      </c>
      <c r="K610" s="28">
        <f>[1]!Table3[[#This Row],[Residential Incentive Disbursements]]/'[1]1.) CLM Reference'!$B$5</f>
        <v>7.3719368600597655E-4</v>
      </c>
      <c r="L610" s="229">
        <v>0</v>
      </c>
      <c r="M610" s="28">
        <f>[1]!Table3[[#This Row],[C&amp;I CLM $ Collected]]/'[1]1.) CLM Reference'!$B$4</f>
        <v>0</v>
      </c>
      <c r="N610" s="229">
        <v>0</v>
      </c>
      <c r="O610" s="28">
        <f>[1]!Table3[[#This Row],[C&amp;I Incentive Disbursements]]/'[1]1.) CLM Reference'!$B$5</f>
        <v>0</v>
      </c>
      <c r="Q610">
        <f>VLOOKUP(Table3[[#This Row],[Census Tract]],'Population and Diversity Data'!$B$2:$K$823,10,FALSE)</f>
        <v>3</v>
      </c>
      <c r="R610" t="str">
        <f>VLOOKUP(Table3[[#This Row],[Census Tract]],'ES Energy Burden'!$B$2:$E$914,4,FALSE)</f>
        <v>No</v>
      </c>
    </row>
    <row r="611" spans="1:18" x14ac:dyDescent="0.2">
      <c r="A611" t="s">
        <v>2840</v>
      </c>
      <c r="B611" s="169">
        <v>9013538201</v>
      </c>
      <c r="C611" t="s">
        <v>944</v>
      </c>
      <c r="D611" s="170">
        <f>[1]!Table3[[#This Row],[Residential CLM $ Collected]]+[1]!Table3[[#This Row],[C&amp;I CLM $ Collected]]</f>
        <v>126732.36651600001</v>
      </c>
      <c r="E611" s="28">
        <f>[1]!Table3[[#This Row],[CLM $ Collected ]]/'[1]1.) CLM Reference'!$B$4</f>
        <v>1.3643211045646115E-3</v>
      </c>
      <c r="F611" s="170">
        <f>[1]!Table3[[#This Row],[Residential Incentive Disbursements]]+[1]!Table3[[#This Row],[C&amp;I Incentive Disbursements]]</f>
        <v>183814.755</v>
      </c>
      <c r="G611" s="28">
        <f>[1]!Table3[[#This Row],[Incentive Disbursements]]/'[1]1.) CLM Reference'!$B$5</f>
        <v>1.4758746500098188E-3</v>
      </c>
      <c r="H611" s="228">
        <v>116232.574416</v>
      </c>
      <c r="I611" s="28">
        <f>[1]!Table3[[#This Row],[Residential CLM $ Collected]]/'[1]1.) CLM Reference'!$B$4</f>
        <v>1.2512869338205321E-3</v>
      </c>
      <c r="J611" s="229">
        <v>159517.255</v>
      </c>
      <c r="K611" s="28">
        <f>[1]!Table3[[#This Row],[Residential Incentive Disbursements]]/'[1]1.) CLM Reference'!$B$5</f>
        <v>1.2807865880715183E-3</v>
      </c>
      <c r="L611" s="229">
        <v>10499.792100000001</v>
      </c>
      <c r="M611" s="28">
        <f>[1]!Table3[[#This Row],[C&amp;I CLM $ Collected]]/'[1]1.) CLM Reference'!$B$4</f>
        <v>1.1303417074407929E-4</v>
      </c>
      <c r="N611" s="229">
        <v>24297.5</v>
      </c>
      <c r="O611" s="28">
        <f>[1]!Table3[[#This Row],[C&amp;I Incentive Disbursements]]/'[1]1.) CLM Reference'!$B$5</f>
        <v>1.9508806193830073E-4</v>
      </c>
      <c r="Q611">
        <f>VLOOKUP(Table3[[#This Row],[Census Tract]],'Population and Diversity Data'!$B$2:$K$823,10,FALSE)</f>
        <v>3</v>
      </c>
      <c r="R611" t="str">
        <f>VLOOKUP(Table3[[#This Row],[Census Tract]],'ES Energy Burden'!$B$2:$E$914,4,FALSE)</f>
        <v>No</v>
      </c>
    </row>
    <row r="612" spans="1:18" x14ac:dyDescent="0.2">
      <c r="A612" t="s">
        <v>2840</v>
      </c>
      <c r="B612" s="169">
        <v>9013538202</v>
      </c>
      <c r="C612" t="s">
        <v>944</v>
      </c>
      <c r="D612" s="170">
        <f>[1]!Table3[[#This Row],[Residential CLM $ Collected]]+[1]!Table3[[#This Row],[C&amp;I CLM $ Collected]]</f>
        <v>51155.911379999998</v>
      </c>
      <c r="E612" s="28">
        <f>[1]!Table3[[#This Row],[CLM $ Collected ]]/'[1]1.) CLM Reference'!$B$4</f>
        <v>5.5071242996286649E-4</v>
      </c>
      <c r="F612" s="170">
        <f>[1]!Table3[[#This Row],[Residential Incentive Disbursements]]+[1]!Table3[[#This Row],[C&amp;I Incentive Disbursements]]</f>
        <v>44366.26</v>
      </c>
      <c r="G612" s="28">
        <f>[1]!Table3[[#This Row],[Incentive Disbursements]]/'[1]1.) CLM Reference'!$B$5</f>
        <v>3.5622297268652145E-4</v>
      </c>
      <c r="H612" s="228">
        <v>51155.911379999998</v>
      </c>
      <c r="I612" s="28">
        <f>[1]!Table3[[#This Row],[Residential CLM $ Collected]]/'[1]1.) CLM Reference'!$B$4</f>
        <v>5.5071242996286649E-4</v>
      </c>
      <c r="J612" s="229">
        <v>44366.26</v>
      </c>
      <c r="K612" s="28">
        <f>[1]!Table3[[#This Row],[Residential Incentive Disbursements]]/'[1]1.) CLM Reference'!$B$5</f>
        <v>3.5622297268652145E-4</v>
      </c>
      <c r="L612" s="229">
        <v>0</v>
      </c>
      <c r="M612" s="28">
        <f>[1]!Table3[[#This Row],[C&amp;I CLM $ Collected]]/'[1]1.) CLM Reference'!$B$4</f>
        <v>0</v>
      </c>
      <c r="N612" s="229">
        <v>0</v>
      </c>
      <c r="O612" s="28">
        <f>[1]!Table3[[#This Row],[C&amp;I Incentive Disbursements]]/'[1]1.) CLM Reference'!$B$5</f>
        <v>0</v>
      </c>
      <c r="Q612">
        <f>VLOOKUP(Table3[[#This Row],[Census Tract]],'Population and Diversity Data'!$B$2:$K$823,10,FALSE)</f>
        <v>1</v>
      </c>
      <c r="R612" t="str">
        <f>VLOOKUP(Table3[[#This Row],[Census Tract]],'ES Energy Burden'!$B$2:$E$914,4,FALSE)</f>
        <v>No</v>
      </c>
    </row>
    <row r="613" spans="1:18" x14ac:dyDescent="0.2">
      <c r="A613" t="s">
        <v>2840</v>
      </c>
      <c r="B613" s="169">
        <v>9013890202</v>
      </c>
      <c r="C613" t="s">
        <v>944</v>
      </c>
      <c r="D613" s="170">
        <f>[1]!Table3[[#This Row],[Residential CLM $ Collected]]+[1]!Table3[[#This Row],[C&amp;I CLM $ Collected]]</f>
        <v>745.263687</v>
      </c>
      <c r="E613" s="28">
        <f>[1]!Table3[[#This Row],[CLM $ Collected ]]/'[1]1.) CLM Reference'!$B$4</f>
        <v>8.0230410319952971E-6</v>
      </c>
      <c r="F613" s="170">
        <f>[1]!Table3[[#This Row],[Residential Incentive Disbursements]]+[1]!Table3[[#This Row],[C&amp;I Incentive Disbursements]]</f>
        <v>0</v>
      </c>
      <c r="G613" s="28">
        <f>[1]!Table3[[#This Row],[Incentive Disbursements]]/'[1]1.) CLM Reference'!$B$5</f>
        <v>0</v>
      </c>
      <c r="H613" s="228">
        <v>745.263687</v>
      </c>
      <c r="I613" s="28">
        <f>[1]!Table3[[#This Row],[Residential CLM $ Collected]]/'[1]1.) CLM Reference'!$B$4</f>
        <v>8.0230410319952971E-6</v>
      </c>
      <c r="J613" s="229">
        <v>0</v>
      </c>
      <c r="K613" s="28">
        <f>[1]!Table3[[#This Row],[Residential Incentive Disbursements]]/'[1]1.) CLM Reference'!$B$5</f>
        <v>0</v>
      </c>
      <c r="L613" s="229">
        <v>0</v>
      </c>
      <c r="M613" s="28">
        <f>[1]!Table3[[#This Row],[C&amp;I CLM $ Collected]]/'[1]1.) CLM Reference'!$B$4</f>
        <v>0</v>
      </c>
      <c r="N613" s="229">
        <v>0</v>
      </c>
      <c r="O613" s="28">
        <f>[1]!Table3[[#This Row],[C&amp;I Incentive Disbursements]]/'[1]1.) CLM Reference'!$B$5</f>
        <v>0</v>
      </c>
      <c r="Q613">
        <f>VLOOKUP(Table3[[#This Row],[Census Tract]],'Population and Diversity Data'!$B$2:$K$823,10,FALSE)</f>
        <v>4</v>
      </c>
      <c r="R613" t="str">
        <f>VLOOKUP(Table3[[#This Row],[Census Tract]],'ES Energy Burden'!$B$2:$E$914,4,FALSE)</f>
        <v>No</v>
      </c>
    </row>
    <row r="614" spans="1:18" x14ac:dyDescent="0.2">
      <c r="A614" t="s">
        <v>2841</v>
      </c>
      <c r="B614" s="169">
        <v>9003484200</v>
      </c>
      <c r="C614" t="s">
        <v>944</v>
      </c>
      <c r="D614" s="170">
        <f>[1]!Table3[[#This Row],[Residential CLM $ Collected]]+[1]!Table3[[#This Row],[C&amp;I CLM $ Collected]]</f>
        <v>148.3776</v>
      </c>
      <c r="E614" s="28">
        <f>[1]!Table3[[#This Row],[CLM $ Collected ]]/'[1]1.) CLM Reference'!$B$4</f>
        <v>1.597340100952732E-6</v>
      </c>
      <c r="F614" s="170">
        <f>[1]!Table3[[#This Row],[Residential Incentive Disbursements]]+[1]!Table3[[#This Row],[C&amp;I Incentive Disbursements]]</f>
        <v>35</v>
      </c>
      <c r="G614" s="28">
        <f>[1]!Table3[[#This Row],[Incentive Disbursements]]/'[1]1.) CLM Reference'!$B$5</f>
        <v>2.8101994723080671E-7</v>
      </c>
      <c r="H614" s="228">
        <v>148.3776</v>
      </c>
      <c r="I614" s="28">
        <f>[1]!Table3[[#This Row],[Residential CLM $ Collected]]/'[1]1.) CLM Reference'!$B$4</f>
        <v>1.597340100952732E-6</v>
      </c>
      <c r="J614" s="229">
        <v>35</v>
      </c>
      <c r="K614" s="28">
        <f>[1]!Table3[[#This Row],[Residential Incentive Disbursements]]/'[1]1.) CLM Reference'!$B$5</f>
        <v>2.8101994723080671E-7</v>
      </c>
      <c r="L614" s="229">
        <v>0</v>
      </c>
      <c r="M614" s="28">
        <f>[1]!Table3[[#This Row],[C&amp;I CLM $ Collected]]/'[1]1.) CLM Reference'!$B$4</f>
        <v>0</v>
      </c>
      <c r="N614" s="229">
        <v>0</v>
      </c>
      <c r="O614" s="28">
        <f>[1]!Table3[[#This Row],[C&amp;I Incentive Disbursements]]/'[1]1.) CLM Reference'!$B$5</f>
        <v>0</v>
      </c>
      <c r="Q614">
        <f>VLOOKUP(Table3[[#This Row],[Census Tract]],'Population and Diversity Data'!$B$2:$K$823,10,FALSE)</f>
        <v>3</v>
      </c>
      <c r="R614" t="str">
        <f>VLOOKUP(Table3[[#This Row],[Census Tract]],'ES Energy Burden'!$B$2:$E$914,4,FALSE)</f>
        <v>No</v>
      </c>
    </row>
    <row r="615" spans="1:18" x14ac:dyDescent="0.2">
      <c r="A615" t="s">
        <v>2841</v>
      </c>
      <c r="B615" s="169">
        <v>9003487100</v>
      </c>
      <c r="C615" t="s">
        <v>944</v>
      </c>
      <c r="D615" s="170">
        <f>[1]!Table3[[#This Row],[Residential CLM $ Collected]]+[1]!Table3[[#This Row],[C&amp;I CLM $ Collected]]</f>
        <v>74702.025657000006</v>
      </c>
      <c r="E615" s="28">
        <f>[1]!Table3[[#This Row],[CLM $ Collected ]]/'[1]1.) CLM Reference'!$B$4</f>
        <v>8.0419511573395156E-4</v>
      </c>
      <c r="F615" s="170">
        <f>[1]!Table3[[#This Row],[Residential Incentive Disbursements]]+[1]!Table3[[#This Row],[C&amp;I Incentive Disbursements]]</f>
        <v>50562.555</v>
      </c>
      <c r="G615" s="28">
        <f>[1]!Table3[[#This Row],[Incentive Disbursements]]/'[1]1.) CLM Reference'!$B$5</f>
        <v>4.0597390108442177E-4</v>
      </c>
      <c r="H615" s="228">
        <v>74702.025657000006</v>
      </c>
      <c r="I615" s="28">
        <f>[1]!Table3[[#This Row],[Residential CLM $ Collected]]/'[1]1.) CLM Reference'!$B$4</f>
        <v>8.0419511573395156E-4</v>
      </c>
      <c r="J615" s="229">
        <v>50562.555</v>
      </c>
      <c r="K615" s="28">
        <f>[1]!Table3[[#This Row],[Residential Incentive Disbursements]]/'[1]1.) CLM Reference'!$B$5</f>
        <v>4.0597390108442177E-4</v>
      </c>
      <c r="L615" s="229">
        <v>0</v>
      </c>
      <c r="M615" s="28">
        <f>[1]!Table3[[#This Row],[C&amp;I CLM $ Collected]]/'[1]1.) CLM Reference'!$B$4</f>
        <v>0</v>
      </c>
      <c r="N615" s="229">
        <v>0</v>
      </c>
      <c r="O615" s="28">
        <f>[1]!Table3[[#This Row],[C&amp;I Incentive Disbursements]]/'[1]1.) CLM Reference'!$B$5</f>
        <v>0</v>
      </c>
      <c r="Q615">
        <f>VLOOKUP(Table3[[#This Row],[Census Tract]],'Population and Diversity Data'!$B$2:$K$823,10,FALSE)</f>
        <v>3</v>
      </c>
      <c r="R615" t="str">
        <f>VLOOKUP(Table3[[#This Row],[Census Tract]],'ES Energy Burden'!$B$2:$E$914,4,FALSE)</f>
        <v>No</v>
      </c>
    </row>
    <row r="616" spans="1:18" x14ac:dyDescent="0.2">
      <c r="A616" t="s">
        <v>2841</v>
      </c>
      <c r="B616" s="169">
        <v>9003487201</v>
      </c>
      <c r="C616" t="s">
        <v>944</v>
      </c>
      <c r="D616" s="170">
        <f>[1]!Table3[[#This Row],[Residential CLM $ Collected]]+[1]!Table3[[#This Row],[C&amp;I CLM $ Collected]]</f>
        <v>47597.775959999999</v>
      </c>
      <c r="E616" s="28">
        <f>[1]!Table3[[#This Row],[CLM $ Collected ]]/'[1]1.) CLM Reference'!$B$4</f>
        <v>5.1240777756933606E-4</v>
      </c>
      <c r="F616" s="170">
        <f>[1]!Table3[[#This Row],[Residential Incentive Disbursements]]+[1]!Table3[[#This Row],[C&amp;I Incentive Disbursements]]</f>
        <v>31134.45</v>
      </c>
      <c r="G616" s="28">
        <f>[1]!Table3[[#This Row],[Incentive Disbursements]]/'[1]1.) CLM Reference'!$B$5</f>
        <v>2.4998289988743398E-4</v>
      </c>
      <c r="H616" s="228">
        <v>47597.775959999999</v>
      </c>
      <c r="I616" s="28">
        <f>[1]!Table3[[#This Row],[Residential CLM $ Collected]]/'[1]1.) CLM Reference'!$B$4</f>
        <v>5.1240777756933606E-4</v>
      </c>
      <c r="J616" s="229">
        <v>31134.45</v>
      </c>
      <c r="K616" s="28">
        <f>[1]!Table3[[#This Row],[Residential Incentive Disbursements]]/'[1]1.) CLM Reference'!$B$5</f>
        <v>2.4998289988743398E-4</v>
      </c>
      <c r="L616" s="229">
        <v>0</v>
      </c>
      <c r="M616" s="28">
        <f>[1]!Table3[[#This Row],[C&amp;I CLM $ Collected]]/'[1]1.) CLM Reference'!$B$4</f>
        <v>0</v>
      </c>
      <c r="N616" s="229">
        <v>0</v>
      </c>
      <c r="O616" s="28">
        <f>[1]!Table3[[#This Row],[C&amp;I Incentive Disbursements]]/'[1]1.) CLM Reference'!$B$5</f>
        <v>0</v>
      </c>
      <c r="Q616">
        <f>VLOOKUP(Table3[[#This Row],[Census Tract]],'Population and Diversity Data'!$B$2:$K$823,10,FALSE)</f>
        <v>4</v>
      </c>
      <c r="R616" t="str">
        <f>VLOOKUP(Table3[[#This Row],[Census Tract]],'ES Energy Burden'!$B$2:$E$914,4,FALSE)</f>
        <v>No</v>
      </c>
    </row>
    <row r="617" spans="1:18" x14ac:dyDescent="0.2">
      <c r="A617" t="s">
        <v>2841</v>
      </c>
      <c r="B617" s="169">
        <v>9003487202</v>
      </c>
      <c r="C617" t="s">
        <v>944</v>
      </c>
      <c r="D617" s="170">
        <f>[1]!Table3[[#This Row],[Residential CLM $ Collected]]+[1]!Table3[[#This Row],[C&amp;I CLM $ Collected]]</f>
        <v>37226.575848</v>
      </c>
      <c r="E617" s="28">
        <f>[1]!Table3[[#This Row],[CLM $ Collected ]]/'[1]1.) CLM Reference'!$B$4</f>
        <v>4.0075794744738331E-4</v>
      </c>
      <c r="F617" s="170">
        <f>[1]!Table3[[#This Row],[Residential Incentive Disbursements]]+[1]!Table3[[#This Row],[C&amp;I Incentive Disbursements]]</f>
        <v>21440.59</v>
      </c>
      <c r="G617" s="28">
        <f>[1]!Table3[[#This Row],[Incentive Disbursements]]/'[1]1.) CLM Reference'!$B$5</f>
        <v>1.721495277256389E-4</v>
      </c>
      <c r="H617" s="228">
        <v>37226.575848</v>
      </c>
      <c r="I617" s="28">
        <f>[1]!Table3[[#This Row],[Residential CLM $ Collected]]/'[1]1.) CLM Reference'!$B$4</f>
        <v>4.0075794744738331E-4</v>
      </c>
      <c r="J617" s="229">
        <v>21440.59</v>
      </c>
      <c r="K617" s="28">
        <f>[1]!Table3[[#This Row],[Residential Incentive Disbursements]]/'[1]1.) CLM Reference'!$B$5</f>
        <v>1.721495277256389E-4</v>
      </c>
      <c r="L617" s="229">
        <v>0</v>
      </c>
      <c r="M617" s="28">
        <f>[1]!Table3[[#This Row],[C&amp;I CLM $ Collected]]/'[1]1.) CLM Reference'!$B$4</f>
        <v>0</v>
      </c>
      <c r="N617" s="229">
        <v>0</v>
      </c>
      <c r="O617" s="28">
        <f>[1]!Table3[[#This Row],[C&amp;I Incentive Disbursements]]/'[1]1.) CLM Reference'!$B$5</f>
        <v>0</v>
      </c>
      <c r="Q617">
        <f>VLOOKUP(Table3[[#This Row],[Census Tract]],'Population and Diversity Data'!$B$2:$K$823,10,FALSE)</f>
        <v>4</v>
      </c>
      <c r="R617" t="str">
        <f>VLOOKUP(Table3[[#This Row],[Census Tract]],'ES Energy Burden'!$B$2:$E$914,4,FALSE)</f>
        <v>No</v>
      </c>
    </row>
    <row r="618" spans="1:18" x14ac:dyDescent="0.2">
      <c r="A618" t="s">
        <v>2841</v>
      </c>
      <c r="B618" s="169">
        <v>9003487300</v>
      </c>
      <c r="C618" t="s">
        <v>944</v>
      </c>
      <c r="D618" s="170">
        <f>[1]!Table3[[#This Row],[Residential CLM $ Collected]]+[1]!Table3[[#This Row],[C&amp;I CLM $ Collected]]</f>
        <v>313085.84972699999</v>
      </c>
      <c r="E618" s="28">
        <f>[1]!Table3[[#This Row],[CLM $ Collected ]]/'[1]1.) CLM Reference'!$B$4</f>
        <v>3.3704857256742129E-3</v>
      </c>
      <c r="F618" s="170">
        <f>[1]!Table3[[#This Row],[Residential Incentive Disbursements]]+[1]!Table3[[#This Row],[C&amp;I Incentive Disbursements]]</f>
        <v>342219.70199999999</v>
      </c>
      <c r="G618" s="28">
        <f>[1]!Table3[[#This Row],[Incentive Disbursements]]/'[1]1.) CLM Reference'!$B$5</f>
        <v>2.747730359925211E-3</v>
      </c>
      <c r="H618" s="228">
        <v>140943.45671699999</v>
      </c>
      <c r="I618" s="28">
        <f>[1]!Table3[[#This Row],[Residential CLM $ Collected]]/'[1]1.) CLM Reference'!$B$4</f>
        <v>1.5173087809814945E-3</v>
      </c>
      <c r="J618" s="229">
        <v>230552.59</v>
      </c>
      <c r="K618" s="28">
        <f>[1]!Table3[[#This Row],[Residential Incentive Disbursements]]/'[1]1.) CLM Reference'!$B$5</f>
        <v>1.851139333592166E-3</v>
      </c>
      <c r="L618" s="229">
        <v>172142.39301</v>
      </c>
      <c r="M618" s="28">
        <f>[1]!Table3[[#This Row],[C&amp;I CLM $ Collected]]/'[1]1.) CLM Reference'!$B$4</f>
        <v>1.8531769446927184E-3</v>
      </c>
      <c r="N618" s="229">
        <v>111667.11199999999</v>
      </c>
      <c r="O618" s="28">
        <f>[1]!Table3[[#This Row],[C&amp;I Incentive Disbursements]]/'[1]1.) CLM Reference'!$B$5</f>
        <v>8.9659102633304509E-4</v>
      </c>
      <c r="Q618">
        <f>VLOOKUP(Table3[[#This Row],[Census Tract]],'Population and Diversity Data'!$B$2:$K$823,10,FALSE)</f>
        <v>3</v>
      </c>
      <c r="R618" t="str">
        <f>VLOOKUP(Table3[[#This Row],[Census Tract]],'ES Energy Burden'!$B$2:$E$914,4,FALSE)</f>
        <v>No</v>
      </c>
    </row>
    <row r="619" spans="1:18" x14ac:dyDescent="0.2">
      <c r="A619" t="s">
        <v>2841</v>
      </c>
      <c r="B619" s="169">
        <v>9003487400</v>
      </c>
      <c r="C619" t="s">
        <v>944</v>
      </c>
      <c r="D619" s="170">
        <f>[1]!Table3[[#This Row],[Residential CLM $ Collected]]+[1]!Table3[[#This Row],[C&amp;I CLM $ Collected]]</f>
        <v>19669.320090000001</v>
      </c>
      <c r="E619" s="28">
        <f>[1]!Table3[[#This Row],[CLM $ Collected ]]/'[1]1.) CLM Reference'!$B$4</f>
        <v>2.1174755312279079E-4</v>
      </c>
      <c r="F619" s="170">
        <f>[1]!Table3[[#This Row],[Residential Incentive Disbursements]]+[1]!Table3[[#This Row],[C&amp;I Incentive Disbursements]]</f>
        <v>7819.69</v>
      </c>
      <c r="G619" s="28">
        <f>[1]!Table3[[#This Row],[Incentive Disbursements]]/'[1]1.) CLM Reference'!$B$5</f>
        <v>6.2785396318893328E-5</v>
      </c>
      <c r="H619" s="228">
        <v>19669.320090000001</v>
      </c>
      <c r="I619" s="28">
        <f>[1]!Table3[[#This Row],[Residential CLM $ Collected]]/'[1]1.) CLM Reference'!$B$4</f>
        <v>2.1174755312279079E-4</v>
      </c>
      <c r="J619" s="229">
        <v>7819.69</v>
      </c>
      <c r="K619" s="28">
        <f>[1]!Table3[[#This Row],[Residential Incentive Disbursements]]/'[1]1.) CLM Reference'!$B$5</f>
        <v>6.2785396318893328E-5</v>
      </c>
      <c r="L619" s="229">
        <v>0</v>
      </c>
      <c r="M619" s="28">
        <f>[1]!Table3[[#This Row],[C&amp;I CLM $ Collected]]/'[1]1.) CLM Reference'!$B$4</f>
        <v>0</v>
      </c>
      <c r="N619" s="229">
        <v>0</v>
      </c>
      <c r="O619" s="28">
        <f>[1]!Table3[[#This Row],[C&amp;I Incentive Disbursements]]/'[1]1.) CLM Reference'!$B$5</f>
        <v>0</v>
      </c>
      <c r="Q619">
        <f>VLOOKUP(Table3[[#This Row],[Census Tract]],'Population and Diversity Data'!$B$2:$K$823,10,FALSE)</f>
        <v>3</v>
      </c>
      <c r="R619" t="str">
        <f>VLOOKUP(Table3[[#This Row],[Census Tract]],'ES Energy Burden'!$B$2:$E$914,4,FALSE)</f>
        <v>No</v>
      </c>
    </row>
    <row r="620" spans="1:18" x14ac:dyDescent="0.2">
      <c r="A620" t="s">
        <v>2841</v>
      </c>
      <c r="B620" s="169">
        <v>9003487500</v>
      </c>
      <c r="C620" t="s">
        <v>944</v>
      </c>
      <c r="D620" s="170">
        <f>[1]!Table3[[#This Row],[Residential CLM $ Collected]]+[1]!Table3[[#This Row],[C&amp;I CLM $ Collected]]</f>
        <v>78026.816049000001</v>
      </c>
      <c r="E620" s="28">
        <f>[1]!Table3[[#This Row],[CLM $ Collected ]]/'[1]1.) CLM Reference'!$B$4</f>
        <v>8.3998772203304213E-4</v>
      </c>
      <c r="F620" s="170">
        <f>[1]!Table3[[#This Row],[Residential Incentive Disbursements]]+[1]!Table3[[#This Row],[C&amp;I Incentive Disbursements]]</f>
        <v>44735.17</v>
      </c>
      <c r="G620" s="28">
        <f>[1]!Table3[[#This Row],[Incentive Disbursements]]/'[1]1.) CLM Reference'!$B$5</f>
        <v>3.5918500322174761E-4</v>
      </c>
      <c r="H620" s="228">
        <v>78026.816049000001</v>
      </c>
      <c r="I620" s="28">
        <f>[1]!Table3[[#This Row],[Residential CLM $ Collected]]/'[1]1.) CLM Reference'!$B$4</f>
        <v>8.3998772203304213E-4</v>
      </c>
      <c r="J620" s="229">
        <v>44735.17</v>
      </c>
      <c r="K620" s="28">
        <f>[1]!Table3[[#This Row],[Residential Incentive Disbursements]]/'[1]1.) CLM Reference'!$B$5</f>
        <v>3.5918500322174761E-4</v>
      </c>
      <c r="L620" s="229">
        <v>0</v>
      </c>
      <c r="M620" s="28">
        <f>[1]!Table3[[#This Row],[C&amp;I CLM $ Collected]]/'[1]1.) CLM Reference'!$B$4</f>
        <v>0</v>
      </c>
      <c r="N620" s="229">
        <v>0</v>
      </c>
      <c r="O620" s="28">
        <f>[1]!Table3[[#This Row],[C&amp;I Incentive Disbursements]]/'[1]1.) CLM Reference'!$B$5</f>
        <v>0</v>
      </c>
      <c r="Q620">
        <f>VLOOKUP(Table3[[#This Row],[Census Tract]],'Population and Diversity Data'!$B$2:$K$823,10,FALSE)</f>
        <v>5</v>
      </c>
      <c r="R620" t="str">
        <f>VLOOKUP(Table3[[#This Row],[Census Tract]],'ES Energy Burden'!$B$2:$E$914,4,FALSE)</f>
        <v>No</v>
      </c>
    </row>
    <row r="621" spans="1:18" x14ac:dyDescent="0.2">
      <c r="A621" t="s">
        <v>2841</v>
      </c>
      <c r="B621" s="169">
        <v>9003514102</v>
      </c>
      <c r="C621" t="s">
        <v>944</v>
      </c>
      <c r="D621" s="170">
        <f>[1]!Table3[[#This Row],[Residential CLM $ Collected]]+[1]!Table3[[#This Row],[C&amp;I CLM $ Collected]]</f>
        <v>24.937290000000001</v>
      </c>
      <c r="E621" s="28">
        <f>[1]!Table3[[#This Row],[CLM $ Collected ]]/'[1]1.) CLM Reference'!$B$4</f>
        <v>2.6845921032613792E-7</v>
      </c>
      <c r="F621" s="170">
        <f>[1]!Table3[[#This Row],[Residential Incentive Disbursements]]+[1]!Table3[[#This Row],[C&amp;I Incentive Disbursements]]</f>
        <v>0</v>
      </c>
      <c r="G621" s="28">
        <f>[1]!Table3[[#This Row],[Incentive Disbursements]]/'[1]1.) CLM Reference'!$B$5</f>
        <v>0</v>
      </c>
      <c r="H621" s="228">
        <v>24.937290000000001</v>
      </c>
      <c r="I621" s="28">
        <f>[1]!Table3[[#This Row],[Residential CLM $ Collected]]/'[1]1.) CLM Reference'!$B$4</f>
        <v>2.6845921032613792E-7</v>
      </c>
      <c r="J621" s="229">
        <v>0</v>
      </c>
      <c r="K621" s="28">
        <f>[1]!Table3[[#This Row],[Residential Incentive Disbursements]]/'[1]1.) CLM Reference'!$B$5</f>
        <v>0</v>
      </c>
      <c r="L621" s="229">
        <v>0</v>
      </c>
      <c r="M621" s="28">
        <f>[1]!Table3[[#This Row],[C&amp;I CLM $ Collected]]/'[1]1.) CLM Reference'!$B$4</f>
        <v>0</v>
      </c>
      <c r="N621" s="229">
        <v>0</v>
      </c>
      <c r="O621" s="28">
        <f>[1]!Table3[[#This Row],[C&amp;I Incentive Disbursements]]/'[1]1.) CLM Reference'!$B$5</f>
        <v>0</v>
      </c>
      <c r="Q621">
        <f>VLOOKUP(Table3[[#This Row],[Census Tract]],'Population and Diversity Data'!$B$2:$K$823,10,FALSE)</f>
        <v>5</v>
      </c>
      <c r="R621" t="str">
        <f>VLOOKUP(Table3[[#This Row],[Census Tract]],'ES Energy Burden'!$B$2:$E$914,4,FALSE)</f>
        <v>No</v>
      </c>
    </row>
    <row r="622" spans="1:18" x14ac:dyDescent="0.2">
      <c r="A622" t="s">
        <v>2842</v>
      </c>
      <c r="B622" s="169">
        <v>9009348111</v>
      </c>
      <c r="C622" t="s">
        <v>944</v>
      </c>
      <c r="D622" s="170">
        <f>[1]!Table3[[#This Row],[Residential CLM $ Collected]]+[1]!Table3[[#This Row],[C&amp;I CLM $ Collected]]</f>
        <v>31605.300132000004</v>
      </c>
      <c r="E622" s="28">
        <f>[1]!Table3[[#This Row],[CLM $ Collected ]]/'[1]1.) CLM Reference'!$B$4</f>
        <v>3.4024282171628522E-4</v>
      </c>
      <c r="F622" s="170">
        <f>[1]!Table3[[#This Row],[Residential Incentive Disbursements]]+[1]!Table3[[#This Row],[C&amp;I Incentive Disbursements]]</f>
        <v>27002.14</v>
      </c>
      <c r="G622" s="28">
        <f>[1]!Table3[[#This Row],[Incentive Disbursements]]/'[1]1.) CLM Reference'!$B$5</f>
        <v>2.1680399879768156E-4</v>
      </c>
      <c r="H622" s="228">
        <v>31605.300132000004</v>
      </c>
      <c r="I622" s="28">
        <f>[1]!Table3[[#This Row],[Residential CLM $ Collected]]/'[1]1.) CLM Reference'!$B$4</f>
        <v>3.4024282171628522E-4</v>
      </c>
      <c r="J622" s="229">
        <v>27002.14</v>
      </c>
      <c r="K622" s="28">
        <f>[1]!Table3[[#This Row],[Residential Incentive Disbursements]]/'[1]1.) CLM Reference'!$B$5</f>
        <v>2.1680399879768156E-4</v>
      </c>
      <c r="L622" s="229">
        <v>0</v>
      </c>
      <c r="M622" s="28">
        <f>[1]!Table3[[#This Row],[C&amp;I CLM $ Collected]]/'[1]1.) CLM Reference'!$B$4</f>
        <v>0</v>
      </c>
      <c r="N622" s="229">
        <v>0</v>
      </c>
      <c r="O622" s="28">
        <f>[1]!Table3[[#This Row],[C&amp;I Incentive Disbursements]]/'[1]1.) CLM Reference'!$B$5</f>
        <v>0</v>
      </c>
      <c r="Q622">
        <f>VLOOKUP(Table3[[#This Row],[Census Tract]],'Population and Diversity Data'!$B$2:$K$823,10,FALSE)</f>
        <v>2</v>
      </c>
      <c r="R622" t="str">
        <f>VLOOKUP(Table3[[#This Row],[Census Tract]],'ES Energy Burden'!$B$2:$E$914,4,FALSE)</f>
        <v>No</v>
      </c>
    </row>
    <row r="623" spans="1:18" x14ac:dyDescent="0.2">
      <c r="A623" t="s">
        <v>2842</v>
      </c>
      <c r="B623" s="169">
        <v>9009348122</v>
      </c>
      <c r="C623" t="s">
        <v>944</v>
      </c>
      <c r="D623" s="170">
        <f>[1]!Table3[[#This Row],[Residential CLM $ Collected]]+[1]!Table3[[#This Row],[C&amp;I CLM $ Collected]]</f>
        <v>56275.587249000004</v>
      </c>
      <c r="E623" s="28">
        <f>[1]!Table3[[#This Row],[CLM $ Collected ]]/'[1]1.) CLM Reference'!$B$4</f>
        <v>6.0582764660900264E-4</v>
      </c>
      <c r="F623" s="170">
        <f>[1]!Table3[[#This Row],[Residential Incentive Disbursements]]+[1]!Table3[[#This Row],[C&amp;I Incentive Disbursements]]</f>
        <v>92272.05</v>
      </c>
      <c r="G623" s="28">
        <f>[1]!Table3[[#This Row],[Incentive Disbursements]]/'[1]1.) CLM Reference'!$B$5</f>
        <v>7.4086533205366739E-4</v>
      </c>
      <c r="H623" s="228">
        <v>56275.587249000004</v>
      </c>
      <c r="I623" s="28">
        <f>[1]!Table3[[#This Row],[Residential CLM $ Collected]]/'[1]1.) CLM Reference'!$B$4</f>
        <v>6.0582764660900264E-4</v>
      </c>
      <c r="J623" s="229">
        <v>92272.05</v>
      </c>
      <c r="K623" s="28">
        <f>[1]!Table3[[#This Row],[Residential Incentive Disbursements]]/'[1]1.) CLM Reference'!$B$5</f>
        <v>7.4086533205366739E-4</v>
      </c>
      <c r="L623" s="229">
        <v>0</v>
      </c>
      <c r="M623" s="28">
        <f>[1]!Table3[[#This Row],[C&amp;I CLM $ Collected]]/'[1]1.) CLM Reference'!$B$4</f>
        <v>0</v>
      </c>
      <c r="N623" s="229">
        <v>0</v>
      </c>
      <c r="O623" s="28">
        <f>[1]!Table3[[#This Row],[C&amp;I Incentive Disbursements]]/'[1]1.) CLM Reference'!$B$5</f>
        <v>0</v>
      </c>
      <c r="Q623">
        <f>VLOOKUP(Table3[[#This Row],[Census Tract]],'Population and Diversity Data'!$B$2:$K$823,10,FALSE)</f>
        <v>1</v>
      </c>
      <c r="R623" t="str">
        <f>VLOOKUP(Table3[[#This Row],[Census Tract]],'ES Energy Burden'!$B$2:$E$914,4,FALSE)</f>
        <v>No</v>
      </c>
    </row>
    <row r="624" spans="1:18" x14ac:dyDescent="0.2">
      <c r="A624" t="s">
        <v>2842</v>
      </c>
      <c r="B624" s="169">
        <v>9009348123</v>
      </c>
      <c r="C624" t="s">
        <v>944</v>
      </c>
      <c r="D624" s="170">
        <f>[1]!Table3[[#This Row],[Residential CLM $ Collected]]+[1]!Table3[[#This Row],[C&amp;I CLM $ Collected]]</f>
        <v>72691.761786000003</v>
      </c>
      <c r="E624" s="28">
        <f>[1]!Table3[[#This Row],[CLM $ Collected ]]/'[1]1.) CLM Reference'!$B$4</f>
        <v>7.8255387679596652E-4</v>
      </c>
      <c r="F624" s="170">
        <f>[1]!Table3[[#This Row],[Residential Incentive Disbursements]]+[1]!Table3[[#This Row],[C&amp;I Incentive Disbursements]]</f>
        <v>95618.54</v>
      </c>
      <c r="G624" s="28">
        <f>[1]!Table3[[#This Row],[Incentive Disbursements]]/'[1]1.) CLM Reference'!$B$5</f>
        <v>7.6773477328819363E-4</v>
      </c>
      <c r="H624" s="228">
        <v>72691.761786000003</v>
      </c>
      <c r="I624" s="28">
        <f>[1]!Table3[[#This Row],[Residential CLM $ Collected]]/'[1]1.) CLM Reference'!$B$4</f>
        <v>7.8255387679596652E-4</v>
      </c>
      <c r="J624" s="229">
        <v>95618.54</v>
      </c>
      <c r="K624" s="28">
        <f>[1]!Table3[[#This Row],[Residential Incentive Disbursements]]/'[1]1.) CLM Reference'!$B$5</f>
        <v>7.6773477328819363E-4</v>
      </c>
      <c r="L624" s="229">
        <v>0</v>
      </c>
      <c r="M624" s="28">
        <f>[1]!Table3[[#This Row],[C&amp;I CLM $ Collected]]/'[1]1.) CLM Reference'!$B$4</f>
        <v>0</v>
      </c>
      <c r="N624" s="229">
        <v>0</v>
      </c>
      <c r="O624" s="28">
        <f>[1]!Table3[[#This Row],[C&amp;I Incentive Disbursements]]/'[1]1.) CLM Reference'!$B$5</f>
        <v>0</v>
      </c>
      <c r="Q624">
        <f>VLOOKUP(Table3[[#This Row],[Census Tract]],'Population and Diversity Data'!$B$2:$K$823,10,FALSE)</f>
        <v>3</v>
      </c>
      <c r="R624" t="str">
        <f>VLOOKUP(Table3[[#This Row],[Census Tract]],'ES Energy Burden'!$B$2:$E$914,4,FALSE)</f>
        <v>No</v>
      </c>
    </row>
    <row r="625" spans="1:18" x14ac:dyDescent="0.2">
      <c r="A625" t="s">
        <v>2842</v>
      </c>
      <c r="B625" s="169">
        <v>9009348124</v>
      </c>
      <c r="C625" t="s">
        <v>944</v>
      </c>
      <c r="D625" s="170">
        <f>[1]!Table3[[#This Row],[Residential CLM $ Collected]]+[1]!Table3[[#This Row],[C&amp;I CLM $ Collected]]</f>
        <v>326091.980025</v>
      </c>
      <c r="E625" s="28">
        <f>[1]!Table3[[#This Row],[CLM $ Collected ]]/'[1]1.) CLM Reference'!$B$4</f>
        <v>3.5105015601614381E-3</v>
      </c>
      <c r="F625" s="170">
        <f>[1]!Table3[[#This Row],[Residential Incentive Disbursements]]+[1]!Table3[[#This Row],[C&amp;I Incentive Disbursements]]</f>
        <v>441295.10750000004</v>
      </c>
      <c r="G625" s="28">
        <f>[1]!Table3[[#This Row],[Incentive Disbursements]]/'[1]1.) CLM Reference'!$B$5</f>
        <v>3.5432207949389481E-3</v>
      </c>
      <c r="H625" s="228">
        <v>225158.04517500001</v>
      </c>
      <c r="I625" s="28">
        <f>[1]!Table3[[#This Row],[Residential CLM $ Collected]]/'[1]1.) CLM Reference'!$B$4</f>
        <v>2.4239101765371209E-3</v>
      </c>
      <c r="J625" s="229">
        <v>409436.20750000002</v>
      </c>
      <c r="K625" s="28">
        <f>[1]!Table3[[#This Row],[Residential Incentive Disbursements]]/'[1]1.) CLM Reference'!$B$5</f>
        <v>3.2874211836009036E-3</v>
      </c>
      <c r="L625" s="229">
        <v>100933.93485000001</v>
      </c>
      <c r="M625" s="28">
        <f>[1]!Table3[[#This Row],[C&amp;I CLM $ Collected]]/'[1]1.) CLM Reference'!$B$4</f>
        <v>1.0865913836243172E-3</v>
      </c>
      <c r="N625" s="229">
        <v>31858.9</v>
      </c>
      <c r="O625" s="28">
        <f>[1]!Table3[[#This Row],[C&amp;I Incentive Disbursements]]/'[1]1.) CLM Reference'!$B$5</f>
        <v>2.5579961133804423E-4</v>
      </c>
      <c r="Q625">
        <f>VLOOKUP(Table3[[#This Row],[Census Tract]],'Population and Diversity Data'!$B$2:$K$823,10,FALSE)</f>
        <v>2</v>
      </c>
      <c r="R625" t="str">
        <f>VLOOKUP(Table3[[#This Row],[Census Tract]],'ES Energy Burden'!$B$2:$E$914,4,FALSE)</f>
        <v>No</v>
      </c>
    </row>
    <row r="626" spans="1:18" x14ac:dyDescent="0.2">
      <c r="A626" t="s">
        <v>2842</v>
      </c>
      <c r="B626" s="169">
        <v>9009348125</v>
      </c>
      <c r="C626" t="s">
        <v>944</v>
      </c>
      <c r="D626" s="170">
        <f>[1]!Table3[[#This Row],[Residential CLM $ Collected]]+[1]!Table3[[#This Row],[C&amp;I CLM $ Collected]]</f>
        <v>75114.846239999999</v>
      </c>
      <c r="E626" s="28">
        <f>[1]!Table3[[#This Row],[CLM $ Collected ]]/'[1]1.) CLM Reference'!$B$4</f>
        <v>8.0863928299184339E-4</v>
      </c>
      <c r="F626" s="170">
        <f>[1]!Table3[[#This Row],[Residential Incentive Disbursements]]+[1]!Table3[[#This Row],[C&amp;I Incentive Disbursements]]</f>
        <v>21603.38</v>
      </c>
      <c r="G626" s="28">
        <f>[1]!Table3[[#This Row],[Incentive Disbursements]]/'[1]1.) CLM Reference'!$B$5</f>
        <v>1.7345659164591615E-4</v>
      </c>
      <c r="H626" s="228">
        <v>75114.846239999999</v>
      </c>
      <c r="I626" s="28">
        <f>[1]!Table3[[#This Row],[Residential CLM $ Collected]]/'[1]1.) CLM Reference'!$B$4</f>
        <v>8.0863928299184339E-4</v>
      </c>
      <c r="J626" s="229">
        <v>21603.38</v>
      </c>
      <c r="K626" s="28">
        <f>[1]!Table3[[#This Row],[Residential Incentive Disbursements]]/'[1]1.) CLM Reference'!$B$5</f>
        <v>1.7345659164591615E-4</v>
      </c>
      <c r="L626" s="229">
        <v>0</v>
      </c>
      <c r="M626" s="28">
        <f>[1]!Table3[[#This Row],[C&amp;I CLM $ Collected]]/'[1]1.) CLM Reference'!$B$4</f>
        <v>0</v>
      </c>
      <c r="N626" s="229">
        <v>0</v>
      </c>
      <c r="O626" s="28">
        <f>[1]!Table3[[#This Row],[C&amp;I Incentive Disbursements]]/'[1]1.) CLM Reference'!$B$5</f>
        <v>0</v>
      </c>
      <c r="Q626">
        <f>VLOOKUP(Table3[[#This Row],[Census Tract]],'Population and Diversity Data'!$B$2:$K$823,10,FALSE)</f>
        <v>1</v>
      </c>
      <c r="R626" t="str">
        <f>VLOOKUP(Table3[[#This Row],[Census Tract]],'ES Energy Burden'!$B$2:$E$914,4,FALSE)</f>
        <v>No</v>
      </c>
    </row>
    <row r="627" spans="1:18" x14ac:dyDescent="0.2">
      <c r="A627" t="s">
        <v>2843</v>
      </c>
      <c r="B627" s="169">
        <v>9003430100</v>
      </c>
      <c r="C627" t="s">
        <v>944</v>
      </c>
      <c r="D627" s="170">
        <f>[1]!Table3[[#This Row],[Residential CLM $ Collected]]+[1]!Table3[[#This Row],[C&amp;I CLM $ Collected]]</f>
        <v>38355.52749</v>
      </c>
      <c r="E627" s="28">
        <f>[1]!Table3[[#This Row],[CLM $ Collected ]]/'[1]1.) CLM Reference'!$B$4</f>
        <v>4.1291153215156393E-4</v>
      </c>
      <c r="F627" s="170">
        <f>[1]!Table3[[#This Row],[Residential Incentive Disbursements]]+[1]!Table3[[#This Row],[C&amp;I Incentive Disbursements]]</f>
        <v>48697.254999999997</v>
      </c>
      <c r="G627" s="28">
        <f>[1]!Table3[[#This Row],[Incentive Disbursements]]/'[1]1.) CLM Reference'!$B$5</f>
        <v>3.9099714372528961E-4</v>
      </c>
      <c r="H627" s="228">
        <v>38355.52749</v>
      </c>
      <c r="I627" s="28">
        <f>[1]!Table3[[#This Row],[Residential CLM $ Collected]]/'[1]1.) CLM Reference'!$B$4</f>
        <v>4.1291153215156393E-4</v>
      </c>
      <c r="J627" s="229">
        <v>48697.254999999997</v>
      </c>
      <c r="K627" s="28">
        <f>[1]!Table3[[#This Row],[Residential Incentive Disbursements]]/'[1]1.) CLM Reference'!$B$5</f>
        <v>3.9099714372528961E-4</v>
      </c>
      <c r="L627" s="229">
        <v>0</v>
      </c>
      <c r="M627" s="28">
        <f>[1]!Table3[[#This Row],[C&amp;I CLM $ Collected]]/'[1]1.) CLM Reference'!$B$4</f>
        <v>0</v>
      </c>
      <c r="N627" s="229">
        <v>0</v>
      </c>
      <c r="O627" s="28">
        <f>[1]!Table3[[#This Row],[C&amp;I Incentive Disbursements]]/'[1]1.) CLM Reference'!$B$5</f>
        <v>0</v>
      </c>
      <c r="Q627">
        <f>VLOOKUP(Table3[[#This Row],[Census Tract]],'Population and Diversity Data'!$B$2:$K$823,10,FALSE)</f>
        <v>3</v>
      </c>
      <c r="R627" t="str">
        <f>VLOOKUP(Table3[[#This Row],[Census Tract]],'ES Energy Burden'!$B$2:$E$914,4,FALSE)</f>
        <v>No</v>
      </c>
    </row>
    <row r="628" spans="1:18" x14ac:dyDescent="0.2">
      <c r="A628" t="s">
        <v>2843</v>
      </c>
      <c r="B628" s="169">
        <v>9003430201</v>
      </c>
      <c r="C628" t="s">
        <v>944</v>
      </c>
      <c r="D628" s="170">
        <f>[1]!Table3[[#This Row],[Residential CLM $ Collected]]+[1]!Table3[[#This Row],[C&amp;I CLM $ Collected]]</f>
        <v>39128.653032000002</v>
      </c>
      <c r="E628" s="28">
        <f>[1]!Table3[[#This Row],[CLM $ Collected ]]/'[1]1.) CLM Reference'!$B$4</f>
        <v>4.2123451642484656E-4</v>
      </c>
      <c r="F628" s="170">
        <f>[1]!Table3[[#This Row],[Residential Incentive Disbursements]]+[1]!Table3[[#This Row],[C&amp;I Incentive Disbursements]]</f>
        <v>22102.639999999999</v>
      </c>
      <c r="G628" s="28">
        <f>[1]!Table3[[#This Row],[Incentive Disbursements]]/'[1]1.) CLM Reference'!$B$5</f>
        <v>1.7746522075604335E-4</v>
      </c>
      <c r="H628" s="228">
        <v>39128.653032000002</v>
      </c>
      <c r="I628" s="28">
        <f>[1]!Table3[[#This Row],[Residential CLM $ Collected]]/'[1]1.) CLM Reference'!$B$4</f>
        <v>4.2123451642484656E-4</v>
      </c>
      <c r="J628" s="229">
        <v>22102.639999999999</v>
      </c>
      <c r="K628" s="28">
        <f>[1]!Table3[[#This Row],[Residential Incentive Disbursements]]/'[1]1.) CLM Reference'!$B$5</f>
        <v>1.7746522075604335E-4</v>
      </c>
      <c r="L628" s="229">
        <v>0</v>
      </c>
      <c r="M628" s="28">
        <f>[1]!Table3[[#This Row],[C&amp;I CLM $ Collected]]/'[1]1.) CLM Reference'!$B$4</f>
        <v>0</v>
      </c>
      <c r="N628" s="229">
        <v>0</v>
      </c>
      <c r="O628" s="28">
        <f>[1]!Table3[[#This Row],[C&amp;I Incentive Disbursements]]/'[1]1.) CLM Reference'!$B$5</f>
        <v>0</v>
      </c>
      <c r="Q628">
        <f>VLOOKUP(Table3[[#This Row],[Census Tract]],'Population and Diversity Data'!$B$2:$K$823,10,FALSE)</f>
        <v>2</v>
      </c>
      <c r="R628" t="str">
        <f>VLOOKUP(Table3[[#This Row],[Census Tract]],'ES Energy Burden'!$B$2:$E$914,4,FALSE)</f>
        <v>No</v>
      </c>
    </row>
    <row r="629" spans="1:18" x14ac:dyDescent="0.2">
      <c r="A629" t="s">
        <v>2843</v>
      </c>
      <c r="B629" s="169">
        <v>9003430202</v>
      </c>
      <c r="C629" t="s">
        <v>944</v>
      </c>
      <c r="D629" s="170">
        <f>[1]!Table3[[#This Row],[Residential CLM $ Collected]]+[1]!Table3[[#This Row],[C&amp;I CLM $ Collected]]</f>
        <v>57801.578898</v>
      </c>
      <c r="E629" s="28">
        <f>[1]!Table3[[#This Row],[CLM $ Collected ]]/'[1]1.) CLM Reference'!$B$4</f>
        <v>6.2225551479575512E-4</v>
      </c>
      <c r="F629" s="170">
        <f>[1]!Table3[[#This Row],[Residential Incentive Disbursements]]+[1]!Table3[[#This Row],[C&amp;I Incentive Disbursements]]</f>
        <v>57740.36</v>
      </c>
      <c r="G629" s="28">
        <f>[1]!Table3[[#This Row],[Incentive Disbursements]]/'[1]1.) CLM Reference'!$B$5</f>
        <v>4.6360551200822235E-4</v>
      </c>
      <c r="H629" s="228">
        <v>57801.578898</v>
      </c>
      <c r="I629" s="28">
        <f>[1]!Table3[[#This Row],[Residential CLM $ Collected]]/'[1]1.) CLM Reference'!$B$4</f>
        <v>6.2225551479575512E-4</v>
      </c>
      <c r="J629" s="229">
        <v>57740.36</v>
      </c>
      <c r="K629" s="28">
        <f>[1]!Table3[[#This Row],[Residential Incentive Disbursements]]/'[1]1.) CLM Reference'!$B$5</f>
        <v>4.6360551200822235E-4</v>
      </c>
      <c r="L629" s="229">
        <v>0</v>
      </c>
      <c r="M629" s="28">
        <f>[1]!Table3[[#This Row],[C&amp;I CLM $ Collected]]/'[1]1.) CLM Reference'!$B$4</f>
        <v>0</v>
      </c>
      <c r="N629" s="229">
        <v>0</v>
      </c>
      <c r="O629" s="28">
        <f>[1]!Table3[[#This Row],[C&amp;I Incentive Disbursements]]/'[1]1.) CLM Reference'!$B$5</f>
        <v>0</v>
      </c>
      <c r="Q629">
        <f>VLOOKUP(Table3[[#This Row],[Census Tract]],'Population and Diversity Data'!$B$2:$K$823,10,FALSE)</f>
        <v>2</v>
      </c>
      <c r="R629" t="str">
        <f>VLOOKUP(Table3[[#This Row],[Census Tract]],'ES Energy Burden'!$B$2:$E$914,4,FALSE)</f>
        <v>No</v>
      </c>
    </row>
    <row r="630" spans="1:18" x14ac:dyDescent="0.2">
      <c r="A630" t="s">
        <v>2843</v>
      </c>
      <c r="B630" s="169">
        <v>9003430203</v>
      </c>
      <c r="C630" t="s">
        <v>944</v>
      </c>
      <c r="D630" s="170">
        <f>[1]!Table3[[#This Row],[Residential CLM $ Collected]]+[1]!Table3[[#This Row],[C&amp;I CLM $ Collected]]</f>
        <v>43923.895385999997</v>
      </c>
      <c r="E630" s="28">
        <f>[1]!Table3[[#This Row],[CLM $ Collected ]]/'[1]1.) CLM Reference'!$B$4</f>
        <v>4.728570855042168E-4</v>
      </c>
      <c r="F630" s="170">
        <f>[1]!Table3[[#This Row],[Residential Incentive Disbursements]]+[1]!Table3[[#This Row],[C&amp;I Incentive Disbursements]]</f>
        <v>47251.26</v>
      </c>
      <c r="G630" s="28">
        <f>[1]!Table3[[#This Row],[Incentive Disbursements]]/'[1]1.) CLM Reference'!$B$5</f>
        <v>3.7938704547968937E-4</v>
      </c>
      <c r="H630" s="228">
        <v>43923.895385999997</v>
      </c>
      <c r="I630" s="28">
        <f>[1]!Table3[[#This Row],[Residential CLM $ Collected]]/'[1]1.) CLM Reference'!$B$4</f>
        <v>4.728570855042168E-4</v>
      </c>
      <c r="J630" s="229">
        <v>47251.26</v>
      </c>
      <c r="K630" s="28">
        <f>[1]!Table3[[#This Row],[Residential Incentive Disbursements]]/'[1]1.) CLM Reference'!$B$5</f>
        <v>3.7938704547968937E-4</v>
      </c>
      <c r="L630" s="229">
        <v>0</v>
      </c>
      <c r="M630" s="28">
        <f>[1]!Table3[[#This Row],[C&amp;I CLM $ Collected]]/'[1]1.) CLM Reference'!$B$4</f>
        <v>0</v>
      </c>
      <c r="N630" s="229">
        <v>0</v>
      </c>
      <c r="O630" s="28">
        <f>[1]!Table3[[#This Row],[C&amp;I Incentive Disbursements]]/'[1]1.) CLM Reference'!$B$5</f>
        <v>0</v>
      </c>
      <c r="Q630">
        <f>VLOOKUP(Table3[[#This Row],[Census Tract]],'Population and Diversity Data'!$B$2:$K$823,10,FALSE)</f>
        <v>2</v>
      </c>
      <c r="R630" t="str">
        <f>VLOOKUP(Table3[[#This Row],[Census Tract]],'ES Energy Burden'!$B$2:$E$914,4,FALSE)</f>
        <v>No</v>
      </c>
    </row>
    <row r="631" spans="1:18" x14ac:dyDescent="0.2">
      <c r="A631" t="s">
        <v>2843</v>
      </c>
      <c r="B631" s="169">
        <v>9003430301</v>
      </c>
      <c r="C631" t="s">
        <v>944</v>
      </c>
      <c r="D631" s="170">
        <f>[1]!Table3[[#This Row],[Residential CLM $ Collected]]+[1]!Table3[[#This Row],[C&amp;I CLM $ Collected]]</f>
        <v>44773.363907999999</v>
      </c>
      <c r="E631" s="28">
        <f>[1]!Table3[[#This Row],[CLM $ Collected ]]/'[1]1.) CLM Reference'!$B$4</f>
        <v>4.820019303776185E-4</v>
      </c>
      <c r="F631" s="170">
        <f>[1]!Table3[[#This Row],[Residential Incentive Disbursements]]+[1]!Table3[[#This Row],[C&amp;I Incentive Disbursements]]</f>
        <v>48176.584999999999</v>
      </c>
      <c r="G631" s="28">
        <f>[1]!Table3[[#This Row],[Incentive Disbursements]]/'[1]1.) CLM Reference'!$B$5</f>
        <v>3.8681661069887066E-4</v>
      </c>
      <c r="H631" s="228">
        <v>44773.363907999999</v>
      </c>
      <c r="I631" s="28">
        <f>[1]!Table3[[#This Row],[Residential CLM $ Collected]]/'[1]1.) CLM Reference'!$B$4</f>
        <v>4.820019303776185E-4</v>
      </c>
      <c r="J631" s="229">
        <v>48176.584999999999</v>
      </c>
      <c r="K631" s="28">
        <f>[1]!Table3[[#This Row],[Residential Incentive Disbursements]]/'[1]1.) CLM Reference'!$B$5</f>
        <v>3.8681661069887066E-4</v>
      </c>
      <c r="L631" s="229">
        <v>0</v>
      </c>
      <c r="M631" s="28">
        <f>[1]!Table3[[#This Row],[C&amp;I CLM $ Collected]]/'[1]1.) CLM Reference'!$B$4</f>
        <v>0</v>
      </c>
      <c r="N631" s="229">
        <v>0</v>
      </c>
      <c r="O631" s="28">
        <f>[1]!Table3[[#This Row],[C&amp;I Incentive Disbursements]]/'[1]1.) CLM Reference'!$B$5</f>
        <v>0</v>
      </c>
      <c r="Q631">
        <f>VLOOKUP(Table3[[#This Row],[Census Tract]],'Population and Diversity Data'!$B$2:$K$823,10,FALSE)</f>
        <v>1</v>
      </c>
      <c r="R631" t="str">
        <f>VLOOKUP(Table3[[#This Row],[Census Tract]],'ES Energy Burden'!$B$2:$E$914,4,FALSE)</f>
        <v>No</v>
      </c>
    </row>
    <row r="632" spans="1:18" x14ac:dyDescent="0.2">
      <c r="A632" t="s">
        <v>2843</v>
      </c>
      <c r="B632" s="169">
        <v>9003430302</v>
      </c>
      <c r="C632" t="s">
        <v>944</v>
      </c>
      <c r="D632" s="170">
        <f>[1]!Table3[[#This Row],[Residential CLM $ Collected]]+[1]!Table3[[#This Row],[C&amp;I CLM $ Collected]]</f>
        <v>31374.76713</v>
      </c>
      <c r="E632" s="28">
        <f>[1]!Table3[[#This Row],[CLM $ Collected ]]/'[1]1.) CLM Reference'!$B$4</f>
        <v>3.3776104812857644E-4</v>
      </c>
      <c r="F632" s="170">
        <f>[1]!Table3[[#This Row],[Residential Incentive Disbursements]]+[1]!Table3[[#This Row],[C&amp;I Incentive Disbursements]]</f>
        <v>20294.47</v>
      </c>
      <c r="G632" s="28">
        <f>[1]!Table3[[#This Row],[Incentive Disbursements]]/'[1]1.) CLM Reference'!$B$5</f>
        <v>1.6294716824220542E-4</v>
      </c>
      <c r="H632" s="228">
        <v>31374.76713</v>
      </c>
      <c r="I632" s="28">
        <f>[1]!Table3[[#This Row],[Residential CLM $ Collected]]/'[1]1.) CLM Reference'!$B$4</f>
        <v>3.3776104812857644E-4</v>
      </c>
      <c r="J632" s="229">
        <v>20294.47</v>
      </c>
      <c r="K632" s="28">
        <f>[1]!Table3[[#This Row],[Residential Incentive Disbursements]]/'[1]1.) CLM Reference'!$B$5</f>
        <v>1.6294716824220542E-4</v>
      </c>
      <c r="L632" s="229">
        <v>0</v>
      </c>
      <c r="M632" s="28">
        <f>[1]!Table3[[#This Row],[C&amp;I CLM $ Collected]]/'[1]1.) CLM Reference'!$B$4</f>
        <v>0</v>
      </c>
      <c r="N632" s="229">
        <v>0</v>
      </c>
      <c r="O632" s="28">
        <f>[1]!Table3[[#This Row],[C&amp;I Incentive Disbursements]]/'[1]1.) CLM Reference'!$B$5</f>
        <v>0</v>
      </c>
      <c r="Q632">
        <f>VLOOKUP(Table3[[#This Row],[Census Tract]],'Population and Diversity Data'!$B$2:$K$823,10,FALSE)</f>
        <v>1</v>
      </c>
      <c r="R632" t="str">
        <f>VLOOKUP(Table3[[#This Row],[Census Tract]],'ES Energy Burden'!$B$2:$E$914,4,FALSE)</f>
        <v>No</v>
      </c>
    </row>
    <row r="633" spans="1:18" x14ac:dyDescent="0.2">
      <c r="A633" t="s">
        <v>2843</v>
      </c>
      <c r="B633" s="169">
        <v>9003430400</v>
      </c>
      <c r="C633" t="s">
        <v>944</v>
      </c>
      <c r="D633" s="170">
        <f>[1]!Table3[[#This Row],[Residential CLM $ Collected]]+[1]!Table3[[#This Row],[C&amp;I CLM $ Collected]]</f>
        <v>52394.084777999997</v>
      </c>
      <c r="E633" s="28">
        <f>[1]!Table3[[#This Row],[CLM $ Collected ]]/'[1]1.) CLM Reference'!$B$4</f>
        <v>5.6404182753068193E-4</v>
      </c>
      <c r="F633" s="170">
        <f>[1]!Table3[[#This Row],[Residential Incentive Disbursements]]+[1]!Table3[[#This Row],[C&amp;I Incentive Disbursements]]</f>
        <v>35424.68</v>
      </c>
      <c r="G633" s="28">
        <f>[1]!Table3[[#This Row],[Incentive Disbursements]]/'[1]1.) CLM Reference'!$B$5</f>
        <v>2.844297629790918E-4</v>
      </c>
      <c r="H633" s="228">
        <v>52394.084777999997</v>
      </c>
      <c r="I633" s="28">
        <f>[1]!Table3[[#This Row],[Residential CLM $ Collected]]/'[1]1.) CLM Reference'!$B$4</f>
        <v>5.6404182753068193E-4</v>
      </c>
      <c r="J633" s="229">
        <v>35424.68</v>
      </c>
      <c r="K633" s="28">
        <f>[1]!Table3[[#This Row],[Residential Incentive Disbursements]]/'[1]1.) CLM Reference'!$B$5</f>
        <v>2.844297629790918E-4</v>
      </c>
      <c r="L633" s="229">
        <v>0</v>
      </c>
      <c r="M633" s="28">
        <f>[1]!Table3[[#This Row],[C&amp;I CLM $ Collected]]/'[1]1.) CLM Reference'!$B$4</f>
        <v>0</v>
      </c>
      <c r="N633" s="229">
        <v>0</v>
      </c>
      <c r="O633" s="28">
        <f>[1]!Table3[[#This Row],[C&amp;I Incentive Disbursements]]/'[1]1.) CLM Reference'!$B$5</f>
        <v>0</v>
      </c>
      <c r="Q633">
        <f>VLOOKUP(Table3[[#This Row],[Census Tract]],'Population and Diversity Data'!$B$2:$K$823,10,FALSE)</f>
        <v>1</v>
      </c>
      <c r="R633" t="str">
        <f>VLOOKUP(Table3[[#This Row],[Census Tract]],'ES Energy Burden'!$B$2:$E$914,4,FALSE)</f>
        <v>No</v>
      </c>
    </row>
    <row r="634" spans="1:18" x14ac:dyDescent="0.2">
      <c r="A634" t="s">
        <v>2843</v>
      </c>
      <c r="B634" s="169">
        <v>9003430500</v>
      </c>
      <c r="C634" t="s">
        <v>944</v>
      </c>
      <c r="D634" s="170">
        <f>[1]!Table3[[#This Row],[Residential CLM $ Collected]]+[1]!Table3[[#This Row],[C&amp;I CLM $ Collected]]</f>
        <v>553707.48959400004</v>
      </c>
      <c r="E634" s="28">
        <f>[1]!Table3[[#This Row],[CLM $ Collected ]]/'[1]1.) CLM Reference'!$B$4</f>
        <v>5.9608672557472549E-3</v>
      </c>
      <c r="F634" s="170">
        <f>[1]!Table3[[#This Row],[Residential Incentive Disbursements]]+[1]!Table3[[#This Row],[C&amp;I Incentive Disbursements]]</f>
        <v>692777.26249999995</v>
      </c>
      <c r="G634" s="28">
        <f>[1]!Table3[[#This Row],[Incentive Disbursements]]/'[1]1.) CLM Reference'!$B$5</f>
        <v>5.5624065642986484E-3</v>
      </c>
      <c r="H634" s="228">
        <v>292237.14265200001</v>
      </c>
      <c r="I634" s="28">
        <f>[1]!Table3[[#This Row],[Residential CLM $ Collected]]/'[1]1.) CLM Reference'!$B$4</f>
        <v>3.1460416326041375E-3</v>
      </c>
      <c r="J634" s="229">
        <v>528449.83250000002</v>
      </c>
      <c r="K634" s="28">
        <f>[1]!Table3[[#This Row],[Residential Incentive Disbursements]]/'[1]1.) CLM Reference'!$B$5</f>
        <v>4.2429984012365323E-3</v>
      </c>
      <c r="L634" s="229">
        <v>261470.346942</v>
      </c>
      <c r="M634" s="28">
        <f>[1]!Table3[[#This Row],[C&amp;I CLM $ Collected]]/'[1]1.) CLM Reference'!$B$4</f>
        <v>2.8148256231431169E-3</v>
      </c>
      <c r="N634" s="229">
        <v>164327.43</v>
      </c>
      <c r="O634" s="28">
        <f>[1]!Table3[[#This Row],[C&amp;I Incentive Disbursements]]/'[1]1.) CLM Reference'!$B$5</f>
        <v>1.3194081630621165E-3</v>
      </c>
      <c r="Q634">
        <f>VLOOKUP(Table3[[#This Row],[Census Tract]],'Population and Diversity Data'!$B$2:$K$823,10,FALSE)</f>
        <v>1</v>
      </c>
      <c r="R634" t="str">
        <f>VLOOKUP(Table3[[#This Row],[Census Tract]],'ES Energy Burden'!$B$2:$E$914,4,FALSE)</f>
        <v>No</v>
      </c>
    </row>
    <row r="635" spans="1:18" x14ac:dyDescent="0.2">
      <c r="A635" t="s">
        <v>2843</v>
      </c>
      <c r="B635" s="169">
        <v>9003430601</v>
      </c>
      <c r="C635" t="s">
        <v>944</v>
      </c>
      <c r="D635" s="170">
        <f>[1]!Table3[[#This Row],[Residential CLM $ Collected]]+[1]!Table3[[#This Row],[C&amp;I CLM $ Collected]]</f>
        <v>68556.467447999996</v>
      </c>
      <c r="E635" s="28">
        <f>[1]!Table3[[#This Row],[CLM $ Collected ]]/'[1]1.) CLM Reference'!$B$4</f>
        <v>7.3803589378956802E-4</v>
      </c>
      <c r="F635" s="170">
        <f>[1]!Table3[[#This Row],[Residential Incentive Disbursements]]+[1]!Table3[[#This Row],[C&amp;I Incentive Disbursements]]</f>
        <v>78491.83</v>
      </c>
      <c r="G635" s="28">
        <f>[1]!Table3[[#This Row],[Incentive Disbursements]]/'[1]1.) CLM Reference'!$B$5</f>
        <v>6.3022199784712712E-4</v>
      </c>
      <c r="H635" s="228">
        <v>68556.467447999996</v>
      </c>
      <c r="I635" s="28">
        <f>[1]!Table3[[#This Row],[Residential CLM $ Collected]]/'[1]1.) CLM Reference'!$B$4</f>
        <v>7.3803589378956802E-4</v>
      </c>
      <c r="J635" s="229">
        <v>78491.83</v>
      </c>
      <c r="K635" s="28">
        <f>[1]!Table3[[#This Row],[Residential Incentive Disbursements]]/'[1]1.) CLM Reference'!$B$5</f>
        <v>6.3022199784712712E-4</v>
      </c>
      <c r="L635" s="229">
        <v>0</v>
      </c>
      <c r="M635" s="28">
        <f>[1]!Table3[[#This Row],[C&amp;I CLM $ Collected]]/'[1]1.) CLM Reference'!$B$4</f>
        <v>0</v>
      </c>
      <c r="N635" s="229">
        <v>0</v>
      </c>
      <c r="O635" s="28">
        <f>[1]!Table3[[#This Row],[C&amp;I Incentive Disbursements]]/'[1]1.) CLM Reference'!$B$5</f>
        <v>0</v>
      </c>
      <c r="Q635">
        <f>VLOOKUP(Table3[[#This Row],[Census Tract]],'Population and Diversity Data'!$B$2:$K$823,10,FALSE)</f>
        <v>2</v>
      </c>
      <c r="R635" t="str">
        <f>VLOOKUP(Table3[[#This Row],[Census Tract]],'ES Energy Burden'!$B$2:$E$914,4,FALSE)</f>
        <v>No</v>
      </c>
    </row>
    <row r="636" spans="1:18" x14ac:dyDescent="0.2">
      <c r="A636" t="s">
        <v>2843</v>
      </c>
      <c r="B636" s="169">
        <v>9003430602</v>
      </c>
      <c r="C636" t="s">
        <v>944</v>
      </c>
      <c r="D636" s="170">
        <f>[1]!Table3[[#This Row],[Residential CLM $ Collected]]+[1]!Table3[[#This Row],[C&amp;I CLM $ Collected]]</f>
        <v>39495.103199999998</v>
      </c>
      <c r="E636" s="28">
        <f>[1]!Table3[[#This Row],[CLM $ Collected ]]/'[1]1.) CLM Reference'!$B$4</f>
        <v>4.2517948890281664E-4</v>
      </c>
      <c r="F636" s="170">
        <f>[1]!Table3[[#This Row],[Residential Incentive Disbursements]]+[1]!Table3[[#This Row],[C&amp;I Incentive Disbursements]]</f>
        <v>30148.89</v>
      </c>
      <c r="G636" s="28">
        <f>[1]!Table3[[#This Row],[Incentive Disbursements]]/'[1]1.) CLM Reference'!$B$5</f>
        <v>2.4206969933906843E-4</v>
      </c>
      <c r="H636" s="228">
        <v>39495.103199999998</v>
      </c>
      <c r="I636" s="28">
        <f>[1]!Table3[[#This Row],[Residential CLM $ Collected]]/'[1]1.) CLM Reference'!$B$4</f>
        <v>4.2517948890281664E-4</v>
      </c>
      <c r="J636" s="229">
        <v>30148.89</v>
      </c>
      <c r="K636" s="28">
        <f>[1]!Table3[[#This Row],[Residential Incentive Disbursements]]/'[1]1.) CLM Reference'!$B$5</f>
        <v>2.4206969933906843E-4</v>
      </c>
      <c r="L636" s="229">
        <v>0</v>
      </c>
      <c r="M636" s="28">
        <f>[1]!Table3[[#This Row],[C&amp;I CLM $ Collected]]/'[1]1.) CLM Reference'!$B$4</f>
        <v>0</v>
      </c>
      <c r="N636" s="229">
        <v>0</v>
      </c>
      <c r="O636" s="28">
        <f>[1]!Table3[[#This Row],[C&amp;I Incentive Disbursements]]/'[1]1.) CLM Reference'!$B$5</f>
        <v>0</v>
      </c>
      <c r="Q636">
        <f>VLOOKUP(Table3[[#This Row],[Census Tract]],'Population and Diversity Data'!$B$2:$K$823,10,FALSE)</f>
        <v>2</v>
      </c>
      <c r="R636" t="str">
        <f>VLOOKUP(Table3[[#This Row],[Census Tract]],'ES Energy Burden'!$B$2:$E$914,4,FALSE)</f>
        <v>No</v>
      </c>
    </row>
    <row r="637" spans="1:18" x14ac:dyDescent="0.2">
      <c r="A637" t="s">
        <v>2843</v>
      </c>
      <c r="B637" s="169">
        <v>9009343101</v>
      </c>
      <c r="C637" t="s">
        <v>944</v>
      </c>
      <c r="D637" s="170">
        <f>[1]!Table3[[#This Row],[Residential CLM $ Collected]]+[1]!Table3[[#This Row],[C&amp;I CLM $ Collected]]</f>
        <v>323.09802000000002</v>
      </c>
      <c r="E637" s="28">
        <f>[1]!Table3[[#This Row],[CLM $ Collected ]]/'[1]1.) CLM Reference'!$B$4</f>
        <v>3.4782704659222678E-6</v>
      </c>
      <c r="F637" s="170">
        <f>[1]!Table3[[#This Row],[Residential Incentive Disbursements]]+[1]!Table3[[#This Row],[C&amp;I Incentive Disbursements]]</f>
        <v>200</v>
      </c>
      <c r="G637" s="28">
        <f>[1]!Table3[[#This Row],[Incentive Disbursements]]/'[1]1.) CLM Reference'!$B$5</f>
        <v>1.6058282698903241E-6</v>
      </c>
      <c r="H637" s="228">
        <v>323.09802000000002</v>
      </c>
      <c r="I637" s="28">
        <f>[1]!Table3[[#This Row],[Residential CLM $ Collected]]/'[1]1.) CLM Reference'!$B$4</f>
        <v>3.4782704659222678E-6</v>
      </c>
      <c r="J637" s="229">
        <v>200</v>
      </c>
      <c r="K637" s="28">
        <f>[1]!Table3[[#This Row],[Residential Incentive Disbursements]]/'[1]1.) CLM Reference'!$B$5</f>
        <v>1.6058282698903241E-6</v>
      </c>
      <c r="L637" s="229">
        <v>0</v>
      </c>
      <c r="M637" s="28">
        <f>[1]!Table3[[#This Row],[C&amp;I CLM $ Collected]]/'[1]1.) CLM Reference'!$B$4</f>
        <v>0</v>
      </c>
      <c r="N637" s="229">
        <v>0</v>
      </c>
      <c r="O637" s="28">
        <f>[1]!Table3[[#This Row],[C&amp;I Incentive Disbursements]]/'[1]1.) CLM Reference'!$B$5</f>
        <v>0</v>
      </c>
      <c r="Q637">
        <f>VLOOKUP(Table3[[#This Row],[Census Tract]],'Population and Diversity Data'!$B$2:$K$823,10,FALSE)</f>
        <v>4</v>
      </c>
      <c r="R637" t="str">
        <f>VLOOKUP(Table3[[#This Row],[Census Tract]],'ES Energy Burden'!$B$2:$E$914,4,FALSE)</f>
        <v>No</v>
      </c>
    </row>
    <row r="638" spans="1:18" x14ac:dyDescent="0.2">
      <c r="A638" t="s">
        <v>2844</v>
      </c>
      <c r="B638" s="169">
        <v>9011711100</v>
      </c>
      <c r="C638" t="s">
        <v>944</v>
      </c>
      <c r="D638" s="170">
        <f>[1]!Table3[[#This Row],[Residential CLM $ Collected]]+[1]!Table3[[#This Row],[C&amp;I CLM $ Collected]]</f>
        <v>59092.732082999995</v>
      </c>
      <c r="E638" s="28">
        <f>[1]!Table3[[#This Row],[CLM $ Collected ]]/'[1]1.) CLM Reference'!$B$4</f>
        <v>6.3615525949356207E-4</v>
      </c>
      <c r="F638" s="170">
        <f>[1]!Table3[[#This Row],[Residential Incentive Disbursements]]+[1]!Table3[[#This Row],[C&amp;I Incentive Disbursements]]</f>
        <v>58782.494999999995</v>
      </c>
      <c r="G638" s="28">
        <f>[1]!Table3[[#This Row],[Incentive Disbursements]]/'[1]1.) CLM Reference'!$B$5</f>
        <v>4.7197296122843303E-4</v>
      </c>
      <c r="H638" s="228">
        <v>47872.593782999997</v>
      </c>
      <c r="I638" s="28">
        <f>[1]!Table3[[#This Row],[Residential CLM $ Collected]]/'[1]1.) CLM Reference'!$B$4</f>
        <v>5.153662937411466E-4</v>
      </c>
      <c r="J638" s="229">
        <v>50445.294999999998</v>
      </c>
      <c r="K638" s="28">
        <f>[1]!Table3[[#This Row],[Residential Incentive Disbursements]]/'[1]1.) CLM Reference'!$B$5</f>
        <v>4.0503240396978503E-4</v>
      </c>
      <c r="L638" s="229">
        <v>11220.138300000001</v>
      </c>
      <c r="M638" s="28">
        <f>[1]!Table3[[#This Row],[C&amp;I CLM $ Collected]]/'[1]1.) CLM Reference'!$B$4</f>
        <v>1.2078896575241558E-4</v>
      </c>
      <c r="N638" s="229">
        <v>8337.2000000000007</v>
      </c>
      <c r="O638" s="28">
        <f>[1]!Table3[[#This Row],[C&amp;I Incentive Disbursements]]/'[1]1.) CLM Reference'!$B$5</f>
        <v>6.6940557258648046E-5</v>
      </c>
      <c r="Q638">
        <f>VLOOKUP(Table3[[#This Row],[Census Tract]],'Population and Diversity Data'!$B$2:$K$823,10,FALSE)</f>
        <v>4</v>
      </c>
      <c r="R638" t="str">
        <f>VLOOKUP(Table3[[#This Row],[Census Tract]],'ES Energy Burden'!$B$2:$E$914,4,FALSE)</f>
        <v>No</v>
      </c>
    </row>
    <row r="639" spans="1:18" x14ac:dyDescent="0.2">
      <c r="A639" t="s">
        <v>2844</v>
      </c>
      <c r="B639" s="169">
        <v>9011712100</v>
      </c>
      <c r="C639" t="s">
        <v>944</v>
      </c>
      <c r="D639" s="170">
        <f>[1]!Table3[[#This Row],[Residential CLM $ Collected]]+[1]!Table3[[#This Row],[C&amp;I CLM $ Collected]]</f>
        <v>180.77241000000001</v>
      </c>
      <c r="E639" s="28">
        <f>[1]!Table3[[#This Row],[CLM $ Collected ]]/'[1]1.) CLM Reference'!$B$4</f>
        <v>1.9460822903111298E-6</v>
      </c>
      <c r="F639" s="170">
        <f>[1]!Table3[[#This Row],[Residential Incentive Disbursements]]+[1]!Table3[[#This Row],[C&amp;I Incentive Disbursements]]</f>
        <v>1215.6099999999999</v>
      </c>
      <c r="G639" s="28">
        <f>[1]!Table3[[#This Row],[Incentive Disbursements]]/'[1]1.) CLM Reference'!$B$5</f>
        <v>9.7603045158068827E-6</v>
      </c>
      <c r="H639" s="228">
        <v>180.77241000000001</v>
      </c>
      <c r="I639" s="28">
        <f>[1]!Table3[[#This Row],[Residential CLM $ Collected]]/'[1]1.) CLM Reference'!$B$4</f>
        <v>1.9460822903111298E-6</v>
      </c>
      <c r="J639" s="229">
        <v>1215.6099999999999</v>
      </c>
      <c r="K639" s="28">
        <f>[1]!Table3[[#This Row],[Residential Incentive Disbursements]]/'[1]1.) CLM Reference'!$B$5</f>
        <v>9.7603045158068827E-6</v>
      </c>
      <c r="L639" s="229">
        <v>0</v>
      </c>
      <c r="M639" s="28">
        <f>[1]!Table3[[#This Row],[C&amp;I CLM $ Collected]]/'[1]1.) CLM Reference'!$B$4</f>
        <v>0</v>
      </c>
      <c r="N639" s="229">
        <v>0</v>
      </c>
      <c r="O639" s="28">
        <f>[1]!Table3[[#This Row],[C&amp;I Incentive Disbursements]]/'[1]1.) CLM Reference'!$B$5</f>
        <v>0</v>
      </c>
      <c r="Q639">
        <f>VLOOKUP(Table3[[#This Row],[Census Tract]],'Population and Diversity Data'!$B$2:$K$823,10,FALSE)</f>
        <v>1</v>
      </c>
      <c r="R639" t="str">
        <f>VLOOKUP(Table3[[#This Row],[Census Tract]],'ES Energy Burden'!$B$2:$E$914,4,FALSE)</f>
        <v>No</v>
      </c>
    </row>
    <row r="640" spans="1:18" x14ac:dyDescent="0.2">
      <c r="A640" t="s">
        <v>2845</v>
      </c>
      <c r="B640" s="169">
        <v>9013535200</v>
      </c>
      <c r="C640" t="s">
        <v>944</v>
      </c>
      <c r="D640" s="170">
        <f>[1]!Table3[[#This Row],[Residential CLM $ Collected]]+[1]!Table3[[#This Row],[C&amp;I CLM $ Collected]]</f>
        <v>184.04231999999999</v>
      </c>
      <c r="E640" s="28">
        <f>[1]!Table3[[#This Row],[CLM $ Collected ]]/'[1]1.) CLM Reference'!$B$4</f>
        <v>1.98128408875986E-6</v>
      </c>
      <c r="F640" s="170">
        <f>[1]!Table3[[#This Row],[Residential Incentive Disbursements]]+[1]!Table3[[#This Row],[C&amp;I Incentive Disbursements]]</f>
        <v>36172.574999999997</v>
      </c>
      <c r="G640" s="28">
        <f>[1]!Table3[[#This Row],[Incentive Disbursements]]/'[1]1.) CLM Reference'!$B$5</f>
        <v>2.904347176486399E-4</v>
      </c>
      <c r="H640" s="228">
        <v>184.04231999999999</v>
      </c>
      <c r="I640" s="28">
        <f>[1]!Table3[[#This Row],[Residential CLM $ Collected]]/'[1]1.) CLM Reference'!$B$4</f>
        <v>1.98128408875986E-6</v>
      </c>
      <c r="J640" s="229">
        <v>36172.574999999997</v>
      </c>
      <c r="K640" s="28">
        <f>[1]!Table3[[#This Row],[Residential Incentive Disbursements]]/'[1]1.) CLM Reference'!$B$5</f>
        <v>2.904347176486399E-4</v>
      </c>
      <c r="L640" s="229">
        <v>0</v>
      </c>
      <c r="M640" s="28">
        <f>[1]!Table3[[#This Row],[C&amp;I CLM $ Collected]]/'[1]1.) CLM Reference'!$B$4</f>
        <v>0</v>
      </c>
      <c r="N640" s="229">
        <v>0</v>
      </c>
      <c r="O640" s="28">
        <f>[1]!Table3[[#This Row],[C&amp;I Incentive Disbursements]]/'[1]1.) CLM Reference'!$B$5</f>
        <v>0</v>
      </c>
      <c r="Q640">
        <f>VLOOKUP(Table3[[#This Row],[Census Tract]],'Population and Diversity Data'!$B$2:$K$823,10,FALSE)</f>
        <v>5</v>
      </c>
      <c r="R640" t="str">
        <f>VLOOKUP(Table3[[#This Row],[Census Tract]],'ES Energy Burden'!$B$2:$E$914,4,FALSE)</f>
        <v>No</v>
      </c>
    </row>
    <row r="641" spans="1:18" x14ac:dyDescent="0.2">
      <c r="A641" t="s">
        <v>2845</v>
      </c>
      <c r="B641" s="169">
        <v>9013840100</v>
      </c>
      <c r="C641" t="s">
        <v>944</v>
      </c>
      <c r="D641" s="170">
        <f>[1]!Table3[[#This Row],[Residential CLM $ Collected]]+[1]!Table3[[#This Row],[C&amp;I CLM $ Collected]]</f>
        <v>190.17159000000001</v>
      </c>
      <c r="E641" s="28">
        <f>[1]!Table3[[#This Row],[CLM $ Collected ]]/'[1]1.) CLM Reference'!$B$4</f>
        <v>2.0472679620707005E-6</v>
      </c>
      <c r="F641" s="170">
        <f>[1]!Table3[[#This Row],[Residential Incentive Disbursements]]+[1]!Table3[[#This Row],[C&amp;I Incentive Disbursements]]</f>
        <v>0</v>
      </c>
      <c r="G641" s="28">
        <f>[1]!Table3[[#This Row],[Incentive Disbursements]]/'[1]1.) CLM Reference'!$B$5</f>
        <v>0</v>
      </c>
      <c r="H641" s="228">
        <v>190.17159000000001</v>
      </c>
      <c r="I641" s="28">
        <f>[1]!Table3[[#This Row],[Residential CLM $ Collected]]/'[1]1.) CLM Reference'!$B$4</f>
        <v>2.0472679620707005E-6</v>
      </c>
      <c r="J641" s="229">
        <v>0</v>
      </c>
      <c r="K641" s="28">
        <f>[1]!Table3[[#This Row],[Residential Incentive Disbursements]]/'[1]1.) CLM Reference'!$B$5</f>
        <v>0</v>
      </c>
      <c r="L641" s="229">
        <v>0</v>
      </c>
      <c r="M641" s="28">
        <f>[1]!Table3[[#This Row],[C&amp;I CLM $ Collected]]/'[1]1.) CLM Reference'!$B$4</f>
        <v>0</v>
      </c>
      <c r="N641" s="229">
        <v>0</v>
      </c>
      <c r="O641" s="28">
        <f>[1]!Table3[[#This Row],[C&amp;I Incentive Disbursements]]/'[1]1.) CLM Reference'!$B$5</f>
        <v>0</v>
      </c>
      <c r="Q641">
        <f>VLOOKUP(Table3[[#This Row],[Census Tract]],'Population and Diversity Data'!$B$2:$K$823,10,FALSE)</f>
        <v>4</v>
      </c>
      <c r="R641" t="str">
        <f>VLOOKUP(Table3[[#This Row],[Census Tract]],'ES Energy Burden'!$B$2:$E$914,4,FALSE)</f>
        <v>No</v>
      </c>
    </row>
    <row r="642" spans="1:18" x14ac:dyDescent="0.2">
      <c r="A642" t="s">
        <v>2845</v>
      </c>
      <c r="B642" s="169">
        <v>9013890100</v>
      </c>
      <c r="C642" t="s">
        <v>944</v>
      </c>
      <c r="D642" s="170">
        <f>[1]!Table3[[#This Row],[Residential CLM $ Collected]]+[1]!Table3[[#This Row],[C&amp;I CLM $ Collected]]</f>
        <v>44263.430379000005</v>
      </c>
      <c r="E642" s="28">
        <f>[1]!Table3[[#This Row],[CLM $ Collected ]]/'[1]1.) CLM Reference'!$B$4</f>
        <v>4.7651230610352302E-4</v>
      </c>
      <c r="F642" s="170">
        <f>[1]!Table3[[#This Row],[Residential Incentive Disbursements]]+[1]!Table3[[#This Row],[C&amp;I Incentive Disbursements]]</f>
        <v>12627.035</v>
      </c>
      <c r="G642" s="28">
        <f>[1]!Table3[[#This Row],[Incentive Disbursements]]/'[1]1.) CLM Reference'!$B$5</f>
        <v>1.0138424883947283E-4</v>
      </c>
      <c r="H642" s="228">
        <v>44263.430379000005</v>
      </c>
      <c r="I642" s="28">
        <f>[1]!Table3[[#This Row],[Residential CLM $ Collected]]/'[1]1.) CLM Reference'!$B$4</f>
        <v>4.7651230610352302E-4</v>
      </c>
      <c r="J642" s="229">
        <v>12627.035</v>
      </c>
      <c r="K642" s="28">
        <f>[1]!Table3[[#This Row],[Residential Incentive Disbursements]]/'[1]1.) CLM Reference'!$B$5</f>
        <v>1.0138424883947283E-4</v>
      </c>
      <c r="L642" s="229">
        <v>0</v>
      </c>
      <c r="M642" s="28">
        <f>[1]!Table3[[#This Row],[C&amp;I CLM $ Collected]]/'[1]1.) CLM Reference'!$B$4</f>
        <v>0</v>
      </c>
      <c r="N642" s="229">
        <v>0</v>
      </c>
      <c r="O642" s="28">
        <f>[1]!Table3[[#This Row],[C&amp;I Incentive Disbursements]]/'[1]1.) CLM Reference'!$B$5</f>
        <v>0</v>
      </c>
      <c r="Q642">
        <f>VLOOKUP(Table3[[#This Row],[Census Tract]],'Population and Diversity Data'!$B$2:$K$823,10,FALSE)</f>
        <v>2</v>
      </c>
      <c r="R642" t="str">
        <f>VLOOKUP(Table3[[#This Row],[Census Tract]],'ES Energy Burden'!$B$2:$E$914,4,FALSE)</f>
        <v>No</v>
      </c>
    </row>
    <row r="643" spans="1:18" x14ac:dyDescent="0.2">
      <c r="A643" t="s">
        <v>2845</v>
      </c>
      <c r="B643" s="169">
        <v>9013890201</v>
      </c>
      <c r="C643" t="s">
        <v>944</v>
      </c>
      <c r="D643" s="170">
        <f>[1]!Table3[[#This Row],[Residential CLM $ Collected]]+[1]!Table3[[#This Row],[C&amp;I CLM $ Collected]]</f>
        <v>32684.178681000001</v>
      </c>
      <c r="E643" s="28">
        <f>[1]!Table3[[#This Row],[CLM $ Collected ]]/'[1]1.) CLM Reference'!$B$4</f>
        <v>3.5185735093346758E-4</v>
      </c>
      <c r="F643" s="170">
        <f>[1]!Table3[[#This Row],[Residential Incentive Disbursements]]+[1]!Table3[[#This Row],[C&amp;I Incentive Disbursements]]</f>
        <v>28799.74</v>
      </c>
      <c r="G643" s="28">
        <f>[1]!Table3[[#This Row],[Incentive Disbursements]]/'[1]1.) CLM Reference'!$B$5</f>
        <v>2.3123718328745579E-4</v>
      </c>
      <c r="H643" s="228">
        <v>32684.178681000001</v>
      </c>
      <c r="I643" s="28">
        <f>[1]!Table3[[#This Row],[Residential CLM $ Collected]]/'[1]1.) CLM Reference'!$B$4</f>
        <v>3.5185735093346758E-4</v>
      </c>
      <c r="J643" s="229">
        <v>28799.74</v>
      </c>
      <c r="K643" s="28">
        <f>[1]!Table3[[#This Row],[Residential Incentive Disbursements]]/'[1]1.) CLM Reference'!$B$5</f>
        <v>2.3123718328745579E-4</v>
      </c>
      <c r="L643" s="229">
        <v>0</v>
      </c>
      <c r="M643" s="28">
        <f>[1]!Table3[[#This Row],[C&amp;I CLM $ Collected]]/'[1]1.) CLM Reference'!$B$4</f>
        <v>0</v>
      </c>
      <c r="N643" s="229">
        <v>0</v>
      </c>
      <c r="O643" s="28">
        <f>[1]!Table3[[#This Row],[C&amp;I Incentive Disbursements]]/'[1]1.) CLM Reference'!$B$5</f>
        <v>0</v>
      </c>
      <c r="Q643">
        <f>VLOOKUP(Table3[[#This Row],[Census Tract]],'Population and Diversity Data'!$B$2:$K$823,10,FALSE)</f>
        <v>4</v>
      </c>
      <c r="R643" t="str">
        <f>VLOOKUP(Table3[[#This Row],[Census Tract]],'ES Energy Burden'!$B$2:$E$914,4,FALSE)</f>
        <v>No</v>
      </c>
    </row>
    <row r="644" spans="1:18" x14ac:dyDescent="0.2">
      <c r="A644" t="s">
        <v>2845</v>
      </c>
      <c r="B644" s="169">
        <v>9013890202</v>
      </c>
      <c r="C644" t="s">
        <v>944</v>
      </c>
      <c r="D644" s="170">
        <f>[1]!Table3[[#This Row],[Residential CLM $ Collected]]+[1]!Table3[[#This Row],[C&amp;I CLM $ Collected]]</f>
        <v>210779.45347199999</v>
      </c>
      <c r="E644" s="28">
        <f>[1]!Table3[[#This Row],[CLM $ Collected ]]/'[1]1.) CLM Reference'!$B$4</f>
        <v>2.2691192840949455E-3</v>
      </c>
      <c r="F644" s="170">
        <f>[1]!Table3[[#This Row],[Residential Incentive Disbursements]]+[1]!Table3[[#This Row],[C&amp;I Incentive Disbursements]]</f>
        <v>160191.41</v>
      </c>
      <c r="G644" s="28">
        <f>[1]!Table3[[#This Row],[Incentive Disbursements]]/'[1]1.) CLM Reference'!$B$5</f>
        <v>1.2861994738579577E-3</v>
      </c>
      <c r="H644" s="228">
        <v>118181.769216</v>
      </c>
      <c r="I644" s="28">
        <f>[1]!Table3[[#This Row],[Residential CLM $ Collected]]/'[1]1.) CLM Reference'!$B$4</f>
        <v>1.2722707414748447E-3</v>
      </c>
      <c r="J644" s="229">
        <v>116633.87</v>
      </c>
      <c r="K644" s="28">
        <f>[1]!Table3[[#This Row],[Residential Incentive Disbursements]]/'[1]1.) CLM Reference'!$B$5</f>
        <v>9.364698283635648E-4</v>
      </c>
      <c r="L644" s="229">
        <v>92597.684255999993</v>
      </c>
      <c r="M644" s="28">
        <f>[1]!Table3[[#This Row],[C&amp;I CLM $ Collected]]/'[1]1.) CLM Reference'!$B$4</f>
        <v>9.9684854262010059E-4</v>
      </c>
      <c r="N644" s="229">
        <v>43557.54</v>
      </c>
      <c r="O644" s="28">
        <f>[1]!Table3[[#This Row],[C&amp;I Incentive Disbursements]]/'[1]1.) CLM Reference'!$B$5</f>
        <v>3.4972964549439292E-4</v>
      </c>
      <c r="Q644">
        <f>VLOOKUP(Table3[[#This Row],[Census Tract]],'Population and Diversity Data'!$B$2:$K$823,10,FALSE)</f>
        <v>4</v>
      </c>
      <c r="R644" t="str">
        <f>VLOOKUP(Table3[[#This Row],[Census Tract]],'ES Energy Burden'!$B$2:$E$914,4,FALSE)</f>
        <v>No</v>
      </c>
    </row>
    <row r="645" spans="1:18" x14ac:dyDescent="0.2">
      <c r="A645" t="s">
        <v>988</v>
      </c>
      <c r="B645" s="169">
        <v>9001010202</v>
      </c>
      <c r="C645" t="s">
        <v>944</v>
      </c>
      <c r="D645" s="170">
        <f>[1]!Table3[[#This Row],[Residential CLM $ Collected]]+[1]!Table3[[#This Row],[C&amp;I CLM $ Collected]]</f>
        <v>309.91694999999999</v>
      </c>
      <c r="E645" s="28">
        <f>[1]!Table3[[#This Row],[CLM $ Collected ]]/'[1]1.) CLM Reference'!$B$4</f>
        <v>3.3363713404177098E-6</v>
      </c>
      <c r="F645" s="170">
        <f>[1]!Table3[[#This Row],[Residential Incentive Disbursements]]+[1]!Table3[[#This Row],[C&amp;I Incentive Disbursements]]</f>
        <v>0</v>
      </c>
      <c r="G645" s="28">
        <f>[1]!Table3[[#This Row],[Incentive Disbursements]]/'[1]1.) CLM Reference'!$B$5</f>
        <v>0</v>
      </c>
      <c r="H645" s="228">
        <v>309.91694999999999</v>
      </c>
      <c r="I645" s="28">
        <f>[1]!Table3[[#This Row],[Residential CLM $ Collected]]/'[1]1.) CLM Reference'!$B$4</f>
        <v>3.3363713404177098E-6</v>
      </c>
      <c r="J645" s="229">
        <v>0</v>
      </c>
      <c r="K645" s="28">
        <f>[1]!Table3[[#This Row],[Residential Incentive Disbursements]]/'[1]1.) CLM Reference'!$B$5</f>
        <v>0</v>
      </c>
      <c r="L645" s="229">
        <v>0</v>
      </c>
      <c r="M645" s="28">
        <f>[1]!Table3[[#This Row],[C&amp;I CLM $ Collected]]/'[1]1.) CLM Reference'!$B$4</f>
        <v>0</v>
      </c>
      <c r="N645" s="229">
        <v>0</v>
      </c>
      <c r="O645" s="28">
        <f>[1]!Table3[[#This Row],[C&amp;I Incentive Disbursements]]/'[1]1.) CLM Reference'!$B$5</f>
        <v>0</v>
      </c>
      <c r="Q645">
        <f>VLOOKUP(Table3[[#This Row],[Census Tract]],'Population and Diversity Data'!$B$2:$K$823,10,FALSE)</f>
        <v>4</v>
      </c>
      <c r="R645" t="str">
        <f>VLOOKUP(Table3[[#This Row],[Census Tract]],'ES Energy Burden'!$B$2:$E$914,4,FALSE)</f>
        <v>No</v>
      </c>
    </row>
    <row r="646" spans="1:18" x14ac:dyDescent="0.2">
      <c r="A646" t="s">
        <v>988</v>
      </c>
      <c r="B646" s="169">
        <v>9001020100</v>
      </c>
      <c r="C646" t="s">
        <v>936</v>
      </c>
      <c r="D646" s="170">
        <f>[1]!Table3[[#This Row],[Residential CLM $ Collected]]+[1]!Table3[[#This Row],[C&amp;I CLM $ Collected]]</f>
        <v>76790.379035999998</v>
      </c>
      <c r="E646" s="28">
        <f>[1]!Table3[[#This Row],[CLM $ Collected ]]/'[1]1.) CLM Reference'!$B$4</f>
        <v>8.2667701729616065E-4</v>
      </c>
      <c r="F646" s="170">
        <f>[1]!Table3[[#This Row],[Residential Incentive Disbursements]]+[1]!Table3[[#This Row],[C&amp;I Incentive Disbursements]]</f>
        <v>2129.25</v>
      </c>
      <c r="G646" s="28">
        <f>[1]!Table3[[#This Row],[Incentive Disbursements]]/'[1]1.) CLM Reference'!$B$5</f>
        <v>1.709604921831986E-5</v>
      </c>
      <c r="H646" s="228">
        <v>76790.379035999998</v>
      </c>
      <c r="I646" s="28">
        <f>[1]!Table3[[#This Row],[Residential CLM $ Collected]]/'[1]1.) CLM Reference'!$B$4</f>
        <v>8.2667701729616065E-4</v>
      </c>
      <c r="J646" s="229">
        <v>2129.25</v>
      </c>
      <c r="K646" s="28">
        <f>[1]!Table3[[#This Row],[Residential Incentive Disbursements]]/'[1]1.) CLM Reference'!$B$5</f>
        <v>1.709604921831986E-5</v>
      </c>
      <c r="L646" s="229">
        <v>0</v>
      </c>
      <c r="M646" s="28">
        <f>[1]!Table3[[#This Row],[C&amp;I CLM $ Collected]]/'[1]1.) CLM Reference'!$B$4</f>
        <v>0</v>
      </c>
      <c r="N646" s="229">
        <v>0</v>
      </c>
      <c r="O646" s="28">
        <f>[1]!Table3[[#This Row],[C&amp;I Incentive Disbursements]]/'[1]1.) CLM Reference'!$B$5</f>
        <v>0</v>
      </c>
      <c r="Q646">
        <f>VLOOKUP(Table3[[#This Row],[Census Tract]],'Population and Diversity Data'!$B$2:$K$823,10,FALSE)</f>
        <v>4</v>
      </c>
      <c r="R646" t="str">
        <f>VLOOKUP(Table3[[#This Row],[Census Tract]],'ES Energy Burden'!$B$2:$E$914,4,FALSE)</f>
        <v>No</v>
      </c>
    </row>
    <row r="647" spans="1:18" x14ac:dyDescent="0.2">
      <c r="A647" t="s">
        <v>988</v>
      </c>
      <c r="B647" s="169">
        <v>9001020200</v>
      </c>
      <c r="C647" t="s">
        <v>944</v>
      </c>
      <c r="D647" s="170">
        <f>[1]!Table3[[#This Row],[Residential CLM $ Collected]]+[1]!Table3[[#This Row],[C&amp;I CLM $ Collected]]</f>
        <v>68572.666785000009</v>
      </c>
      <c r="E647" s="28">
        <f>[1]!Table3[[#This Row],[CLM $ Collected ]]/'[1]1.) CLM Reference'!$B$4</f>
        <v>7.3821028568294659E-4</v>
      </c>
      <c r="F647" s="170">
        <f>[1]!Table3[[#This Row],[Residential Incentive Disbursements]]+[1]!Table3[[#This Row],[C&amp;I Incentive Disbursements]]</f>
        <v>23788.3</v>
      </c>
      <c r="G647" s="28">
        <f>[1]!Table3[[#This Row],[Incentive Disbursements]]/'[1]1.) CLM Reference'!$B$5</f>
        <v>1.9099962316315995E-4</v>
      </c>
      <c r="H647" s="228">
        <v>68572.666785000009</v>
      </c>
      <c r="I647" s="28">
        <f>[1]!Table3[[#This Row],[Residential CLM $ Collected]]/'[1]1.) CLM Reference'!$B$4</f>
        <v>7.3821028568294659E-4</v>
      </c>
      <c r="J647" s="229">
        <v>23788.3</v>
      </c>
      <c r="K647" s="28">
        <f>[1]!Table3[[#This Row],[Residential Incentive Disbursements]]/'[1]1.) CLM Reference'!$B$5</f>
        <v>1.9099962316315995E-4</v>
      </c>
      <c r="L647" s="229">
        <v>0</v>
      </c>
      <c r="M647" s="28">
        <f>[1]!Table3[[#This Row],[C&amp;I CLM $ Collected]]/'[1]1.) CLM Reference'!$B$4</f>
        <v>0</v>
      </c>
      <c r="N647" s="229">
        <v>0</v>
      </c>
      <c r="O647" s="28">
        <f>[1]!Table3[[#This Row],[C&amp;I Incentive Disbursements]]/'[1]1.) CLM Reference'!$B$5</f>
        <v>0</v>
      </c>
      <c r="Q647">
        <f>VLOOKUP(Table3[[#This Row],[Census Tract]],'Population and Diversity Data'!$B$2:$K$823,10,FALSE)</f>
        <v>4</v>
      </c>
      <c r="R647" t="str">
        <f>VLOOKUP(Table3[[#This Row],[Census Tract]],'ES Energy Burden'!$B$2:$E$914,4,FALSE)</f>
        <v>No</v>
      </c>
    </row>
    <row r="648" spans="1:18" x14ac:dyDescent="0.2">
      <c r="A648" t="s">
        <v>988</v>
      </c>
      <c r="B648" s="169">
        <v>9001020300</v>
      </c>
      <c r="C648" t="s">
        <v>944</v>
      </c>
      <c r="D648" s="170">
        <f>[1]!Table3[[#This Row],[Residential CLM $ Collected]]+[1]!Table3[[#This Row],[C&amp;I CLM $ Collected]]</f>
        <v>135246.927669</v>
      </c>
      <c r="E648" s="28">
        <f>[1]!Table3[[#This Row],[CLM $ Collected ]]/'[1]1.) CLM Reference'!$B$4</f>
        <v>1.4559835251166436E-3</v>
      </c>
      <c r="F648" s="170">
        <f>[1]!Table3[[#This Row],[Residential Incentive Disbursements]]+[1]!Table3[[#This Row],[C&amp;I Incentive Disbursements]]</f>
        <v>74877.14</v>
      </c>
      <c r="G648" s="28">
        <f>[1]!Table3[[#This Row],[Incentive Disbursements]]/'[1]1.) CLM Reference'!$B$5</f>
        <v>6.0119914090267783E-4</v>
      </c>
      <c r="H648" s="228">
        <v>135246.927669</v>
      </c>
      <c r="I648" s="28">
        <f>[1]!Table3[[#This Row],[Residential CLM $ Collected]]/'[1]1.) CLM Reference'!$B$4</f>
        <v>1.4559835251166436E-3</v>
      </c>
      <c r="J648" s="229">
        <v>74877.14</v>
      </c>
      <c r="K648" s="28">
        <f>[1]!Table3[[#This Row],[Residential Incentive Disbursements]]/'[1]1.) CLM Reference'!$B$5</f>
        <v>6.0119914090267783E-4</v>
      </c>
      <c r="L648" s="229">
        <v>0</v>
      </c>
      <c r="M648" s="28">
        <f>[1]!Table3[[#This Row],[C&amp;I CLM $ Collected]]/'[1]1.) CLM Reference'!$B$4</f>
        <v>0</v>
      </c>
      <c r="N648" s="229">
        <v>0</v>
      </c>
      <c r="O648" s="28">
        <f>[1]!Table3[[#This Row],[C&amp;I Incentive Disbursements]]/'[1]1.) CLM Reference'!$B$5</f>
        <v>0</v>
      </c>
      <c r="Q648">
        <f>VLOOKUP(Table3[[#This Row],[Census Tract]],'Population and Diversity Data'!$B$2:$K$823,10,FALSE)</f>
        <v>3</v>
      </c>
      <c r="R648" t="str">
        <f>VLOOKUP(Table3[[#This Row],[Census Tract]],'ES Energy Burden'!$B$2:$E$914,4,FALSE)</f>
        <v>No</v>
      </c>
    </row>
    <row r="649" spans="1:18" x14ac:dyDescent="0.2">
      <c r="A649" t="s">
        <v>988</v>
      </c>
      <c r="B649" s="169">
        <v>9001020400</v>
      </c>
      <c r="C649" t="s">
        <v>944</v>
      </c>
      <c r="D649" s="170">
        <f>[1]!Table3[[#This Row],[Residential CLM $ Collected]]+[1]!Table3[[#This Row],[C&amp;I CLM $ Collected]]</f>
        <v>58485.315630000005</v>
      </c>
      <c r="E649" s="28">
        <f>[1]!Table3[[#This Row],[CLM $ Collected ]]/'[1]1.) CLM Reference'!$B$4</f>
        <v>6.2961619525236023E-4</v>
      </c>
      <c r="F649" s="170">
        <f>[1]!Table3[[#This Row],[Residential Incentive Disbursements]]+[1]!Table3[[#This Row],[C&amp;I Incentive Disbursements]]</f>
        <v>25348.73</v>
      </c>
      <c r="G649" s="28">
        <f>[1]!Table3[[#This Row],[Incentive Disbursements]]/'[1]1.) CLM Reference'!$B$5</f>
        <v>2.0352853619908475E-4</v>
      </c>
      <c r="H649" s="228">
        <v>58485.315630000005</v>
      </c>
      <c r="I649" s="28">
        <f>[1]!Table3[[#This Row],[Residential CLM $ Collected]]/'[1]1.) CLM Reference'!$B$4</f>
        <v>6.2961619525236023E-4</v>
      </c>
      <c r="J649" s="229">
        <v>25348.73</v>
      </c>
      <c r="K649" s="28">
        <f>[1]!Table3[[#This Row],[Residential Incentive Disbursements]]/'[1]1.) CLM Reference'!$B$5</f>
        <v>2.0352853619908475E-4</v>
      </c>
      <c r="L649" s="229">
        <v>0</v>
      </c>
      <c r="M649" s="28">
        <f>[1]!Table3[[#This Row],[C&amp;I CLM $ Collected]]/'[1]1.) CLM Reference'!$B$4</f>
        <v>0</v>
      </c>
      <c r="N649" s="229">
        <v>0</v>
      </c>
      <c r="O649" s="28">
        <f>[1]!Table3[[#This Row],[C&amp;I Incentive Disbursements]]/'[1]1.) CLM Reference'!$B$5</f>
        <v>0</v>
      </c>
      <c r="Q649">
        <f>VLOOKUP(Table3[[#This Row],[Census Tract]],'Population and Diversity Data'!$B$2:$K$823,10,FALSE)</f>
        <v>4</v>
      </c>
      <c r="R649" t="str">
        <f>VLOOKUP(Table3[[#This Row],[Census Tract]],'ES Energy Burden'!$B$2:$E$914,4,FALSE)</f>
        <v>No</v>
      </c>
    </row>
    <row r="650" spans="1:18" x14ac:dyDescent="0.2">
      <c r="A650" t="s">
        <v>988</v>
      </c>
      <c r="B650" s="169">
        <v>9001020500</v>
      </c>
      <c r="C650" t="s">
        <v>944</v>
      </c>
      <c r="D650" s="170">
        <f>[1]!Table3[[#This Row],[Residential CLM $ Collected]]+[1]!Table3[[#This Row],[C&amp;I CLM $ Collected]]</f>
        <v>80134.068735000008</v>
      </c>
      <c r="E650" s="28">
        <f>[1]!Table3[[#This Row],[CLM $ Collected ]]/'[1]1.) CLM Reference'!$B$4</f>
        <v>8.6267308167080532E-4</v>
      </c>
      <c r="F650" s="170">
        <f>[1]!Table3[[#This Row],[Residential Incentive Disbursements]]+[1]!Table3[[#This Row],[C&amp;I Incentive Disbursements]]</f>
        <v>60912.480000000003</v>
      </c>
      <c r="G650" s="28">
        <f>[1]!Table3[[#This Row],[Incentive Disbursements]]/'[1]1.) CLM Reference'!$B$5</f>
        <v>4.8907491186564477E-4</v>
      </c>
      <c r="H650" s="228">
        <v>80134.068735000008</v>
      </c>
      <c r="I650" s="28">
        <f>[1]!Table3[[#This Row],[Residential CLM $ Collected]]/'[1]1.) CLM Reference'!$B$4</f>
        <v>8.6267308167080532E-4</v>
      </c>
      <c r="J650" s="229">
        <v>60912.480000000003</v>
      </c>
      <c r="K650" s="28">
        <f>[1]!Table3[[#This Row],[Residential Incentive Disbursements]]/'[1]1.) CLM Reference'!$B$5</f>
        <v>4.8907491186564477E-4</v>
      </c>
      <c r="L650" s="229">
        <v>0</v>
      </c>
      <c r="M650" s="28">
        <f>[1]!Table3[[#This Row],[C&amp;I CLM $ Collected]]/'[1]1.) CLM Reference'!$B$4</f>
        <v>0</v>
      </c>
      <c r="N650" s="229">
        <v>0</v>
      </c>
      <c r="O650" s="28">
        <f>[1]!Table3[[#This Row],[C&amp;I Incentive Disbursements]]/'[1]1.) CLM Reference'!$B$5</f>
        <v>0</v>
      </c>
      <c r="Q650">
        <f>VLOOKUP(Table3[[#This Row],[Census Tract]],'Population and Diversity Data'!$B$2:$K$823,10,FALSE)</f>
        <v>3</v>
      </c>
      <c r="R650" t="str">
        <f>VLOOKUP(Table3[[#This Row],[Census Tract]],'ES Energy Burden'!$B$2:$E$914,4,FALSE)</f>
        <v>No</v>
      </c>
    </row>
    <row r="651" spans="1:18" x14ac:dyDescent="0.2">
      <c r="A651" t="s">
        <v>988</v>
      </c>
      <c r="B651" s="169">
        <v>9001020600</v>
      </c>
      <c r="C651" t="s">
        <v>944</v>
      </c>
      <c r="D651" s="170">
        <f>[1]!Table3[[#This Row],[Residential CLM $ Collected]]+[1]!Table3[[#This Row],[C&amp;I CLM $ Collected]]</f>
        <v>66300.907680000004</v>
      </c>
      <c r="E651" s="28">
        <f>[1]!Table3[[#This Row],[CLM $ Collected ]]/'[1]1.) CLM Reference'!$B$4</f>
        <v>7.1375395320337422E-4</v>
      </c>
      <c r="F651" s="170">
        <f>[1]!Table3[[#This Row],[Residential Incentive Disbursements]]+[1]!Table3[[#This Row],[C&amp;I Incentive Disbursements]]</f>
        <v>52357.25</v>
      </c>
      <c r="G651" s="28">
        <f>[1]!Table3[[#This Row],[Incentive Disbursements]]/'[1]1.) CLM Reference'!$B$5</f>
        <v>4.2038376091857585E-4</v>
      </c>
      <c r="H651" s="228">
        <v>66300.907680000004</v>
      </c>
      <c r="I651" s="28">
        <f>[1]!Table3[[#This Row],[Residential CLM $ Collected]]/'[1]1.) CLM Reference'!$B$4</f>
        <v>7.1375395320337422E-4</v>
      </c>
      <c r="J651" s="229">
        <v>52357.25</v>
      </c>
      <c r="K651" s="28">
        <f>[1]!Table3[[#This Row],[Residential Incentive Disbursements]]/'[1]1.) CLM Reference'!$B$5</f>
        <v>4.2038376091857585E-4</v>
      </c>
      <c r="L651" s="229">
        <v>0</v>
      </c>
      <c r="M651" s="28">
        <f>[1]!Table3[[#This Row],[C&amp;I CLM $ Collected]]/'[1]1.) CLM Reference'!$B$4</f>
        <v>0</v>
      </c>
      <c r="N651" s="229">
        <v>0</v>
      </c>
      <c r="O651" s="28">
        <f>[1]!Table3[[#This Row],[C&amp;I Incentive Disbursements]]/'[1]1.) CLM Reference'!$B$5</f>
        <v>0</v>
      </c>
      <c r="Q651">
        <f>VLOOKUP(Table3[[#This Row],[Census Tract]],'Population and Diversity Data'!$B$2:$K$823,10,FALSE)</f>
        <v>4</v>
      </c>
      <c r="R651" t="str">
        <f>VLOOKUP(Table3[[#This Row],[Census Tract]],'ES Energy Burden'!$B$2:$E$914,4,FALSE)</f>
        <v>No</v>
      </c>
    </row>
    <row r="652" spans="1:18" x14ac:dyDescent="0.2">
      <c r="A652" t="s">
        <v>988</v>
      </c>
      <c r="B652" s="169">
        <v>9001020700</v>
      </c>
      <c r="C652" t="s">
        <v>944</v>
      </c>
      <c r="D652" s="170">
        <f>[1]!Table3[[#This Row],[Residential CLM $ Collected]]+[1]!Table3[[#This Row],[C&amp;I CLM $ Collected]]</f>
        <v>55072.519740000003</v>
      </c>
      <c r="E652" s="28">
        <f>[1]!Table3[[#This Row],[CLM $ Collected ]]/'[1]1.) CLM Reference'!$B$4</f>
        <v>5.9287617700524162E-4</v>
      </c>
      <c r="F652" s="170">
        <f>[1]!Table3[[#This Row],[Residential Incentive Disbursements]]+[1]!Table3[[#This Row],[C&amp;I Incentive Disbursements]]</f>
        <v>24708.13</v>
      </c>
      <c r="G652" s="28">
        <f>[1]!Table3[[#This Row],[Incentive Disbursements]]/'[1]1.) CLM Reference'!$B$5</f>
        <v>1.9838506825062605E-4</v>
      </c>
      <c r="H652" s="228">
        <v>55072.519740000003</v>
      </c>
      <c r="I652" s="28">
        <f>[1]!Table3[[#This Row],[Residential CLM $ Collected]]/'[1]1.) CLM Reference'!$B$4</f>
        <v>5.9287617700524162E-4</v>
      </c>
      <c r="J652" s="229">
        <v>24708.13</v>
      </c>
      <c r="K652" s="28">
        <f>[1]!Table3[[#This Row],[Residential Incentive Disbursements]]/'[1]1.) CLM Reference'!$B$5</f>
        <v>1.9838506825062605E-4</v>
      </c>
      <c r="L652" s="229">
        <v>0</v>
      </c>
      <c r="M652" s="28">
        <f>[1]!Table3[[#This Row],[C&amp;I CLM $ Collected]]/'[1]1.) CLM Reference'!$B$4</f>
        <v>0</v>
      </c>
      <c r="N652" s="229">
        <v>0</v>
      </c>
      <c r="O652" s="28">
        <f>[1]!Table3[[#This Row],[C&amp;I Incentive Disbursements]]/'[1]1.) CLM Reference'!$B$5</f>
        <v>0</v>
      </c>
      <c r="Q652">
        <f>VLOOKUP(Table3[[#This Row],[Census Tract]],'Population and Diversity Data'!$B$2:$K$823,10,FALSE)</f>
        <v>3</v>
      </c>
      <c r="R652" t="str">
        <f>VLOOKUP(Table3[[#This Row],[Census Tract]],'ES Energy Burden'!$B$2:$E$914,4,FALSE)</f>
        <v>No</v>
      </c>
    </row>
    <row r="653" spans="1:18" x14ac:dyDescent="0.2">
      <c r="A653" t="s">
        <v>988</v>
      </c>
      <c r="B653" s="169">
        <v>9001020800</v>
      </c>
      <c r="C653" t="s">
        <v>944</v>
      </c>
      <c r="D653" s="170">
        <f>[1]!Table3[[#This Row],[Residential CLM $ Collected]]+[1]!Table3[[#This Row],[C&amp;I CLM $ Collected]]</f>
        <v>36988.821029999999</v>
      </c>
      <c r="E653" s="28">
        <f>[1]!Table3[[#This Row],[CLM $ Collected ]]/'[1]1.) CLM Reference'!$B$4</f>
        <v>3.9819842832194844E-4</v>
      </c>
      <c r="F653" s="170">
        <f>[1]!Table3[[#This Row],[Residential Incentive Disbursements]]+[1]!Table3[[#This Row],[C&amp;I Incentive Disbursements]]</f>
        <v>13018.45</v>
      </c>
      <c r="G653" s="28">
        <f>[1]!Table3[[#This Row],[Incentive Disbursements]]/'[1]1.) CLM Reference'!$B$5</f>
        <v>1.0452697520076844E-4</v>
      </c>
      <c r="H653" s="228">
        <v>36988.821029999999</v>
      </c>
      <c r="I653" s="28">
        <f>[1]!Table3[[#This Row],[Residential CLM $ Collected]]/'[1]1.) CLM Reference'!$B$4</f>
        <v>3.9819842832194844E-4</v>
      </c>
      <c r="J653" s="229">
        <v>13018.45</v>
      </c>
      <c r="K653" s="28">
        <f>[1]!Table3[[#This Row],[Residential Incentive Disbursements]]/'[1]1.) CLM Reference'!$B$5</f>
        <v>1.0452697520076844E-4</v>
      </c>
      <c r="L653" s="229">
        <v>0</v>
      </c>
      <c r="M653" s="28">
        <f>[1]!Table3[[#This Row],[C&amp;I CLM $ Collected]]/'[1]1.) CLM Reference'!$B$4</f>
        <v>0</v>
      </c>
      <c r="N653" s="229">
        <v>0</v>
      </c>
      <c r="O653" s="28">
        <f>[1]!Table3[[#This Row],[C&amp;I Incentive Disbursements]]/'[1]1.) CLM Reference'!$B$5</f>
        <v>0</v>
      </c>
      <c r="Q653">
        <f>VLOOKUP(Table3[[#This Row],[Census Tract]],'Population and Diversity Data'!$B$2:$K$823,10,FALSE)</f>
        <v>4</v>
      </c>
      <c r="R653" t="str">
        <f>VLOOKUP(Table3[[#This Row],[Census Tract]],'ES Energy Burden'!$B$2:$E$914,4,FALSE)</f>
        <v>No</v>
      </c>
    </row>
    <row r="654" spans="1:18" x14ac:dyDescent="0.2">
      <c r="A654" t="s">
        <v>988</v>
      </c>
      <c r="B654" s="169">
        <v>9001020900</v>
      </c>
      <c r="C654" t="s">
        <v>944</v>
      </c>
      <c r="D654" s="170">
        <f>[1]!Table3[[#This Row],[Residential CLM $ Collected]]+[1]!Table3[[#This Row],[C&amp;I CLM $ Collected]]</f>
        <v>58716.095444999999</v>
      </c>
      <c r="E654" s="28">
        <f>[1]!Table3[[#This Row],[CLM $ Collected ]]/'[1]1.) CLM Reference'!$B$4</f>
        <v>6.321006258738957E-4</v>
      </c>
      <c r="F654" s="170">
        <f>[1]!Table3[[#This Row],[Residential Incentive Disbursements]]+[1]!Table3[[#This Row],[C&amp;I Incentive Disbursements]]</f>
        <v>23512.63</v>
      </c>
      <c r="G654" s="28">
        <f>[1]!Table3[[#This Row],[Incentive Disbursements]]/'[1]1.) CLM Reference'!$B$5</f>
        <v>1.8878622976735665E-4</v>
      </c>
      <c r="H654" s="228">
        <v>58716.095444999999</v>
      </c>
      <c r="I654" s="28">
        <f>[1]!Table3[[#This Row],[Residential CLM $ Collected]]/'[1]1.) CLM Reference'!$B$4</f>
        <v>6.321006258738957E-4</v>
      </c>
      <c r="J654" s="229">
        <v>23512.63</v>
      </c>
      <c r="K654" s="28">
        <f>[1]!Table3[[#This Row],[Residential Incentive Disbursements]]/'[1]1.) CLM Reference'!$B$5</f>
        <v>1.8878622976735665E-4</v>
      </c>
      <c r="L654" s="229">
        <v>0</v>
      </c>
      <c r="M654" s="28">
        <f>[1]!Table3[[#This Row],[C&amp;I CLM $ Collected]]/'[1]1.) CLM Reference'!$B$4</f>
        <v>0</v>
      </c>
      <c r="N654" s="229">
        <v>0</v>
      </c>
      <c r="O654" s="28">
        <f>[1]!Table3[[#This Row],[C&amp;I Incentive Disbursements]]/'[1]1.) CLM Reference'!$B$5</f>
        <v>0</v>
      </c>
      <c r="Q654">
        <f>VLOOKUP(Table3[[#This Row],[Census Tract]],'Population and Diversity Data'!$B$2:$K$823,10,FALSE)</f>
        <v>4</v>
      </c>
      <c r="R654" t="str">
        <f>VLOOKUP(Table3[[#This Row],[Census Tract]],'ES Energy Burden'!$B$2:$E$914,4,FALSE)</f>
        <v>No</v>
      </c>
    </row>
    <row r="655" spans="1:18" x14ac:dyDescent="0.2">
      <c r="A655" t="s">
        <v>988</v>
      </c>
      <c r="B655" s="169">
        <v>9001021000</v>
      </c>
      <c r="C655" t="s">
        <v>944</v>
      </c>
      <c r="D655" s="170">
        <f>[1]!Table3[[#This Row],[Residential CLM $ Collected]]+[1]!Table3[[#This Row],[C&amp;I CLM $ Collected]]</f>
        <v>40399.23573</v>
      </c>
      <c r="E655" s="28">
        <f>[1]!Table3[[#This Row],[CLM $ Collected ]]/'[1]1.) CLM Reference'!$B$4</f>
        <v>4.3491281217226469E-4</v>
      </c>
      <c r="F655" s="170">
        <f>[1]!Table3[[#This Row],[Residential Incentive Disbursements]]+[1]!Table3[[#This Row],[C&amp;I Incentive Disbursements]]</f>
        <v>28401.18</v>
      </c>
      <c r="G655" s="28">
        <f>[1]!Table3[[#This Row],[Incentive Disbursements]]/'[1]1.) CLM Reference'!$B$5</f>
        <v>2.2803708871121836E-4</v>
      </c>
      <c r="H655" s="228">
        <v>40399.23573</v>
      </c>
      <c r="I655" s="28">
        <f>[1]!Table3[[#This Row],[Residential CLM $ Collected]]/'[1]1.) CLM Reference'!$B$4</f>
        <v>4.3491281217226469E-4</v>
      </c>
      <c r="J655" s="229">
        <v>28401.18</v>
      </c>
      <c r="K655" s="28">
        <f>[1]!Table3[[#This Row],[Residential Incentive Disbursements]]/'[1]1.) CLM Reference'!$B$5</f>
        <v>2.2803708871121836E-4</v>
      </c>
      <c r="L655" s="229">
        <v>0</v>
      </c>
      <c r="M655" s="28">
        <f>[1]!Table3[[#This Row],[C&amp;I CLM $ Collected]]/'[1]1.) CLM Reference'!$B$4</f>
        <v>0</v>
      </c>
      <c r="N655" s="229">
        <v>0</v>
      </c>
      <c r="O655" s="28">
        <f>[1]!Table3[[#This Row],[C&amp;I Incentive Disbursements]]/'[1]1.) CLM Reference'!$B$5</f>
        <v>0</v>
      </c>
      <c r="Q655">
        <f>VLOOKUP(Table3[[#This Row],[Census Tract]],'Population and Diversity Data'!$B$2:$K$823,10,FALSE)</f>
        <v>4</v>
      </c>
      <c r="R655" t="str">
        <f>VLOOKUP(Table3[[#This Row],[Census Tract]],'ES Energy Burden'!$B$2:$E$914,4,FALSE)</f>
        <v>No</v>
      </c>
    </row>
    <row r="656" spans="1:18" x14ac:dyDescent="0.2">
      <c r="A656" t="s">
        <v>988</v>
      </c>
      <c r="B656" s="169">
        <v>9001021100</v>
      </c>
      <c r="C656" t="s">
        <v>944</v>
      </c>
      <c r="D656" s="170">
        <f>[1]!Table3[[#This Row],[Residential CLM $ Collected]]+[1]!Table3[[#This Row],[C&amp;I CLM $ Collected]]</f>
        <v>62757.015930000001</v>
      </c>
      <c r="E656" s="28">
        <f>[1]!Table3[[#This Row],[CLM $ Collected ]]/'[1]1.) CLM Reference'!$B$4</f>
        <v>6.7560263921992545E-4</v>
      </c>
      <c r="F656" s="170">
        <f>[1]!Table3[[#This Row],[Residential Incentive Disbursements]]+[1]!Table3[[#This Row],[C&amp;I Incentive Disbursements]]</f>
        <v>42749.3</v>
      </c>
      <c r="G656" s="28">
        <f>[1]!Table3[[#This Row],[Incentive Disbursements]]/'[1]1.) CLM Reference'!$B$5</f>
        <v>3.4324017229011216E-4</v>
      </c>
      <c r="H656" s="228">
        <v>62757.015930000001</v>
      </c>
      <c r="I656" s="28">
        <f>[1]!Table3[[#This Row],[Residential CLM $ Collected]]/'[1]1.) CLM Reference'!$B$4</f>
        <v>6.7560263921992545E-4</v>
      </c>
      <c r="J656" s="229">
        <v>42749.3</v>
      </c>
      <c r="K656" s="28">
        <f>[1]!Table3[[#This Row],[Residential Incentive Disbursements]]/'[1]1.) CLM Reference'!$B$5</f>
        <v>3.4324017229011216E-4</v>
      </c>
      <c r="L656" s="229">
        <v>0</v>
      </c>
      <c r="M656" s="28">
        <f>[1]!Table3[[#This Row],[C&amp;I CLM $ Collected]]/'[1]1.) CLM Reference'!$B$4</f>
        <v>0</v>
      </c>
      <c r="N656" s="229">
        <v>0</v>
      </c>
      <c r="O656" s="28">
        <f>[1]!Table3[[#This Row],[C&amp;I Incentive Disbursements]]/'[1]1.) CLM Reference'!$B$5</f>
        <v>0</v>
      </c>
      <c r="Q656">
        <f>VLOOKUP(Table3[[#This Row],[Census Tract]],'Population and Diversity Data'!$B$2:$K$823,10,FALSE)</f>
        <v>4</v>
      </c>
      <c r="R656" t="str">
        <f>VLOOKUP(Table3[[#This Row],[Census Tract]],'ES Energy Burden'!$B$2:$E$914,4,FALSE)</f>
        <v>No</v>
      </c>
    </row>
    <row r="657" spans="1:18" x14ac:dyDescent="0.2">
      <c r="A657" t="s">
        <v>988</v>
      </c>
      <c r="B657" s="169">
        <v>9001021200</v>
      </c>
      <c r="C657" t="s">
        <v>944</v>
      </c>
      <c r="D657" s="170">
        <f>[1]!Table3[[#This Row],[Residential CLM $ Collected]]+[1]!Table3[[#This Row],[C&amp;I CLM $ Collected]]</f>
        <v>63821.906799000004</v>
      </c>
      <c r="E657" s="28">
        <f>[1]!Table3[[#This Row],[CLM $ Collected ]]/'[1]1.) CLM Reference'!$B$4</f>
        <v>6.870665858546743E-4</v>
      </c>
      <c r="F657" s="170">
        <f>[1]!Table3[[#This Row],[Residential Incentive Disbursements]]+[1]!Table3[[#This Row],[C&amp;I Incentive Disbursements]]</f>
        <v>52536.29</v>
      </c>
      <c r="G657" s="28">
        <f>[1]!Table3[[#This Row],[Incentive Disbursements]]/'[1]1.) CLM Reference'!$B$5</f>
        <v>4.2182129838578164E-4</v>
      </c>
      <c r="H657" s="228">
        <v>63821.906799000004</v>
      </c>
      <c r="I657" s="28">
        <f>[1]!Table3[[#This Row],[Residential CLM $ Collected]]/'[1]1.) CLM Reference'!$B$4</f>
        <v>6.870665858546743E-4</v>
      </c>
      <c r="J657" s="229">
        <v>52536.29</v>
      </c>
      <c r="K657" s="28">
        <f>[1]!Table3[[#This Row],[Residential Incentive Disbursements]]/'[1]1.) CLM Reference'!$B$5</f>
        <v>4.2182129838578164E-4</v>
      </c>
      <c r="L657" s="229">
        <v>0</v>
      </c>
      <c r="M657" s="28">
        <f>[1]!Table3[[#This Row],[C&amp;I CLM $ Collected]]/'[1]1.) CLM Reference'!$B$4</f>
        <v>0</v>
      </c>
      <c r="N657" s="229">
        <v>0</v>
      </c>
      <c r="O657" s="28">
        <f>[1]!Table3[[#This Row],[C&amp;I Incentive Disbursements]]/'[1]1.) CLM Reference'!$B$5</f>
        <v>0</v>
      </c>
      <c r="Q657">
        <f>VLOOKUP(Table3[[#This Row],[Census Tract]],'Population and Diversity Data'!$B$2:$K$823,10,FALSE)</f>
        <v>4</v>
      </c>
      <c r="R657" t="str">
        <f>VLOOKUP(Table3[[#This Row],[Census Tract]],'ES Energy Burden'!$B$2:$E$914,4,FALSE)</f>
        <v>No</v>
      </c>
    </row>
    <row r="658" spans="1:18" x14ac:dyDescent="0.2">
      <c r="A658" t="s">
        <v>988</v>
      </c>
      <c r="B658" s="169">
        <v>9001021300</v>
      </c>
      <c r="C658" t="s">
        <v>944</v>
      </c>
      <c r="D658" s="170">
        <f>[1]!Table3[[#This Row],[Residential CLM $ Collected]]+[1]!Table3[[#This Row],[C&amp;I CLM $ Collected]]</f>
        <v>42841.815029999998</v>
      </c>
      <c r="E658" s="28">
        <f>[1]!Table3[[#This Row],[CLM $ Collected ]]/'[1]1.) CLM Reference'!$B$4</f>
        <v>4.6120808764273363E-4</v>
      </c>
      <c r="F658" s="170">
        <f>[1]!Table3[[#This Row],[Residential Incentive Disbursements]]+[1]!Table3[[#This Row],[C&amp;I Incentive Disbursements]]</f>
        <v>41538.239999999998</v>
      </c>
      <c r="G658" s="28">
        <f>[1]!Table3[[#This Row],[Incentive Disbursements]]/'[1]1.) CLM Reference'!$B$5</f>
        <v>3.3351640036744526E-4</v>
      </c>
      <c r="H658" s="228">
        <v>42841.815029999998</v>
      </c>
      <c r="I658" s="28">
        <f>[1]!Table3[[#This Row],[Residential CLM $ Collected]]/'[1]1.) CLM Reference'!$B$4</f>
        <v>4.6120808764273363E-4</v>
      </c>
      <c r="J658" s="229">
        <v>41538.239999999998</v>
      </c>
      <c r="K658" s="28">
        <f>[1]!Table3[[#This Row],[Residential Incentive Disbursements]]/'[1]1.) CLM Reference'!$B$5</f>
        <v>3.3351640036744526E-4</v>
      </c>
      <c r="L658" s="229">
        <v>0</v>
      </c>
      <c r="M658" s="28">
        <f>[1]!Table3[[#This Row],[C&amp;I CLM $ Collected]]/'[1]1.) CLM Reference'!$B$4</f>
        <v>0</v>
      </c>
      <c r="N658" s="229">
        <v>0</v>
      </c>
      <c r="O658" s="28">
        <f>[1]!Table3[[#This Row],[C&amp;I Incentive Disbursements]]/'[1]1.) CLM Reference'!$B$5</f>
        <v>0</v>
      </c>
      <c r="Q658">
        <f>VLOOKUP(Table3[[#This Row],[Census Tract]],'Population and Diversity Data'!$B$2:$K$823,10,FALSE)</f>
        <v>4</v>
      </c>
      <c r="R658" t="str">
        <f>VLOOKUP(Table3[[#This Row],[Census Tract]],'ES Energy Burden'!$B$2:$E$914,4,FALSE)</f>
        <v>No</v>
      </c>
    </row>
    <row r="659" spans="1:18" x14ac:dyDescent="0.2">
      <c r="A659" t="s">
        <v>988</v>
      </c>
      <c r="B659" s="169">
        <v>9001021400</v>
      </c>
      <c r="C659" t="s">
        <v>944</v>
      </c>
      <c r="D659" s="170">
        <f>[1]!Table3[[#This Row],[Residential CLM $ Collected]]+[1]!Table3[[#This Row],[C&amp;I CLM $ Collected]]</f>
        <v>1513532.2539329999</v>
      </c>
      <c r="E659" s="28">
        <f>[1]!Table3[[#This Row],[CLM $ Collected ]]/'[1]1.) CLM Reference'!$B$4</f>
        <v>1.6293738160561663E-2</v>
      </c>
      <c r="F659" s="170">
        <f>[1]!Table3[[#This Row],[Residential Incentive Disbursements]]+[1]!Table3[[#This Row],[C&amp;I Incentive Disbursements]]</f>
        <v>1268975.5325</v>
      </c>
      <c r="G659" s="28">
        <f>[1]!Table3[[#This Row],[Incentive Disbursements]]/'[1]1.) CLM Reference'!$B$5</f>
        <v>1.0188783919438138E-2</v>
      </c>
      <c r="H659" s="228">
        <v>804164.17349099996</v>
      </c>
      <c r="I659" s="28">
        <f>[1]!Table3[[#This Row],[Residential CLM $ Collected]]/'[1]1.) CLM Reference'!$B$4</f>
        <v>8.6571266961231637E-3</v>
      </c>
      <c r="J659" s="229">
        <v>962595.1825</v>
      </c>
      <c r="K659" s="28">
        <f>[1]!Table3[[#This Row],[Residential Incentive Disbursements]]/'[1]1.) CLM Reference'!$B$5</f>
        <v>7.7288127825936781E-3</v>
      </c>
      <c r="L659" s="229">
        <v>709368.08044200006</v>
      </c>
      <c r="M659" s="28">
        <f>[1]!Table3[[#This Row],[C&amp;I CLM $ Collected]]/'[1]1.) CLM Reference'!$B$4</f>
        <v>7.6366114644385013E-3</v>
      </c>
      <c r="N659" s="229">
        <v>306380.34999999998</v>
      </c>
      <c r="O659" s="28">
        <f>[1]!Table3[[#This Row],[C&amp;I Incentive Disbursements]]/'[1]1.) CLM Reference'!$B$5</f>
        <v>2.4599711368444594E-3</v>
      </c>
      <c r="Q659">
        <f>VLOOKUP(Table3[[#This Row],[Census Tract]],'Population and Diversity Data'!$B$2:$K$823,10,FALSE)</f>
        <v>4</v>
      </c>
      <c r="R659" t="str">
        <f>VLOOKUP(Table3[[#This Row],[Census Tract]],'ES Energy Burden'!$B$2:$E$914,4,FALSE)</f>
        <v>No</v>
      </c>
    </row>
    <row r="660" spans="1:18" x14ac:dyDescent="0.2">
      <c r="A660" t="s">
        <v>988</v>
      </c>
      <c r="B660" s="169">
        <v>9001021500</v>
      </c>
      <c r="C660" t="s">
        <v>944</v>
      </c>
      <c r="D660" s="170">
        <f>[1]!Table3[[#This Row],[Residential CLM $ Collected]]+[1]!Table3[[#This Row],[C&amp;I CLM $ Collected]]</f>
        <v>40504.845612000005</v>
      </c>
      <c r="E660" s="28">
        <f>[1]!Table3[[#This Row],[CLM $ Collected ]]/'[1]1.) CLM Reference'!$B$4</f>
        <v>4.36049741867687E-4</v>
      </c>
      <c r="F660" s="170">
        <f>[1]!Table3[[#This Row],[Residential Incentive Disbursements]]+[1]!Table3[[#This Row],[C&amp;I Incentive Disbursements]]</f>
        <v>2054.09</v>
      </c>
      <c r="G660" s="28">
        <f>[1]!Table3[[#This Row],[Incentive Disbursements]]/'[1]1.) CLM Reference'!$B$5</f>
        <v>1.6492578954495077E-5</v>
      </c>
      <c r="H660" s="228">
        <v>40504.845612000005</v>
      </c>
      <c r="I660" s="28">
        <f>[1]!Table3[[#This Row],[Residential CLM $ Collected]]/'[1]1.) CLM Reference'!$B$4</f>
        <v>4.36049741867687E-4</v>
      </c>
      <c r="J660" s="229">
        <v>2054.09</v>
      </c>
      <c r="K660" s="28">
        <f>[1]!Table3[[#This Row],[Residential Incentive Disbursements]]/'[1]1.) CLM Reference'!$B$5</f>
        <v>1.6492578954495077E-5</v>
      </c>
      <c r="L660" s="229">
        <v>0</v>
      </c>
      <c r="M660" s="28">
        <f>[1]!Table3[[#This Row],[C&amp;I CLM $ Collected]]/'[1]1.) CLM Reference'!$B$4</f>
        <v>0</v>
      </c>
      <c r="N660" s="229">
        <v>0</v>
      </c>
      <c r="O660" s="28">
        <f>[1]!Table3[[#This Row],[C&amp;I Incentive Disbursements]]/'[1]1.) CLM Reference'!$B$5</f>
        <v>0</v>
      </c>
      <c r="Q660">
        <f>VLOOKUP(Table3[[#This Row],[Census Tract]],'Population and Diversity Data'!$B$2:$K$823,10,FALSE)</f>
        <v>5</v>
      </c>
      <c r="R660" t="str">
        <f>VLOOKUP(Table3[[#This Row],[Census Tract]],'ES Energy Burden'!$B$2:$E$914,4,FALSE)</f>
        <v>No</v>
      </c>
    </row>
    <row r="661" spans="1:18" x14ac:dyDescent="0.2">
      <c r="A661" t="s">
        <v>988</v>
      </c>
      <c r="B661" s="169">
        <v>9001021600</v>
      </c>
      <c r="C661" t="s">
        <v>944</v>
      </c>
      <c r="D661" s="170">
        <f>[1]!Table3[[#This Row],[Residential CLM $ Collected]]+[1]!Table3[[#This Row],[C&amp;I CLM $ Collected]]</f>
        <v>53767.613129999998</v>
      </c>
      <c r="E661" s="28">
        <f>[1]!Table3[[#This Row],[CLM $ Collected ]]/'[1]1.) CLM Reference'!$B$4</f>
        <v>5.7882837156728267E-4</v>
      </c>
      <c r="F661" s="170">
        <f>[1]!Table3[[#This Row],[Residential Incentive Disbursements]]+[1]!Table3[[#This Row],[C&amp;I Incentive Disbursements]]</f>
        <v>9208.34</v>
      </c>
      <c r="G661" s="28">
        <f>[1]!Table3[[#This Row],[Incentive Disbursements]]/'[1]1.) CLM Reference'!$B$5</f>
        <v>7.3935063453809335E-5</v>
      </c>
      <c r="H661" s="228">
        <v>53767.613129999998</v>
      </c>
      <c r="I661" s="28">
        <f>[1]!Table3[[#This Row],[Residential CLM $ Collected]]/'[1]1.) CLM Reference'!$B$4</f>
        <v>5.7882837156728267E-4</v>
      </c>
      <c r="J661" s="229">
        <v>9208.34</v>
      </c>
      <c r="K661" s="28">
        <f>[1]!Table3[[#This Row],[Residential Incentive Disbursements]]/'[1]1.) CLM Reference'!$B$5</f>
        <v>7.3935063453809335E-5</v>
      </c>
      <c r="L661" s="229">
        <v>0</v>
      </c>
      <c r="M661" s="28">
        <f>[1]!Table3[[#This Row],[C&amp;I CLM $ Collected]]/'[1]1.) CLM Reference'!$B$4</f>
        <v>0</v>
      </c>
      <c r="N661" s="229">
        <v>0</v>
      </c>
      <c r="O661" s="28">
        <f>[1]!Table3[[#This Row],[C&amp;I Incentive Disbursements]]/'[1]1.) CLM Reference'!$B$5</f>
        <v>0</v>
      </c>
      <c r="Q661">
        <f>VLOOKUP(Table3[[#This Row],[Census Tract]],'Population and Diversity Data'!$B$2:$K$823,10,FALSE)</f>
        <v>5</v>
      </c>
      <c r="R661" t="str">
        <f>VLOOKUP(Table3[[#This Row],[Census Tract]],'ES Energy Burden'!$B$2:$E$914,4,FALSE)</f>
        <v>No</v>
      </c>
    </row>
    <row r="662" spans="1:18" x14ac:dyDescent="0.2">
      <c r="A662" t="s">
        <v>988</v>
      </c>
      <c r="B662" s="169">
        <v>9001021700</v>
      </c>
      <c r="C662" t="s">
        <v>944</v>
      </c>
      <c r="D662" s="170">
        <f>[1]!Table3[[#This Row],[Residential CLM $ Collected]]+[1]!Table3[[#This Row],[C&amp;I CLM $ Collected]]</f>
        <v>53211.921147000001</v>
      </c>
      <c r="E662" s="28">
        <f>[1]!Table3[[#This Row],[CLM $ Collected ]]/'[1]1.) CLM Reference'!$B$4</f>
        <v>5.7284614050124682E-4</v>
      </c>
      <c r="F662" s="170">
        <f>[1]!Table3[[#This Row],[Residential Incentive Disbursements]]+[1]!Table3[[#This Row],[C&amp;I Incentive Disbursements]]</f>
        <v>14602.3</v>
      </c>
      <c r="G662" s="28">
        <f>[1]!Table3[[#This Row],[Incentive Disbursements]]/'[1]1.) CLM Reference'!$B$5</f>
        <v>1.1724393072709738E-4</v>
      </c>
      <c r="H662" s="228">
        <v>53211.921147000001</v>
      </c>
      <c r="I662" s="28">
        <f>[1]!Table3[[#This Row],[Residential CLM $ Collected]]/'[1]1.) CLM Reference'!$B$4</f>
        <v>5.7284614050124682E-4</v>
      </c>
      <c r="J662" s="229">
        <v>14602.3</v>
      </c>
      <c r="K662" s="28">
        <f>[1]!Table3[[#This Row],[Residential Incentive Disbursements]]/'[1]1.) CLM Reference'!$B$5</f>
        <v>1.1724393072709738E-4</v>
      </c>
      <c r="L662" s="229">
        <v>0</v>
      </c>
      <c r="M662" s="28">
        <f>[1]!Table3[[#This Row],[C&amp;I CLM $ Collected]]/'[1]1.) CLM Reference'!$B$4</f>
        <v>0</v>
      </c>
      <c r="N662" s="229">
        <v>0</v>
      </c>
      <c r="O662" s="28">
        <f>[1]!Table3[[#This Row],[C&amp;I Incentive Disbursements]]/'[1]1.) CLM Reference'!$B$5</f>
        <v>0</v>
      </c>
      <c r="Q662">
        <f>VLOOKUP(Table3[[#This Row],[Census Tract]],'Population and Diversity Data'!$B$2:$K$823,10,FALSE)</f>
        <v>5</v>
      </c>
      <c r="R662" t="str">
        <f>VLOOKUP(Table3[[#This Row],[Census Tract]],'ES Energy Burden'!$B$2:$E$914,4,FALSE)</f>
        <v>No</v>
      </c>
    </row>
    <row r="663" spans="1:18" x14ac:dyDescent="0.2">
      <c r="A663" t="s">
        <v>988</v>
      </c>
      <c r="B663" s="169">
        <v>9001021801</v>
      </c>
      <c r="C663" t="s">
        <v>944</v>
      </c>
      <c r="D663" s="170">
        <f>[1]!Table3[[#This Row],[Residential CLM $ Collected]]+[1]!Table3[[#This Row],[C&amp;I CLM $ Collected]]</f>
        <v>36227.888339999998</v>
      </c>
      <c r="E663" s="28">
        <f>[1]!Table3[[#This Row],[CLM $ Collected ]]/'[1]1.) CLM Reference'!$B$4</f>
        <v>3.9000670463951365E-4</v>
      </c>
      <c r="F663" s="170">
        <f>[1]!Table3[[#This Row],[Residential Incentive Disbursements]]+[1]!Table3[[#This Row],[C&amp;I Incentive Disbursements]]</f>
        <v>14887.2</v>
      </c>
      <c r="G663" s="28">
        <f>[1]!Table3[[#This Row],[Incentive Disbursements]]/'[1]1.) CLM Reference'!$B$5</f>
        <v>1.1953143309755615E-4</v>
      </c>
      <c r="H663" s="228">
        <v>36227.888339999998</v>
      </c>
      <c r="I663" s="28">
        <f>[1]!Table3[[#This Row],[Residential CLM $ Collected]]/'[1]1.) CLM Reference'!$B$4</f>
        <v>3.9000670463951365E-4</v>
      </c>
      <c r="J663" s="229">
        <v>14887.2</v>
      </c>
      <c r="K663" s="28">
        <f>[1]!Table3[[#This Row],[Residential Incentive Disbursements]]/'[1]1.) CLM Reference'!$B$5</f>
        <v>1.1953143309755615E-4</v>
      </c>
      <c r="L663" s="229">
        <v>0</v>
      </c>
      <c r="M663" s="28">
        <f>[1]!Table3[[#This Row],[C&amp;I CLM $ Collected]]/'[1]1.) CLM Reference'!$B$4</f>
        <v>0</v>
      </c>
      <c r="N663" s="229">
        <v>0</v>
      </c>
      <c r="O663" s="28">
        <f>[1]!Table3[[#This Row],[C&amp;I Incentive Disbursements]]/'[1]1.) CLM Reference'!$B$5</f>
        <v>0</v>
      </c>
      <c r="Q663">
        <f>VLOOKUP(Table3[[#This Row],[Census Tract]],'Population and Diversity Data'!$B$2:$K$823,10,FALSE)</f>
        <v>5</v>
      </c>
      <c r="R663" t="str">
        <f>VLOOKUP(Table3[[#This Row],[Census Tract]],'ES Energy Burden'!$B$2:$E$914,4,FALSE)</f>
        <v>No</v>
      </c>
    </row>
    <row r="664" spans="1:18" x14ac:dyDescent="0.2">
      <c r="A664" t="s">
        <v>988</v>
      </c>
      <c r="B664" s="169">
        <v>9001021802</v>
      </c>
      <c r="C664" t="s">
        <v>944</v>
      </c>
      <c r="D664" s="170">
        <f>[1]!Table3[[#This Row],[Residential CLM $ Collected]]+[1]!Table3[[#This Row],[C&amp;I CLM $ Collected]]</f>
        <v>43858.587507000004</v>
      </c>
      <c r="E664" s="28">
        <f>[1]!Table3[[#This Row],[CLM $ Collected ]]/'[1]1.) CLM Reference'!$B$4</f>
        <v>4.7215402187443132E-4</v>
      </c>
      <c r="F664" s="170">
        <f>[1]!Table3[[#This Row],[Residential Incentive Disbursements]]+[1]!Table3[[#This Row],[C&amp;I Incentive Disbursements]]</f>
        <v>11169.85</v>
      </c>
      <c r="G664" s="28">
        <f>[1]!Table3[[#This Row],[Incentive Disbursements]]/'[1]1.) CLM Reference'!$B$5</f>
        <v>8.9684304502172179E-5</v>
      </c>
      <c r="H664" s="228">
        <v>43858.587507000004</v>
      </c>
      <c r="I664" s="28">
        <f>[1]!Table3[[#This Row],[Residential CLM $ Collected]]/'[1]1.) CLM Reference'!$B$4</f>
        <v>4.7215402187443132E-4</v>
      </c>
      <c r="J664" s="229">
        <v>11169.85</v>
      </c>
      <c r="K664" s="28">
        <f>[1]!Table3[[#This Row],[Residential Incentive Disbursements]]/'[1]1.) CLM Reference'!$B$5</f>
        <v>8.9684304502172179E-5</v>
      </c>
      <c r="L664" s="229">
        <v>0</v>
      </c>
      <c r="M664" s="28">
        <f>[1]!Table3[[#This Row],[C&amp;I CLM $ Collected]]/'[1]1.) CLM Reference'!$B$4</f>
        <v>0</v>
      </c>
      <c r="N664" s="229">
        <v>0</v>
      </c>
      <c r="O664" s="28">
        <f>[1]!Table3[[#This Row],[C&amp;I Incentive Disbursements]]/'[1]1.) CLM Reference'!$B$5</f>
        <v>0</v>
      </c>
      <c r="Q664">
        <f>VLOOKUP(Table3[[#This Row],[Census Tract]],'Population and Diversity Data'!$B$2:$K$823,10,FALSE)</f>
        <v>5</v>
      </c>
      <c r="R664" t="str">
        <f>VLOOKUP(Table3[[#This Row],[Census Tract]],'ES Energy Burden'!$B$2:$E$914,4,FALSE)</f>
        <v>No</v>
      </c>
    </row>
    <row r="665" spans="1:18" x14ac:dyDescent="0.2">
      <c r="A665" t="s">
        <v>988</v>
      </c>
      <c r="B665" s="169">
        <v>9001021900</v>
      </c>
      <c r="C665" t="s">
        <v>944</v>
      </c>
      <c r="D665" s="170">
        <f>[1]!Table3[[#This Row],[Residential CLM $ Collected]]+[1]!Table3[[#This Row],[C&amp;I CLM $ Collected]]</f>
        <v>64076.867042999998</v>
      </c>
      <c r="E665" s="28">
        <f>[1]!Table3[[#This Row],[CLM $ Collected ]]/'[1]1.) CLM Reference'!$B$4</f>
        <v>6.8981132779611211E-4</v>
      </c>
      <c r="F665" s="170">
        <f>[1]!Table3[[#This Row],[Residential Incentive Disbursements]]+[1]!Table3[[#This Row],[C&amp;I Incentive Disbursements]]</f>
        <v>8116.83</v>
      </c>
      <c r="G665" s="28">
        <f>[1]!Table3[[#This Row],[Incentive Disbursements]]/'[1]1.) CLM Reference'!$B$5</f>
        <v>6.5171175379469387E-5</v>
      </c>
      <c r="H665" s="228">
        <v>64076.867042999998</v>
      </c>
      <c r="I665" s="28">
        <f>[1]!Table3[[#This Row],[Residential CLM $ Collected]]/'[1]1.) CLM Reference'!$B$4</f>
        <v>6.8981132779611211E-4</v>
      </c>
      <c r="J665" s="229">
        <v>8116.83</v>
      </c>
      <c r="K665" s="28">
        <f>[1]!Table3[[#This Row],[Residential Incentive Disbursements]]/'[1]1.) CLM Reference'!$B$5</f>
        <v>6.5171175379469387E-5</v>
      </c>
      <c r="L665" s="229">
        <v>0</v>
      </c>
      <c r="M665" s="28">
        <f>[1]!Table3[[#This Row],[C&amp;I CLM $ Collected]]/'[1]1.) CLM Reference'!$B$4</f>
        <v>0</v>
      </c>
      <c r="N665" s="229">
        <v>0</v>
      </c>
      <c r="O665" s="28">
        <f>[1]!Table3[[#This Row],[C&amp;I Incentive Disbursements]]/'[1]1.) CLM Reference'!$B$5</f>
        <v>0</v>
      </c>
      <c r="Q665">
        <f>VLOOKUP(Table3[[#This Row],[Census Tract]],'Population and Diversity Data'!$B$2:$K$823,10,FALSE)</f>
        <v>4</v>
      </c>
      <c r="R665" t="str">
        <f>VLOOKUP(Table3[[#This Row],[Census Tract]],'ES Energy Burden'!$B$2:$E$914,4,FALSE)</f>
        <v>No</v>
      </c>
    </row>
    <row r="666" spans="1:18" x14ac:dyDescent="0.2">
      <c r="A666" t="s">
        <v>988</v>
      </c>
      <c r="B666" s="169">
        <v>9001022000</v>
      </c>
      <c r="C666" t="s">
        <v>944</v>
      </c>
      <c r="D666" s="170">
        <f>[1]!Table3[[#This Row],[Residential CLM $ Collected]]+[1]!Table3[[#This Row],[C&amp;I CLM $ Collected]]</f>
        <v>20920.572162</v>
      </c>
      <c r="E666" s="28">
        <f>[1]!Table3[[#This Row],[CLM $ Collected ]]/'[1]1.) CLM Reference'!$B$4</f>
        <v>2.2521774748505163E-4</v>
      </c>
      <c r="F666" s="170">
        <f>[1]!Table3[[#This Row],[Residential Incentive Disbursements]]+[1]!Table3[[#This Row],[C&amp;I Incentive Disbursements]]</f>
        <v>405.38</v>
      </c>
      <c r="G666" s="28">
        <f>[1]!Table3[[#This Row],[Incentive Disbursements]]/'[1]1.) CLM Reference'!$B$5</f>
        <v>3.2548533202406976E-6</v>
      </c>
      <c r="H666" s="228">
        <v>20920.572162</v>
      </c>
      <c r="I666" s="28">
        <f>[1]!Table3[[#This Row],[Residential CLM $ Collected]]/'[1]1.) CLM Reference'!$B$4</f>
        <v>2.2521774748505163E-4</v>
      </c>
      <c r="J666" s="229">
        <v>405.38</v>
      </c>
      <c r="K666" s="28">
        <f>[1]!Table3[[#This Row],[Residential Incentive Disbursements]]/'[1]1.) CLM Reference'!$B$5</f>
        <v>3.2548533202406976E-6</v>
      </c>
      <c r="L666" s="229">
        <v>0</v>
      </c>
      <c r="M666" s="28">
        <f>[1]!Table3[[#This Row],[C&amp;I CLM $ Collected]]/'[1]1.) CLM Reference'!$B$4</f>
        <v>0</v>
      </c>
      <c r="N666" s="229">
        <v>0</v>
      </c>
      <c r="O666" s="28">
        <f>[1]!Table3[[#This Row],[C&amp;I Incentive Disbursements]]/'[1]1.) CLM Reference'!$B$5</f>
        <v>0</v>
      </c>
      <c r="Q666">
        <f>VLOOKUP(Table3[[#This Row],[Census Tract]],'Population and Diversity Data'!$B$2:$K$823,10,FALSE)</f>
        <v>4</v>
      </c>
      <c r="R666" t="str">
        <f>VLOOKUP(Table3[[#This Row],[Census Tract]],'ES Energy Burden'!$B$2:$E$914,4,FALSE)</f>
        <v>No</v>
      </c>
    </row>
    <row r="667" spans="1:18" x14ac:dyDescent="0.2">
      <c r="A667" t="s">
        <v>988</v>
      </c>
      <c r="B667" s="169">
        <v>9001022100</v>
      </c>
      <c r="C667" t="s">
        <v>944</v>
      </c>
      <c r="D667" s="170">
        <f>[1]!Table3[[#This Row],[Residential CLM $ Collected]]+[1]!Table3[[#This Row],[C&amp;I CLM $ Collected]]</f>
        <v>52368.806006999999</v>
      </c>
      <c r="E667" s="28">
        <f>[1]!Table3[[#This Row],[CLM $ Collected ]]/'[1]1.) CLM Reference'!$B$4</f>
        <v>5.6376969215026678E-4</v>
      </c>
      <c r="F667" s="170">
        <f>[1]!Table3[[#This Row],[Residential Incentive Disbursements]]+[1]!Table3[[#This Row],[C&amp;I Incentive Disbursements]]</f>
        <v>3743.21</v>
      </c>
      <c r="G667" s="28">
        <f>[1]!Table3[[#This Row],[Incentive Disbursements]]/'[1]1.) CLM Reference'!$B$5</f>
        <v>3.0054762190680799E-5</v>
      </c>
      <c r="H667" s="228">
        <v>52368.806006999999</v>
      </c>
      <c r="I667" s="28">
        <f>[1]!Table3[[#This Row],[Residential CLM $ Collected]]/'[1]1.) CLM Reference'!$B$4</f>
        <v>5.6376969215026678E-4</v>
      </c>
      <c r="J667" s="229">
        <v>3743.21</v>
      </c>
      <c r="K667" s="28">
        <f>[1]!Table3[[#This Row],[Residential Incentive Disbursements]]/'[1]1.) CLM Reference'!$B$5</f>
        <v>3.0054762190680799E-5</v>
      </c>
      <c r="L667" s="229">
        <v>0</v>
      </c>
      <c r="M667" s="28">
        <f>[1]!Table3[[#This Row],[C&amp;I CLM $ Collected]]/'[1]1.) CLM Reference'!$B$4</f>
        <v>0</v>
      </c>
      <c r="N667" s="229">
        <v>0</v>
      </c>
      <c r="O667" s="28">
        <f>[1]!Table3[[#This Row],[C&amp;I Incentive Disbursements]]/'[1]1.) CLM Reference'!$B$5</f>
        <v>0</v>
      </c>
      <c r="Q667">
        <f>VLOOKUP(Table3[[#This Row],[Census Tract]],'Population and Diversity Data'!$B$2:$K$823,10,FALSE)</f>
        <v>5</v>
      </c>
      <c r="R667" t="str">
        <f>VLOOKUP(Table3[[#This Row],[Census Tract]],'ES Energy Burden'!$B$2:$E$914,4,FALSE)</f>
        <v>No</v>
      </c>
    </row>
    <row r="668" spans="1:18" x14ac:dyDescent="0.2">
      <c r="A668" t="s">
        <v>988</v>
      </c>
      <c r="B668" s="169">
        <v>9001022200</v>
      </c>
      <c r="C668" t="s">
        <v>944</v>
      </c>
      <c r="D668" s="170">
        <f>[1]!Table3[[#This Row],[Residential CLM $ Collected]]+[1]!Table3[[#This Row],[C&amp;I CLM $ Collected]]</f>
        <v>39090.204299999998</v>
      </c>
      <c r="E668" s="28">
        <f>[1]!Table3[[#This Row],[CLM $ Collected ]]/'[1]1.) CLM Reference'!$B$4</f>
        <v>4.2082060151144729E-4</v>
      </c>
      <c r="F668" s="170">
        <f>[1]!Table3[[#This Row],[Residential Incentive Disbursements]]+[1]!Table3[[#This Row],[C&amp;I Incentive Disbursements]]</f>
        <v>70</v>
      </c>
      <c r="G668" s="28">
        <f>[1]!Table3[[#This Row],[Incentive Disbursements]]/'[1]1.) CLM Reference'!$B$5</f>
        <v>5.6203989446161343E-7</v>
      </c>
      <c r="H668" s="228">
        <v>39090.204299999998</v>
      </c>
      <c r="I668" s="28">
        <f>[1]!Table3[[#This Row],[Residential CLM $ Collected]]/'[1]1.) CLM Reference'!$B$4</f>
        <v>4.2082060151144729E-4</v>
      </c>
      <c r="J668" s="229">
        <v>70</v>
      </c>
      <c r="K668" s="28">
        <f>[1]!Table3[[#This Row],[Residential Incentive Disbursements]]/'[1]1.) CLM Reference'!$B$5</f>
        <v>5.6203989446161343E-7</v>
      </c>
      <c r="L668" s="229">
        <v>0</v>
      </c>
      <c r="M668" s="28">
        <f>[1]!Table3[[#This Row],[C&amp;I CLM $ Collected]]/'[1]1.) CLM Reference'!$B$4</f>
        <v>0</v>
      </c>
      <c r="N668" s="229">
        <v>0</v>
      </c>
      <c r="O668" s="28">
        <f>[1]!Table3[[#This Row],[C&amp;I Incentive Disbursements]]/'[1]1.) CLM Reference'!$B$5</f>
        <v>0</v>
      </c>
      <c r="Q668">
        <f>VLOOKUP(Table3[[#This Row],[Census Tract]],'Population and Diversity Data'!$B$2:$K$823,10,FALSE)</f>
        <v>5</v>
      </c>
      <c r="R668" t="str">
        <f>VLOOKUP(Table3[[#This Row],[Census Tract]],'ES Energy Burden'!$B$2:$E$914,4,FALSE)</f>
        <v>No</v>
      </c>
    </row>
    <row r="669" spans="1:18" x14ac:dyDescent="0.2">
      <c r="A669" t="s">
        <v>988</v>
      </c>
      <c r="B669" s="169">
        <v>9001022300</v>
      </c>
      <c r="C669" t="s">
        <v>944</v>
      </c>
      <c r="D669" s="170">
        <f>[1]!Table3[[#This Row],[Residential CLM $ Collected]]+[1]!Table3[[#This Row],[C&amp;I CLM $ Collected]]</f>
        <v>45628.350705000004</v>
      </c>
      <c r="E669" s="28">
        <f>[1]!Table3[[#This Row],[CLM $ Collected ]]/'[1]1.) CLM Reference'!$B$4</f>
        <v>4.9120618153569923E-4</v>
      </c>
      <c r="F669" s="170">
        <f>[1]!Table3[[#This Row],[Residential Incentive Disbursements]]+[1]!Table3[[#This Row],[C&amp;I Incentive Disbursements]]</f>
        <v>7588.75</v>
      </c>
      <c r="G669" s="28">
        <f>[1]!Table3[[#This Row],[Incentive Disbursements]]/'[1]1.) CLM Reference'!$B$5</f>
        <v>6.0931146415650983E-5</v>
      </c>
      <c r="H669" s="228">
        <v>45628.350705000004</v>
      </c>
      <c r="I669" s="28">
        <f>[1]!Table3[[#This Row],[Residential CLM $ Collected]]/'[1]1.) CLM Reference'!$B$4</f>
        <v>4.9120618153569923E-4</v>
      </c>
      <c r="J669" s="229">
        <v>7588.75</v>
      </c>
      <c r="K669" s="28">
        <f>[1]!Table3[[#This Row],[Residential Incentive Disbursements]]/'[1]1.) CLM Reference'!$B$5</f>
        <v>6.0931146415650983E-5</v>
      </c>
      <c r="L669" s="229">
        <v>0</v>
      </c>
      <c r="M669" s="28">
        <f>[1]!Table3[[#This Row],[C&amp;I CLM $ Collected]]/'[1]1.) CLM Reference'!$B$4</f>
        <v>0</v>
      </c>
      <c r="N669" s="229">
        <v>0</v>
      </c>
      <c r="O669" s="28">
        <f>[1]!Table3[[#This Row],[C&amp;I Incentive Disbursements]]/'[1]1.) CLM Reference'!$B$5</f>
        <v>0</v>
      </c>
      <c r="Q669">
        <f>VLOOKUP(Table3[[#This Row],[Census Tract]],'Population and Diversity Data'!$B$2:$K$823,10,FALSE)</f>
        <v>5</v>
      </c>
      <c r="R669" t="str">
        <f>VLOOKUP(Table3[[#This Row],[Census Tract]],'ES Energy Burden'!$B$2:$E$914,4,FALSE)</f>
        <v>No</v>
      </c>
    </row>
    <row r="670" spans="1:18" x14ac:dyDescent="0.2">
      <c r="A670" t="s">
        <v>988</v>
      </c>
      <c r="B670" s="169">
        <v>9001022400</v>
      </c>
      <c r="C670" t="s">
        <v>944</v>
      </c>
      <c r="D670" s="170">
        <f>[1]!Table3[[#This Row],[Residential CLM $ Collected]]+[1]!Table3[[#This Row],[C&amp;I CLM $ Collected]]</f>
        <v>38408.729939999997</v>
      </c>
      <c r="E670" s="28">
        <f>[1]!Table3[[#This Row],[CLM $ Collected ]]/'[1]1.) CLM Reference'!$B$4</f>
        <v>4.1348427633164185E-4</v>
      </c>
      <c r="F670" s="170">
        <f>[1]!Table3[[#This Row],[Residential Incentive Disbursements]]+[1]!Table3[[#This Row],[C&amp;I Incentive Disbursements]]</f>
        <v>17249.05</v>
      </c>
      <c r="G670" s="28">
        <f>[1]!Table3[[#This Row],[Incentive Disbursements]]/'[1]1.) CLM Reference'!$B$5</f>
        <v>1.3849506059375845E-4</v>
      </c>
      <c r="H670" s="228">
        <v>38408.729939999997</v>
      </c>
      <c r="I670" s="28">
        <f>[1]!Table3[[#This Row],[Residential CLM $ Collected]]/'[1]1.) CLM Reference'!$B$4</f>
        <v>4.1348427633164185E-4</v>
      </c>
      <c r="J670" s="229">
        <v>17249.05</v>
      </c>
      <c r="K670" s="28">
        <f>[1]!Table3[[#This Row],[Residential Incentive Disbursements]]/'[1]1.) CLM Reference'!$B$5</f>
        <v>1.3849506059375845E-4</v>
      </c>
      <c r="L670" s="229">
        <v>0</v>
      </c>
      <c r="M670" s="28">
        <f>[1]!Table3[[#This Row],[C&amp;I CLM $ Collected]]/'[1]1.) CLM Reference'!$B$4</f>
        <v>0</v>
      </c>
      <c r="N670" s="229">
        <v>0</v>
      </c>
      <c r="O670" s="28">
        <f>[1]!Table3[[#This Row],[C&amp;I Incentive Disbursements]]/'[1]1.) CLM Reference'!$B$5</f>
        <v>0</v>
      </c>
      <c r="Q670">
        <f>VLOOKUP(Table3[[#This Row],[Census Tract]],'Population and Diversity Data'!$B$2:$K$823,10,FALSE)</f>
        <v>2</v>
      </c>
      <c r="R670" t="str">
        <f>VLOOKUP(Table3[[#This Row],[Census Tract]],'ES Energy Burden'!$B$2:$E$914,4,FALSE)</f>
        <v>No</v>
      </c>
    </row>
    <row r="671" spans="1:18" x14ac:dyDescent="0.2">
      <c r="A671" t="s">
        <v>2846</v>
      </c>
      <c r="B671" s="169">
        <v>9015907200</v>
      </c>
      <c r="C671" t="s">
        <v>944</v>
      </c>
      <c r="D671" s="170">
        <f>[1]!Table3[[#This Row],[Residential CLM $ Collected]]+[1]!Table3[[#This Row],[C&amp;I CLM $ Collected]]</f>
        <v>189.88661999999999</v>
      </c>
      <c r="E671" s="28">
        <f>[1]!Table3[[#This Row],[CLM $ Collected ]]/'[1]1.) CLM Reference'!$B$4</f>
        <v>2.0442001539341048E-6</v>
      </c>
      <c r="F671" s="170">
        <f>[1]!Table3[[#This Row],[Residential Incentive Disbursements]]+[1]!Table3[[#This Row],[C&amp;I Incentive Disbursements]]</f>
        <v>850</v>
      </c>
      <c r="G671" s="28">
        <f>[1]!Table3[[#This Row],[Incentive Disbursements]]/'[1]1.) CLM Reference'!$B$5</f>
        <v>6.8247701470338768E-6</v>
      </c>
      <c r="H671" s="228">
        <v>189.88661999999999</v>
      </c>
      <c r="I671" s="28">
        <f>[1]!Table3[[#This Row],[Residential CLM $ Collected]]/'[1]1.) CLM Reference'!$B$4</f>
        <v>2.0442001539341048E-6</v>
      </c>
      <c r="J671" s="229">
        <v>850</v>
      </c>
      <c r="K671" s="28">
        <f>[1]!Table3[[#This Row],[Residential Incentive Disbursements]]/'[1]1.) CLM Reference'!$B$5</f>
        <v>6.8247701470338768E-6</v>
      </c>
      <c r="L671" s="229">
        <v>0</v>
      </c>
      <c r="M671" s="28">
        <f>[1]!Table3[[#This Row],[C&amp;I CLM $ Collected]]/'[1]1.) CLM Reference'!$B$4</f>
        <v>0</v>
      </c>
      <c r="N671" s="229">
        <v>0</v>
      </c>
      <c r="O671" s="28">
        <f>[1]!Table3[[#This Row],[C&amp;I Incentive Disbursements]]/'[1]1.) CLM Reference'!$B$5</f>
        <v>0</v>
      </c>
      <c r="Q671">
        <f>VLOOKUP(Table3[[#This Row],[Census Tract]],'Population and Diversity Data'!$B$2:$K$823,10,FALSE)</f>
        <v>3</v>
      </c>
      <c r="R671" t="str">
        <f>VLOOKUP(Table3[[#This Row],[Census Tract]],'ES Energy Burden'!$B$2:$E$914,4,FALSE)</f>
        <v>No</v>
      </c>
    </row>
    <row r="672" spans="1:18" x14ac:dyDescent="0.2">
      <c r="A672" t="s">
        <v>2846</v>
      </c>
      <c r="B672" s="169">
        <v>9015908100</v>
      </c>
      <c r="C672" t="s">
        <v>944</v>
      </c>
      <c r="D672" s="170">
        <f>[1]!Table3[[#This Row],[Residential CLM $ Collected]]+[1]!Table3[[#This Row],[C&amp;I CLM $ Collected]]</f>
        <v>72766.869252000004</v>
      </c>
      <c r="E672" s="28">
        <f>[1]!Table3[[#This Row],[CLM $ Collected ]]/'[1]1.) CLM Reference'!$B$4</f>
        <v>7.8336243662792729E-4</v>
      </c>
      <c r="F672" s="170">
        <f>[1]!Table3[[#This Row],[Residential Incentive Disbursements]]+[1]!Table3[[#This Row],[C&amp;I Incentive Disbursements]]</f>
        <v>79388.34</v>
      </c>
      <c r="G672" s="28">
        <f>[1]!Table3[[#This Row],[Incentive Disbursements]]/'[1]1.) CLM Reference'!$B$5</f>
        <v>6.3742020335832397E-4</v>
      </c>
      <c r="H672" s="228">
        <v>64346.015412000001</v>
      </c>
      <c r="I672" s="28">
        <f>[1]!Table3[[#This Row],[Residential CLM $ Collected]]/'[1]1.) CLM Reference'!$B$4</f>
        <v>6.9270881018502887E-4</v>
      </c>
      <c r="J672" s="229">
        <v>41347.040000000001</v>
      </c>
      <c r="K672" s="28">
        <f>[1]!Table3[[#This Row],[Residential Incentive Disbursements]]/'[1]1.) CLM Reference'!$B$5</f>
        <v>3.319812285414301E-4</v>
      </c>
      <c r="L672" s="229">
        <v>8420.8538399999998</v>
      </c>
      <c r="M672" s="28">
        <f>[1]!Table3[[#This Row],[C&amp;I CLM $ Collected]]/'[1]1.) CLM Reference'!$B$4</f>
        <v>9.0653626442898397E-5</v>
      </c>
      <c r="N672" s="229">
        <v>38041.300000000003</v>
      </c>
      <c r="O672" s="28">
        <f>[1]!Table3[[#This Row],[C&amp;I Incentive Disbursements]]/'[1]1.) CLM Reference'!$B$5</f>
        <v>3.0543897481689393E-4</v>
      </c>
      <c r="Q672" t="e">
        <f>VLOOKUP(Table3[[#This Row],[Census Tract]],'Population and Diversity Data'!$B$2:$K$823,10,FALSE)</f>
        <v>#N/A</v>
      </c>
      <c r="R672" t="e">
        <f>VLOOKUP(Table3[[#This Row],[Census Tract]],'ES Energy Burden'!$B$2:$E$914,4,FALSE)</f>
        <v>#N/A</v>
      </c>
    </row>
    <row r="673" spans="1:18" x14ac:dyDescent="0.2">
      <c r="A673" t="s">
        <v>2847</v>
      </c>
      <c r="B673" s="169">
        <v>9011702100</v>
      </c>
      <c r="C673" t="s">
        <v>944</v>
      </c>
      <c r="D673" s="170">
        <f>[1]!Table3[[#This Row],[Residential CLM $ Collected]]+[1]!Table3[[#This Row],[C&amp;I CLM $ Collected]]</f>
        <v>40.494720000000001</v>
      </c>
      <c r="E673" s="28">
        <f>[1]!Table3[[#This Row],[CLM $ Collected ]]/'[1]1.) CLM Reference'!$B$4</f>
        <v>4.3594073588501649E-7</v>
      </c>
      <c r="F673" s="170">
        <f>[1]!Table3[[#This Row],[Residential Incentive Disbursements]]+[1]!Table3[[#This Row],[C&amp;I Incentive Disbursements]]</f>
        <v>123169.66</v>
      </c>
      <c r="G673" s="28">
        <f>[1]!Table3[[#This Row],[Incentive Disbursements]]/'[1]1.) CLM Reference'!$B$5</f>
        <v>9.8894661010389719E-4</v>
      </c>
      <c r="H673" s="228">
        <v>40.494720000000001</v>
      </c>
      <c r="I673" s="28">
        <f>[1]!Table3[[#This Row],[Residential CLM $ Collected]]/'[1]1.) CLM Reference'!$B$4</f>
        <v>4.3594073588501649E-7</v>
      </c>
      <c r="J673" s="229">
        <v>123169.66</v>
      </c>
      <c r="K673" s="28">
        <f>[1]!Table3[[#This Row],[Residential Incentive Disbursements]]/'[1]1.) CLM Reference'!$B$5</f>
        <v>9.8894661010389719E-4</v>
      </c>
      <c r="L673" s="229">
        <v>0</v>
      </c>
      <c r="M673" s="28">
        <f>[1]!Table3[[#This Row],[C&amp;I CLM $ Collected]]/'[1]1.) CLM Reference'!$B$4</f>
        <v>0</v>
      </c>
      <c r="N673" s="229">
        <v>0</v>
      </c>
      <c r="O673" s="28">
        <f>[1]!Table3[[#This Row],[C&amp;I Incentive Disbursements]]/'[1]1.) CLM Reference'!$B$5</f>
        <v>0</v>
      </c>
      <c r="Q673">
        <f>VLOOKUP(Table3[[#This Row],[Census Tract]],'Population and Diversity Data'!$B$2:$K$823,10,FALSE)</f>
        <v>4</v>
      </c>
      <c r="R673" t="str">
        <f>VLOOKUP(Table3[[#This Row],[Census Tract]],'ES Energy Burden'!$B$2:$E$914,4,FALSE)</f>
        <v>No</v>
      </c>
    </row>
    <row r="674" spans="1:18" x14ac:dyDescent="0.2">
      <c r="A674" t="s">
        <v>2847</v>
      </c>
      <c r="B674" s="169">
        <v>9011702800</v>
      </c>
      <c r="C674" t="s">
        <v>944</v>
      </c>
      <c r="D674" s="170">
        <f>[1]!Table3[[#This Row],[Residential CLM $ Collected]]+[1]!Table3[[#This Row],[C&amp;I CLM $ Collected]]</f>
        <v>116584.636014</v>
      </c>
      <c r="E674" s="28">
        <f>[1]!Table3[[#This Row],[CLM $ Collected ]]/'[1]1.) CLM Reference'!$B$4</f>
        <v>1.2550770079859783E-3</v>
      </c>
      <c r="F674" s="170">
        <f>[1]!Table3[[#This Row],[Residential Incentive Disbursements]]+[1]!Table3[[#This Row],[C&amp;I Incentive Disbursements]]</f>
        <v>293783.42749999999</v>
      </c>
      <c r="G674" s="28">
        <f>[1]!Table3[[#This Row],[Incentive Disbursements]]/'[1]1.) CLM Reference'!$B$5</f>
        <v>2.358828665523872E-3</v>
      </c>
      <c r="H674" s="228">
        <v>85225.010934000005</v>
      </c>
      <c r="I674" s="28">
        <f>[1]!Table3[[#This Row],[Residential CLM $ Collected]]/'[1]1.) CLM Reference'!$B$4</f>
        <v>9.1747896966262602E-4</v>
      </c>
      <c r="J674" s="229">
        <v>182853.13750000001</v>
      </c>
      <c r="K674" s="28">
        <f>[1]!Table3[[#This Row],[Residential Incentive Disbursements]]/'[1]1.) CLM Reference'!$B$5</f>
        <v>1.4681536871782126E-3</v>
      </c>
      <c r="L674" s="229">
        <v>31359.625080000002</v>
      </c>
      <c r="M674" s="28">
        <f>[1]!Table3[[#This Row],[C&amp;I CLM $ Collected]]/'[1]1.) CLM Reference'!$B$4</f>
        <v>3.3759803832335224E-4</v>
      </c>
      <c r="N674" s="229">
        <v>110930.29</v>
      </c>
      <c r="O674" s="28">
        <f>[1]!Table3[[#This Row],[C&amp;I Incentive Disbursements]]/'[1]1.) CLM Reference'!$B$5</f>
        <v>8.9067497834565952E-4</v>
      </c>
      <c r="Q674">
        <f>VLOOKUP(Table3[[#This Row],[Census Tract]],'Population and Diversity Data'!$B$2:$K$823,10,FALSE)</f>
        <v>5</v>
      </c>
      <c r="R674" t="str">
        <f>VLOOKUP(Table3[[#This Row],[Census Tract]],'ES Energy Burden'!$B$2:$E$914,4,FALSE)</f>
        <v>No</v>
      </c>
    </row>
    <row r="675" spans="1:18" x14ac:dyDescent="0.2">
      <c r="A675" t="s">
        <v>2847</v>
      </c>
      <c r="B675" s="169">
        <v>9011703000</v>
      </c>
      <c r="C675" t="s">
        <v>944</v>
      </c>
      <c r="D675" s="170">
        <f>[1]!Table3[[#This Row],[Residential CLM $ Collected]]+[1]!Table3[[#This Row],[C&amp;I CLM $ Collected]]</f>
        <v>427.87038000000001</v>
      </c>
      <c r="E675" s="28">
        <f>[1]!Table3[[#This Row],[CLM $ Collected ]]/'[1]1.) CLM Reference'!$B$4</f>
        <v>4.6061839252278231E-6</v>
      </c>
      <c r="F675" s="170">
        <f>[1]!Table3[[#This Row],[Residential Incentive Disbursements]]+[1]!Table3[[#This Row],[C&amp;I Incentive Disbursements]]</f>
        <v>0</v>
      </c>
      <c r="G675" s="28">
        <f>[1]!Table3[[#This Row],[Incentive Disbursements]]/'[1]1.) CLM Reference'!$B$5</f>
        <v>0</v>
      </c>
      <c r="H675" s="228">
        <v>427.87038000000001</v>
      </c>
      <c r="I675" s="28">
        <f>[1]!Table3[[#This Row],[Residential CLM $ Collected]]/'[1]1.) CLM Reference'!$B$4</f>
        <v>4.6061839252278231E-6</v>
      </c>
      <c r="J675" s="229">
        <v>0</v>
      </c>
      <c r="K675" s="28">
        <f>[1]!Table3[[#This Row],[Residential Incentive Disbursements]]/'[1]1.) CLM Reference'!$B$5</f>
        <v>0</v>
      </c>
      <c r="L675" s="229">
        <v>0</v>
      </c>
      <c r="M675" s="28">
        <f>[1]!Table3[[#This Row],[C&amp;I CLM $ Collected]]/'[1]1.) CLM Reference'!$B$4</f>
        <v>0</v>
      </c>
      <c r="N675" s="229">
        <v>0</v>
      </c>
      <c r="O675" s="28">
        <f>[1]!Table3[[#This Row],[C&amp;I Incentive Disbursements]]/'[1]1.) CLM Reference'!$B$5</f>
        <v>0</v>
      </c>
      <c r="Q675">
        <f>VLOOKUP(Table3[[#This Row],[Census Tract]],'Population and Diversity Data'!$B$2:$K$823,10,FALSE)</f>
        <v>2</v>
      </c>
      <c r="R675" t="str">
        <f>VLOOKUP(Table3[[#This Row],[Census Tract]],'ES Energy Burden'!$B$2:$E$914,4,FALSE)</f>
        <v>No</v>
      </c>
    </row>
    <row r="676" spans="1:18" x14ac:dyDescent="0.2">
      <c r="A676" t="s">
        <v>2847</v>
      </c>
      <c r="B676" s="169">
        <v>9011705101</v>
      </c>
      <c r="C676" t="s">
        <v>944</v>
      </c>
      <c r="D676" s="170">
        <f>[1]!Table3[[#This Row],[Residential CLM $ Collected]]+[1]!Table3[[#This Row],[C&amp;I CLM $ Collected]]</f>
        <v>47347.379099999998</v>
      </c>
      <c r="E676" s="28">
        <f>[1]!Table3[[#This Row],[CLM $ Collected ]]/'[1]1.) CLM Reference'!$B$4</f>
        <v>5.0971216215548224E-4</v>
      </c>
      <c r="F676" s="170">
        <f>[1]!Table3[[#This Row],[Residential Incentive Disbursements]]+[1]!Table3[[#This Row],[C&amp;I Incentive Disbursements]]</f>
        <v>23702.744999999999</v>
      </c>
      <c r="G676" s="28">
        <f>[1]!Table3[[#This Row],[Incentive Disbursements]]/'[1]1.) CLM Reference'!$B$5</f>
        <v>1.9031268997500762E-4</v>
      </c>
      <c r="H676" s="228">
        <v>47347.379099999998</v>
      </c>
      <c r="I676" s="28">
        <f>[1]!Table3[[#This Row],[Residential CLM $ Collected]]/'[1]1.) CLM Reference'!$B$4</f>
        <v>5.0971216215548224E-4</v>
      </c>
      <c r="J676" s="229">
        <v>23702.744999999999</v>
      </c>
      <c r="K676" s="28">
        <f>[1]!Table3[[#This Row],[Residential Incentive Disbursements]]/'[1]1.) CLM Reference'!$B$5</f>
        <v>1.9031268997500762E-4</v>
      </c>
      <c r="L676" s="229">
        <v>0</v>
      </c>
      <c r="M676" s="28">
        <f>[1]!Table3[[#This Row],[C&amp;I CLM $ Collected]]/'[1]1.) CLM Reference'!$B$4</f>
        <v>0</v>
      </c>
      <c r="N676" s="229">
        <v>0</v>
      </c>
      <c r="O676" s="28">
        <f>[1]!Table3[[#This Row],[C&amp;I Incentive Disbursements]]/'[1]1.) CLM Reference'!$B$5</f>
        <v>0</v>
      </c>
      <c r="Q676">
        <f>VLOOKUP(Table3[[#This Row],[Census Tract]],'Population and Diversity Data'!$B$2:$K$823,10,FALSE)</f>
        <v>1</v>
      </c>
      <c r="R676" t="str">
        <f>VLOOKUP(Table3[[#This Row],[Census Tract]],'ES Energy Burden'!$B$2:$E$914,4,FALSE)</f>
        <v>No</v>
      </c>
    </row>
    <row r="677" spans="1:18" x14ac:dyDescent="0.2">
      <c r="A677" t="s">
        <v>2847</v>
      </c>
      <c r="B677" s="169">
        <v>9011705102</v>
      </c>
      <c r="C677" t="s">
        <v>944</v>
      </c>
      <c r="D677" s="170">
        <f>[1]!Table3[[#This Row],[Residential CLM $ Collected]]+[1]!Table3[[#This Row],[C&amp;I CLM $ Collected]]</f>
        <v>40340.074026000002</v>
      </c>
      <c r="E677" s="28">
        <f>[1]!Table3[[#This Row],[CLM $ Collected ]]/'[1]1.) CLM Reference'!$B$4</f>
        <v>4.3427591440440828E-4</v>
      </c>
      <c r="F677" s="170">
        <f>[1]!Table3[[#This Row],[Residential Incentive Disbursements]]+[1]!Table3[[#This Row],[C&amp;I Incentive Disbursements]]</f>
        <v>35105.31</v>
      </c>
      <c r="G677" s="28">
        <f>[1]!Table3[[#This Row],[Incentive Disbursements]]/'[1]1.) CLM Reference'!$B$5</f>
        <v>2.8186549610631744E-4</v>
      </c>
      <c r="H677" s="228">
        <v>40340.074026000002</v>
      </c>
      <c r="I677" s="28">
        <f>[1]!Table3[[#This Row],[Residential CLM $ Collected]]/'[1]1.) CLM Reference'!$B$4</f>
        <v>4.3427591440440828E-4</v>
      </c>
      <c r="J677" s="229">
        <v>35105.31</v>
      </c>
      <c r="K677" s="28">
        <f>[1]!Table3[[#This Row],[Residential Incentive Disbursements]]/'[1]1.) CLM Reference'!$B$5</f>
        <v>2.8186549610631744E-4</v>
      </c>
      <c r="L677" s="229">
        <v>0</v>
      </c>
      <c r="M677" s="28">
        <f>[1]!Table3[[#This Row],[C&amp;I CLM $ Collected]]/'[1]1.) CLM Reference'!$B$4</f>
        <v>0</v>
      </c>
      <c r="N677" s="229">
        <v>0</v>
      </c>
      <c r="O677" s="28">
        <f>[1]!Table3[[#This Row],[C&amp;I Incentive Disbursements]]/'[1]1.) CLM Reference'!$B$5</f>
        <v>0</v>
      </c>
      <c r="Q677">
        <f>VLOOKUP(Table3[[#This Row],[Census Tract]],'Population and Diversity Data'!$B$2:$K$823,10,FALSE)</f>
        <v>4</v>
      </c>
      <c r="R677" t="str">
        <f>VLOOKUP(Table3[[#This Row],[Census Tract]],'ES Energy Burden'!$B$2:$E$914,4,FALSE)</f>
        <v>No</v>
      </c>
    </row>
    <row r="678" spans="1:18" x14ac:dyDescent="0.2">
      <c r="A678" t="s">
        <v>2847</v>
      </c>
      <c r="B678" s="169">
        <v>9011705200</v>
      </c>
      <c r="C678" t="s">
        <v>944</v>
      </c>
      <c r="D678" s="170">
        <f>[1]!Table3[[#This Row],[Residential CLM $ Collected]]+[1]!Table3[[#This Row],[C&amp;I CLM $ Collected]]</f>
        <v>59627.732829000008</v>
      </c>
      <c r="E678" s="28">
        <f>[1]!Table3[[#This Row],[CLM $ Collected ]]/'[1]1.) CLM Reference'!$B$4</f>
        <v>6.4191474169050724E-4</v>
      </c>
      <c r="F678" s="170">
        <f>[1]!Table3[[#This Row],[Residential Incentive Disbursements]]+[1]!Table3[[#This Row],[C&amp;I Incentive Disbursements]]</f>
        <v>43198.025000000001</v>
      </c>
      <c r="G678" s="28">
        <f>[1]!Table3[[#This Row],[Incentive Disbursements]]/'[1]1.) CLM Reference'!$B$5</f>
        <v>3.4684304874214481E-4</v>
      </c>
      <c r="H678" s="228">
        <v>59627.732829000008</v>
      </c>
      <c r="I678" s="28">
        <f>[1]!Table3[[#This Row],[Residential CLM $ Collected]]/'[1]1.) CLM Reference'!$B$4</f>
        <v>6.4191474169050724E-4</v>
      </c>
      <c r="J678" s="229">
        <v>43198.025000000001</v>
      </c>
      <c r="K678" s="28">
        <f>[1]!Table3[[#This Row],[Residential Incentive Disbursements]]/'[1]1.) CLM Reference'!$B$5</f>
        <v>3.4684304874214481E-4</v>
      </c>
      <c r="L678" s="229">
        <v>0</v>
      </c>
      <c r="M678" s="28">
        <f>[1]!Table3[[#This Row],[C&amp;I CLM $ Collected]]/'[1]1.) CLM Reference'!$B$4</f>
        <v>0</v>
      </c>
      <c r="N678" s="229">
        <v>0</v>
      </c>
      <c r="O678" s="28">
        <f>[1]!Table3[[#This Row],[C&amp;I Incentive Disbursements]]/'[1]1.) CLM Reference'!$B$5</f>
        <v>0</v>
      </c>
      <c r="Q678">
        <f>VLOOKUP(Table3[[#This Row],[Census Tract]],'Population and Diversity Data'!$B$2:$K$823,10,FALSE)</f>
        <v>2</v>
      </c>
      <c r="R678" t="str">
        <f>VLOOKUP(Table3[[#This Row],[Census Tract]],'ES Energy Burden'!$B$2:$E$914,4,FALSE)</f>
        <v>No</v>
      </c>
    </row>
    <row r="679" spans="1:18" x14ac:dyDescent="0.2">
      <c r="A679" t="s">
        <v>2847</v>
      </c>
      <c r="B679" s="169">
        <v>9011705300</v>
      </c>
      <c r="C679" t="s">
        <v>944</v>
      </c>
      <c r="D679" s="170">
        <f>[1]!Table3[[#This Row],[Residential CLM $ Collected]]+[1]!Table3[[#This Row],[C&amp;I CLM $ Collected]]</f>
        <v>6979.192059</v>
      </c>
      <c r="E679" s="28">
        <f>[1]!Table3[[#This Row],[CLM $ Collected ]]/'[1]1.) CLM Reference'!$B$4</f>
        <v>7.5133600678886609E-5</v>
      </c>
      <c r="F679" s="170">
        <f>[1]!Table3[[#This Row],[Residential Incentive Disbursements]]+[1]!Table3[[#This Row],[C&amp;I Incentive Disbursements]]</f>
        <v>1213.375</v>
      </c>
      <c r="G679" s="28">
        <f>[1]!Table3[[#This Row],[Incentive Disbursements]]/'[1]1.) CLM Reference'!$B$5</f>
        <v>9.7423593848908594E-6</v>
      </c>
      <c r="H679" s="228">
        <v>6979.192059</v>
      </c>
      <c r="I679" s="28">
        <f>[1]!Table3[[#This Row],[Residential CLM $ Collected]]/'[1]1.) CLM Reference'!$B$4</f>
        <v>7.5133600678886609E-5</v>
      </c>
      <c r="J679" s="229">
        <v>1213.375</v>
      </c>
      <c r="K679" s="28">
        <f>[1]!Table3[[#This Row],[Residential Incentive Disbursements]]/'[1]1.) CLM Reference'!$B$5</f>
        <v>9.7423593848908594E-6</v>
      </c>
      <c r="L679" s="229">
        <v>0</v>
      </c>
      <c r="M679" s="28">
        <f>[1]!Table3[[#This Row],[C&amp;I CLM $ Collected]]/'[1]1.) CLM Reference'!$B$4</f>
        <v>0</v>
      </c>
      <c r="N679" s="229">
        <v>0</v>
      </c>
      <c r="O679" s="28">
        <f>[1]!Table3[[#This Row],[C&amp;I Incentive Disbursements]]/'[1]1.) CLM Reference'!$B$5</f>
        <v>0</v>
      </c>
      <c r="Q679">
        <f>VLOOKUP(Table3[[#This Row],[Census Tract]],'Population and Diversity Data'!$B$2:$K$823,10,FALSE)</f>
        <v>3</v>
      </c>
      <c r="R679" t="str">
        <f>VLOOKUP(Table3[[#This Row],[Census Tract]],'ES Energy Burden'!$B$2:$E$914,4,FALSE)</f>
        <v>No</v>
      </c>
    </row>
    <row r="680" spans="1:18" x14ac:dyDescent="0.2">
      <c r="A680" t="s">
        <v>2847</v>
      </c>
      <c r="B680" s="169">
        <v>9011705400</v>
      </c>
      <c r="C680" t="s">
        <v>944</v>
      </c>
      <c r="D680" s="170">
        <f>[1]!Table3[[#This Row],[Residential CLM $ Collected]]+[1]!Table3[[#This Row],[C&amp;I CLM $ Collected]]</f>
        <v>27787.212180000002</v>
      </c>
      <c r="E680" s="28">
        <f>[1]!Table3[[#This Row],[CLM $ Collected ]]/'[1]1.) CLM Reference'!$B$4</f>
        <v>2.9913968354250366E-4</v>
      </c>
      <c r="F680" s="170">
        <f>[1]!Table3[[#This Row],[Residential Incentive Disbursements]]+[1]!Table3[[#This Row],[C&amp;I Incentive Disbursements]]</f>
        <v>18165.86</v>
      </c>
      <c r="G680" s="28">
        <f>[1]!Table3[[#This Row],[Incentive Disbursements]]/'[1]1.) CLM Reference'!$B$5</f>
        <v>1.458562576743492E-4</v>
      </c>
      <c r="H680" s="228">
        <v>27787.212180000002</v>
      </c>
      <c r="I680" s="28">
        <f>[1]!Table3[[#This Row],[Residential CLM $ Collected]]/'[1]1.) CLM Reference'!$B$4</f>
        <v>2.9913968354250366E-4</v>
      </c>
      <c r="J680" s="229">
        <v>18165.86</v>
      </c>
      <c r="K680" s="28">
        <f>[1]!Table3[[#This Row],[Residential Incentive Disbursements]]/'[1]1.) CLM Reference'!$B$5</f>
        <v>1.458562576743492E-4</v>
      </c>
      <c r="L680" s="229">
        <v>0</v>
      </c>
      <c r="M680" s="28">
        <f>[1]!Table3[[#This Row],[C&amp;I CLM $ Collected]]/'[1]1.) CLM Reference'!$B$4</f>
        <v>0</v>
      </c>
      <c r="N680" s="229">
        <v>0</v>
      </c>
      <c r="O680" s="28">
        <f>[1]!Table3[[#This Row],[C&amp;I Incentive Disbursements]]/'[1]1.) CLM Reference'!$B$5</f>
        <v>0</v>
      </c>
      <c r="Q680">
        <f>VLOOKUP(Table3[[#This Row],[Census Tract]],'Population and Diversity Data'!$B$2:$K$823,10,FALSE)</f>
        <v>1</v>
      </c>
      <c r="R680" t="str">
        <f>VLOOKUP(Table3[[#This Row],[Census Tract]],'ES Energy Burden'!$B$2:$E$914,4,FALSE)</f>
        <v>No</v>
      </c>
    </row>
    <row r="681" spans="1:18" x14ac:dyDescent="0.2">
      <c r="A681" t="s">
        <v>2848</v>
      </c>
      <c r="B681" s="169">
        <v>9003470100</v>
      </c>
      <c r="C681" t="s">
        <v>944</v>
      </c>
      <c r="D681" s="170">
        <f>[1]!Table3[[#This Row],[Residential CLM $ Collected]]+[1]!Table3[[#This Row],[C&amp;I CLM $ Collected]]</f>
        <v>112.98819</v>
      </c>
      <c r="E681" s="28">
        <f>[1]!Table3[[#This Row],[CLM $ Collected ]]/'[1]1.) CLM Reference'!$B$4</f>
        <v>1.2163599277860437E-6</v>
      </c>
      <c r="F681" s="170">
        <f>[1]!Table3[[#This Row],[Residential Incentive Disbursements]]+[1]!Table3[[#This Row],[C&amp;I Incentive Disbursements]]</f>
        <v>10607.365</v>
      </c>
      <c r="G681" s="28">
        <f>[1]!Table3[[#This Row],[Incentive Disbursements]]/'[1]1.) CLM Reference'!$B$5</f>
        <v>8.5168032930225883E-5</v>
      </c>
      <c r="H681" s="228">
        <v>112.98819</v>
      </c>
      <c r="I681" s="28">
        <f>[1]!Table3[[#This Row],[Residential CLM $ Collected]]/'[1]1.) CLM Reference'!$B$4</f>
        <v>1.2163599277860437E-6</v>
      </c>
      <c r="J681" s="229">
        <v>10607.365</v>
      </c>
      <c r="K681" s="28">
        <f>[1]!Table3[[#This Row],[Residential Incentive Disbursements]]/'[1]1.) CLM Reference'!$B$5</f>
        <v>8.5168032930225883E-5</v>
      </c>
      <c r="L681" s="229">
        <v>0</v>
      </c>
      <c r="M681" s="28">
        <f>[1]!Table3[[#This Row],[C&amp;I CLM $ Collected]]/'[1]1.) CLM Reference'!$B$4</f>
        <v>0</v>
      </c>
      <c r="N681" s="229">
        <v>0</v>
      </c>
      <c r="O681" s="28">
        <f>[1]!Table3[[#This Row],[C&amp;I Incentive Disbursements]]/'[1]1.) CLM Reference'!$B$5</f>
        <v>0</v>
      </c>
      <c r="Q681">
        <f>VLOOKUP(Table3[[#This Row],[Census Tract]],'Population and Diversity Data'!$B$2:$K$823,10,FALSE)</f>
        <v>3</v>
      </c>
      <c r="R681" t="str">
        <f>VLOOKUP(Table3[[#This Row],[Census Tract]],'ES Energy Burden'!$B$2:$E$914,4,FALSE)</f>
        <v>No</v>
      </c>
    </row>
    <row r="682" spans="1:18" x14ac:dyDescent="0.2">
      <c r="A682" t="s">
        <v>2848</v>
      </c>
      <c r="B682" s="169">
        <v>9003477101</v>
      </c>
      <c r="C682" t="s">
        <v>944</v>
      </c>
      <c r="D682" s="170">
        <f>[1]!Table3[[#This Row],[Residential CLM $ Collected]]+[1]!Table3[[#This Row],[C&amp;I CLM $ Collected]]</f>
        <v>54529.115277000004</v>
      </c>
      <c r="E682" s="28">
        <f>[1]!Table3[[#This Row],[CLM $ Collected ]]/'[1]1.) CLM Reference'!$B$4</f>
        <v>5.8702622566631586E-4</v>
      </c>
      <c r="F682" s="170">
        <f>[1]!Table3[[#This Row],[Residential Incentive Disbursements]]+[1]!Table3[[#This Row],[C&amp;I Incentive Disbursements]]</f>
        <v>55086.004999999997</v>
      </c>
      <c r="G682" s="28">
        <f>[1]!Table3[[#This Row],[Incentive Disbursements]]/'[1]1.) CLM Reference'!$B$5</f>
        <v>4.4229332052159864E-4</v>
      </c>
      <c r="H682" s="228">
        <v>54529.115277000004</v>
      </c>
      <c r="I682" s="28">
        <f>[1]!Table3[[#This Row],[Residential CLM $ Collected]]/'[1]1.) CLM Reference'!$B$4</f>
        <v>5.8702622566631586E-4</v>
      </c>
      <c r="J682" s="229">
        <v>55086.004999999997</v>
      </c>
      <c r="K682" s="28">
        <f>[1]!Table3[[#This Row],[Residential Incentive Disbursements]]/'[1]1.) CLM Reference'!$B$5</f>
        <v>4.4229332052159864E-4</v>
      </c>
      <c r="L682" s="229">
        <v>0</v>
      </c>
      <c r="M682" s="28">
        <f>[1]!Table3[[#This Row],[C&amp;I CLM $ Collected]]/'[1]1.) CLM Reference'!$B$4</f>
        <v>0</v>
      </c>
      <c r="N682" s="229">
        <v>0</v>
      </c>
      <c r="O682" s="28">
        <f>[1]!Table3[[#This Row],[C&amp;I Incentive Disbursements]]/'[1]1.) CLM Reference'!$B$5</f>
        <v>0</v>
      </c>
      <c r="Q682">
        <f>VLOOKUP(Table3[[#This Row],[Census Tract]],'Population and Diversity Data'!$B$2:$K$823,10,FALSE)</f>
        <v>1</v>
      </c>
      <c r="R682" t="str">
        <f>VLOOKUP(Table3[[#This Row],[Census Tract]],'ES Energy Burden'!$B$2:$E$914,4,FALSE)</f>
        <v>No</v>
      </c>
    </row>
    <row r="683" spans="1:18" x14ac:dyDescent="0.2">
      <c r="A683" t="s">
        <v>2848</v>
      </c>
      <c r="B683" s="169">
        <v>9003477102</v>
      </c>
      <c r="C683" t="s">
        <v>944</v>
      </c>
      <c r="D683" s="170">
        <f>[1]!Table3[[#This Row],[Residential CLM $ Collected]]+[1]!Table3[[#This Row],[C&amp;I CLM $ Collected]]</f>
        <v>679952.50427999999</v>
      </c>
      <c r="E683" s="28">
        <f>[1]!Table3[[#This Row],[CLM $ Collected ]]/'[1]1.) CLM Reference'!$B$4</f>
        <v>7.3199418364340582E-3</v>
      </c>
      <c r="F683" s="170">
        <f>[1]!Table3[[#This Row],[Residential Incentive Disbursements]]+[1]!Table3[[#This Row],[C&amp;I Incentive Disbursements]]</f>
        <v>285063.66500000004</v>
      </c>
      <c r="G683" s="28">
        <f>[1]!Table3[[#This Row],[Incentive Disbursements]]/'[1]1.) CLM Reference'!$B$5</f>
        <v>2.2888164598777248E-3</v>
      </c>
      <c r="H683" s="228">
        <v>157747.31700000001</v>
      </c>
      <c r="I683" s="28">
        <f>[1]!Table3[[#This Row],[Residential CLM $ Collected]]/'[1]1.) CLM Reference'!$B$4</f>
        <v>1.698208592549028E-3</v>
      </c>
      <c r="J683" s="229">
        <v>238144.76500000001</v>
      </c>
      <c r="K683" s="28">
        <f>[1]!Table3[[#This Row],[Residential Incentive Disbursements]]/'[1]1.) CLM Reference'!$B$5</f>
        <v>1.9120979798169389E-3</v>
      </c>
      <c r="L683" s="229">
        <v>522205.18728000001</v>
      </c>
      <c r="M683" s="28">
        <f>[1]!Table3[[#This Row],[C&amp;I CLM $ Collected]]/'[1]1.) CLM Reference'!$B$4</f>
        <v>5.6217332438850314E-3</v>
      </c>
      <c r="N683" s="229">
        <v>46918.9</v>
      </c>
      <c r="O683" s="28">
        <f>[1]!Table3[[#This Row],[C&amp;I Incentive Disbursements]]/'[1]1.) CLM Reference'!$B$5</f>
        <v>3.7671848006078562E-4</v>
      </c>
      <c r="Q683">
        <f>VLOOKUP(Table3[[#This Row],[Census Tract]],'Population and Diversity Data'!$B$2:$K$823,10,FALSE)</f>
        <v>4</v>
      </c>
      <c r="R683" t="str">
        <f>VLOOKUP(Table3[[#This Row],[Census Tract]],'ES Energy Burden'!$B$2:$E$914,4,FALSE)</f>
        <v>No</v>
      </c>
    </row>
    <row r="684" spans="1:18" x14ac:dyDescent="0.2">
      <c r="A684" t="s">
        <v>2848</v>
      </c>
      <c r="B684" s="169">
        <v>9003477200</v>
      </c>
      <c r="C684" t="s">
        <v>944</v>
      </c>
      <c r="D684" s="170">
        <f>[1]!Table3[[#This Row],[Residential CLM $ Collected]]+[1]!Table3[[#This Row],[C&amp;I CLM $ Collected]]</f>
        <v>38110.940637</v>
      </c>
      <c r="E684" s="28">
        <f>[1]!Table3[[#This Row],[CLM $ Collected ]]/'[1]1.) CLM Reference'!$B$4</f>
        <v>4.1027846362597293E-4</v>
      </c>
      <c r="F684" s="170">
        <f>[1]!Table3[[#This Row],[Residential Incentive Disbursements]]+[1]!Table3[[#This Row],[C&amp;I Incentive Disbursements]]</f>
        <v>49642.815000000002</v>
      </c>
      <c r="G684" s="28">
        <f>[1]!Table3[[#This Row],[Incentive Disbursements]]/'[1]1.) CLM Reference'!$B$5</f>
        <v>3.9858917861967713E-4</v>
      </c>
      <c r="H684" s="228">
        <v>38110.940637</v>
      </c>
      <c r="I684" s="28">
        <f>[1]!Table3[[#This Row],[Residential CLM $ Collected]]/'[1]1.) CLM Reference'!$B$4</f>
        <v>4.1027846362597293E-4</v>
      </c>
      <c r="J684" s="229">
        <v>49642.815000000002</v>
      </c>
      <c r="K684" s="28">
        <f>[1]!Table3[[#This Row],[Residential Incentive Disbursements]]/'[1]1.) CLM Reference'!$B$5</f>
        <v>3.9858917861967713E-4</v>
      </c>
      <c r="L684" s="229">
        <v>0</v>
      </c>
      <c r="M684" s="28">
        <f>[1]!Table3[[#This Row],[C&amp;I CLM $ Collected]]/'[1]1.) CLM Reference'!$B$4</f>
        <v>0</v>
      </c>
      <c r="N684" s="229">
        <v>0</v>
      </c>
      <c r="O684" s="28">
        <f>[1]!Table3[[#This Row],[C&amp;I Incentive Disbursements]]/'[1]1.) CLM Reference'!$B$5</f>
        <v>0</v>
      </c>
      <c r="Q684">
        <f>VLOOKUP(Table3[[#This Row],[Census Tract]],'Population and Diversity Data'!$B$2:$K$823,10,FALSE)</f>
        <v>1</v>
      </c>
      <c r="R684" t="str">
        <f>VLOOKUP(Table3[[#This Row],[Census Tract]],'ES Energy Burden'!$B$2:$E$914,4,FALSE)</f>
        <v>No</v>
      </c>
    </row>
    <row r="685" spans="1:18" x14ac:dyDescent="0.2">
      <c r="A685" t="s">
        <v>2849</v>
      </c>
      <c r="B685" s="169">
        <v>9005300500</v>
      </c>
      <c r="C685" t="s">
        <v>944</v>
      </c>
      <c r="D685" s="170">
        <f>[1]!Table3[[#This Row],[Residential CLM $ Collected]]+[1]!Table3[[#This Row],[C&amp;I CLM $ Collected]]</f>
        <v>1484.7410339999999</v>
      </c>
      <c r="E685" s="28">
        <f>[1]!Table3[[#This Row],[CLM $ Collected ]]/'[1]1.) CLM Reference'!$B$4</f>
        <v>1.5983789959793281E-5</v>
      </c>
      <c r="F685" s="170">
        <f>[1]!Table3[[#This Row],[Residential Incentive Disbursements]]+[1]!Table3[[#This Row],[C&amp;I Incentive Disbursements]]</f>
        <v>0</v>
      </c>
      <c r="G685" s="28">
        <f>[1]!Table3[[#This Row],[Incentive Disbursements]]/'[1]1.) CLM Reference'!$B$5</f>
        <v>0</v>
      </c>
      <c r="H685" s="228">
        <v>1484.7410339999999</v>
      </c>
      <c r="I685" s="28">
        <f>[1]!Table3[[#This Row],[Residential CLM $ Collected]]/'[1]1.) CLM Reference'!$B$4</f>
        <v>1.5983789959793281E-5</v>
      </c>
      <c r="J685" s="229">
        <v>0</v>
      </c>
      <c r="K685" s="28">
        <f>[1]!Table3[[#This Row],[Residential Incentive Disbursements]]/'[1]1.) CLM Reference'!$B$5</f>
        <v>0</v>
      </c>
      <c r="L685" s="229">
        <v>0</v>
      </c>
      <c r="M685" s="28">
        <f>[1]!Table3[[#This Row],[C&amp;I CLM $ Collected]]/'[1]1.) CLM Reference'!$B$4</f>
        <v>0</v>
      </c>
      <c r="N685" s="229">
        <v>0</v>
      </c>
      <c r="O685" s="28">
        <f>[1]!Table3[[#This Row],[C&amp;I Incentive Disbursements]]/'[1]1.) CLM Reference'!$B$5</f>
        <v>0</v>
      </c>
      <c r="Q685">
        <f>VLOOKUP(Table3[[#This Row],[Census Tract]],'Population and Diversity Data'!$B$2:$K$823,10,FALSE)</f>
        <v>1</v>
      </c>
      <c r="R685" t="str">
        <f>VLOOKUP(Table3[[#This Row],[Census Tract]],'ES Energy Burden'!$B$2:$E$914,4,FALSE)</f>
        <v>No</v>
      </c>
    </row>
    <row r="686" spans="1:18" x14ac:dyDescent="0.2">
      <c r="A686" t="s">
        <v>2849</v>
      </c>
      <c r="B686" s="169">
        <v>9005349100</v>
      </c>
      <c r="C686" t="s">
        <v>944</v>
      </c>
      <c r="D686" s="170">
        <f>[1]!Table3[[#This Row],[Residential CLM $ Collected]]+[1]!Table3[[#This Row],[C&amp;I CLM $ Collected]]</f>
        <v>58745.166249000002</v>
      </c>
      <c r="E686" s="28">
        <f>[1]!Table3[[#This Row],[CLM $ Collected ]]/'[1]1.) CLM Reference'!$B$4</f>
        <v>6.3241358390122692E-4</v>
      </c>
      <c r="F686" s="170">
        <f>[1]!Table3[[#This Row],[Residential Incentive Disbursements]]+[1]!Table3[[#This Row],[C&amp;I Incentive Disbursements]]</f>
        <v>79376.61</v>
      </c>
      <c r="G686" s="28">
        <f>[1]!Table3[[#This Row],[Incentive Disbursements]]/'[1]1.) CLM Reference'!$B$5</f>
        <v>6.3732602153029492E-4</v>
      </c>
      <c r="H686" s="228">
        <v>58745.166249000002</v>
      </c>
      <c r="I686" s="28">
        <f>[1]!Table3[[#This Row],[Residential CLM $ Collected]]/'[1]1.) CLM Reference'!$B$4</f>
        <v>6.3241358390122692E-4</v>
      </c>
      <c r="J686" s="229">
        <v>79376.61</v>
      </c>
      <c r="K686" s="28">
        <f>[1]!Table3[[#This Row],[Residential Incentive Disbursements]]/'[1]1.) CLM Reference'!$B$5</f>
        <v>6.3732602153029492E-4</v>
      </c>
      <c r="L686" s="229">
        <v>0</v>
      </c>
      <c r="M686" s="28">
        <f>[1]!Table3[[#This Row],[C&amp;I CLM $ Collected]]/'[1]1.) CLM Reference'!$B$4</f>
        <v>0</v>
      </c>
      <c r="N686" s="229">
        <v>0</v>
      </c>
      <c r="O686" s="28">
        <f>[1]!Table3[[#This Row],[C&amp;I Incentive Disbursements]]/'[1]1.) CLM Reference'!$B$5</f>
        <v>0</v>
      </c>
      <c r="Q686">
        <f>VLOOKUP(Table3[[#This Row],[Census Tract]],'Population and Diversity Data'!$B$2:$K$823,10,FALSE)</f>
        <v>1</v>
      </c>
      <c r="R686" t="str">
        <f>VLOOKUP(Table3[[#This Row],[Census Tract]],'ES Energy Burden'!$B$2:$E$914,4,FALSE)</f>
        <v>No</v>
      </c>
    </row>
    <row r="687" spans="1:18" x14ac:dyDescent="0.2">
      <c r="A687" t="s">
        <v>2849</v>
      </c>
      <c r="B687" s="169">
        <v>9005349200</v>
      </c>
      <c r="C687" t="s">
        <v>944</v>
      </c>
      <c r="D687" s="170">
        <f>[1]!Table3[[#This Row],[Residential CLM $ Collected]]+[1]!Table3[[#This Row],[C&amp;I CLM $ Collected]]</f>
        <v>124094.57552099999</v>
      </c>
      <c r="E687" s="28">
        <f>[1]!Table3[[#This Row],[CLM $ Collected ]]/'[1]1.) CLM Reference'!$B$4</f>
        <v>1.3359243025254524E-3</v>
      </c>
      <c r="F687" s="170">
        <f>[1]!Table3[[#This Row],[Residential Incentive Disbursements]]+[1]!Table3[[#This Row],[C&amp;I Incentive Disbursements]]</f>
        <v>133768.95999999999</v>
      </c>
      <c r="G687" s="28">
        <f>[1]!Table3[[#This Row],[Incentive Disbursements]]/'[1]1.) CLM Reference'!$B$5</f>
        <v>1.0740498880091396E-3</v>
      </c>
      <c r="H687" s="228">
        <v>69789.499310999992</v>
      </c>
      <c r="I687" s="28">
        <f>[1]!Table3[[#This Row],[Residential CLM $ Collected]]/'[1]1.) CLM Reference'!$B$4</f>
        <v>7.5130994081905463E-4</v>
      </c>
      <c r="J687" s="229">
        <v>116925.56</v>
      </c>
      <c r="K687" s="28">
        <f>[1]!Table3[[#This Row],[Residential Incentive Disbursements]]/'[1]1.) CLM Reference'!$B$5</f>
        <v>9.3881184860378632E-4</v>
      </c>
      <c r="L687" s="229">
        <v>54305.076209999999</v>
      </c>
      <c r="M687" s="28">
        <f>[1]!Table3[[#This Row],[C&amp;I CLM $ Collected]]/'[1]1.) CLM Reference'!$B$4</f>
        <v>5.8461436170639781E-4</v>
      </c>
      <c r="N687" s="229">
        <v>16843.400000000001</v>
      </c>
      <c r="O687" s="28">
        <f>[1]!Table3[[#This Row],[C&amp;I Incentive Disbursements]]/'[1]1.) CLM Reference'!$B$5</f>
        <v>1.3523803940535342E-4</v>
      </c>
      <c r="Q687">
        <f>VLOOKUP(Table3[[#This Row],[Census Tract]],'Population and Diversity Data'!$B$2:$K$823,10,FALSE)</f>
        <v>1</v>
      </c>
      <c r="R687" t="str">
        <f>VLOOKUP(Table3[[#This Row],[Census Tract]],'ES Energy Burden'!$B$2:$E$914,4,FALSE)</f>
        <v>No</v>
      </c>
    </row>
    <row r="688" spans="1:18" x14ac:dyDescent="0.2">
      <c r="A688" t="s">
        <v>2850</v>
      </c>
      <c r="B688" s="169">
        <v>9015900100</v>
      </c>
      <c r="C688" t="s">
        <v>944</v>
      </c>
      <c r="D688" s="170">
        <f>[1]!Table3[[#This Row],[Residential CLM $ Collected]]+[1]!Table3[[#This Row],[C&amp;I CLM $ Collected]]</f>
        <v>66740.186520000003</v>
      </c>
      <c r="E688" s="28">
        <f>[1]!Table3[[#This Row],[CLM $ Collected ]]/'[1]1.) CLM Reference'!$B$4</f>
        <v>7.18482953447562E-4</v>
      </c>
      <c r="F688" s="170">
        <f>[1]!Table3[[#This Row],[Residential Incentive Disbursements]]+[1]!Table3[[#This Row],[C&amp;I Incentive Disbursements]]</f>
        <v>40704.925000000003</v>
      </c>
      <c r="G688" s="28">
        <f>[1]!Table3[[#This Row],[Incentive Disbursements]]/'[1]1.) CLM Reference'!$B$5</f>
        <v>3.2682559644382699E-4</v>
      </c>
      <c r="H688" s="228">
        <v>66740.186520000003</v>
      </c>
      <c r="I688" s="28">
        <f>[1]!Table3[[#This Row],[Residential CLM $ Collected]]/'[1]1.) CLM Reference'!$B$4</f>
        <v>7.18482953447562E-4</v>
      </c>
      <c r="J688" s="229">
        <v>40704.925000000003</v>
      </c>
      <c r="K688" s="28">
        <f>[1]!Table3[[#This Row],[Residential Incentive Disbursements]]/'[1]1.) CLM Reference'!$B$5</f>
        <v>3.2682559644382699E-4</v>
      </c>
      <c r="L688" s="229">
        <v>0</v>
      </c>
      <c r="M688" s="28">
        <f>[1]!Table3[[#This Row],[C&amp;I CLM $ Collected]]/'[1]1.) CLM Reference'!$B$4</f>
        <v>0</v>
      </c>
      <c r="N688" s="229">
        <v>0</v>
      </c>
      <c r="O688" s="28">
        <f>[1]!Table3[[#This Row],[C&amp;I Incentive Disbursements]]/'[1]1.) CLM Reference'!$B$5</f>
        <v>0</v>
      </c>
      <c r="Q688">
        <f>VLOOKUP(Table3[[#This Row],[Census Tract]],'Population and Diversity Data'!$B$2:$K$823,10,FALSE)</f>
        <v>2</v>
      </c>
      <c r="R688" t="str">
        <f>VLOOKUP(Table3[[#This Row],[Census Tract]],'ES Energy Burden'!$B$2:$E$914,4,FALSE)</f>
        <v>No</v>
      </c>
    </row>
    <row r="689" spans="1:18" x14ac:dyDescent="0.2">
      <c r="A689" t="s">
        <v>2850</v>
      </c>
      <c r="B689" s="169">
        <v>9015900200</v>
      </c>
      <c r="C689" t="s">
        <v>944</v>
      </c>
      <c r="D689" s="170">
        <f>[1]!Table3[[#This Row],[Residential CLM $ Collected]]+[1]!Table3[[#This Row],[C&amp;I CLM $ Collected]]</f>
        <v>102251.076816</v>
      </c>
      <c r="E689" s="28">
        <f>[1]!Table3[[#This Row],[CLM $ Collected ]]/'[1]1.) CLM Reference'!$B$4</f>
        <v>1.1007709072245069E-3</v>
      </c>
      <c r="F689" s="170">
        <f>[1]!Table3[[#This Row],[Residential Incentive Disbursements]]+[1]!Table3[[#This Row],[C&amp;I Incentive Disbursements]]</f>
        <v>159345.94999999998</v>
      </c>
      <c r="G689" s="28">
        <f>[1]!Table3[[#This Row],[Incentive Disbursements]]/'[1]1.) CLM Reference'!$B$5</f>
        <v>1.2794111560126501E-3</v>
      </c>
      <c r="H689" s="228">
        <v>96273.130716</v>
      </c>
      <c r="I689" s="28">
        <f>[1]!Table3[[#This Row],[Residential CLM $ Collected]]/'[1]1.) CLM Reference'!$B$4</f>
        <v>1.0364160920309467E-3</v>
      </c>
      <c r="J689" s="229">
        <v>150507.54999999999</v>
      </c>
      <c r="K689" s="28">
        <f>[1]!Table3[[#This Row],[Residential Incentive Disbursements]]/'[1]1.) CLM Reference'!$B$5</f>
        <v>1.208446393109657E-3</v>
      </c>
      <c r="L689" s="229">
        <v>5977.9461000000001</v>
      </c>
      <c r="M689" s="28">
        <f>[1]!Table3[[#This Row],[C&amp;I CLM $ Collected]]/'[1]1.) CLM Reference'!$B$4</f>
        <v>6.4354815193560158E-5</v>
      </c>
      <c r="N689" s="229">
        <v>8838.4</v>
      </c>
      <c r="O689" s="28">
        <f>[1]!Table3[[#This Row],[C&amp;I Incentive Disbursements]]/'[1]1.) CLM Reference'!$B$5</f>
        <v>7.09647629029932E-5</v>
      </c>
      <c r="Q689">
        <f>VLOOKUP(Table3[[#This Row],[Census Tract]],'Population and Diversity Data'!$B$2:$K$823,10,FALSE)</f>
        <v>2</v>
      </c>
      <c r="R689" t="str">
        <f>VLOOKUP(Table3[[#This Row],[Census Tract]],'ES Energy Burden'!$B$2:$E$914,4,FALSE)</f>
        <v>No</v>
      </c>
    </row>
    <row r="690" spans="1:18" x14ac:dyDescent="0.2">
      <c r="A690" t="s">
        <v>2850</v>
      </c>
      <c r="B690" s="169">
        <v>9015901100</v>
      </c>
      <c r="C690" t="s">
        <v>944</v>
      </c>
      <c r="D690" s="170">
        <f>[1]!Table3[[#This Row],[Residential CLM $ Collected]]+[1]!Table3[[#This Row],[C&amp;I CLM $ Collected]]</f>
        <v>44.223480000000002</v>
      </c>
      <c r="E690" s="28">
        <f>[1]!Table3[[#This Row],[CLM $ Collected ]]/'[1]1.) CLM Reference'!$B$4</f>
        <v>4.7608222540114632E-7</v>
      </c>
      <c r="F690" s="170">
        <f>[1]!Table3[[#This Row],[Residential Incentive Disbursements]]+[1]!Table3[[#This Row],[C&amp;I Incentive Disbursements]]</f>
        <v>0</v>
      </c>
      <c r="G690" s="28">
        <f>[1]!Table3[[#This Row],[Incentive Disbursements]]/'[1]1.) CLM Reference'!$B$5</f>
        <v>0</v>
      </c>
      <c r="H690" s="228">
        <v>44.223480000000002</v>
      </c>
      <c r="I690" s="28">
        <f>[1]!Table3[[#This Row],[Residential CLM $ Collected]]/'[1]1.) CLM Reference'!$B$4</f>
        <v>4.7608222540114632E-7</v>
      </c>
      <c r="J690" s="229">
        <v>0</v>
      </c>
      <c r="K690" s="28">
        <f>[1]!Table3[[#This Row],[Residential Incentive Disbursements]]/'[1]1.) CLM Reference'!$B$5</f>
        <v>0</v>
      </c>
      <c r="L690" s="229">
        <v>0</v>
      </c>
      <c r="M690" s="28">
        <f>[1]!Table3[[#This Row],[C&amp;I CLM $ Collected]]/'[1]1.) CLM Reference'!$B$4</f>
        <v>0</v>
      </c>
      <c r="N690" s="229">
        <v>0</v>
      </c>
      <c r="O690" s="28">
        <f>[1]!Table3[[#This Row],[C&amp;I Incentive Disbursements]]/'[1]1.) CLM Reference'!$B$5</f>
        <v>0</v>
      </c>
      <c r="Q690">
        <f>VLOOKUP(Table3[[#This Row],[Census Tract]],'Population and Diversity Data'!$B$2:$K$823,10,FALSE)</f>
        <v>1</v>
      </c>
      <c r="R690" t="str">
        <f>VLOOKUP(Table3[[#This Row],[Census Tract]],'ES Energy Burden'!$B$2:$E$914,4,FALSE)</f>
        <v>No</v>
      </c>
    </row>
    <row r="691" spans="1:18" x14ac:dyDescent="0.2">
      <c r="A691" t="s">
        <v>2851</v>
      </c>
      <c r="B691" s="169">
        <v>9013530600</v>
      </c>
      <c r="C691" t="s">
        <v>944</v>
      </c>
      <c r="D691" s="170">
        <f>[1]!Table3[[#This Row],[Residential CLM $ Collected]]+[1]!Table3[[#This Row],[C&amp;I CLM $ Collected]]</f>
        <v>270.15156000000002</v>
      </c>
      <c r="E691" s="28">
        <f>[1]!Table3[[#This Row],[CLM $ Collected ]]/'[1]1.) CLM Reference'!$B$4</f>
        <v>2.9082821134924548E-6</v>
      </c>
      <c r="F691" s="170">
        <f>[1]!Table3[[#This Row],[Residential Incentive Disbursements]]+[1]!Table3[[#This Row],[C&amp;I Incentive Disbursements]]</f>
        <v>0</v>
      </c>
      <c r="G691" s="28">
        <f>[1]!Table3[[#This Row],[Incentive Disbursements]]/'[1]1.) CLM Reference'!$B$5</f>
        <v>0</v>
      </c>
      <c r="H691" s="228">
        <v>270.15156000000002</v>
      </c>
      <c r="I691" s="28">
        <f>[1]!Table3[[#This Row],[Residential CLM $ Collected]]/'[1]1.) CLM Reference'!$B$4</f>
        <v>2.9082821134924548E-6</v>
      </c>
      <c r="J691" s="229">
        <v>0</v>
      </c>
      <c r="K691" s="28">
        <f>[1]!Table3[[#This Row],[Residential Incentive Disbursements]]/'[1]1.) CLM Reference'!$B$5</f>
        <v>0</v>
      </c>
      <c r="L691" s="229">
        <v>0</v>
      </c>
      <c r="M691" s="28">
        <f>[1]!Table3[[#This Row],[C&amp;I CLM $ Collected]]/'[1]1.) CLM Reference'!$B$4</f>
        <v>0</v>
      </c>
      <c r="N691" s="229">
        <v>0</v>
      </c>
      <c r="O691" s="28">
        <f>[1]!Table3[[#This Row],[C&amp;I Incentive Disbursements]]/'[1]1.) CLM Reference'!$B$5</f>
        <v>0</v>
      </c>
      <c r="Q691">
        <f>VLOOKUP(Table3[[#This Row],[Census Tract]],'Population and Diversity Data'!$B$2:$K$823,10,FALSE)</f>
        <v>4</v>
      </c>
      <c r="R691" t="str">
        <f>VLOOKUP(Table3[[#This Row],[Census Tract]],'ES Energy Burden'!$B$2:$E$914,4,FALSE)</f>
        <v>No</v>
      </c>
    </row>
    <row r="692" spans="1:18" x14ac:dyDescent="0.2">
      <c r="A692" t="s">
        <v>2851</v>
      </c>
      <c r="B692" s="169">
        <v>9013533101</v>
      </c>
      <c r="C692" t="s">
        <v>944</v>
      </c>
      <c r="D692" s="170">
        <f>[1]!Table3[[#This Row],[Residential CLM $ Collected]]+[1]!Table3[[#This Row],[C&amp;I CLM $ Collected]]</f>
        <v>203245.89236699999</v>
      </c>
      <c r="E692" s="28">
        <f>[1]!Table3[[#This Row],[CLM $ Collected ]]/'[1]1.) CLM Reference'!$B$4</f>
        <v>2.1880176942593215E-3</v>
      </c>
      <c r="F692" s="170">
        <f>[1]!Table3[[#This Row],[Residential Incentive Disbursements]]+[1]!Table3[[#This Row],[C&amp;I Incentive Disbursements]]</f>
        <v>498449.17499999999</v>
      </c>
      <c r="G692" s="28">
        <f>[1]!Table3[[#This Row],[Incentive Disbursements]]/'[1]1.) CLM Reference'!$B$5</f>
        <v>4.0021188815925462E-3</v>
      </c>
      <c r="H692" s="228">
        <v>171347.98310700001</v>
      </c>
      <c r="I692" s="28">
        <f>[1]!Table3[[#This Row],[Residential CLM $ Collected]]/'[1]1.) CLM Reference'!$B$4</f>
        <v>1.844624826349681E-3</v>
      </c>
      <c r="J692" s="229">
        <v>473928.47499999998</v>
      </c>
      <c r="K692" s="28">
        <f>[1]!Table3[[#This Row],[Residential Incentive Disbursements]]/'[1]1.) CLM Reference'!$B$5</f>
        <v>3.8052387153050481E-3</v>
      </c>
      <c r="L692" s="229">
        <v>31897.90926</v>
      </c>
      <c r="M692" s="28">
        <f>[1]!Table3[[#This Row],[C&amp;I CLM $ Collected]]/'[1]1.) CLM Reference'!$B$4</f>
        <v>3.4339286790964057E-4</v>
      </c>
      <c r="N692" s="229">
        <v>24520.7</v>
      </c>
      <c r="O692" s="28">
        <f>[1]!Table3[[#This Row],[C&amp;I Incentive Disbursements]]/'[1]1.) CLM Reference'!$B$5</f>
        <v>1.9688016628749834E-4</v>
      </c>
      <c r="Q692">
        <f>VLOOKUP(Table3[[#This Row],[Census Tract]],'Population and Diversity Data'!$B$2:$K$823,10,FALSE)</f>
        <v>2</v>
      </c>
      <c r="R692" t="str">
        <f>VLOOKUP(Table3[[#This Row],[Census Tract]],'ES Energy Burden'!$B$2:$E$914,4,FALSE)</f>
        <v>No</v>
      </c>
    </row>
    <row r="693" spans="1:18" x14ac:dyDescent="0.2">
      <c r="A693" t="s">
        <v>2851</v>
      </c>
      <c r="B693" s="169">
        <v>9013533102</v>
      </c>
      <c r="C693" t="s">
        <v>944</v>
      </c>
      <c r="D693" s="170">
        <f>[1]!Table3[[#This Row],[Residential CLM $ Collected]]+[1]!Table3[[#This Row],[C&amp;I CLM $ Collected]]</f>
        <v>61303.583922000005</v>
      </c>
      <c r="E693" s="28">
        <f>[1]!Table3[[#This Row],[CLM $ Collected ]]/'[1]1.) CLM Reference'!$B$4</f>
        <v>6.5995590258052274E-4</v>
      </c>
      <c r="F693" s="170">
        <f>[1]!Table3[[#This Row],[Residential Incentive Disbursements]]+[1]!Table3[[#This Row],[C&amp;I Incentive Disbursements]]</f>
        <v>57496.474999999999</v>
      </c>
      <c r="G693" s="28">
        <f>[1]!Table3[[#This Row],[Incentive Disbursements]]/'[1]1.) CLM Reference'!$B$5</f>
        <v>4.6164732487021133E-4</v>
      </c>
      <c r="H693" s="228">
        <v>61303.583922000005</v>
      </c>
      <c r="I693" s="28">
        <f>[1]!Table3[[#This Row],[Residential CLM $ Collected]]/'[1]1.) CLM Reference'!$B$4</f>
        <v>6.5995590258052274E-4</v>
      </c>
      <c r="J693" s="229">
        <v>57496.474999999999</v>
      </c>
      <c r="K693" s="28">
        <f>[1]!Table3[[#This Row],[Residential Incentive Disbursements]]/'[1]1.) CLM Reference'!$B$5</f>
        <v>4.6164732487021133E-4</v>
      </c>
      <c r="L693" s="229">
        <v>0</v>
      </c>
      <c r="M693" s="28">
        <f>[1]!Table3[[#This Row],[C&amp;I CLM $ Collected]]/'[1]1.) CLM Reference'!$B$4</f>
        <v>0</v>
      </c>
      <c r="N693" s="229">
        <v>0</v>
      </c>
      <c r="O693" s="28">
        <f>[1]!Table3[[#This Row],[C&amp;I Incentive Disbursements]]/'[1]1.) CLM Reference'!$B$5</f>
        <v>0</v>
      </c>
      <c r="Q693">
        <f>VLOOKUP(Table3[[#This Row],[Census Tract]],'Population and Diversity Data'!$B$2:$K$823,10,FALSE)</f>
        <v>4</v>
      </c>
      <c r="R693" t="str">
        <f>VLOOKUP(Table3[[#This Row],[Census Tract]],'ES Energy Burden'!$B$2:$E$914,4,FALSE)</f>
        <v>No</v>
      </c>
    </row>
    <row r="694" spans="1:18" x14ac:dyDescent="0.2">
      <c r="A694" t="s">
        <v>2852</v>
      </c>
      <c r="B694" s="169">
        <v>9005310100</v>
      </c>
      <c r="C694" t="s">
        <v>944</v>
      </c>
      <c r="D694" s="170">
        <f>[1]!Table3[[#This Row],[Residential CLM $ Collected]]+[1]!Table3[[#This Row],[C&amp;I CLM $ Collected]]</f>
        <v>46978.149267000001</v>
      </c>
      <c r="E694" s="28">
        <f>[1]!Table3[[#This Row],[CLM $ Collected ]]/'[1]1.) CLM Reference'!$B$4</f>
        <v>5.0573726554899319E-4</v>
      </c>
      <c r="F694" s="170">
        <f>[1]!Table3[[#This Row],[Residential Incentive Disbursements]]+[1]!Table3[[#This Row],[C&amp;I Incentive Disbursements]]</f>
        <v>56563.3</v>
      </c>
      <c r="G694" s="28">
        <f>[1]!Table3[[#This Row],[Incentive Disbursements]]/'[1]1.) CLM Reference'!$B$5</f>
        <v>4.5415473089143685E-4</v>
      </c>
      <c r="H694" s="228">
        <v>46978.149267000001</v>
      </c>
      <c r="I694" s="28">
        <f>[1]!Table3[[#This Row],[Residential CLM $ Collected]]/'[1]1.) CLM Reference'!$B$4</f>
        <v>5.0573726554899319E-4</v>
      </c>
      <c r="J694" s="229">
        <v>56563.3</v>
      </c>
      <c r="K694" s="28">
        <f>[1]!Table3[[#This Row],[Residential Incentive Disbursements]]/'[1]1.) CLM Reference'!$B$5</f>
        <v>4.5415473089143685E-4</v>
      </c>
      <c r="L694" s="229">
        <v>0</v>
      </c>
      <c r="M694" s="28">
        <f>[1]!Table3[[#This Row],[C&amp;I CLM $ Collected]]/'[1]1.) CLM Reference'!$B$4</f>
        <v>0</v>
      </c>
      <c r="N694" s="229">
        <v>0</v>
      </c>
      <c r="O694" s="28">
        <f>[1]!Table3[[#This Row],[C&amp;I Incentive Disbursements]]/'[1]1.) CLM Reference'!$B$5</f>
        <v>0</v>
      </c>
      <c r="Q694">
        <f>VLOOKUP(Table3[[#This Row],[Census Tract]],'Population and Diversity Data'!$B$2:$K$823,10,FALSE)</f>
        <v>3</v>
      </c>
      <c r="R694" t="str">
        <f>VLOOKUP(Table3[[#This Row],[Census Tract]],'ES Energy Burden'!$B$2:$E$914,4,FALSE)</f>
        <v>No</v>
      </c>
    </row>
    <row r="695" spans="1:18" x14ac:dyDescent="0.2">
      <c r="A695" t="s">
        <v>2852</v>
      </c>
      <c r="B695" s="169">
        <v>9005310200</v>
      </c>
      <c r="C695" t="s">
        <v>944</v>
      </c>
      <c r="D695" s="170">
        <f>[1]!Table3[[#This Row],[Residential CLM $ Collected]]+[1]!Table3[[#This Row],[C&amp;I CLM $ Collected]]</f>
        <v>20265.39039</v>
      </c>
      <c r="E695" s="28">
        <f>[1]!Table3[[#This Row],[CLM $ Collected ]]/'[1]1.) CLM Reference'!$B$4</f>
        <v>2.1816447180308301E-4</v>
      </c>
      <c r="F695" s="170">
        <f>[1]!Table3[[#This Row],[Residential Incentive Disbursements]]+[1]!Table3[[#This Row],[C&amp;I Incentive Disbursements]]</f>
        <v>5612.24</v>
      </c>
      <c r="G695" s="28">
        <f>[1]!Table3[[#This Row],[Incentive Disbursements]]/'[1]1.) CLM Reference'!$B$5</f>
        <v>4.5061468247046356E-5</v>
      </c>
      <c r="H695" s="228">
        <v>20265.39039</v>
      </c>
      <c r="I695" s="28">
        <f>[1]!Table3[[#This Row],[Residential CLM $ Collected]]/'[1]1.) CLM Reference'!$B$4</f>
        <v>2.1816447180308301E-4</v>
      </c>
      <c r="J695" s="229">
        <v>5612.24</v>
      </c>
      <c r="K695" s="28">
        <f>[1]!Table3[[#This Row],[Residential Incentive Disbursements]]/'[1]1.) CLM Reference'!$B$5</f>
        <v>4.5061468247046356E-5</v>
      </c>
      <c r="L695" s="229">
        <v>0</v>
      </c>
      <c r="M695" s="28">
        <f>[1]!Table3[[#This Row],[C&amp;I CLM $ Collected]]/'[1]1.) CLM Reference'!$B$4</f>
        <v>0</v>
      </c>
      <c r="N695" s="229">
        <v>0</v>
      </c>
      <c r="O695" s="28">
        <f>[1]!Table3[[#This Row],[C&amp;I Incentive Disbursements]]/'[1]1.) CLM Reference'!$B$5</f>
        <v>0</v>
      </c>
      <c r="Q695">
        <f>VLOOKUP(Table3[[#This Row],[Census Tract]],'Population and Diversity Data'!$B$2:$K$823,10,FALSE)</f>
        <v>2</v>
      </c>
      <c r="R695" t="str">
        <f>VLOOKUP(Table3[[#This Row],[Census Tract]],'ES Energy Burden'!$B$2:$E$914,4,FALSE)</f>
        <v>No</v>
      </c>
    </row>
    <row r="696" spans="1:18" x14ac:dyDescent="0.2">
      <c r="A696" t="s">
        <v>2852</v>
      </c>
      <c r="B696" s="169">
        <v>9005310300</v>
      </c>
      <c r="C696" t="s">
        <v>944</v>
      </c>
      <c r="D696" s="170">
        <f>[1]!Table3[[#This Row],[Residential CLM $ Collected]]+[1]!Table3[[#This Row],[C&amp;I CLM $ Collected]]</f>
        <v>15107.104950000001</v>
      </c>
      <c r="E696" s="28">
        <f>[1]!Table3[[#This Row],[CLM $ Collected ]]/'[1]1.) CLM Reference'!$B$4</f>
        <v>1.6263360875183667E-4</v>
      </c>
      <c r="F696" s="170">
        <f>[1]!Table3[[#This Row],[Residential Incentive Disbursements]]+[1]!Table3[[#This Row],[C&amp;I Incentive Disbursements]]</f>
        <v>14784.33</v>
      </c>
      <c r="G696" s="28">
        <f>[1]!Table3[[#This Row],[Incentive Disbursements]]/'[1]1.) CLM Reference'!$B$5</f>
        <v>1.1870547532693807E-4</v>
      </c>
      <c r="H696" s="228">
        <v>15107.104950000001</v>
      </c>
      <c r="I696" s="28">
        <f>[1]!Table3[[#This Row],[Residential CLM $ Collected]]/'[1]1.) CLM Reference'!$B$4</f>
        <v>1.6263360875183667E-4</v>
      </c>
      <c r="J696" s="229">
        <v>14784.33</v>
      </c>
      <c r="K696" s="28">
        <f>[1]!Table3[[#This Row],[Residential Incentive Disbursements]]/'[1]1.) CLM Reference'!$B$5</f>
        <v>1.1870547532693807E-4</v>
      </c>
      <c r="L696" s="229">
        <v>0</v>
      </c>
      <c r="M696" s="28">
        <f>[1]!Table3[[#This Row],[C&amp;I CLM $ Collected]]/'[1]1.) CLM Reference'!$B$4</f>
        <v>0</v>
      </c>
      <c r="N696" s="229">
        <v>0</v>
      </c>
      <c r="O696" s="28">
        <f>[1]!Table3[[#This Row],[C&amp;I Incentive Disbursements]]/'[1]1.) CLM Reference'!$B$5</f>
        <v>0</v>
      </c>
      <c r="Q696">
        <f>VLOOKUP(Table3[[#This Row],[Census Tract]],'Population and Diversity Data'!$B$2:$K$823,10,FALSE)</f>
        <v>2</v>
      </c>
      <c r="R696" t="str">
        <f>VLOOKUP(Table3[[#This Row],[Census Tract]],'ES Energy Burden'!$B$2:$E$914,4,FALSE)</f>
        <v>Yes</v>
      </c>
    </row>
    <row r="697" spans="1:18" x14ac:dyDescent="0.2">
      <c r="A697" t="s">
        <v>2852</v>
      </c>
      <c r="B697" s="169">
        <v>9005310400</v>
      </c>
      <c r="C697" t="s">
        <v>944</v>
      </c>
      <c r="D697" s="170">
        <f>[1]!Table3[[#This Row],[Residential CLM $ Collected]]+[1]!Table3[[#This Row],[C&amp;I CLM $ Collected]]</f>
        <v>28510.833119999999</v>
      </c>
      <c r="E697" s="28">
        <f>[1]!Table3[[#This Row],[CLM $ Collected ]]/'[1]1.) CLM Reference'!$B$4</f>
        <v>3.0692973234603673E-4</v>
      </c>
      <c r="F697" s="170">
        <f>[1]!Table3[[#This Row],[Residential Incentive Disbursements]]+[1]!Table3[[#This Row],[C&amp;I Incentive Disbursements]]</f>
        <v>28110.3</v>
      </c>
      <c r="G697" s="28">
        <f>[1]!Table3[[#This Row],[Incentive Disbursements]]/'[1]1.) CLM Reference'!$B$5</f>
        <v>2.2570157207548987E-4</v>
      </c>
      <c r="H697" s="228">
        <v>28510.833119999999</v>
      </c>
      <c r="I697" s="28">
        <f>[1]!Table3[[#This Row],[Residential CLM $ Collected]]/'[1]1.) CLM Reference'!$B$4</f>
        <v>3.0692973234603673E-4</v>
      </c>
      <c r="J697" s="229">
        <v>28110.3</v>
      </c>
      <c r="K697" s="28">
        <f>[1]!Table3[[#This Row],[Residential Incentive Disbursements]]/'[1]1.) CLM Reference'!$B$5</f>
        <v>2.2570157207548987E-4</v>
      </c>
      <c r="L697" s="229">
        <v>0</v>
      </c>
      <c r="M697" s="28">
        <f>[1]!Table3[[#This Row],[C&amp;I CLM $ Collected]]/'[1]1.) CLM Reference'!$B$4</f>
        <v>0</v>
      </c>
      <c r="N697" s="229">
        <v>0</v>
      </c>
      <c r="O697" s="28">
        <f>[1]!Table3[[#This Row],[C&amp;I Incentive Disbursements]]/'[1]1.) CLM Reference'!$B$5</f>
        <v>0</v>
      </c>
      <c r="Q697">
        <f>VLOOKUP(Table3[[#This Row],[Census Tract]],'Population and Diversity Data'!$B$2:$K$823,10,FALSE)</f>
        <v>3</v>
      </c>
      <c r="R697" t="str">
        <f>VLOOKUP(Table3[[#This Row],[Census Tract]],'ES Energy Burden'!$B$2:$E$914,4,FALSE)</f>
        <v>No</v>
      </c>
    </row>
    <row r="698" spans="1:18" x14ac:dyDescent="0.2">
      <c r="A698" t="s">
        <v>2852</v>
      </c>
      <c r="B698" s="169">
        <v>9005310500</v>
      </c>
      <c r="C698" t="s">
        <v>944</v>
      </c>
      <c r="D698" s="170">
        <f>[1]!Table3[[#This Row],[Residential CLM $ Collected]]+[1]!Table3[[#This Row],[C&amp;I CLM $ Collected]]</f>
        <v>20394.061107000001</v>
      </c>
      <c r="E698" s="28">
        <f>[1]!Table3[[#This Row],[CLM $ Collected ]]/'[1]1.) CLM Reference'!$B$4</f>
        <v>2.1954965997220314E-4</v>
      </c>
      <c r="F698" s="170">
        <f>[1]!Table3[[#This Row],[Residential Incentive Disbursements]]+[1]!Table3[[#This Row],[C&amp;I Incentive Disbursements]]</f>
        <v>45042.37</v>
      </c>
      <c r="G698" s="28">
        <f>[1]!Table3[[#This Row],[Incentive Disbursements]]/'[1]1.) CLM Reference'!$B$5</f>
        <v>3.6165155544429917E-4</v>
      </c>
      <c r="H698" s="228">
        <v>20394.061107000001</v>
      </c>
      <c r="I698" s="28">
        <f>[1]!Table3[[#This Row],[Residential CLM $ Collected]]/'[1]1.) CLM Reference'!$B$4</f>
        <v>2.1954965997220314E-4</v>
      </c>
      <c r="J698" s="229">
        <v>45042.37</v>
      </c>
      <c r="K698" s="28">
        <f>[1]!Table3[[#This Row],[Residential Incentive Disbursements]]/'[1]1.) CLM Reference'!$B$5</f>
        <v>3.6165155544429917E-4</v>
      </c>
      <c r="L698" s="229">
        <v>0</v>
      </c>
      <c r="M698" s="28">
        <f>[1]!Table3[[#This Row],[C&amp;I CLM $ Collected]]/'[1]1.) CLM Reference'!$B$4</f>
        <v>0</v>
      </c>
      <c r="N698" s="229">
        <v>0</v>
      </c>
      <c r="O698" s="28">
        <f>[1]!Table3[[#This Row],[C&amp;I Incentive Disbursements]]/'[1]1.) CLM Reference'!$B$5</f>
        <v>0</v>
      </c>
      <c r="Q698">
        <f>VLOOKUP(Table3[[#This Row],[Census Tract]],'Population and Diversity Data'!$B$2:$K$823,10,FALSE)</f>
        <v>1</v>
      </c>
      <c r="R698" t="str">
        <f>VLOOKUP(Table3[[#This Row],[Census Tract]],'ES Energy Burden'!$B$2:$E$914,4,FALSE)</f>
        <v>No</v>
      </c>
    </row>
    <row r="699" spans="1:18" x14ac:dyDescent="0.2">
      <c r="A699" t="s">
        <v>2852</v>
      </c>
      <c r="B699" s="169">
        <v>9005310601</v>
      </c>
      <c r="C699" t="s">
        <v>944</v>
      </c>
      <c r="D699" s="170">
        <f>[1]!Table3[[#This Row],[Residential CLM $ Collected]]+[1]!Table3[[#This Row],[C&amp;I CLM $ Collected]]</f>
        <v>35280.058799999999</v>
      </c>
      <c r="E699" s="28">
        <f>[1]!Table3[[#This Row],[CLM $ Collected ]]/'[1]1.) CLM Reference'!$B$4</f>
        <v>3.7980296679020501E-4</v>
      </c>
      <c r="F699" s="170">
        <f>[1]!Table3[[#This Row],[Residential Incentive Disbursements]]+[1]!Table3[[#This Row],[C&amp;I Incentive Disbursements]]</f>
        <v>18001.21</v>
      </c>
      <c r="G699" s="28">
        <f>[1]!Table3[[#This Row],[Incentive Disbursements]]/'[1]1.) CLM Reference'!$B$5</f>
        <v>1.4453425955116198E-4</v>
      </c>
      <c r="H699" s="228">
        <v>35280.058799999999</v>
      </c>
      <c r="I699" s="28">
        <f>[1]!Table3[[#This Row],[Residential CLM $ Collected]]/'[1]1.) CLM Reference'!$B$4</f>
        <v>3.7980296679020501E-4</v>
      </c>
      <c r="J699" s="229">
        <v>18001.21</v>
      </c>
      <c r="K699" s="28">
        <f>[1]!Table3[[#This Row],[Residential Incentive Disbursements]]/'[1]1.) CLM Reference'!$B$5</f>
        <v>1.4453425955116198E-4</v>
      </c>
      <c r="L699" s="229">
        <v>0</v>
      </c>
      <c r="M699" s="28">
        <f>[1]!Table3[[#This Row],[C&amp;I CLM $ Collected]]/'[1]1.) CLM Reference'!$B$4</f>
        <v>0</v>
      </c>
      <c r="N699" s="229">
        <v>0</v>
      </c>
      <c r="O699" s="28">
        <f>[1]!Table3[[#This Row],[C&amp;I Incentive Disbursements]]/'[1]1.) CLM Reference'!$B$5</f>
        <v>0</v>
      </c>
      <c r="Q699">
        <f>VLOOKUP(Table3[[#This Row],[Census Tract]],'Population and Diversity Data'!$B$2:$K$823,10,FALSE)</f>
        <v>3</v>
      </c>
      <c r="R699" t="str">
        <f>VLOOKUP(Table3[[#This Row],[Census Tract]],'ES Energy Burden'!$B$2:$E$914,4,FALSE)</f>
        <v>No</v>
      </c>
    </row>
    <row r="700" spans="1:18" x14ac:dyDescent="0.2">
      <c r="A700" t="s">
        <v>2852</v>
      </c>
      <c r="B700" s="169">
        <v>9005310602</v>
      </c>
      <c r="C700" t="s">
        <v>944</v>
      </c>
      <c r="D700" s="170">
        <f>[1]!Table3[[#This Row],[Residential CLM $ Collected]]+[1]!Table3[[#This Row],[C&amp;I CLM $ Collected]]</f>
        <v>43225.474488</v>
      </c>
      <c r="E700" s="28">
        <f>[1]!Table3[[#This Row],[CLM $ Collected ]]/'[1]1.) CLM Reference'!$B$4</f>
        <v>4.653383245341053E-4</v>
      </c>
      <c r="F700" s="170">
        <f>[1]!Table3[[#This Row],[Residential Incentive Disbursements]]+[1]!Table3[[#This Row],[C&amp;I Incentive Disbursements]]</f>
        <v>22009.26</v>
      </c>
      <c r="G700" s="28">
        <f>[1]!Table3[[#This Row],[Incentive Disbursements]]/'[1]1.) CLM Reference'!$B$5</f>
        <v>1.7671545953683155E-4</v>
      </c>
      <c r="H700" s="228">
        <v>43225.474488</v>
      </c>
      <c r="I700" s="28">
        <f>[1]!Table3[[#This Row],[Residential CLM $ Collected]]/'[1]1.) CLM Reference'!$B$4</f>
        <v>4.653383245341053E-4</v>
      </c>
      <c r="J700" s="229">
        <v>22009.26</v>
      </c>
      <c r="K700" s="28">
        <f>[1]!Table3[[#This Row],[Residential Incentive Disbursements]]/'[1]1.) CLM Reference'!$B$5</f>
        <v>1.7671545953683155E-4</v>
      </c>
      <c r="L700" s="229">
        <v>0</v>
      </c>
      <c r="M700" s="28">
        <f>[1]!Table3[[#This Row],[C&amp;I CLM $ Collected]]/'[1]1.) CLM Reference'!$B$4</f>
        <v>0</v>
      </c>
      <c r="N700" s="229">
        <v>0</v>
      </c>
      <c r="O700" s="28">
        <f>[1]!Table3[[#This Row],[C&amp;I Incentive Disbursements]]/'[1]1.) CLM Reference'!$B$5</f>
        <v>0</v>
      </c>
      <c r="Q700">
        <f>VLOOKUP(Table3[[#This Row],[Census Tract]],'Population and Diversity Data'!$B$2:$K$823,10,FALSE)</f>
        <v>1</v>
      </c>
      <c r="R700" t="str">
        <f>VLOOKUP(Table3[[#This Row],[Census Tract]],'ES Energy Burden'!$B$2:$E$914,4,FALSE)</f>
        <v>No</v>
      </c>
    </row>
    <row r="701" spans="1:18" x14ac:dyDescent="0.2">
      <c r="A701" t="s">
        <v>2852</v>
      </c>
      <c r="B701" s="169">
        <v>9005310700</v>
      </c>
      <c r="C701" t="s">
        <v>944</v>
      </c>
      <c r="D701" s="170">
        <f>[1]!Table3[[#This Row],[Residential CLM $ Collected]]+[1]!Table3[[#This Row],[C&amp;I CLM $ Collected]]</f>
        <v>445883.81766599999</v>
      </c>
      <c r="E701" s="28">
        <f>[1]!Table3[[#This Row],[CLM $ Collected ]]/'[1]1.) CLM Reference'!$B$4</f>
        <v>4.8001052876161764E-3</v>
      </c>
      <c r="F701" s="170">
        <f>[1]!Table3[[#This Row],[Residential Incentive Disbursements]]+[1]!Table3[[#This Row],[C&amp;I Incentive Disbursements]]</f>
        <v>841677.91399999999</v>
      </c>
      <c r="G701" s="28">
        <f>[1]!Table3[[#This Row],[Incentive Disbursements]]/'[1]1.) CLM Reference'!$B$5</f>
        <v>6.7579509422175839E-3</v>
      </c>
      <c r="H701" s="228">
        <v>251438.46785399999</v>
      </c>
      <c r="I701" s="28">
        <f>[1]!Table3[[#This Row],[Residential CLM $ Collected]]/'[1]1.) CLM Reference'!$B$4</f>
        <v>2.7068287101645306E-3</v>
      </c>
      <c r="J701" s="229">
        <v>377459.93</v>
      </c>
      <c r="K701" s="28">
        <f>[1]!Table3[[#This Row],[Residential Incentive Disbursements]]/'[1]1.) CLM Reference'!$B$5</f>
        <v>3.0306791317241139E-3</v>
      </c>
      <c r="L701" s="229">
        <v>194445.349812</v>
      </c>
      <c r="M701" s="28">
        <f>[1]!Table3[[#This Row],[C&amp;I CLM $ Collected]]/'[1]1.) CLM Reference'!$B$4</f>
        <v>2.0932765774516462E-3</v>
      </c>
      <c r="N701" s="229">
        <v>464217.984</v>
      </c>
      <c r="O701" s="28">
        <f>[1]!Table3[[#This Row],[C&amp;I Incentive Disbursements]]/'[1]1.) CLM Reference'!$B$5</f>
        <v>3.7272718104934704E-3</v>
      </c>
      <c r="Q701">
        <f>VLOOKUP(Table3[[#This Row],[Census Tract]],'Population and Diversity Data'!$B$2:$K$823,10,FALSE)</f>
        <v>1</v>
      </c>
      <c r="R701" t="str">
        <f>VLOOKUP(Table3[[#This Row],[Census Tract]],'ES Energy Burden'!$B$2:$E$914,4,FALSE)</f>
        <v>No</v>
      </c>
    </row>
    <row r="702" spans="1:18" x14ac:dyDescent="0.2">
      <c r="A702" t="s">
        <v>2852</v>
      </c>
      <c r="B702" s="169">
        <v>9005310801</v>
      </c>
      <c r="C702" t="s">
        <v>944</v>
      </c>
      <c r="D702" s="170">
        <f>[1]!Table3[[#This Row],[Residential CLM $ Collected]]+[1]!Table3[[#This Row],[C&amp;I CLM $ Collected]]</f>
        <v>22948.7307</v>
      </c>
      <c r="E702" s="28">
        <f>[1]!Table3[[#This Row],[CLM $ Collected ]]/'[1]1.) CLM Reference'!$B$4</f>
        <v>2.4705162917499046E-4</v>
      </c>
      <c r="F702" s="170">
        <f>[1]!Table3[[#This Row],[Residential Incentive Disbursements]]+[1]!Table3[[#This Row],[C&amp;I Incentive Disbursements]]</f>
        <v>24077.17</v>
      </c>
      <c r="G702" s="28">
        <f>[1]!Table3[[#This Row],[Incentive Disbursements]]/'[1]1.) CLM Reference'!$B$5</f>
        <v>1.9331900122477604E-4</v>
      </c>
      <c r="H702" s="228">
        <v>22948.7307</v>
      </c>
      <c r="I702" s="28">
        <f>[1]!Table3[[#This Row],[Residential CLM $ Collected]]/'[1]1.) CLM Reference'!$B$4</f>
        <v>2.4705162917499046E-4</v>
      </c>
      <c r="J702" s="229">
        <v>24077.17</v>
      </c>
      <c r="K702" s="28">
        <f>[1]!Table3[[#This Row],[Residential Incentive Disbursements]]/'[1]1.) CLM Reference'!$B$5</f>
        <v>1.9331900122477604E-4</v>
      </c>
      <c r="L702" s="229">
        <v>0</v>
      </c>
      <c r="M702" s="28">
        <f>[1]!Table3[[#This Row],[C&amp;I CLM $ Collected]]/'[1]1.) CLM Reference'!$B$4</f>
        <v>0</v>
      </c>
      <c r="N702" s="229">
        <v>0</v>
      </c>
      <c r="O702" s="28">
        <f>[1]!Table3[[#This Row],[C&amp;I Incentive Disbursements]]/'[1]1.) CLM Reference'!$B$5</f>
        <v>0</v>
      </c>
      <c r="Q702">
        <f>VLOOKUP(Table3[[#This Row],[Census Tract]],'Population and Diversity Data'!$B$2:$K$823,10,FALSE)</f>
        <v>3</v>
      </c>
      <c r="R702" t="str">
        <f>VLOOKUP(Table3[[#This Row],[Census Tract]],'ES Energy Burden'!$B$2:$E$914,4,FALSE)</f>
        <v>No</v>
      </c>
    </row>
    <row r="703" spans="1:18" x14ac:dyDescent="0.2">
      <c r="A703" t="s">
        <v>2852</v>
      </c>
      <c r="B703" s="169">
        <v>9005310803</v>
      </c>
      <c r="C703" t="s">
        <v>944</v>
      </c>
      <c r="D703" s="170">
        <f>[1]!Table3[[#This Row],[Residential CLM $ Collected]]+[1]!Table3[[#This Row],[C&amp;I CLM $ Collected]]</f>
        <v>43171.448040000003</v>
      </c>
      <c r="E703" s="28">
        <f>[1]!Table3[[#This Row],[CLM $ Collected ]]/'[1]1.) CLM Reference'!$B$4</f>
        <v>4.6475670970880532E-4</v>
      </c>
      <c r="F703" s="170">
        <f>[1]!Table3[[#This Row],[Residential Incentive Disbursements]]+[1]!Table3[[#This Row],[C&amp;I Incentive Disbursements]]</f>
        <v>32602.01</v>
      </c>
      <c r="G703" s="28">
        <f>[1]!Table3[[#This Row],[Incentive Disbursements]]/'[1]1.) CLM Reference'!$B$5</f>
        <v>2.617661465662352E-4</v>
      </c>
      <c r="H703" s="228">
        <v>43171.448040000003</v>
      </c>
      <c r="I703" s="28">
        <f>[1]!Table3[[#This Row],[Residential CLM $ Collected]]/'[1]1.) CLM Reference'!$B$4</f>
        <v>4.6475670970880532E-4</v>
      </c>
      <c r="J703" s="229">
        <v>32602.01</v>
      </c>
      <c r="K703" s="28">
        <f>[1]!Table3[[#This Row],[Residential Incentive Disbursements]]/'[1]1.) CLM Reference'!$B$5</f>
        <v>2.617661465662352E-4</v>
      </c>
      <c r="L703" s="229">
        <v>0</v>
      </c>
      <c r="M703" s="28">
        <f>[1]!Table3[[#This Row],[C&amp;I CLM $ Collected]]/'[1]1.) CLM Reference'!$B$4</f>
        <v>0</v>
      </c>
      <c r="N703" s="229">
        <v>0</v>
      </c>
      <c r="O703" s="28">
        <f>[1]!Table3[[#This Row],[C&amp;I Incentive Disbursements]]/'[1]1.) CLM Reference'!$B$5</f>
        <v>0</v>
      </c>
      <c r="Q703">
        <f>VLOOKUP(Table3[[#This Row],[Census Tract]],'Population and Diversity Data'!$B$2:$K$823,10,FALSE)</f>
        <v>4</v>
      </c>
      <c r="R703" t="str">
        <f>VLOOKUP(Table3[[#This Row],[Census Tract]],'ES Energy Burden'!$B$2:$E$914,4,FALSE)</f>
        <v>Yes</v>
      </c>
    </row>
    <row r="704" spans="1:18" x14ac:dyDescent="0.2">
      <c r="A704" t="s">
        <v>2852</v>
      </c>
      <c r="B704" s="169">
        <v>9005310804</v>
      </c>
      <c r="C704" t="s">
        <v>944</v>
      </c>
      <c r="D704" s="170">
        <f>[1]!Table3[[#This Row],[Residential CLM $ Collected]]+[1]!Table3[[#This Row],[C&amp;I CLM $ Collected]]</f>
        <v>24409.89747</v>
      </c>
      <c r="E704" s="28">
        <f>[1]!Table3[[#This Row],[CLM $ Collected ]]/'[1]1.) CLM Reference'!$B$4</f>
        <v>2.6278163340676515E-4</v>
      </c>
      <c r="F704" s="170">
        <f>[1]!Table3[[#This Row],[Residential Incentive Disbursements]]+[1]!Table3[[#This Row],[C&amp;I Incentive Disbursements]]</f>
        <v>24823.07</v>
      </c>
      <c r="G704" s="28">
        <f>[1]!Table3[[#This Row],[Incentive Disbursements]]/'[1]1.) CLM Reference'!$B$5</f>
        <v>1.9930793775733201E-4</v>
      </c>
      <c r="H704" s="228">
        <v>24409.89747</v>
      </c>
      <c r="I704" s="28">
        <f>[1]!Table3[[#This Row],[Residential CLM $ Collected]]/'[1]1.) CLM Reference'!$B$4</f>
        <v>2.6278163340676515E-4</v>
      </c>
      <c r="J704" s="229">
        <v>24823.07</v>
      </c>
      <c r="K704" s="28">
        <f>[1]!Table3[[#This Row],[Residential Incentive Disbursements]]/'[1]1.) CLM Reference'!$B$5</f>
        <v>1.9930793775733201E-4</v>
      </c>
      <c r="L704" s="229">
        <v>0</v>
      </c>
      <c r="M704" s="28">
        <f>[1]!Table3[[#This Row],[C&amp;I CLM $ Collected]]/'[1]1.) CLM Reference'!$B$4</f>
        <v>0</v>
      </c>
      <c r="N704" s="229">
        <v>0</v>
      </c>
      <c r="O704" s="28">
        <f>[1]!Table3[[#This Row],[C&amp;I Incentive Disbursements]]/'[1]1.) CLM Reference'!$B$5</f>
        <v>0</v>
      </c>
      <c r="Q704">
        <f>VLOOKUP(Table3[[#This Row],[Census Tract]],'Population and Diversity Data'!$B$2:$K$823,10,FALSE)</f>
        <v>2</v>
      </c>
      <c r="R704" t="str">
        <f>VLOOKUP(Table3[[#This Row],[Census Tract]],'ES Energy Burden'!$B$2:$E$914,4,FALSE)</f>
        <v>No</v>
      </c>
    </row>
    <row r="705" spans="1:18" x14ac:dyDescent="0.2">
      <c r="A705" t="s">
        <v>2852</v>
      </c>
      <c r="B705" s="169">
        <v>9005320200</v>
      </c>
      <c r="C705" t="s">
        <v>944</v>
      </c>
      <c r="D705" s="170">
        <f>[1]!Table3[[#This Row],[Residential CLM $ Collected]]+[1]!Table3[[#This Row],[C&amp;I CLM $ Collected]]</f>
        <v>31.573710000000002</v>
      </c>
      <c r="E705" s="28">
        <f>[1]!Table3[[#This Row],[CLM $ Collected ]]/'[1]1.) CLM Reference'!$B$4</f>
        <v>3.399027421851566E-7</v>
      </c>
      <c r="F705" s="170">
        <f>[1]!Table3[[#This Row],[Residential Incentive Disbursements]]+[1]!Table3[[#This Row],[C&amp;I Incentive Disbursements]]</f>
        <v>0</v>
      </c>
      <c r="G705" s="28">
        <f>[1]!Table3[[#This Row],[Incentive Disbursements]]/'[1]1.) CLM Reference'!$B$5</f>
        <v>0</v>
      </c>
      <c r="H705" s="228">
        <v>31.573710000000002</v>
      </c>
      <c r="I705" s="28">
        <f>[1]!Table3[[#This Row],[Residential CLM $ Collected]]/'[1]1.) CLM Reference'!$B$4</f>
        <v>3.399027421851566E-7</v>
      </c>
      <c r="J705" s="229">
        <v>0</v>
      </c>
      <c r="K705" s="28">
        <f>[1]!Table3[[#This Row],[Residential Incentive Disbursements]]/'[1]1.) CLM Reference'!$B$5</f>
        <v>0</v>
      </c>
      <c r="L705" s="229">
        <v>0</v>
      </c>
      <c r="M705" s="28">
        <f>[1]!Table3[[#This Row],[C&amp;I CLM $ Collected]]/'[1]1.) CLM Reference'!$B$4</f>
        <v>0</v>
      </c>
      <c r="N705" s="229">
        <v>0</v>
      </c>
      <c r="O705" s="28">
        <f>[1]!Table3[[#This Row],[C&amp;I Incentive Disbursements]]/'[1]1.) CLM Reference'!$B$5</f>
        <v>0</v>
      </c>
      <c r="Q705">
        <f>VLOOKUP(Table3[[#This Row],[Census Tract]],'Population and Diversity Data'!$B$2:$K$823,10,FALSE)</f>
        <v>3</v>
      </c>
      <c r="R705" t="str">
        <f>VLOOKUP(Table3[[#This Row],[Census Tract]],'ES Energy Burden'!$B$2:$E$914,4,FALSE)</f>
        <v>No</v>
      </c>
    </row>
    <row r="706" spans="1:18" x14ac:dyDescent="0.2">
      <c r="A706" t="s">
        <v>2853</v>
      </c>
      <c r="B706" s="169">
        <v>9013890100</v>
      </c>
      <c r="C706" t="s">
        <v>944</v>
      </c>
      <c r="D706" s="170">
        <f>[1]!Table3[[#This Row],[Residential CLM $ Collected]]+[1]!Table3[[#This Row],[C&amp;I CLM $ Collected]]</f>
        <v>1850.545431</v>
      </c>
      <c r="E706" s="28">
        <f>[1]!Table3[[#This Row],[CLM $ Collected ]]/'[1]1.) CLM Reference'!$B$4</f>
        <v>1.9921810472545431E-5</v>
      </c>
      <c r="F706" s="170">
        <f>[1]!Table3[[#This Row],[Residential Incentive Disbursements]]+[1]!Table3[[#This Row],[C&amp;I Incentive Disbursements]]</f>
        <v>0</v>
      </c>
      <c r="G706" s="28">
        <f>[1]!Table3[[#This Row],[Incentive Disbursements]]/'[1]1.) CLM Reference'!$B$5</f>
        <v>0</v>
      </c>
      <c r="H706" s="228">
        <v>1850.545431</v>
      </c>
      <c r="I706" s="28">
        <f>[1]!Table3[[#This Row],[Residential CLM $ Collected]]/'[1]1.) CLM Reference'!$B$4</f>
        <v>1.9921810472545431E-5</v>
      </c>
      <c r="J706" s="229">
        <v>0</v>
      </c>
      <c r="K706" s="28">
        <f>[1]!Table3[[#This Row],[Residential Incentive Disbursements]]/'[1]1.) CLM Reference'!$B$5</f>
        <v>0</v>
      </c>
      <c r="L706" s="229">
        <v>0</v>
      </c>
      <c r="M706" s="28">
        <f>[1]!Table3[[#This Row],[C&amp;I CLM $ Collected]]/'[1]1.) CLM Reference'!$B$4</f>
        <v>0</v>
      </c>
      <c r="N706" s="229">
        <v>0</v>
      </c>
      <c r="O706" s="28">
        <f>[1]!Table3[[#This Row],[C&amp;I Incentive Disbursements]]/'[1]1.) CLM Reference'!$B$5</f>
        <v>0</v>
      </c>
      <c r="Q706">
        <f>VLOOKUP(Table3[[#This Row],[Census Tract]],'Population and Diversity Data'!$B$2:$K$823,10,FALSE)</f>
        <v>2</v>
      </c>
      <c r="R706" t="str">
        <f>VLOOKUP(Table3[[#This Row],[Census Tract]],'ES Energy Burden'!$B$2:$E$914,4,FALSE)</f>
        <v>No</v>
      </c>
    </row>
    <row r="707" spans="1:18" x14ac:dyDescent="0.2">
      <c r="A707" t="s">
        <v>2853</v>
      </c>
      <c r="B707" s="169">
        <v>9013890201</v>
      </c>
      <c r="C707" t="s">
        <v>944</v>
      </c>
      <c r="D707" s="170">
        <f>[1]!Table3[[#This Row],[Residential CLM $ Collected]]+[1]!Table3[[#This Row],[C&amp;I CLM $ Collected]]</f>
        <v>17537.232026999998</v>
      </c>
      <c r="E707" s="28">
        <f>[1]!Table3[[#This Row],[CLM $ Collected ]]/'[1]1.) CLM Reference'!$B$4</f>
        <v>1.8879483140608598E-4</v>
      </c>
      <c r="F707" s="170">
        <f>[1]!Table3[[#This Row],[Residential Incentive Disbursements]]+[1]!Table3[[#This Row],[C&amp;I Incentive Disbursements]]</f>
        <v>28395.01</v>
      </c>
      <c r="G707" s="28">
        <f>[1]!Table3[[#This Row],[Incentive Disbursements]]/'[1]1.) CLM Reference'!$B$5</f>
        <v>2.2798754890909222E-4</v>
      </c>
      <c r="H707" s="228">
        <v>13524.197547</v>
      </c>
      <c r="I707" s="28">
        <f>[1]!Table3[[#This Row],[Residential CLM $ Collected]]/'[1]1.) CLM Reference'!$B$4</f>
        <v>1.4559302128508395E-4</v>
      </c>
      <c r="J707" s="229">
        <v>27261.01</v>
      </c>
      <c r="K707" s="28">
        <f>[1]!Table3[[#This Row],[Residential Incentive Disbursements]]/'[1]1.) CLM Reference'!$B$5</f>
        <v>2.1888250261881408E-4</v>
      </c>
      <c r="L707" s="229">
        <v>4013.0344800000003</v>
      </c>
      <c r="M707" s="28">
        <f>[1]!Table3[[#This Row],[C&amp;I CLM $ Collected]]/'[1]1.) CLM Reference'!$B$4</f>
        <v>4.3201810121002056E-5</v>
      </c>
      <c r="N707" s="229">
        <v>1134</v>
      </c>
      <c r="O707" s="28">
        <f>[1]!Table3[[#This Row],[C&amp;I Incentive Disbursements]]/'[1]1.) CLM Reference'!$B$5</f>
        <v>9.105046290278136E-6</v>
      </c>
      <c r="Q707">
        <f>VLOOKUP(Table3[[#This Row],[Census Tract]],'Population and Diversity Data'!$B$2:$K$823,10,FALSE)</f>
        <v>4</v>
      </c>
      <c r="R707" t="str">
        <f>VLOOKUP(Table3[[#This Row],[Census Tract]],'ES Energy Burden'!$B$2:$E$914,4,FALSE)</f>
        <v>No</v>
      </c>
    </row>
    <row r="708" spans="1:18" x14ac:dyDescent="0.2">
      <c r="A708" t="s">
        <v>2853</v>
      </c>
      <c r="B708" s="169">
        <v>9013890202</v>
      </c>
      <c r="C708" t="s">
        <v>944</v>
      </c>
      <c r="D708" s="170">
        <f>[1]!Table3[[#This Row],[Residential CLM $ Collected]]+[1]!Table3[[#This Row],[C&amp;I CLM $ Collected]]</f>
        <v>41.359290000000001</v>
      </c>
      <c r="E708" s="28">
        <f>[1]!Table3[[#This Row],[CLM $ Collected ]]/'[1]1.) CLM Reference'!$B$4</f>
        <v>4.4524815379095848E-7</v>
      </c>
      <c r="F708" s="170">
        <f>[1]!Table3[[#This Row],[Residential Incentive Disbursements]]+[1]!Table3[[#This Row],[C&amp;I Incentive Disbursements]]</f>
        <v>0</v>
      </c>
      <c r="G708" s="28">
        <f>[1]!Table3[[#This Row],[Incentive Disbursements]]/'[1]1.) CLM Reference'!$B$5</f>
        <v>0</v>
      </c>
      <c r="H708" s="228">
        <v>41.359290000000001</v>
      </c>
      <c r="I708" s="28">
        <f>[1]!Table3[[#This Row],[Residential CLM $ Collected]]/'[1]1.) CLM Reference'!$B$4</f>
        <v>4.4524815379095848E-7</v>
      </c>
      <c r="J708" s="229">
        <v>0</v>
      </c>
      <c r="K708" s="28">
        <f>[1]!Table3[[#This Row],[Residential Incentive Disbursements]]/'[1]1.) CLM Reference'!$B$5</f>
        <v>0</v>
      </c>
      <c r="L708" s="229">
        <v>0</v>
      </c>
      <c r="M708" s="28">
        <f>[1]!Table3[[#This Row],[C&amp;I CLM $ Collected]]/'[1]1.) CLM Reference'!$B$4</f>
        <v>0</v>
      </c>
      <c r="N708" s="229">
        <v>0</v>
      </c>
      <c r="O708" s="28">
        <f>[1]!Table3[[#This Row],[C&amp;I Incentive Disbursements]]/'[1]1.) CLM Reference'!$B$5</f>
        <v>0</v>
      </c>
      <c r="Q708">
        <f>VLOOKUP(Table3[[#This Row],[Census Tract]],'Population and Diversity Data'!$B$2:$K$823,10,FALSE)</f>
        <v>4</v>
      </c>
      <c r="R708" t="str">
        <f>VLOOKUP(Table3[[#This Row],[Census Tract]],'ES Energy Burden'!$B$2:$E$914,4,FALSE)</f>
        <v>No</v>
      </c>
    </row>
    <row r="709" spans="1:18" x14ac:dyDescent="0.2">
      <c r="A709" t="s">
        <v>2854</v>
      </c>
      <c r="B709" s="169">
        <v>9003487202</v>
      </c>
      <c r="C709" t="s">
        <v>944</v>
      </c>
      <c r="D709" s="170">
        <f>[1]!Table3[[#This Row],[Residential CLM $ Collected]]+[1]!Table3[[#This Row],[C&amp;I CLM $ Collected]]</f>
        <v>162.26867999999999</v>
      </c>
      <c r="E709" s="28">
        <f>[1]!Table3[[#This Row],[CLM $ Collected ]]/'[1]1.) CLM Reference'!$B$4</f>
        <v>1.746882748424739E-6</v>
      </c>
      <c r="F709" s="170">
        <f>[1]!Table3[[#This Row],[Residential Incentive Disbursements]]+[1]!Table3[[#This Row],[C&amp;I Incentive Disbursements]]</f>
        <v>1618.75</v>
      </c>
      <c r="G709" s="28">
        <f>[1]!Table3[[#This Row],[Incentive Disbursements]]/'[1]1.) CLM Reference'!$B$5</f>
        <v>1.2997172559424809E-5</v>
      </c>
      <c r="H709" s="228">
        <v>162.26867999999999</v>
      </c>
      <c r="I709" s="28">
        <f>[1]!Table3[[#This Row],[Residential CLM $ Collected]]/'[1]1.) CLM Reference'!$B$4</f>
        <v>1.746882748424739E-6</v>
      </c>
      <c r="J709" s="229">
        <v>1618.75</v>
      </c>
      <c r="K709" s="28">
        <f>[1]!Table3[[#This Row],[Residential Incentive Disbursements]]/'[1]1.) CLM Reference'!$B$5</f>
        <v>1.2997172559424809E-5</v>
      </c>
      <c r="L709" s="229">
        <v>0</v>
      </c>
      <c r="M709" s="28">
        <f>[1]!Table3[[#This Row],[C&amp;I CLM $ Collected]]/'[1]1.) CLM Reference'!$B$4</f>
        <v>0</v>
      </c>
      <c r="N709" s="229">
        <v>0</v>
      </c>
      <c r="O709" s="28">
        <f>[1]!Table3[[#This Row],[C&amp;I Incentive Disbursements]]/'[1]1.) CLM Reference'!$B$5</f>
        <v>0</v>
      </c>
      <c r="Q709">
        <f>VLOOKUP(Table3[[#This Row],[Census Tract]],'Population and Diversity Data'!$B$2:$K$823,10,FALSE)</f>
        <v>4</v>
      </c>
      <c r="R709" t="str">
        <f>VLOOKUP(Table3[[#This Row],[Census Tract]],'ES Energy Burden'!$B$2:$E$914,4,FALSE)</f>
        <v>No</v>
      </c>
    </row>
    <row r="710" spans="1:18" x14ac:dyDescent="0.2">
      <c r="A710" t="s">
        <v>2854</v>
      </c>
      <c r="B710" s="169">
        <v>9003514101</v>
      </c>
      <c r="C710" t="s">
        <v>944</v>
      </c>
      <c r="D710" s="170">
        <f>[1]!Table3[[#This Row],[Residential CLM $ Collected]]+[1]!Table3[[#This Row],[C&amp;I CLM $ Collected]]</f>
        <v>285.68484000000001</v>
      </c>
      <c r="E710" s="28">
        <f>[1]!Table3[[#This Row],[CLM $ Collected ]]/'[1]1.) CLM Reference'!$B$4</f>
        <v>3.0755036553109439E-6</v>
      </c>
      <c r="F710" s="170">
        <f>[1]!Table3[[#This Row],[Residential Incentive Disbursements]]+[1]!Table3[[#This Row],[C&amp;I Incentive Disbursements]]</f>
        <v>0</v>
      </c>
      <c r="G710" s="28">
        <f>[1]!Table3[[#This Row],[Incentive Disbursements]]/'[1]1.) CLM Reference'!$B$5</f>
        <v>0</v>
      </c>
      <c r="H710" s="228">
        <v>285.68484000000001</v>
      </c>
      <c r="I710" s="28">
        <f>[1]!Table3[[#This Row],[Residential CLM $ Collected]]/'[1]1.) CLM Reference'!$B$4</f>
        <v>3.0755036553109439E-6</v>
      </c>
      <c r="J710" s="229">
        <v>0</v>
      </c>
      <c r="K710" s="28">
        <f>[1]!Table3[[#This Row],[Residential Incentive Disbursements]]/'[1]1.) CLM Reference'!$B$5</f>
        <v>0</v>
      </c>
      <c r="L710" s="229">
        <v>0</v>
      </c>
      <c r="M710" s="28">
        <f>[1]!Table3[[#This Row],[C&amp;I CLM $ Collected]]/'[1]1.) CLM Reference'!$B$4</f>
        <v>0</v>
      </c>
      <c r="N710" s="229">
        <v>0</v>
      </c>
      <c r="O710" s="28">
        <f>[1]!Table3[[#This Row],[C&amp;I Incentive Disbursements]]/'[1]1.) CLM Reference'!$B$5</f>
        <v>0</v>
      </c>
      <c r="Q710">
        <f>VLOOKUP(Table3[[#This Row],[Census Tract]],'Population and Diversity Data'!$B$2:$K$823,10,FALSE)</f>
        <v>3</v>
      </c>
      <c r="R710" t="str">
        <f>VLOOKUP(Table3[[#This Row],[Census Tract]],'ES Energy Burden'!$B$2:$E$914,4,FALSE)</f>
        <v>No</v>
      </c>
    </row>
    <row r="711" spans="1:18" x14ac:dyDescent="0.2">
      <c r="A711" t="s">
        <v>2854</v>
      </c>
      <c r="B711" s="169">
        <v>9013530100</v>
      </c>
      <c r="C711" t="s">
        <v>944</v>
      </c>
      <c r="D711" s="170">
        <f>[1]!Table3[[#This Row],[Residential CLM $ Collected]]+[1]!Table3[[#This Row],[C&amp;I CLM $ Collected]]</f>
        <v>19799.478930000001</v>
      </c>
      <c r="E711" s="28">
        <f>[1]!Table3[[#This Row],[CLM $ Collected ]]/'[1]1.) CLM Reference'!$B$4</f>
        <v>2.1314876148999373E-4</v>
      </c>
      <c r="F711" s="170">
        <f>[1]!Table3[[#This Row],[Residential Incentive Disbursements]]+[1]!Table3[[#This Row],[C&amp;I Incentive Disbursements]]</f>
        <v>13785.48</v>
      </c>
      <c r="G711" s="28">
        <f>[1]!Table3[[#This Row],[Incentive Disbursements]]/'[1]1.) CLM Reference'!$B$5</f>
        <v>1.1068556749003831E-4</v>
      </c>
      <c r="H711" s="228">
        <v>19799.478930000001</v>
      </c>
      <c r="I711" s="28">
        <f>[1]!Table3[[#This Row],[Residential CLM $ Collected]]/'[1]1.) CLM Reference'!$B$4</f>
        <v>2.1314876148999373E-4</v>
      </c>
      <c r="J711" s="229">
        <v>13785.48</v>
      </c>
      <c r="K711" s="28">
        <f>[1]!Table3[[#This Row],[Residential Incentive Disbursements]]/'[1]1.) CLM Reference'!$B$5</f>
        <v>1.1068556749003831E-4</v>
      </c>
      <c r="L711" s="229">
        <v>0</v>
      </c>
      <c r="M711" s="28">
        <f>[1]!Table3[[#This Row],[C&amp;I CLM $ Collected]]/'[1]1.) CLM Reference'!$B$4</f>
        <v>0</v>
      </c>
      <c r="N711" s="229">
        <v>0</v>
      </c>
      <c r="O711" s="28">
        <f>[1]!Table3[[#This Row],[C&amp;I Incentive Disbursements]]/'[1]1.) CLM Reference'!$B$5</f>
        <v>0</v>
      </c>
      <c r="Q711">
        <f>VLOOKUP(Table3[[#This Row],[Census Tract]],'Population and Diversity Data'!$B$2:$K$823,10,FALSE)</f>
        <v>5</v>
      </c>
      <c r="R711" t="str">
        <f>VLOOKUP(Table3[[#This Row],[Census Tract]],'ES Energy Burden'!$B$2:$E$914,4,FALSE)</f>
        <v>No</v>
      </c>
    </row>
    <row r="712" spans="1:18" x14ac:dyDescent="0.2">
      <c r="A712" t="s">
        <v>2854</v>
      </c>
      <c r="B712" s="169">
        <v>9013530200</v>
      </c>
      <c r="C712" t="s">
        <v>944</v>
      </c>
      <c r="D712" s="170">
        <f>[1]!Table3[[#This Row],[Residential CLM $ Collected]]+[1]!Table3[[#This Row],[C&amp;I CLM $ Collected]]</f>
        <v>44244.281844000005</v>
      </c>
      <c r="E712" s="28">
        <f>[1]!Table3[[#This Row],[CLM $ Collected ]]/'[1]1.) CLM Reference'!$B$4</f>
        <v>4.763061649957682E-4</v>
      </c>
      <c r="F712" s="170">
        <f>[1]!Table3[[#This Row],[Residential Incentive Disbursements]]+[1]!Table3[[#This Row],[C&amp;I Incentive Disbursements]]</f>
        <v>41263.214999999997</v>
      </c>
      <c r="G712" s="28">
        <f>[1]!Table3[[#This Row],[Incentive Disbursements]]/'[1]1.) CLM Reference'!$B$5</f>
        <v>3.3130818576781231E-4</v>
      </c>
      <c r="H712" s="228">
        <v>44244.281844000005</v>
      </c>
      <c r="I712" s="28">
        <f>[1]!Table3[[#This Row],[Residential CLM $ Collected]]/'[1]1.) CLM Reference'!$B$4</f>
        <v>4.763061649957682E-4</v>
      </c>
      <c r="J712" s="229">
        <v>41263.214999999997</v>
      </c>
      <c r="K712" s="28">
        <f>[1]!Table3[[#This Row],[Residential Incentive Disbursements]]/'[1]1.) CLM Reference'!$B$5</f>
        <v>3.3130818576781231E-4</v>
      </c>
      <c r="L712" s="229">
        <v>0</v>
      </c>
      <c r="M712" s="28">
        <f>[1]!Table3[[#This Row],[C&amp;I CLM $ Collected]]/'[1]1.) CLM Reference'!$B$4</f>
        <v>0</v>
      </c>
      <c r="N712" s="229">
        <v>0</v>
      </c>
      <c r="O712" s="28">
        <f>[1]!Table3[[#This Row],[C&amp;I Incentive Disbursements]]/'[1]1.) CLM Reference'!$B$5</f>
        <v>0</v>
      </c>
      <c r="Q712">
        <f>VLOOKUP(Table3[[#This Row],[Census Tract]],'Population and Diversity Data'!$B$2:$K$823,10,FALSE)</f>
        <v>4</v>
      </c>
      <c r="R712" t="str">
        <f>VLOOKUP(Table3[[#This Row],[Census Tract]],'ES Energy Burden'!$B$2:$E$914,4,FALSE)</f>
        <v>No</v>
      </c>
    </row>
    <row r="713" spans="1:18" x14ac:dyDescent="0.2">
      <c r="A713" t="s">
        <v>2854</v>
      </c>
      <c r="B713" s="169">
        <v>9013530301</v>
      </c>
      <c r="C713" t="s">
        <v>944</v>
      </c>
      <c r="D713" s="170">
        <f>[1]!Table3[[#This Row],[Residential CLM $ Collected]]+[1]!Table3[[#This Row],[C&amp;I CLM $ Collected]]</f>
        <v>42821.970492</v>
      </c>
      <c r="E713" s="28">
        <f>[1]!Table3[[#This Row],[CLM $ Collected ]]/'[1]1.) CLM Reference'!$B$4</f>
        <v>4.6099445380358081E-4</v>
      </c>
      <c r="F713" s="170">
        <f>[1]!Table3[[#This Row],[Residential Incentive Disbursements]]+[1]!Table3[[#This Row],[C&amp;I Incentive Disbursements]]</f>
        <v>20861.705000000002</v>
      </c>
      <c r="G713" s="28">
        <f>[1]!Table3[[#This Row],[Incentive Disbursements]]/'[1]1.) CLM Reference'!$B$5</f>
        <v>1.6750157823556161E-4</v>
      </c>
      <c r="H713" s="228">
        <v>42821.970492</v>
      </c>
      <c r="I713" s="28">
        <f>[1]!Table3[[#This Row],[Residential CLM $ Collected]]/'[1]1.) CLM Reference'!$B$4</f>
        <v>4.6099445380358081E-4</v>
      </c>
      <c r="J713" s="229">
        <v>20861.705000000002</v>
      </c>
      <c r="K713" s="28">
        <f>[1]!Table3[[#This Row],[Residential Incentive Disbursements]]/'[1]1.) CLM Reference'!$B$5</f>
        <v>1.6750157823556161E-4</v>
      </c>
      <c r="L713" s="229">
        <v>0</v>
      </c>
      <c r="M713" s="28">
        <f>[1]!Table3[[#This Row],[C&amp;I CLM $ Collected]]/'[1]1.) CLM Reference'!$B$4</f>
        <v>0</v>
      </c>
      <c r="N713" s="229">
        <v>0</v>
      </c>
      <c r="O713" s="28">
        <f>[1]!Table3[[#This Row],[C&amp;I Incentive Disbursements]]/'[1]1.) CLM Reference'!$B$5</f>
        <v>0</v>
      </c>
      <c r="Q713">
        <f>VLOOKUP(Table3[[#This Row],[Census Tract]],'Population and Diversity Data'!$B$2:$K$823,10,FALSE)</f>
        <v>2</v>
      </c>
      <c r="R713" t="str">
        <f>VLOOKUP(Table3[[#This Row],[Census Tract]],'ES Energy Burden'!$B$2:$E$914,4,FALSE)</f>
        <v>No</v>
      </c>
    </row>
    <row r="714" spans="1:18" x14ac:dyDescent="0.2">
      <c r="A714" t="s">
        <v>2854</v>
      </c>
      <c r="B714" s="169">
        <v>9013530302</v>
      </c>
      <c r="C714" t="s">
        <v>944</v>
      </c>
      <c r="D714" s="170">
        <f>[1]!Table3[[#This Row],[Residential CLM $ Collected]]+[1]!Table3[[#This Row],[C&amp;I CLM $ Collected]]</f>
        <v>352011.71472599998</v>
      </c>
      <c r="E714" s="28">
        <f>[1]!Table3[[#This Row],[CLM $ Collected ]]/'[1]1.) CLM Reference'!$B$4</f>
        <v>3.789537153431334E-3</v>
      </c>
      <c r="F714" s="170">
        <f>[1]!Table3[[#This Row],[Residential Incentive Disbursements]]+[1]!Table3[[#This Row],[C&amp;I Incentive Disbursements]]</f>
        <v>619875.90500000003</v>
      </c>
      <c r="G714" s="28">
        <f>[1]!Table3[[#This Row],[Incentive Disbursements]]/'[1]1.) CLM Reference'!$B$5</f>
        <v>4.9770712603642445E-3</v>
      </c>
      <c r="H714" s="228">
        <v>205215.11524499999</v>
      </c>
      <c r="I714" s="28">
        <f>[1]!Table3[[#This Row],[Residential CLM $ Collected]]/'[1]1.) CLM Reference'!$B$4</f>
        <v>2.209217111629214E-3</v>
      </c>
      <c r="J714" s="229">
        <v>545177.29500000004</v>
      </c>
      <c r="K714" s="28">
        <f>[1]!Table3[[#This Row],[Residential Incentive Disbursements]]/'[1]1.) CLM Reference'!$B$5</f>
        <v>4.3773055620666837E-3</v>
      </c>
      <c r="L714" s="229">
        <v>146796.59948100001</v>
      </c>
      <c r="M714" s="28">
        <f>[1]!Table3[[#This Row],[C&amp;I CLM $ Collected]]/'[1]1.) CLM Reference'!$B$4</f>
        <v>1.5803200418021207E-3</v>
      </c>
      <c r="N714" s="229">
        <v>74698.61</v>
      </c>
      <c r="O714" s="28">
        <f>[1]!Table3[[#This Row],[C&amp;I Incentive Disbursements]]/'[1]1.) CLM Reference'!$B$5</f>
        <v>5.9976569829756023E-4</v>
      </c>
      <c r="Q714">
        <f>VLOOKUP(Table3[[#This Row],[Census Tract]],'Population and Diversity Data'!$B$2:$K$823,10,FALSE)</f>
        <v>5</v>
      </c>
      <c r="R714" t="str">
        <f>VLOOKUP(Table3[[#This Row],[Census Tract]],'ES Energy Burden'!$B$2:$E$914,4,FALSE)</f>
        <v>No</v>
      </c>
    </row>
    <row r="715" spans="1:18" x14ac:dyDescent="0.2">
      <c r="A715" t="s">
        <v>2854</v>
      </c>
      <c r="B715" s="169">
        <v>9013530400</v>
      </c>
      <c r="C715" t="s">
        <v>944</v>
      </c>
      <c r="D715" s="170">
        <f>[1]!Table3[[#This Row],[Residential CLM $ Collected]]+[1]!Table3[[#This Row],[C&amp;I CLM $ Collected]]</f>
        <v>36310.123437000002</v>
      </c>
      <c r="E715" s="28">
        <f>[1]!Table3[[#This Row],[CLM $ Collected ]]/'[1]1.) CLM Reference'!$B$4</f>
        <v>3.9089199607261304E-4</v>
      </c>
      <c r="F715" s="170">
        <f>[1]!Table3[[#This Row],[Residential Incentive Disbursements]]+[1]!Table3[[#This Row],[C&amp;I Incentive Disbursements]]</f>
        <v>23887.19</v>
      </c>
      <c r="G715" s="28">
        <f>[1]!Table3[[#This Row],[Incentive Disbursements]]/'[1]1.) CLM Reference'!$B$5</f>
        <v>1.9179362495120724E-4</v>
      </c>
      <c r="H715" s="228">
        <v>36310.123437000002</v>
      </c>
      <c r="I715" s="28">
        <f>[1]!Table3[[#This Row],[Residential CLM $ Collected]]/'[1]1.) CLM Reference'!$B$4</f>
        <v>3.9089199607261304E-4</v>
      </c>
      <c r="J715" s="229">
        <v>23887.19</v>
      </c>
      <c r="K715" s="28">
        <f>[1]!Table3[[#This Row],[Residential Incentive Disbursements]]/'[1]1.) CLM Reference'!$B$5</f>
        <v>1.9179362495120724E-4</v>
      </c>
      <c r="L715" s="229">
        <v>0</v>
      </c>
      <c r="M715" s="28">
        <f>[1]!Table3[[#This Row],[C&amp;I CLM $ Collected]]/'[1]1.) CLM Reference'!$B$4</f>
        <v>0</v>
      </c>
      <c r="N715" s="229">
        <v>0</v>
      </c>
      <c r="O715" s="28">
        <f>[1]!Table3[[#This Row],[C&amp;I Incentive Disbursements]]/'[1]1.) CLM Reference'!$B$5</f>
        <v>0</v>
      </c>
      <c r="Q715">
        <f>VLOOKUP(Table3[[#This Row],[Census Tract]],'Population and Diversity Data'!$B$2:$K$823,10,FALSE)</f>
        <v>5</v>
      </c>
      <c r="R715" t="str">
        <f>VLOOKUP(Table3[[#This Row],[Census Tract]],'ES Energy Burden'!$B$2:$E$914,4,FALSE)</f>
        <v>No</v>
      </c>
    </row>
    <row r="716" spans="1:18" x14ac:dyDescent="0.2">
      <c r="A716" t="s">
        <v>2854</v>
      </c>
      <c r="B716" s="169">
        <v>9013530500</v>
      </c>
      <c r="C716" t="s">
        <v>944</v>
      </c>
      <c r="D716" s="170">
        <f>[1]!Table3[[#This Row],[Residential CLM $ Collected]]+[1]!Table3[[#This Row],[C&amp;I CLM $ Collected]]</f>
        <v>37242.180612000004</v>
      </c>
      <c r="E716" s="28">
        <f>[1]!Table3[[#This Row],[CLM $ Collected ]]/'[1]1.) CLM Reference'!$B$4</f>
        <v>4.0092593854107336E-4</v>
      </c>
      <c r="F716" s="170">
        <f>[1]!Table3[[#This Row],[Residential Incentive Disbursements]]+[1]!Table3[[#This Row],[C&amp;I Incentive Disbursements]]</f>
        <v>48754.07</v>
      </c>
      <c r="G716" s="28">
        <f>[1]!Table3[[#This Row],[Incentive Disbursements]]/'[1]1.) CLM Reference'!$B$5</f>
        <v>3.9145331939105873E-4</v>
      </c>
      <c r="H716" s="228">
        <v>37242.180612000004</v>
      </c>
      <c r="I716" s="28">
        <f>[1]!Table3[[#This Row],[Residential CLM $ Collected]]/'[1]1.) CLM Reference'!$B$4</f>
        <v>4.0092593854107336E-4</v>
      </c>
      <c r="J716" s="229">
        <v>48754.07</v>
      </c>
      <c r="K716" s="28">
        <f>[1]!Table3[[#This Row],[Residential Incentive Disbursements]]/'[1]1.) CLM Reference'!$B$5</f>
        <v>3.9145331939105873E-4</v>
      </c>
      <c r="L716" s="229">
        <v>0</v>
      </c>
      <c r="M716" s="28">
        <f>[1]!Table3[[#This Row],[C&amp;I CLM $ Collected]]/'[1]1.) CLM Reference'!$B$4</f>
        <v>0</v>
      </c>
      <c r="N716" s="229">
        <v>0</v>
      </c>
      <c r="O716" s="28">
        <f>[1]!Table3[[#This Row],[C&amp;I Incentive Disbursements]]/'[1]1.) CLM Reference'!$B$5</f>
        <v>0</v>
      </c>
      <c r="Q716">
        <f>VLOOKUP(Table3[[#This Row],[Census Tract]],'Population and Diversity Data'!$B$2:$K$823,10,FALSE)</f>
        <v>4</v>
      </c>
      <c r="R716" t="str">
        <f>VLOOKUP(Table3[[#This Row],[Census Tract]],'ES Energy Burden'!$B$2:$E$914,4,FALSE)</f>
        <v>No</v>
      </c>
    </row>
    <row r="717" spans="1:18" x14ac:dyDescent="0.2">
      <c r="A717" t="s">
        <v>2854</v>
      </c>
      <c r="B717" s="169">
        <v>9013530600</v>
      </c>
      <c r="C717" t="s">
        <v>944</v>
      </c>
      <c r="D717" s="170">
        <f>[1]!Table3[[#This Row],[Residential CLM $ Collected]]+[1]!Table3[[#This Row],[C&amp;I CLM $ Collected]]</f>
        <v>30897.422094000001</v>
      </c>
      <c r="E717" s="28">
        <f>[1]!Table3[[#This Row],[CLM $ Collected ]]/'[1]1.) CLM Reference'!$B$4</f>
        <v>3.326222511134372E-4</v>
      </c>
      <c r="F717" s="170">
        <f>[1]!Table3[[#This Row],[Residential Incentive Disbursements]]+[1]!Table3[[#This Row],[C&amp;I Incentive Disbursements]]</f>
        <v>25912.400000000001</v>
      </c>
      <c r="G717" s="28">
        <f>[1]!Table3[[#This Row],[Incentive Disbursements]]/'[1]1.) CLM Reference'!$B$5</f>
        <v>2.0805432230353016E-4</v>
      </c>
      <c r="H717" s="228">
        <v>30897.422094000001</v>
      </c>
      <c r="I717" s="28">
        <f>[1]!Table3[[#This Row],[Residential CLM $ Collected]]/'[1]1.) CLM Reference'!$B$4</f>
        <v>3.326222511134372E-4</v>
      </c>
      <c r="J717" s="229">
        <v>25912.400000000001</v>
      </c>
      <c r="K717" s="28">
        <f>[1]!Table3[[#This Row],[Residential Incentive Disbursements]]/'[1]1.) CLM Reference'!$B$5</f>
        <v>2.0805432230353016E-4</v>
      </c>
      <c r="L717" s="229">
        <v>0</v>
      </c>
      <c r="M717" s="28">
        <f>[1]!Table3[[#This Row],[C&amp;I CLM $ Collected]]/'[1]1.) CLM Reference'!$B$4</f>
        <v>0</v>
      </c>
      <c r="N717" s="229">
        <v>0</v>
      </c>
      <c r="O717" s="28">
        <f>[1]!Table3[[#This Row],[C&amp;I Incentive Disbursements]]/'[1]1.) CLM Reference'!$B$5</f>
        <v>0</v>
      </c>
      <c r="Q717">
        <f>VLOOKUP(Table3[[#This Row],[Census Tract]],'Population and Diversity Data'!$B$2:$K$823,10,FALSE)</f>
        <v>4</v>
      </c>
      <c r="R717" t="str">
        <f>VLOOKUP(Table3[[#This Row],[Census Tract]],'ES Energy Burden'!$B$2:$E$914,4,FALSE)</f>
        <v>No</v>
      </c>
    </row>
    <row r="718" spans="1:18" x14ac:dyDescent="0.2">
      <c r="A718" t="s">
        <v>2854</v>
      </c>
      <c r="B718" s="169">
        <v>9013535100</v>
      </c>
      <c r="C718" t="s">
        <v>944</v>
      </c>
      <c r="D718" s="170">
        <f>[1]!Table3[[#This Row],[Residential CLM $ Collected]]+[1]!Table3[[#This Row],[C&amp;I CLM $ Collected]]</f>
        <v>342.93966</v>
      </c>
      <c r="E718" s="28">
        <f>[1]!Table3[[#This Row],[CLM $ Collected ]]/'[1]1.) CLM Reference'!$B$4</f>
        <v>3.6918731070262332E-6</v>
      </c>
      <c r="F718" s="170">
        <f>[1]!Table3[[#This Row],[Residential Incentive Disbursements]]+[1]!Table3[[#This Row],[C&amp;I Incentive Disbursements]]</f>
        <v>0</v>
      </c>
      <c r="G718" s="28">
        <f>[1]!Table3[[#This Row],[Incentive Disbursements]]/'[1]1.) CLM Reference'!$B$5</f>
        <v>0</v>
      </c>
      <c r="H718" s="228">
        <v>342.93966</v>
      </c>
      <c r="I718" s="28">
        <f>[1]!Table3[[#This Row],[Residential CLM $ Collected]]/'[1]1.) CLM Reference'!$B$4</f>
        <v>3.6918731070262332E-6</v>
      </c>
      <c r="J718" s="229">
        <v>0</v>
      </c>
      <c r="K718" s="28">
        <f>[1]!Table3[[#This Row],[Residential Incentive Disbursements]]/'[1]1.) CLM Reference'!$B$5</f>
        <v>0</v>
      </c>
      <c r="L718" s="229">
        <v>0</v>
      </c>
      <c r="M718" s="28">
        <f>[1]!Table3[[#This Row],[C&amp;I CLM $ Collected]]/'[1]1.) CLM Reference'!$B$4</f>
        <v>0</v>
      </c>
      <c r="N718" s="229">
        <v>0</v>
      </c>
      <c r="O718" s="28">
        <f>[1]!Table3[[#This Row],[C&amp;I Incentive Disbursements]]/'[1]1.) CLM Reference'!$B$5</f>
        <v>0</v>
      </c>
      <c r="Q718">
        <f>VLOOKUP(Table3[[#This Row],[Census Tract]],'Population and Diversity Data'!$B$2:$K$823,10,FALSE)</f>
        <v>4</v>
      </c>
      <c r="R718" t="str">
        <f>VLOOKUP(Table3[[#This Row],[Census Tract]],'ES Energy Burden'!$B$2:$E$914,4,FALSE)</f>
        <v>No</v>
      </c>
    </row>
    <row r="719" spans="1:18" x14ac:dyDescent="0.2">
      <c r="A719" t="s">
        <v>2855</v>
      </c>
      <c r="B719" s="169">
        <v>9011708100</v>
      </c>
      <c r="C719" t="s">
        <v>944</v>
      </c>
      <c r="D719" s="170">
        <f>[1]!Table3[[#This Row],[Residential CLM $ Collected]]+[1]!Table3[[#This Row],[C&amp;I CLM $ Collected]]</f>
        <v>60654.256592999998</v>
      </c>
      <c r="E719" s="28">
        <f>[1]!Table3[[#This Row],[CLM $ Collected ]]/'[1]1.) CLM Reference'!$B$4</f>
        <v>6.5296565215689926E-4</v>
      </c>
      <c r="F719" s="170">
        <f>[1]!Table3[[#This Row],[Residential Incentive Disbursements]]+[1]!Table3[[#This Row],[C&amp;I Incentive Disbursements]]</f>
        <v>129827.41500000001</v>
      </c>
      <c r="G719" s="28">
        <f>[1]!Table3[[#This Row],[Incentive Disbursements]]/'[1]1.) CLM Reference'!$B$5</f>
        <v>1.0424026660689155E-3</v>
      </c>
      <c r="H719" s="228">
        <v>49383.412952999999</v>
      </c>
      <c r="I719" s="28">
        <f>[1]!Table3[[#This Row],[Residential CLM $ Collected]]/'[1]1.) CLM Reference'!$B$4</f>
        <v>5.31630824543162E-4</v>
      </c>
      <c r="J719" s="229">
        <v>81345.205000000002</v>
      </c>
      <c r="K719" s="28">
        <f>[1]!Table3[[#This Row],[Residential Incentive Disbursements]]/'[1]1.) CLM Reference'!$B$5</f>
        <v>6.5313214904511865E-4</v>
      </c>
      <c r="L719" s="229">
        <v>11270.843640000001</v>
      </c>
      <c r="M719" s="28">
        <f>[1]!Table3[[#This Row],[C&amp;I CLM $ Collected]]/'[1]1.) CLM Reference'!$B$4</f>
        <v>1.2133482761373725E-4</v>
      </c>
      <c r="N719" s="229">
        <v>48482.21</v>
      </c>
      <c r="O719" s="28">
        <f>[1]!Table3[[#This Row],[C&amp;I Incentive Disbursements]]/'[1]1.) CLM Reference'!$B$5</f>
        <v>3.8927051702379681E-4</v>
      </c>
      <c r="Q719">
        <f>VLOOKUP(Table3[[#This Row],[Census Tract]],'Population and Diversity Data'!$B$2:$K$823,10,FALSE)</f>
        <v>2</v>
      </c>
      <c r="R719" t="str">
        <f>VLOOKUP(Table3[[#This Row],[Census Tract]],'ES Energy Burden'!$B$2:$E$914,4,FALSE)</f>
        <v>No</v>
      </c>
    </row>
    <row r="720" spans="1:18" x14ac:dyDescent="0.2">
      <c r="A720" t="s">
        <v>2856</v>
      </c>
      <c r="B720" s="169">
        <v>9005263200</v>
      </c>
      <c r="C720" t="s">
        <v>944</v>
      </c>
      <c r="D720" s="170">
        <f>[1]!Table3[[#This Row],[Residential CLM $ Collected]]+[1]!Table3[[#This Row],[C&amp;I CLM $ Collected]]</f>
        <v>673.37976300000003</v>
      </c>
      <c r="E720" s="28">
        <f>[1]!Table3[[#This Row],[CLM $ Collected ]]/'[1]1.) CLM Reference'!$B$4</f>
        <v>7.2491838297016995E-6</v>
      </c>
      <c r="F720" s="170">
        <f>[1]!Table3[[#This Row],[Residential Incentive Disbursements]]+[1]!Table3[[#This Row],[C&amp;I Incentive Disbursements]]</f>
        <v>200</v>
      </c>
      <c r="G720" s="28">
        <f>[1]!Table3[[#This Row],[Incentive Disbursements]]/'[1]1.) CLM Reference'!$B$5</f>
        <v>1.6058282698903241E-6</v>
      </c>
      <c r="H720" s="228">
        <v>673.37976300000003</v>
      </c>
      <c r="I720" s="28">
        <f>[1]!Table3[[#This Row],[Residential CLM $ Collected]]/'[1]1.) CLM Reference'!$B$4</f>
        <v>7.2491838297016995E-6</v>
      </c>
      <c r="J720" s="229">
        <v>200</v>
      </c>
      <c r="K720" s="28">
        <f>[1]!Table3[[#This Row],[Residential Incentive Disbursements]]/'[1]1.) CLM Reference'!$B$5</f>
        <v>1.6058282698903241E-6</v>
      </c>
      <c r="L720" s="229">
        <v>0</v>
      </c>
      <c r="M720" s="28">
        <f>[1]!Table3[[#This Row],[C&amp;I CLM $ Collected]]/'[1]1.) CLM Reference'!$B$4</f>
        <v>0</v>
      </c>
      <c r="N720" s="229">
        <v>0</v>
      </c>
      <c r="O720" s="28">
        <f>[1]!Table3[[#This Row],[C&amp;I Incentive Disbursements]]/'[1]1.) CLM Reference'!$B$5</f>
        <v>0</v>
      </c>
      <c r="Q720">
        <f>VLOOKUP(Table3[[#This Row],[Census Tract]],'Population and Diversity Data'!$B$2:$K$823,10,FALSE)</f>
        <v>3</v>
      </c>
      <c r="R720" t="str">
        <f>VLOOKUP(Table3[[#This Row],[Census Tract]],'ES Energy Burden'!$B$2:$E$914,4,FALSE)</f>
        <v>No</v>
      </c>
    </row>
    <row r="721" spans="1:18" x14ac:dyDescent="0.2">
      <c r="A721" t="s">
        <v>2856</v>
      </c>
      <c r="B721" s="169">
        <v>9005265100</v>
      </c>
      <c r="C721" t="s">
        <v>944</v>
      </c>
      <c r="D721" s="170">
        <f>[1]!Table3[[#This Row],[Residential CLM $ Collected]]+[1]!Table3[[#This Row],[C&amp;I CLM $ Collected]]</f>
        <v>24777.743991000003</v>
      </c>
      <c r="E721" s="28">
        <f>[1]!Table3[[#This Row],[CLM $ Collected ]]/'[1]1.) CLM Reference'!$B$4</f>
        <v>2.6674163814460468E-4</v>
      </c>
      <c r="F721" s="170">
        <f>[1]!Table3[[#This Row],[Residential Incentive Disbursements]]+[1]!Table3[[#This Row],[C&amp;I Incentive Disbursements]]</f>
        <v>54379.39</v>
      </c>
      <c r="G721" s="28">
        <f>[1]!Table3[[#This Row],[Incentive Disbursements]]/'[1]1.) CLM Reference'!$B$5</f>
        <v>4.3661980880695589E-4</v>
      </c>
      <c r="H721" s="228">
        <v>24777.743991000003</v>
      </c>
      <c r="I721" s="28">
        <f>[1]!Table3[[#This Row],[Residential CLM $ Collected]]/'[1]1.) CLM Reference'!$B$4</f>
        <v>2.6674163814460468E-4</v>
      </c>
      <c r="J721" s="229">
        <v>54379.39</v>
      </c>
      <c r="K721" s="28">
        <f>[1]!Table3[[#This Row],[Residential Incentive Disbursements]]/'[1]1.) CLM Reference'!$B$5</f>
        <v>4.3661980880695589E-4</v>
      </c>
      <c r="L721" s="229">
        <v>0</v>
      </c>
      <c r="M721" s="28">
        <f>[1]!Table3[[#This Row],[C&amp;I CLM $ Collected]]/'[1]1.) CLM Reference'!$B$4</f>
        <v>0</v>
      </c>
      <c r="N721" s="229">
        <v>0</v>
      </c>
      <c r="O721" s="28">
        <f>[1]!Table3[[#This Row],[C&amp;I Incentive Disbursements]]/'[1]1.) CLM Reference'!$B$5</f>
        <v>0</v>
      </c>
      <c r="Q721">
        <f>VLOOKUP(Table3[[#This Row],[Census Tract]],'Population and Diversity Data'!$B$2:$K$823,10,FALSE)</f>
        <v>1</v>
      </c>
      <c r="R721" t="str">
        <f>VLOOKUP(Table3[[#This Row],[Census Tract]],'ES Energy Burden'!$B$2:$E$914,4,FALSE)</f>
        <v>No</v>
      </c>
    </row>
    <row r="722" spans="1:18" x14ac:dyDescent="0.2">
      <c r="A722" t="s">
        <v>2856</v>
      </c>
      <c r="B722" s="169">
        <v>9005266100</v>
      </c>
      <c r="C722" t="s">
        <v>944</v>
      </c>
      <c r="D722" s="170">
        <f>[1]!Table3[[#This Row],[Residential CLM $ Collected]]+[1]!Table3[[#This Row],[C&amp;I CLM $ Collected]]</f>
        <v>72.126390000000001</v>
      </c>
      <c r="E722" s="28">
        <f>[1]!Table3[[#This Row],[CLM $ Collected ]]/'[1]1.) CLM Reference'!$B$4</f>
        <v>7.7646743904710768E-7</v>
      </c>
      <c r="F722" s="170">
        <f>[1]!Table3[[#This Row],[Residential Incentive Disbursements]]+[1]!Table3[[#This Row],[C&amp;I Incentive Disbursements]]</f>
        <v>0</v>
      </c>
      <c r="G722" s="28">
        <f>[1]!Table3[[#This Row],[Incentive Disbursements]]/'[1]1.) CLM Reference'!$B$5</f>
        <v>0</v>
      </c>
      <c r="H722" s="228">
        <v>72.126390000000001</v>
      </c>
      <c r="I722" s="28">
        <f>[1]!Table3[[#This Row],[Residential CLM $ Collected]]/'[1]1.) CLM Reference'!$B$4</f>
        <v>7.7646743904710768E-7</v>
      </c>
      <c r="J722" s="229">
        <v>0</v>
      </c>
      <c r="K722" s="28">
        <f>[1]!Table3[[#This Row],[Residential Incentive Disbursements]]/'[1]1.) CLM Reference'!$B$5</f>
        <v>0</v>
      </c>
      <c r="L722" s="229">
        <v>0</v>
      </c>
      <c r="M722" s="28">
        <f>[1]!Table3[[#This Row],[C&amp;I CLM $ Collected]]/'[1]1.) CLM Reference'!$B$4</f>
        <v>0</v>
      </c>
      <c r="N722" s="229">
        <v>0</v>
      </c>
      <c r="O722" s="28">
        <f>[1]!Table3[[#This Row],[C&amp;I Incentive Disbursements]]/'[1]1.) CLM Reference'!$B$5</f>
        <v>0</v>
      </c>
      <c r="Q722">
        <f>VLOOKUP(Table3[[#This Row],[Census Tract]],'Population and Diversity Data'!$B$2:$K$823,10,FALSE)</f>
        <v>2</v>
      </c>
      <c r="R722" t="str">
        <f>VLOOKUP(Table3[[#This Row],[Census Tract]],'ES Energy Burden'!$B$2:$E$914,4,FALSE)</f>
        <v>No</v>
      </c>
    </row>
    <row r="723" spans="1:18" x14ac:dyDescent="0.2">
      <c r="A723" t="s">
        <v>2856</v>
      </c>
      <c r="B723" s="169">
        <v>9005267100</v>
      </c>
      <c r="C723" t="s">
        <v>944</v>
      </c>
      <c r="D723" s="170">
        <f>[1]!Table3[[#This Row],[Residential CLM $ Collected]]+[1]!Table3[[#This Row],[C&amp;I CLM $ Collected]]</f>
        <v>18056.466204</v>
      </c>
      <c r="E723" s="28">
        <f>[1]!Table3[[#This Row],[CLM $ Collected ]]/'[1]1.) CLM Reference'!$B$4</f>
        <v>1.9438458061828034E-4</v>
      </c>
      <c r="F723" s="170">
        <f>[1]!Table3[[#This Row],[Residential Incentive Disbursements]]+[1]!Table3[[#This Row],[C&amp;I Incentive Disbursements]]</f>
        <v>11356.949999999999</v>
      </c>
      <c r="G723" s="28">
        <f>[1]!Table3[[#This Row],[Incentive Disbursements]]/'[1]1.) CLM Reference'!$B$5</f>
        <v>9.1186556848654566E-5</v>
      </c>
      <c r="H723" s="228">
        <v>14924.056644</v>
      </c>
      <c r="I723" s="28">
        <f>[1]!Table3[[#This Row],[Residential CLM $ Collected]]/'[1]1.) CLM Reference'!$B$4</f>
        <v>1.6066302559383122E-4</v>
      </c>
      <c r="J723" s="229">
        <v>10880.07</v>
      </c>
      <c r="K723" s="28">
        <f>[1]!Table3[[#This Row],[Residential Incentive Disbursements]]/'[1]1.) CLM Reference'!$B$5</f>
        <v>8.7357619921928079E-5</v>
      </c>
      <c r="L723" s="229">
        <v>3132.4095600000001</v>
      </c>
      <c r="M723" s="28">
        <f>[1]!Table3[[#This Row],[C&amp;I CLM $ Collected]]/'[1]1.) CLM Reference'!$B$4</f>
        <v>3.3721555024449128E-5</v>
      </c>
      <c r="N723" s="229">
        <v>476.88</v>
      </c>
      <c r="O723" s="28">
        <f>[1]!Table3[[#This Row],[C&amp;I Incentive Disbursements]]/'[1]1.) CLM Reference'!$B$5</f>
        <v>3.8289369267264885E-6</v>
      </c>
      <c r="Q723">
        <f>VLOOKUP(Table3[[#This Row],[Census Tract]],'Population and Diversity Data'!$B$2:$K$823,10,FALSE)</f>
        <v>3</v>
      </c>
      <c r="R723" t="str">
        <f>VLOOKUP(Table3[[#This Row],[Census Tract]],'ES Energy Burden'!$B$2:$E$914,4,FALSE)</f>
        <v>No</v>
      </c>
    </row>
    <row r="724" spans="1:18" x14ac:dyDescent="0.2">
      <c r="A724" t="s">
        <v>2857</v>
      </c>
      <c r="B724" s="169">
        <v>9005253200</v>
      </c>
      <c r="C724" t="s">
        <v>944</v>
      </c>
      <c r="D724" s="170">
        <f>[1]!Table3[[#This Row],[Residential CLM $ Collected]]+[1]!Table3[[#This Row],[C&amp;I CLM $ Collected]]</f>
        <v>66.504270000000005</v>
      </c>
      <c r="E724" s="28">
        <f>[1]!Table3[[#This Row],[CLM $ Collected ]]/'[1]1.) CLM Reference'!$B$4</f>
        <v>7.1594322428444561E-7</v>
      </c>
      <c r="F724" s="170">
        <f>[1]!Table3[[#This Row],[Residential Incentive Disbursements]]+[1]!Table3[[#This Row],[C&amp;I Incentive Disbursements]]</f>
        <v>21922.17</v>
      </c>
      <c r="G724" s="28">
        <f>[1]!Table3[[#This Row],[Incentive Disbursements]]/'[1]1.) CLM Reference'!$B$5</f>
        <v>1.7601620161670779E-4</v>
      </c>
      <c r="H724" s="228">
        <v>66.504270000000005</v>
      </c>
      <c r="I724" s="28">
        <f>[1]!Table3[[#This Row],[Residential CLM $ Collected]]/'[1]1.) CLM Reference'!$B$4</f>
        <v>7.1594322428444561E-7</v>
      </c>
      <c r="J724" s="229">
        <v>21922.17</v>
      </c>
      <c r="K724" s="28">
        <f>[1]!Table3[[#This Row],[Residential Incentive Disbursements]]/'[1]1.) CLM Reference'!$B$5</f>
        <v>1.7601620161670779E-4</v>
      </c>
      <c r="L724" s="229">
        <v>0</v>
      </c>
      <c r="M724" s="28">
        <f>[1]!Table3[[#This Row],[C&amp;I CLM $ Collected]]/'[1]1.) CLM Reference'!$B$4</f>
        <v>0</v>
      </c>
      <c r="N724" s="229">
        <v>0</v>
      </c>
      <c r="O724" s="28">
        <f>[1]!Table3[[#This Row],[C&amp;I Incentive Disbursements]]/'[1]1.) CLM Reference'!$B$5</f>
        <v>0</v>
      </c>
      <c r="Q724">
        <f>VLOOKUP(Table3[[#This Row],[Census Tract]],'Population and Diversity Data'!$B$2:$K$823,10,FALSE)</f>
        <v>4</v>
      </c>
      <c r="R724" t="str">
        <f>VLOOKUP(Table3[[#This Row],[Census Tract]],'ES Energy Burden'!$B$2:$E$914,4,FALSE)</f>
        <v>No</v>
      </c>
    </row>
    <row r="725" spans="1:18" x14ac:dyDescent="0.2">
      <c r="A725" t="s">
        <v>2857</v>
      </c>
      <c r="B725" s="169">
        <v>9005253500</v>
      </c>
      <c r="C725" t="s">
        <v>944</v>
      </c>
      <c r="D725" s="170">
        <f>[1]!Table3[[#This Row],[Residential CLM $ Collected]]+[1]!Table3[[#This Row],[C&amp;I CLM $ Collected]]</f>
        <v>107.05212</v>
      </c>
      <c r="E725" s="28">
        <f>[1]!Table3[[#This Row],[CLM $ Collected ]]/'[1]1.) CLM Reference'!$B$4</f>
        <v>1.1524559243983189E-6</v>
      </c>
      <c r="F725" s="170">
        <f>[1]!Table3[[#This Row],[Residential Incentive Disbursements]]+[1]!Table3[[#This Row],[C&amp;I Incentive Disbursements]]</f>
        <v>0</v>
      </c>
      <c r="G725" s="28">
        <f>[1]!Table3[[#This Row],[Incentive Disbursements]]/'[1]1.) CLM Reference'!$B$5</f>
        <v>0</v>
      </c>
      <c r="H725" s="228">
        <v>107.05212</v>
      </c>
      <c r="I725" s="28">
        <f>[1]!Table3[[#This Row],[Residential CLM $ Collected]]/'[1]1.) CLM Reference'!$B$4</f>
        <v>1.1524559243983189E-6</v>
      </c>
      <c r="J725" s="229">
        <v>0</v>
      </c>
      <c r="K725" s="28">
        <f>[1]!Table3[[#This Row],[Residential Incentive Disbursements]]/'[1]1.) CLM Reference'!$B$5</f>
        <v>0</v>
      </c>
      <c r="L725" s="229">
        <v>0</v>
      </c>
      <c r="M725" s="28">
        <f>[1]!Table3[[#This Row],[C&amp;I CLM $ Collected]]/'[1]1.) CLM Reference'!$B$4</f>
        <v>0</v>
      </c>
      <c r="N725" s="229">
        <v>0</v>
      </c>
      <c r="O725" s="28">
        <f>[1]!Table3[[#This Row],[C&amp;I Incentive Disbursements]]/'[1]1.) CLM Reference'!$B$5</f>
        <v>0</v>
      </c>
      <c r="Q725">
        <f>VLOOKUP(Table3[[#This Row],[Census Tract]],'Population and Diversity Data'!$B$2:$K$823,10,FALSE)</f>
        <v>4</v>
      </c>
      <c r="R725" t="str">
        <f>VLOOKUP(Table3[[#This Row],[Census Tract]],'ES Energy Burden'!$B$2:$E$914,4,FALSE)</f>
        <v>No</v>
      </c>
    </row>
    <row r="726" spans="1:18" x14ac:dyDescent="0.2">
      <c r="A726" t="s">
        <v>2857</v>
      </c>
      <c r="B726" s="169">
        <v>9005265100</v>
      </c>
      <c r="C726" t="s">
        <v>944</v>
      </c>
      <c r="D726" s="170">
        <f>[1]!Table3[[#This Row],[Residential CLM $ Collected]]+[1]!Table3[[#This Row],[C&amp;I CLM $ Collected]]</f>
        <v>1711.09512</v>
      </c>
      <c r="E726" s="28">
        <f>[1]!Table3[[#This Row],[CLM $ Collected ]]/'[1]1.) CLM Reference'!$B$4</f>
        <v>1.8420575961065062E-5</v>
      </c>
      <c r="F726" s="170">
        <f>[1]!Table3[[#This Row],[Residential Incentive Disbursements]]+[1]!Table3[[#This Row],[C&amp;I Incentive Disbursements]]</f>
        <v>0</v>
      </c>
      <c r="G726" s="28">
        <f>[1]!Table3[[#This Row],[Incentive Disbursements]]/'[1]1.) CLM Reference'!$B$5</f>
        <v>0</v>
      </c>
      <c r="H726" s="228">
        <v>1711.09512</v>
      </c>
      <c r="I726" s="28">
        <f>[1]!Table3[[#This Row],[Residential CLM $ Collected]]/'[1]1.) CLM Reference'!$B$4</f>
        <v>1.8420575961065062E-5</v>
      </c>
      <c r="J726" s="229">
        <v>0</v>
      </c>
      <c r="K726" s="28">
        <f>[1]!Table3[[#This Row],[Residential Incentive Disbursements]]/'[1]1.) CLM Reference'!$B$5</f>
        <v>0</v>
      </c>
      <c r="L726" s="229">
        <v>0</v>
      </c>
      <c r="M726" s="28">
        <f>[1]!Table3[[#This Row],[C&amp;I CLM $ Collected]]/'[1]1.) CLM Reference'!$B$4</f>
        <v>0</v>
      </c>
      <c r="N726" s="229">
        <v>0</v>
      </c>
      <c r="O726" s="28">
        <f>[1]!Table3[[#This Row],[C&amp;I Incentive Disbursements]]/'[1]1.) CLM Reference'!$B$5</f>
        <v>0</v>
      </c>
      <c r="Q726">
        <f>VLOOKUP(Table3[[#This Row],[Census Tract]],'Population and Diversity Data'!$B$2:$K$823,10,FALSE)</f>
        <v>1</v>
      </c>
      <c r="R726" t="str">
        <f>VLOOKUP(Table3[[#This Row],[Census Tract]],'ES Energy Burden'!$B$2:$E$914,4,FALSE)</f>
        <v>No</v>
      </c>
    </row>
    <row r="727" spans="1:18" x14ac:dyDescent="0.2">
      <c r="A727" t="s">
        <v>2857</v>
      </c>
      <c r="B727" s="169">
        <v>9005267100</v>
      </c>
      <c r="C727" t="s">
        <v>944</v>
      </c>
      <c r="D727" s="170">
        <f>[1]!Table3[[#This Row],[Residential CLM $ Collected]]+[1]!Table3[[#This Row],[C&amp;I CLM $ Collected]]</f>
        <v>162107.21744699997</v>
      </c>
      <c r="E727" s="28">
        <f>[1]!Table3[[#This Row],[CLM $ Collected ]]/'[1]1.) CLM Reference'!$B$4</f>
        <v>1.7451445439335684E-3</v>
      </c>
      <c r="F727" s="170">
        <f>[1]!Table3[[#This Row],[Residential Incentive Disbursements]]+[1]!Table3[[#This Row],[C&amp;I Incentive Disbursements]]</f>
        <v>80067.759999999995</v>
      </c>
      <c r="G727" s="28">
        <f>[1]!Table3[[#This Row],[Incentive Disbursements]]/'[1]1.) CLM Reference'!$B$5</f>
        <v>6.4287536257396835E-4</v>
      </c>
      <c r="H727" s="228">
        <v>133166.11826699998</v>
      </c>
      <c r="I727" s="28">
        <f>[1]!Table3[[#This Row],[Residential CLM $ Collected]]/'[1]1.) CLM Reference'!$B$4</f>
        <v>1.4335828372752572E-3</v>
      </c>
      <c r="J727" s="229">
        <v>79339.759999999995</v>
      </c>
      <c r="K727" s="28">
        <f>[1]!Table3[[#This Row],[Residential Incentive Disbursements]]/'[1]1.) CLM Reference'!$B$5</f>
        <v>6.3703014767156759E-4</v>
      </c>
      <c r="L727" s="229">
        <v>28941.099180000001</v>
      </c>
      <c r="M727" s="28">
        <f>[1]!Table3[[#This Row],[C&amp;I CLM $ Collected]]/'[1]1.) CLM Reference'!$B$4</f>
        <v>3.1156170665831121E-4</v>
      </c>
      <c r="N727" s="229">
        <v>728</v>
      </c>
      <c r="O727" s="28">
        <f>[1]!Table3[[#This Row],[C&amp;I Incentive Disbursements]]/'[1]1.) CLM Reference'!$B$5</f>
        <v>5.8452149024007792E-6</v>
      </c>
      <c r="Q727">
        <f>VLOOKUP(Table3[[#This Row],[Census Tract]],'Population and Diversity Data'!$B$2:$K$823,10,FALSE)</f>
        <v>3</v>
      </c>
      <c r="R727" t="str">
        <f>VLOOKUP(Table3[[#This Row],[Census Tract]],'ES Energy Burden'!$B$2:$E$914,4,FALSE)</f>
        <v>No</v>
      </c>
    </row>
    <row r="728" spans="1:18" x14ac:dyDescent="0.2">
      <c r="A728" t="s">
        <v>2857</v>
      </c>
      <c r="B728" s="169">
        <v>9005362102</v>
      </c>
      <c r="C728" t="s">
        <v>944</v>
      </c>
      <c r="D728" s="170">
        <f>[1]!Table3[[#This Row],[Residential CLM $ Collected]]+[1]!Table3[[#This Row],[C&amp;I CLM $ Collected]]</f>
        <v>473.65395000000001</v>
      </c>
      <c r="E728" s="28">
        <f>[1]!Table3[[#This Row],[CLM $ Collected ]]/'[1]1.) CLM Reference'!$B$4</f>
        <v>5.0990611002581273E-6</v>
      </c>
      <c r="F728" s="170">
        <f>[1]!Table3[[#This Row],[Residential Incentive Disbursements]]+[1]!Table3[[#This Row],[C&amp;I Incentive Disbursements]]</f>
        <v>2065.66</v>
      </c>
      <c r="G728" s="28">
        <f>[1]!Table3[[#This Row],[Incentive Disbursements]]/'[1]1.) CLM Reference'!$B$5</f>
        <v>1.658547611990823E-5</v>
      </c>
      <c r="H728" s="228">
        <v>473.65395000000001</v>
      </c>
      <c r="I728" s="28">
        <f>[1]!Table3[[#This Row],[Residential CLM $ Collected]]/'[1]1.) CLM Reference'!$B$4</f>
        <v>5.0990611002581273E-6</v>
      </c>
      <c r="J728" s="229">
        <v>2065.66</v>
      </c>
      <c r="K728" s="28">
        <f>[1]!Table3[[#This Row],[Residential Incentive Disbursements]]/'[1]1.) CLM Reference'!$B$5</f>
        <v>1.658547611990823E-5</v>
      </c>
      <c r="L728" s="229">
        <v>0</v>
      </c>
      <c r="M728" s="28">
        <f>[1]!Table3[[#This Row],[C&amp;I CLM $ Collected]]/'[1]1.) CLM Reference'!$B$4</f>
        <v>0</v>
      </c>
      <c r="N728" s="229">
        <v>0</v>
      </c>
      <c r="O728" s="28">
        <f>[1]!Table3[[#This Row],[C&amp;I Incentive Disbursements]]/'[1]1.) CLM Reference'!$B$5</f>
        <v>0</v>
      </c>
      <c r="Q728">
        <f>VLOOKUP(Table3[[#This Row],[Census Tract]],'Population and Diversity Data'!$B$2:$K$823,10,FALSE)</f>
        <v>1</v>
      </c>
      <c r="R728" t="str">
        <f>VLOOKUP(Table3[[#This Row],[Census Tract]],'ES Energy Burden'!$B$2:$E$914,4,FALSE)</f>
        <v>No</v>
      </c>
    </row>
    <row r="729" spans="1:18" x14ac:dyDescent="0.2">
      <c r="A729" t="s">
        <v>982</v>
      </c>
      <c r="B729" s="169">
        <v>9009345100</v>
      </c>
      <c r="C729" t="s">
        <v>944</v>
      </c>
      <c r="D729" s="170">
        <f>[1]!Table3[[#This Row],[Residential CLM $ Collected]]+[1]!Table3[[#This Row],[C&amp;I CLM $ Collected]]</f>
        <v>389.16275999999999</v>
      </c>
      <c r="E729" s="28">
        <f>[1]!Table3[[#This Row],[CLM $ Collected ]]/'[1]1.) CLM Reference'!$B$4</f>
        <v>4.1894819861316255E-6</v>
      </c>
      <c r="F729" s="170">
        <f>[1]!Table3[[#This Row],[Residential Incentive Disbursements]]+[1]!Table3[[#This Row],[C&amp;I Incentive Disbursements]]</f>
        <v>2014.33</v>
      </c>
      <c r="G729" s="28">
        <f>[1]!Table3[[#This Row],[Incentive Disbursements]]/'[1]1.) CLM Reference'!$B$5</f>
        <v>1.6173340294440879E-5</v>
      </c>
      <c r="H729" s="228">
        <v>389.16275999999999</v>
      </c>
      <c r="I729" s="28">
        <f>[1]!Table3[[#This Row],[Residential CLM $ Collected]]/'[1]1.) CLM Reference'!$B$4</f>
        <v>4.1894819861316255E-6</v>
      </c>
      <c r="J729" s="229">
        <v>2014.33</v>
      </c>
      <c r="K729" s="28">
        <f>[1]!Table3[[#This Row],[Residential Incentive Disbursements]]/'[1]1.) CLM Reference'!$B$5</f>
        <v>1.6173340294440879E-5</v>
      </c>
      <c r="L729" s="229">
        <v>0</v>
      </c>
      <c r="M729" s="28">
        <f>[1]!Table3[[#This Row],[C&amp;I CLM $ Collected]]/'[1]1.) CLM Reference'!$B$4</f>
        <v>0</v>
      </c>
      <c r="N729" s="229">
        <v>0</v>
      </c>
      <c r="O729" s="28">
        <f>[1]!Table3[[#This Row],[C&amp;I Incentive Disbursements]]/'[1]1.) CLM Reference'!$B$5</f>
        <v>0</v>
      </c>
      <c r="Q729">
        <f>VLOOKUP(Table3[[#This Row],[Census Tract]],'Population and Diversity Data'!$B$2:$K$823,10,FALSE)</f>
        <v>2</v>
      </c>
      <c r="R729" t="str">
        <f>VLOOKUP(Table3[[#This Row],[Census Tract]],'ES Energy Burden'!$B$2:$E$914,4,FALSE)</f>
        <v>No</v>
      </c>
    </row>
    <row r="730" spans="1:18" x14ac:dyDescent="0.2">
      <c r="A730" t="s">
        <v>982</v>
      </c>
      <c r="B730" s="169">
        <v>9009347100</v>
      </c>
      <c r="C730" t="s">
        <v>944</v>
      </c>
      <c r="D730" s="170">
        <f>[1]!Table3[[#This Row],[Residential CLM $ Collected]]+[1]!Table3[[#This Row],[C&amp;I CLM $ Collected]]</f>
        <v>415.863</v>
      </c>
      <c r="E730" s="28">
        <f>[1]!Table3[[#This Row],[CLM $ Collected ]]/'[1]1.) CLM Reference'!$B$4</f>
        <v>4.4769200095061923E-6</v>
      </c>
      <c r="F730" s="170">
        <f>[1]!Table3[[#This Row],[Residential Incentive Disbursements]]+[1]!Table3[[#This Row],[C&amp;I Incentive Disbursements]]</f>
        <v>6600.93</v>
      </c>
      <c r="G730" s="28">
        <f>[1]!Table3[[#This Row],[Incentive Disbursements]]/'[1]1.) CLM Reference'!$B$5</f>
        <v>5.2999800007835685E-5</v>
      </c>
      <c r="H730" s="228">
        <v>415.863</v>
      </c>
      <c r="I730" s="28">
        <f>[1]!Table3[[#This Row],[Residential CLM $ Collected]]/'[1]1.) CLM Reference'!$B$4</f>
        <v>4.4769200095061923E-6</v>
      </c>
      <c r="J730" s="229">
        <v>6600.93</v>
      </c>
      <c r="K730" s="28">
        <f>[1]!Table3[[#This Row],[Residential Incentive Disbursements]]/'[1]1.) CLM Reference'!$B$5</f>
        <v>5.2999800007835685E-5</v>
      </c>
      <c r="L730" s="229">
        <v>0</v>
      </c>
      <c r="M730" s="28">
        <f>[1]!Table3[[#This Row],[C&amp;I CLM $ Collected]]/'[1]1.) CLM Reference'!$B$4</f>
        <v>0</v>
      </c>
      <c r="N730" s="229">
        <v>0</v>
      </c>
      <c r="O730" s="28">
        <f>[1]!Table3[[#This Row],[C&amp;I Incentive Disbursements]]/'[1]1.) CLM Reference'!$B$5</f>
        <v>0</v>
      </c>
      <c r="Q730">
        <f>VLOOKUP(Table3[[#This Row],[Census Tract]],'Population and Diversity Data'!$B$2:$K$823,10,FALSE)</f>
        <v>1</v>
      </c>
      <c r="R730" t="str">
        <f>VLOOKUP(Table3[[#This Row],[Census Tract]],'ES Energy Burden'!$B$2:$E$914,4,FALSE)</f>
        <v>No</v>
      </c>
    </row>
    <row r="731" spans="1:18" x14ac:dyDescent="0.2">
      <c r="A731" t="s">
        <v>982</v>
      </c>
      <c r="B731" s="169">
        <v>9009350100</v>
      </c>
      <c r="C731" t="s">
        <v>936</v>
      </c>
      <c r="D731" s="170">
        <f>[1]!Table3[[#This Row],[Residential CLM $ Collected]]+[1]!Table3[[#This Row],[C&amp;I CLM $ Collected]]</f>
        <v>23434.522440000001</v>
      </c>
      <c r="E731" s="28">
        <f>[1]!Table3[[#This Row],[CLM $ Collected ]]/'[1]1.) CLM Reference'!$B$4</f>
        <v>2.522813581031683E-4</v>
      </c>
      <c r="F731" s="170">
        <f>[1]!Table3[[#This Row],[Residential Incentive Disbursements]]+[1]!Table3[[#This Row],[C&amp;I Incentive Disbursements]]</f>
        <v>12399.57</v>
      </c>
      <c r="G731" s="28">
        <f>[1]!Table3[[#This Row],[Incentive Disbursements]]/'[1]1.) CLM Reference'!$B$5</f>
        <v>9.9557900202419818E-5</v>
      </c>
      <c r="H731" s="228">
        <v>23434.522440000001</v>
      </c>
      <c r="I731" s="28">
        <f>[1]!Table3[[#This Row],[Residential CLM $ Collected]]/'[1]1.) CLM Reference'!$B$4</f>
        <v>2.522813581031683E-4</v>
      </c>
      <c r="J731" s="229">
        <v>12399.57</v>
      </c>
      <c r="K731" s="28">
        <f>[1]!Table3[[#This Row],[Residential Incentive Disbursements]]/'[1]1.) CLM Reference'!$B$5</f>
        <v>9.9557900202419818E-5</v>
      </c>
      <c r="L731" s="229">
        <v>0</v>
      </c>
      <c r="M731" s="28">
        <f>[1]!Table3[[#This Row],[C&amp;I CLM $ Collected]]/'[1]1.) CLM Reference'!$B$4</f>
        <v>0</v>
      </c>
      <c r="N731" s="229">
        <v>0</v>
      </c>
      <c r="O731" s="28">
        <f>[1]!Table3[[#This Row],[C&amp;I Incentive Disbursements]]/'[1]1.) CLM Reference'!$B$5</f>
        <v>0</v>
      </c>
      <c r="Q731">
        <f>VLOOKUP(Table3[[#This Row],[Census Tract]],'Population and Diversity Data'!$B$2:$K$823,10,FALSE)</f>
        <v>5</v>
      </c>
      <c r="R731" t="e">
        <f>VLOOKUP(Table3[[#This Row],[Census Tract]],'ES Energy Burden'!$B$2:$E$914,4,FALSE)</f>
        <v>#N/A</v>
      </c>
    </row>
    <row r="732" spans="1:18" x14ac:dyDescent="0.2">
      <c r="A732" t="s">
        <v>982</v>
      </c>
      <c r="B732" s="169">
        <v>9009350200</v>
      </c>
      <c r="C732" t="s">
        <v>936</v>
      </c>
      <c r="D732" s="170">
        <f>[1]!Table3[[#This Row],[Residential CLM $ Collected]]+[1]!Table3[[#This Row],[C&amp;I CLM $ Collected]]</f>
        <v>28879.834493999999</v>
      </c>
      <c r="E732" s="28">
        <f>[1]!Table3[[#This Row],[CLM $ Collected ]]/'[1]1.) CLM Reference'!$B$4</f>
        <v>3.1090216950634163E-4</v>
      </c>
      <c r="F732" s="170">
        <f>[1]!Table3[[#This Row],[Residential Incentive Disbursements]]+[1]!Table3[[#This Row],[C&amp;I Incentive Disbursements]]</f>
        <v>13582.24</v>
      </c>
      <c r="G732" s="28">
        <f>[1]!Table3[[#This Row],[Incentive Disbursements]]/'[1]1.) CLM Reference'!$B$5</f>
        <v>1.0905372480217577E-4</v>
      </c>
      <c r="H732" s="228">
        <v>28879.834493999999</v>
      </c>
      <c r="I732" s="28">
        <f>[1]!Table3[[#This Row],[Residential CLM $ Collected]]/'[1]1.) CLM Reference'!$B$4</f>
        <v>3.1090216950634163E-4</v>
      </c>
      <c r="J732" s="229">
        <v>13582.24</v>
      </c>
      <c r="K732" s="28">
        <f>[1]!Table3[[#This Row],[Residential Incentive Disbursements]]/'[1]1.) CLM Reference'!$B$5</f>
        <v>1.0905372480217577E-4</v>
      </c>
      <c r="L732" s="229">
        <v>0</v>
      </c>
      <c r="M732" s="28">
        <f>[1]!Table3[[#This Row],[C&amp;I CLM $ Collected]]/'[1]1.) CLM Reference'!$B$4</f>
        <v>0</v>
      </c>
      <c r="N732" s="229">
        <v>0</v>
      </c>
      <c r="O732" s="28">
        <f>[1]!Table3[[#This Row],[C&amp;I Incentive Disbursements]]/'[1]1.) CLM Reference'!$B$5</f>
        <v>0</v>
      </c>
      <c r="Q732">
        <f>VLOOKUP(Table3[[#This Row],[Census Tract]],'Population and Diversity Data'!$B$2:$K$823,10,FALSE)</f>
        <v>4</v>
      </c>
      <c r="R732" t="e">
        <f>VLOOKUP(Table3[[#This Row],[Census Tract]],'ES Energy Burden'!$B$2:$E$914,4,FALSE)</f>
        <v>#N/A</v>
      </c>
    </row>
    <row r="733" spans="1:18" x14ac:dyDescent="0.2">
      <c r="A733" t="s">
        <v>982</v>
      </c>
      <c r="B733" s="169">
        <v>9009350300</v>
      </c>
      <c r="C733" t="s">
        <v>936</v>
      </c>
      <c r="D733" s="170">
        <f>[1]!Table3[[#This Row],[Residential CLM $ Collected]]+[1]!Table3[[#This Row],[C&amp;I CLM $ Collected]]</f>
        <v>17128.156626</v>
      </c>
      <c r="E733" s="28">
        <f>[1]!Table3[[#This Row],[CLM $ Collected ]]/'[1]1.) CLM Reference'!$B$4</f>
        <v>1.8439098242665366E-4</v>
      </c>
      <c r="F733" s="170">
        <f>[1]!Table3[[#This Row],[Residential Incentive Disbursements]]+[1]!Table3[[#This Row],[C&amp;I Incentive Disbursements]]</f>
        <v>5358.74</v>
      </c>
      <c r="G733" s="28">
        <f>[1]!Table3[[#This Row],[Incentive Disbursements]]/'[1]1.) CLM Reference'!$B$5</f>
        <v>4.3026080914960371E-5</v>
      </c>
      <c r="H733" s="228">
        <v>17128.156626</v>
      </c>
      <c r="I733" s="28">
        <f>[1]!Table3[[#This Row],[Residential CLM $ Collected]]/'[1]1.) CLM Reference'!$B$4</f>
        <v>1.8439098242665366E-4</v>
      </c>
      <c r="J733" s="229">
        <v>5358.74</v>
      </c>
      <c r="K733" s="28">
        <f>[1]!Table3[[#This Row],[Residential Incentive Disbursements]]/'[1]1.) CLM Reference'!$B$5</f>
        <v>4.3026080914960371E-5</v>
      </c>
      <c r="L733" s="229">
        <v>0</v>
      </c>
      <c r="M733" s="28">
        <f>[1]!Table3[[#This Row],[C&amp;I CLM $ Collected]]/'[1]1.) CLM Reference'!$B$4</f>
        <v>0</v>
      </c>
      <c r="N733" s="229">
        <v>0</v>
      </c>
      <c r="O733" s="28">
        <f>[1]!Table3[[#This Row],[C&amp;I Incentive Disbursements]]/'[1]1.) CLM Reference'!$B$5</f>
        <v>0</v>
      </c>
      <c r="Q733">
        <f>VLOOKUP(Table3[[#This Row],[Census Tract]],'Population and Diversity Data'!$B$2:$K$823,10,FALSE)</f>
        <v>5</v>
      </c>
      <c r="R733" t="str">
        <f>VLOOKUP(Table3[[#This Row],[Census Tract]],'ES Energy Burden'!$B$2:$E$914,4,FALSE)</f>
        <v>Yes</v>
      </c>
    </row>
    <row r="734" spans="1:18" x14ac:dyDescent="0.2">
      <c r="A734" t="s">
        <v>982</v>
      </c>
      <c r="B734" s="169">
        <v>9009350400</v>
      </c>
      <c r="C734" t="s">
        <v>936</v>
      </c>
      <c r="D734" s="170">
        <f>[1]!Table3[[#This Row],[Residential CLM $ Collected]]+[1]!Table3[[#This Row],[C&amp;I CLM $ Collected]]</f>
        <v>23221.326240000002</v>
      </c>
      <c r="E734" s="28">
        <f>[1]!Table3[[#This Row],[CLM $ Collected ]]/'[1]1.) CLM Reference'!$B$4</f>
        <v>2.4998622164301032E-4</v>
      </c>
      <c r="F734" s="170">
        <f>[1]!Table3[[#This Row],[Residential Incentive Disbursements]]+[1]!Table3[[#This Row],[C&amp;I Incentive Disbursements]]</f>
        <v>2982.93</v>
      </c>
      <c r="G734" s="28">
        <f>[1]!Table3[[#This Row],[Incentive Disbursements]]/'[1]1.) CLM Reference'!$B$5</f>
        <v>2.3950366605519718E-5</v>
      </c>
      <c r="H734" s="228">
        <v>23221.326240000002</v>
      </c>
      <c r="I734" s="28">
        <f>[1]!Table3[[#This Row],[Residential CLM $ Collected]]/'[1]1.) CLM Reference'!$B$4</f>
        <v>2.4998622164301032E-4</v>
      </c>
      <c r="J734" s="229">
        <v>2982.93</v>
      </c>
      <c r="K734" s="28">
        <f>[1]!Table3[[#This Row],[Residential Incentive Disbursements]]/'[1]1.) CLM Reference'!$B$5</f>
        <v>2.3950366605519718E-5</v>
      </c>
      <c r="L734" s="229">
        <v>0</v>
      </c>
      <c r="M734" s="28">
        <f>[1]!Table3[[#This Row],[C&amp;I CLM $ Collected]]/'[1]1.) CLM Reference'!$B$4</f>
        <v>0</v>
      </c>
      <c r="N734" s="229">
        <v>0</v>
      </c>
      <c r="O734" s="28">
        <f>[1]!Table3[[#This Row],[C&amp;I Incentive Disbursements]]/'[1]1.) CLM Reference'!$B$5</f>
        <v>0</v>
      </c>
      <c r="Q734">
        <f>VLOOKUP(Table3[[#This Row],[Census Tract]],'Population and Diversity Data'!$B$2:$K$823,10,FALSE)</f>
        <v>5</v>
      </c>
      <c r="R734" t="str">
        <f>VLOOKUP(Table3[[#This Row],[Census Tract]],'ES Energy Burden'!$B$2:$E$914,4,FALSE)</f>
        <v>Yes</v>
      </c>
    </row>
    <row r="735" spans="1:18" x14ac:dyDescent="0.2">
      <c r="A735" t="s">
        <v>982</v>
      </c>
      <c r="B735" s="169">
        <v>9009350500</v>
      </c>
      <c r="C735" t="s">
        <v>936</v>
      </c>
      <c r="D735" s="170">
        <f>[1]!Table3[[#This Row],[Residential CLM $ Collected]]+[1]!Table3[[#This Row],[C&amp;I CLM $ Collected]]</f>
        <v>20038.37556</v>
      </c>
      <c r="E735" s="28">
        <f>[1]!Table3[[#This Row],[CLM $ Collected ]]/'[1]1.) CLM Reference'!$B$4</f>
        <v>2.1572057264667417E-4</v>
      </c>
      <c r="F735" s="170">
        <f>[1]!Table3[[#This Row],[Residential Incentive Disbursements]]+[1]!Table3[[#This Row],[C&amp;I Incentive Disbursements]]</f>
        <v>6947.96</v>
      </c>
      <c r="G735" s="28">
        <f>[1]!Table3[[#This Row],[Incentive Disbursements]]/'[1]1.) CLM Reference'!$B$5</f>
        <v>5.578615293033588E-5</v>
      </c>
      <c r="H735" s="228">
        <v>20038.37556</v>
      </c>
      <c r="I735" s="28">
        <f>[1]!Table3[[#This Row],[Residential CLM $ Collected]]/'[1]1.) CLM Reference'!$B$4</f>
        <v>2.1572057264667417E-4</v>
      </c>
      <c r="J735" s="229">
        <v>6947.96</v>
      </c>
      <c r="K735" s="28">
        <f>[1]!Table3[[#This Row],[Residential Incentive Disbursements]]/'[1]1.) CLM Reference'!$B$5</f>
        <v>5.578615293033588E-5</v>
      </c>
      <c r="L735" s="229">
        <v>0</v>
      </c>
      <c r="M735" s="28">
        <f>[1]!Table3[[#This Row],[C&amp;I CLM $ Collected]]/'[1]1.) CLM Reference'!$B$4</f>
        <v>0</v>
      </c>
      <c r="N735" s="229">
        <v>0</v>
      </c>
      <c r="O735" s="28">
        <f>[1]!Table3[[#This Row],[C&amp;I Incentive Disbursements]]/'[1]1.) CLM Reference'!$B$5</f>
        <v>0</v>
      </c>
      <c r="Q735">
        <f>VLOOKUP(Table3[[#This Row],[Census Tract]],'Population and Diversity Data'!$B$2:$K$823,10,FALSE)</f>
        <v>5</v>
      </c>
      <c r="R735" t="str">
        <f>VLOOKUP(Table3[[#This Row],[Census Tract]],'ES Energy Burden'!$B$2:$E$914,4,FALSE)</f>
        <v>Yes</v>
      </c>
    </row>
    <row r="736" spans="1:18" x14ac:dyDescent="0.2">
      <c r="A736" t="s">
        <v>982</v>
      </c>
      <c r="B736" s="169">
        <v>9009350800</v>
      </c>
      <c r="C736" t="s">
        <v>944</v>
      </c>
      <c r="D736" s="170">
        <f>[1]!Table3[[#This Row],[Residential CLM $ Collected]]+[1]!Table3[[#This Row],[C&amp;I CLM $ Collected]]</f>
        <v>43880.282900999999</v>
      </c>
      <c r="E736" s="28">
        <f>[1]!Table3[[#This Row],[CLM $ Collected ]]/'[1]1.) CLM Reference'!$B$4</f>
        <v>4.7238758086744751E-4</v>
      </c>
      <c r="F736" s="170">
        <f>[1]!Table3[[#This Row],[Residential Incentive Disbursements]]+[1]!Table3[[#This Row],[C&amp;I Incentive Disbursements]]</f>
        <v>89050.46</v>
      </c>
      <c r="G736" s="28">
        <f>[1]!Table3[[#This Row],[Incentive Disbursements]]/'[1]1.) CLM Reference'!$B$5</f>
        <v>7.1499873057368759E-4</v>
      </c>
      <c r="H736" s="228">
        <v>43880.282900999999</v>
      </c>
      <c r="I736" s="28">
        <f>[1]!Table3[[#This Row],[Residential CLM $ Collected]]/'[1]1.) CLM Reference'!$B$4</f>
        <v>4.7238758086744751E-4</v>
      </c>
      <c r="J736" s="229">
        <v>89050.46</v>
      </c>
      <c r="K736" s="28">
        <f>[1]!Table3[[#This Row],[Residential Incentive Disbursements]]/'[1]1.) CLM Reference'!$B$5</f>
        <v>7.1499873057368759E-4</v>
      </c>
      <c r="L736" s="229">
        <v>0</v>
      </c>
      <c r="M736" s="28">
        <f>[1]!Table3[[#This Row],[C&amp;I CLM $ Collected]]/'[1]1.) CLM Reference'!$B$4</f>
        <v>0</v>
      </c>
      <c r="N736" s="229">
        <v>0</v>
      </c>
      <c r="O736" s="28">
        <f>[1]!Table3[[#This Row],[C&amp;I Incentive Disbursements]]/'[1]1.) CLM Reference'!$B$5</f>
        <v>0</v>
      </c>
      <c r="Q736">
        <f>VLOOKUP(Table3[[#This Row],[Census Tract]],'Population and Diversity Data'!$B$2:$K$823,10,FALSE)</f>
        <v>3</v>
      </c>
      <c r="R736" t="str">
        <f>VLOOKUP(Table3[[#This Row],[Census Tract]],'ES Energy Burden'!$B$2:$E$914,4,FALSE)</f>
        <v>Yes</v>
      </c>
    </row>
    <row r="737" spans="1:18" x14ac:dyDescent="0.2">
      <c r="A737" t="s">
        <v>982</v>
      </c>
      <c r="B737" s="169">
        <v>9009350900</v>
      </c>
      <c r="C737" t="s">
        <v>944</v>
      </c>
      <c r="D737" s="170">
        <f>[1]!Table3[[#This Row],[Residential CLM $ Collected]]+[1]!Table3[[#This Row],[C&amp;I CLM $ Collected]]</f>
        <v>16708.066409999999</v>
      </c>
      <c r="E737" s="28">
        <f>[1]!Table3[[#This Row],[CLM $ Collected ]]/'[1]1.) CLM Reference'!$B$4</f>
        <v>1.7986855486322971E-4</v>
      </c>
      <c r="F737" s="170">
        <f>[1]!Table3[[#This Row],[Residential Incentive Disbursements]]+[1]!Table3[[#This Row],[C&amp;I Incentive Disbursements]]</f>
        <v>20847.330000000002</v>
      </c>
      <c r="G737" s="28">
        <f>[1]!Table3[[#This Row],[Incentive Disbursements]]/'[1]1.) CLM Reference'!$B$5</f>
        <v>1.6738615932866325E-4</v>
      </c>
      <c r="H737" s="228">
        <v>16708.066409999999</v>
      </c>
      <c r="I737" s="28">
        <f>[1]!Table3[[#This Row],[Residential CLM $ Collected]]/'[1]1.) CLM Reference'!$B$4</f>
        <v>1.7986855486322971E-4</v>
      </c>
      <c r="J737" s="229">
        <v>20847.330000000002</v>
      </c>
      <c r="K737" s="28">
        <f>[1]!Table3[[#This Row],[Residential Incentive Disbursements]]/'[1]1.) CLM Reference'!$B$5</f>
        <v>1.6738615932866325E-4</v>
      </c>
      <c r="L737" s="229">
        <v>0</v>
      </c>
      <c r="M737" s="28">
        <f>[1]!Table3[[#This Row],[C&amp;I CLM $ Collected]]/'[1]1.) CLM Reference'!$B$4</f>
        <v>0</v>
      </c>
      <c r="N737" s="229">
        <v>0</v>
      </c>
      <c r="O737" s="28">
        <f>[1]!Table3[[#This Row],[C&amp;I Incentive Disbursements]]/'[1]1.) CLM Reference'!$B$5</f>
        <v>0</v>
      </c>
      <c r="Q737">
        <f>VLOOKUP(Table3[[#This Row],[Census Tract]],'Population and Diversity Data'!$B$2:$K$823,10,FALSE)</f>
        <v>3</v>
      </c>
      <c r="R737" t="str">
        <f>VLOOKUP(Table3[[#This Row],[Census Tract]],'ES Energy Burden'!$B$2:$E$914,4,FALSE)</f>
        <v>No</v>
      </c>
    </row>
    <row r="738" spans="1:18" x14ac:dyDescent="0.2">
      <c r="A738" t="s">
        <v>982</v>
      </c>
      <c r="B738" s="169">
        <v>9009351000</v>
      </c>
      <c r="C738" t="s">
        <v>944</v>
      </c>
      <c r="D738" s="170">
        <f>[1]!Table3[[#This Row],[Residential CLM $ Collected]]+[1]!Table3[[#This Row],[C&amp;I CLM $ Collected]]</f>
        <v>36690.453576</v>
      </c>
      <c r="E738" s="28">
        <f>[1]!Table3[[#This Row],[CLM $ Collected ]]/'[1]1.) CLM Reference'!$B$4</f>
        <v>3.9498639160553457E-4</v>
      </c>
      <c r="F738" s="170">
        <f>[1]!Table3[[#This Row],[Residential Incentive Disbursements]]+[1]!Table3[[#This Row],[C&amp;I Incentive Disbursements]]</f>
        <v>163625.94</v>
      </c>
      <c r="G738" s="28">
        <f>[1]!Table3[[#This Row],[Incentive Disbursements]]/'[1]1.) CLM Reference'!$B$5</f>
        <v>1.3137758006968897E-3</v>
      </c>
      <c r="H738" s="228">
        <v>36690.453576</v>
      </c>
      <c r="I738" s="28">
        <f>[1]!Table3[[#This Row],[Residential CLM $ Collected]]/'[1]1.) CLM Reference'!$B$4</f>
        <v>3.9498639160553457E-4</v>
      </c>
      <c r="J738" s="229">
        <v>163625.94</v>
      </c>
      <c r="K738" s="28">
        <f>[1]!Table3[[#This Row],[Residential Incentive Disbursements]]/'[1]1.) CLM Reference'!$B$5</f>
        <v>1.3137758006968897E-3</v>
      </c>
      <c r="L738" s="229">
        <v>0</v>
      </c>
      <c r="M738" s="28">
        <f>[1]!Table3[[#This Row],[C&amp;I CLM $ Collected]]/'[1]1.) CLM Reference'!$B$4</f>
        <v>0</v>
      </c>
      <c r="N738" s="229">
        <v>0</v>
      </c>
      <c r="O738" s="28">
        <f>[1]!Table3[[#This Row],[C&amp;I Incentive Disbursements]]/'[1]1.) CLM Reference'!$B$5</f>
        <v>0</v>
      </c>
      <c r="Q738">
        <f>VLOOKUP(Table3[[#This Row],[Census Tract]],'Population and Diversity Data'!$B$2:$K$823,10,FALSE)</f>
        <v>4</v>
      </c>
      <c r="R738" t="str">
        <f>VLOOKUP(Table3[[#This Row],[Census Tract]],'ES Energy Burden'!$B$2:$E$914,4,FALSE)</f>
        <v>No</v>
      </c>
    </row>
    <row r="739" spans="1:18" x14ac:dyDescent="0.2">
      <c r="A739" t="s">
        <v>982</v>
      </c>
      <c r="B739" s="169">
        <v>9009351100</v>
      </c>
      <c r="C739" t="s">
        <v>944</v>
      </c>
      <c r="D739" s="170">
        <f>[1]!Table3[[#This Row],[Residential CLM $ Collected]]+[1]!Table3[[#This Row],[C&amp;I CLM $ Collected]]</f>
        <v>46283.665784999997</v>
      </c>
      <c r="E739" s="28">
        <f>[1]!Table3[[#This Row],[CLM $ Collected ]]/'[1]1.) CLM Reference'!$B$4</f>
        <v>4.9826089232791473E-4</v>
      </c>
      <c r="F739" s="170">
        <f>[1]!Table3[[#This Row],[Residential Incentive Disbursements]]+[1]!Table3[[#This Row],[C&amp;I Incentive Disbursements]]</f>
        <v>43075.85</v>
      </c>
      <c r="G739" s="28">
        <f>[1]!Table3[[#This Row],[Incentive Disbursements]]/'[1]1.) CLM Reference'!$B$5</f>
        <v>3.4586208839777554E-4</v>
      </c>
      <c r="H739" s="228">
        <v>46283.665784999997</v>
      </c>
      <c r="I739" s="28">
        <f>[1]!Table3[[#This Row],[Residential CLM $ Collected]]/'[1]1.) CLM Reference'!$B$4</f>
        <v>4.9826089232791473E-4</v>
      </c>
      <c r="J739" s="229">
        <v>43075.85</v>
      </c>
      <c r="K739" s="28">
        <f>[1]!Table3[[#This Row],[Residential Incentive Disbursements]]/'[1]1.) CLM Reference'!$B$5</f>
        <v>3.4586208839777554E-4</v>
      </c>
      <c r="L739" s="229">
        <v>0</v>
      </c>
      <c r="M739" s="28">
        <f>[1]!Table3[[#This Row],[C&amp;I CLM $ Collected]]/'[1]1.) CLM Reference'!$B$4</f>
        <v>0</v>
      </c>
      <c r="N739" s="229">
        <v>0</v>
      </c>
      <c r="O739" s="28">
        <f>[1]!Table3[[#This Row],[C&amp;I Incentive Disbursements]]/'[1]1.) CLM Reference'!$B$5</f>
        <v>0</v>
      </c>
      <c r="Q739">
        <f>VLOOKUP(Table3[[#This Row],[Census Tract]],'Population and Diversity Data'!$B$2:$K$823,10,FALSE)</f>
        <v>5</v>
      </c>
      <c r="R739" t="str">
        <f>VLOOKUP(Table3[[#This Row],[Census Tract]],'ES Energy Burden'!$B$2:$E$914,4,FALSE)</f>
        <v>Yes</v>
      </c>
    </row>
    <row r="740" spans="1:18" x14ac:dyDescent="0.2">
      <c r="A740" t="s">
        <v>982</v>
      </c>
      <c r="B740" s="169">
        <v>9009351200</v>
      </c>
      <c r="C740" t="s">
        <v>936</v>
      </c>
      <c r="D740" s="170">
        <f>[1]!Table3[[#This Row],[Residential CLM $ Collected]]+[1]!Table3[[#This Row],[C&amp;I CLM $ Collected]]</f>
        <v>33114.572736000002</v>
      </c>
      <c r="E740" s="28">
        <f>[1]!Table3[[#This Row],[CLM $ Collected ]]/'[1]1.) CLM Reference'!$B$4</f>
        <v>3.5649070315956611E-4</v>
      </c>
      <c r="F740" s="170">
        <f>[1]!Table3[[#This Row],[Residential Incentive Disbursements]]+[1]!Table3[[#This Row],[C&amp;I Incentive Disbursements]]</f>
        <v>29954.27</v>
      </c>
      <c r="G740" s="28">
        <f>[1]!Table3[[#This Row],[Incentive Disbursements]]/'[1]1.) CLM Reference'!$B$5</f>
        <v>2.4050706784963817E-4</v>
      </c>
      <c r="H740" s="228">
        <v>33042.248316000005</v>
      </c>
      <c r="I740" s="28">
        <f>[1]!Table3[[#This Row],[Residential CLM $ Collected]]/'[1]1.) CLM Reference'!$B$4</f>
        <v>3.5571210385384783E-4</v>
      </c>
      <c r="J740" s="229">
        <v>29954.27</v>
      </c>
      <c r="K740" s="28">
        <f>[1]!Table3[[#This Row],[Residential Incentive Disbursements]]/'[1]1.) CLM Reference'!$B$5</f>
        <v>2.4050706784963817E-4</v>
      </c>
      <c r="L740" s="229">
        <v>72.324420000000003</v>
      </c>
      <c r="M740" s="28">
        <f>[1]!Table3[[#This Row],[C&amp;I CLM $ Collected]]/'[1]1.) CLM Reference'!$B$4</f>
        <v>7.7859930571830116E-7</v>
      </c>
      <c r="N740" s="229">
        <v>0</v>
      </c>
      <c r="O740" s="28">
        <f>[1]!Table3[[#This Row],[C&amp;I Incentive Disbursements]]/'[1]1.) CLM Reference'!$B$5</f>
        <v>0</v>
      </c>
      <c r="Q740">
        <f>VLOOKUP(Table3[[#This Row],[Census Tract]],'Population and Diversity Data'!$B$2:$K$823,10,FALSE)</f>
        <v>5</v>
      </c>
      <c r="R740" t="str">
        <f>VLOOKUP(Table3[[#This Row],[Census Tract]],'ES Energy Burden'!$B$2:$E$914,4,FALSE)</f>
        <v>Yes</v>
      </c>
    </row>
    <row r="741" spans="1:18" x14ac:dyDescent="0.2">
      <c r="A741" t="s">
        <v>982</v>
      </c>
      <c r="B741" s="169">
        <v>9009351300</v>
      </c>
      <c r="C741" t="s">
        <v>944</v>
      </c>
      <c r="D741" s="170">
        <f>[1]!Table3[[#This Row],[Residential CLM $ Collected]]+[1]!Table3[[#This Row],[C&amp;I CLM $ Collected]]</f>
        <v>42691.258617</v>
      </c>
      <c r="E741" s="28">
        <f>[1]!Table3[[#This Row],[CLM $ Collected ]]/'[1]1.) CLM Reference'!$B$4</f>
        <v>4.5958729180872298E-4</v>
      </c>
      <c r="F741" s="170">
        <f>[1]!Table3[[#This Row],[Residential Incentive Disbursements]]+[1]!Table3[[#This Row],[C&amp;I Incentive Disbursements]]</f>
        <v>28562.37</v>
      </c>
      <c r="G741" s="28">
        <f>[1]!Table3[[#This Row],[Incentive Disbursements]]/'[1]1.) CLM Reference'!$B$5</f>
        <v>2.2933130600533646E-4</v>
      </c>
      <c r="H741" s="228">
        <v>42691.258617</v>
      </c>
      <c r="I741" s="28">
        <f>[1]!Table3[[#This Row],[Residential CLM $ Collected]]/'[1]1.) CLM Reference'!$B$4</f>
        <v>4.5958729180872298E-4</v>
      </c>
      <c r="J741" s="229">
        <v>28562.37</v>
      </c>
      <c r="K741" s="28">
        <f>[1]!Table3[[#This Row],[Residential Incentive Disbursements]]/'[1]1.) CLM Reference'!$B$5</f>
        <v>2.2933130600533646E-4</v>
      </c>
      <c r="L741" s="229">
        <v>0</v>
      </c>
      <c r="M741" s="28">
        <f>[1]!Table3[[#This Row],[C&amp;I CLM $ Collected]]/'[1]1.) CLM Reference'!$B$4</f>
        <v>0</v>
      </c>
      <c r="N741" s="229">
        <v>0</v>
      </c>
      <c r="O741" s="28">
        <f>[1]!Table3[[#This Row],[C&amp;I Incentive Disbursements]]/'[1]1.) CLM Reference'!$B$5</f>
        <v>0</v>
      </c>
      <c r="Q741">
        <f>VLOOKUP(Table3[[#This Row],[Census Tract]],'Population and Diversity Data'!$B$2:$K$823,10,FALSE)</f>
        <v>5</v>
      </c>
      <c r="R741" t="str">
        <f>VLOOKUP(Table3[[#This Row],[Census Tract]],'ES Energy Burden'!$B$2:$E$914,4,FALSE)</f>
        <v>Yes</v>
      </c>
    </row>
    <row r="742" spans="1:18" x14ac:dyDescent="0.2">
      <c r="A742" t="s">
        <v>982</v>
      </c>
      <c r="B742" s="169">
        <v>9009351400</v>
      </c>
      <c r="C742" t="s">
        <v>944</v>
      </c>
      <c r="D742" s="170">
        <f>[1]!Table3[[#This Row],[Residential CLM $ Collected]]+[1]!Table3[[#This Row],[C&amp;I CLM $ Collected]]</f>
        <v>31006.797927000003</v>
      </c>
      <c r="E742" s="28">
        <f>[1]!Table3[[#This Row],[CLM $ Collected ]]/'[1]1.) CLM Reference'!$B$4</f>
        <v>3.337997226733358E-4</v>
      </c>
      <c r="F742" s="170">
        <f>[1]!Table3[[#This Row],[Residential Incentive Disbursements]]+[1]!Table3[[#This Row],[C&amp;I Incentive Disbursements]]</f>
        <v>18242.98</v>
      </c>
      <c r="G742" s="28">
        <f>[1]!Table3[[#This Row],[Incentive Disbursements]]/'[1]1.) CLM Reference'!$B$5</f>
        <v>1.4647546505521891E-4</v>
      </c>
      <c r="H742" s="228">
        <v>31006.797927000003</v>
      </c>
      <c r="I742" s="28">
        <f>[1]!Table3[[#This Row],[Residential CLM $ Collected]]/'[1]1.) CLM Reference'!$B$4</f>
        <v>3.337997226733358E-4</v>
      </c>
      <c r="J742" s="229">
        <v>18242.98</v>
      </c>
      <c r="K742" s="28">
        <f>[1]!Table3[[#This Row],[Residential Incentive Disbursements]]/'[1]1.) CLM Reference'!$B$5</f>
        <v>1.4647546505521891E-4</v>
      </c>
      <c r="L742" s="229">
        <v>0</v>
      </c>
      <c r="M742" s="28">
        <f>[1]!Table3[[#This Row],[C&amp;I CLM $ Collected]]/'[1]1.) CLM Reference'!$B$4</f>
        <v>0</v>
      </c>
      <c r="N742" s="229">
        <v>0</v>
      </c>
      <c r="O742" s="28">
        <f>[1]!Table3[[#This Row],[C&amp;I Incentive Disbursements]]/'[1]1.) CLM Reference'!$B$5</f>
        <v>0</v>
      </c>
      <c r="Q742">
        <f>VLOOKUP(Table3[[#This Row],[Census Tract]],'Population and Diversity Data'!$B$2:$K$823,10,FALSE)</f>
        <v>5</v>
      </c>
      <c r="R742" t="str">
        <f>VLOOKUP(Table3[[#This Row],[Census Tract]],'ES Energy Burden'!$B$2:$E$914,4,FALSE)</f>
        <v>Yes</v>
      </c>
    </row>
    <row r="743" spans="1:18" x14ac:dyDescent="0.2">
      <c r="A743" t="s">
        <v>982</v>
      </c>
      <c r="B743" s="169">
        <v>9009351500</v>
      </c>
      <c r="C743" t="s">
        <v>944</v>
      </c>
      <c r="D743" s="170">
        <f>[1]!Table3[[#This Row],[Residential CLM $ Collected]]+[1]!Table3[[#This Row],[C&amp;I CLM $ Collected]]</f>
        <v>1190353.5333270002</v>
      </c>
      <c r="E743" s="28">
        <f>[1]!Table3[[#This Row],[CLM $ Collected ]]/'[1]1.) CLM Reference'!$B$4</f>
        <v>1.2814598922573164E-2</v>
      </c>
      <c r="F743" s="170">
        <f>[1]!Table3[[#This Row],[Residential Incentive Disbursements]]+[1]!Table3[[#This Row],[C&amp;I Incentive Disbursements]]</f>
        <v>2379026.9295000001</v>
      </c>
      <c r="G743" s="28">
        <f>[1]!Table3[[#This Row],[Incentive Disbursements]]/'[1]1.) CLM Reference'!$B$5</f>
        <v>1.9101543491107376E-2</v>
      </c>
      <c r="H743" s="228">
        <v>596771.44550100004</v>
      </c>
      <c r="I743" s="28">
        <f>[1]!Table3[[#This Row],[Residential CLM $ Collected]]/'[1]1.) CLM Reference'!$B$4</f>
        <v>6.4244667726279115E-3</v>
      </c>
      <c r="J743" s="229">
        <v>1611142.2975000001</v>
      </c>
      <c r="K743" s="28">
        <f>[1]!Table3[[#This Row],[Residential Incentive Disbursements]]/'[1]1.) CLM Reference'!$B$5</f>
        <v>1.2936089240707735E-2</v>
      </c>
      <c r="L743" s="229">
        <v>593582.08782600006</v>
      </c>
      <c r="M743" s="28">
        <f>[1]!Table3[[#This Row],[C&amp;I CLM $ Collected]]/'[1]1.) CLM Reference'!$B$4</f>
        <v>6.3901321499452504E-3</v>
      </c>
      <c r="N743" s="229">
        <v>767884.63199999998</v>
      </c>
      <c r="O743" s="28">
        <f>[1]!Table3[[#This Row],[C&amp;I Incentive Disbursements]]/'[1]1.) CLM Reference'!$B$5</f>
        <v>6.1654542503996402E-3</v>
      </c>
      <c r="Q743">
        <f>VLOOKUP(Table3[[#This Row],[Census Tract]],'Population and Diversity Data'!$B$2:$K$823,10,FALSE)</f>
        <v>5</v>
      </c>
      <c r="R743" t="str">
        <f>VLOOKUP(Table3[[#This Row],[Census Tract]],'ES Energy Burden'!$B$2:$E$914,4,FALSE)</f>
        <v>No</v>
      </c>
    </row>
    <row r="744" spans="1:18" x14ac:dyDescent="0.2">
      <c r="A744" t="s">
        <v>982</v>
      </c>
      <c r="B744" s="169">
        <v>9009351601</v>
      </c>
      <c r="C744" t="s">
        <v>944</v>
      </c>
      <c r="D744" s="170">
        <f>[1]!Table3[[#This Row],[Residential CLM $ Collected]]+[1]!Table3[[#This Row],[C&amp;I CLM $ Collected]]</f>
        <v>30895.346160000001</v>
      </c>
      <c r="E744" s="28">
        <f>[1]!Table3[[#This Row],[CLM $ Collected ]]/'[1]1.) CLM Reference'!$B$4</f>
        <v>3.3259990291111333E-4</v>
      </c>
      <c r="F744" s="170">
        <f>[1]!Table3[[#This Row],[Residential Incentive Disbursements]]+[1]!Table3[[#This Row],[C&amp;I Incentive Disbursements]]</f>
        <v>118713.64</v>
      </c>
      <c r="G744" s="28">
        <f>[1]!Table3[[#This Row],[Incentive Disbursements]]/'[1]1.) CLM Reference'!$B$5</f>
        <v>9.5316859566791376E-4</v>
      </c>
      <c r="H744" s="228">
        <v>30895.346160000001</v>
      </c>
      <c r="I744" s="28">
        <f>[1]!Table3[[#This Row],[Residential CLM $ Collected]]/'[1]1.) CLM Reference'!$B$4</f>
        <v>3.3259990291111333E-4</v>
      </c>
      <c r="J744" s="229">
        <v>118713.64</v>
      </c>
      <c r="K744" s="28">
        <f>[1]!Table3[[#This Row],[Residential Incentive Disbursements]]/'[1]1.) CLM Reference'!$B$5</f>
        <v>9.5316859566791376E-4</v>
      </c>
      <c r="L744" s="229">
        <v>0</v>
      </c>
      <c r="M744" s="28">
        <f>[1]!Table3[[#This Row],[C&amp;I CLM $ Collected]]/'[1]1.) CLM Reference'!$B$4</f>
        <v>0</v>
      </c>
      <c r="N744" s="229">
        <v>0</v>
      </c>
      <c r="O744" s="28">
        <f>[1]!Table3[[#This Row],[C&amp;I Incentive Disbursements]]/'[1]1.) CLM Reference'!$B$5</f>
        <v>0</v>
      </c>
      <c r="Q744">
        <f>VLOOKUP(Table3[[#This Row],[Census Tract]],'Population and Diversity Data'!$B$2:$K$823,10,FALSE)</f>
        <v>3</v>
      </c>
      <c r="R744" t="str">
        <f>VLOOKUP(Table3[[#This Row],[Census Tract]],'ES Energy Burden'!$B$2:$E$914,4,FALSE)</f>
        <v>Yes</v>
      </c>
    </row>
    <row r="745" spans="1:18" x14ac:dyDescent="0.2">
      <c r="A745" t="s">
        <v>982</v>
      </c>
      <c r="B745" s="169">
        <v>9009351602</v>
      </c>
      <c r="C745" t="s">
        <v>944</v>
      </c>
      <c r="D745" s="170">
        <f>[1]!Table3[[#This Row],[Residential CLM $ Collected]]+[1]!Table3[[#This Row],[C&amp;I CLM $ Collected]]</f>
        <v>74318.513030999995</v>
      </c>
      <c r="E745" s="28">
        <f>[1]!Table3[[#This Row],[CLM $ Collected ]]/'[1]1.) CLM Reference'!$B$4</f>
        <v>8.0006645954372132E-4</v>
      </c>
      <c r="F745" s="170">
        <f>[1]!Table3[[#This Row],[Residential Incentive Disbursements]]+[1]!Table3[[#This Row],[C&amp;I Incentive Disbursements]]</f>
        <v>162698.62</v>
      </c>
      <c r="G745" s="28">
        <f>[1]!Table3[[#This Row],[Incentive Disbursements]]/'[1]1.) CLM Reference'!$B$5</f>
        <v>1.3063302173407162E-3</v>
      </c>
      <c r="H745" s="228">
        <v>74318.513030999995</v>
      </c>
      <c r="I745" s="28">
        <f>[1]!Table3[[#This Row],[Residential CLM $ Collected]]/'[1]1.) CLM Reference'!$B$4</f>
        <v>8.0006645954372132E-4</v>
      </c>
      <c r="J745" s="229">
        <v>162698.62</v>
      </c>
      <c r="K745" s="28">
        <f>[1]!Table3[[#This Row],[Residential Incentive Disbursements]]/'[1]1.) CLM Reference'!$B$5</f>
        <v>1.3063302173407162E-3</v>
      </c>
      <c r="L745" s="229">
        <v>0</v>
      </c>
      <c r="M745" s="28">
        <f>[1]!Table3[[#This Row],[C&amp;I CLM $ Collected]]/'[1]1.) CLM Reference'!$B$4</f>
        <v>0</v>
      </c>
      <c r="N745" s="229">
        <v>0</v>
      </c>
      <c r="O745" s="28">
        <f>[1]!Table3[[#This Row],[C&amp;I Incentive Disbursements]]/'[1]1.) CLM Reference'!$B$5</f>
        <v>0</v>
      </c>
      <c r="Q745">
        <f>VLOOKUP(Table3[[#This Row],[Census Tract]],'Population and Diversity Data'!$B$2:$K$823,10,FALSE)</f>
        <v>1</v>
      </c>
      <c r="R745" t="str">
        <f>VLOOKUP(Table3[[#This Row],[Census Tract]],'ES Energy Burden'!$B$2:$E$914,4,FALSE)</f>
        <v>No</v>
      </c>
    </row>
    <row r="746" spans="1:18" x14ac:dyDescent="0.2">
      <c r="A746" t="s">
        <v>982</v>
      </c>
      <c r="B746" s="169">
        <v>9009351700</v>
      </c>
      <c r="C746" t="s">
        <v>936</v>
      </c>
      <c r="D746" s="170">
        <f>[1]!Table3[[#This Row],[Residential CLM $ Collected]]+[1]!Table3[[#This Row],[C&amp;I CLM $ Collected]]</f>
        <v>23698.46745</v>
      </c>
      <c r="E746" s="28">
        <f>[1]!Table3[[#This Row],[CLM $ Collected ]]/'[1]1.) CLM Reference'!$B$4</f>
        <v>2.5512282439538067E-4</v>
      </c>
      <c r="F746" s="170">
        <f>[1]!Table3[[#This Row],[Residential Incentive Disbursements]]+[1]!Table3[[#This Row],[C&amp;I Incentive Disbursements]]</f>
        <v>33062.53</v>
      </c>
      <c r="G746" s="28">
        <f>[1]!Table3[[#This Row],[Incentive Disbursements]]/'[1]1.) CLM Reference'!$B$5</f>
        <v>2.6546372674048465E-4</v>
      </c>
      <c r="H746" s="228">
        <v>23698.46745</v>
      </c>
      <c r="I746" s="28">
        <f>[1]!Table3[[#This Row],[Residential CLM $ Collected]]/'[1]1.) CLM Reference'!$B$4</f>
        <v>2.5512282439538067E-4</v>
      </c>
      <c r="J746" s="229">
        <v>33062.53</v>
      </c>
      <c r="K746" s="28">
        <f>[1]!Table3[[#This Row],[Residential Incentive Disbursements]]/'[1]1.) CLM Reference'!$B$5</f>
        <v>2.6546372674048465E-4</v>
      </c>
      <c r="L746" s="229">
        <v>0</v>
      </c>
      <c r="M746" s="28">
        <f>[1]!Table3[[#This Row],[C&amp;I CLM $ Collected]]/'[1]1.) CLM Reference'!$B$4</f>
        <v>0</v>
      </c>
      <c r="N746" s="229">
        <v>0</v>
      </c>
      <c r="O746" s="28">
        <f>[1]!Table3[[#This Row],[C&amp;I Incentive Disbursements]]/'[1]1.) CLM Reference'!$B$5</f>
        <v>0</v>
      </c>
      <c r="Q746">
        <f>VLOOKUP(Table3[[#This Row],[Census Tract]],'Population and Diversity Data'!$B$2:$K$823,10,FALSE)</f>
        <v>3</v>
      </c>
      <c r="R746" t="str">
        <f>VLOOKUP(Table3[[#This Row],[Census Tract]],'ES Energy Burden'!$B$2:$E$914,4,FALSE)</f>
        <v>Yes</v>
      </c>
    </row>
    <row r="747" spans="1:18" x14ac:dyDescent="0.2">
      <c r="A747" t="s">
        <v>982</v>
      </c>
      <c r="B747" s="169">
        <v>9009351800</v>
      </c>
      <c r="C747" t="s">
        <v>944</v>
      </c>
      <c r="D747" s="170">
        <f>[1]!Table3[[#This Row],[Residential CLM $ Collected]]+[1]!Table3[[#This Row],[C&amp;I CLM $ Collected]]</f>
        <v>43962.579339000004</v>
      </c>
      <c r="E747" s="28">
        <f>[1]!Table3[[#This Row],[CLM $ Collected ]]/'[1]1.) CLM Reference'!$B$4</f>
        <v>4.7327353265924746E-4</v>
      </c>
      <c r="F747" s="170">
        <f>[1]!Table3[[#This Row],[Residential Incentive Disbursements]]+[1]!Table3[[#This Row],[C&amp;I Incentive Disbursements]]</f>
        <v>32703.31</v>
      </c>
      <c r="G747" s="28">
        <f>[1]!Table3[[#This Row],[Incentive Disbursements]]/'[1]1.) CLM Reference'!$B$5</f>
        <v>2.6257949858493466E-4</v>
      </c>
      <c r="H747" s="228">
        <v>43962.579339000004</v>
      </c>
      <c r="I747" s="28">
        <f>[1]!Table3[[#This Row],[Residential CLM $ Collected]]/'[1]1.) CLM Reference'!$B$4</f>
        <v>4.7327353265924746E-4</v>
      </c>
      <c r="J747" s="229">
        <v>32703.31</v>
      </c>
      <c r="K747" s="28">
        <f>[1]!Table3[[#This Row],[Residential Incentive Disbursements]]/'[1]1.) CLM Reference'!$B$5</f>
        <v>2.6257949858493466E-4</v>
      </c>
      <c r="L747" s="229">
        <v>0</v>
      </c>
      <c r="M747" s="28">
        <f>[1]!Table3[[#This Row],[C&amp;I CLM $ Collected]]/'[1]1.) CLM Reference'!$B$4</f>
        <v>0</v>
      </c>
      <c r="N747" s="229">
        <v>0</v>
      </c>
      <c r="O747" s="28">
        <f>[1]!Table3[[#This Row],[C&amp;I Incentive Disbursements]]/'[1]1.) CLM Reference'!$B$5</f>
        <v>0</v>
      </c>
      <c r="Q747">
        <f>VLOOKUP(Table3[[#This Row],[Census Tract]],'Population and Diversity Data'!$B$2:$K$823,10,FALSE)</f>
        <v>3</v>
      </c>
      <c r="R747" t="str">
        <f>VLOOKUP(Table3[[#This Row],[Census Tract]],'ES Energy Burden'!$B$2:$E$914,4,FALSE)</f>
        <v>No</v>
      </c>
    </row>
    <row r="748" spans="1:18" x14ac:dyDescent="0.2">
      <c r="A748" t="s">
        <v>982</v>
      </c>
      <c r="B748" s="169">
        <v>9009351900</v>
      </c>
      <c r="C748" t="s">
        <v>944</v>
      </c>
      <c r="D748" s="170">
        <f>[1]!Table3[[#This Row],[Residential CLM $ Collected]]+[1]!Table3[[#This Row],[C&amp;I CLM $ Collected]]</f>
        <v>25884.690636000003</v>
      </c>
      <c r="E748" s="28">
        <f>[1]!Table3[[#This Row],[CLM $ Collected ]]/'[1]1.) CLM Reference'!$B$4</f>
        <v>2.7865833086421725E-4</v>
      </c>
      <c r="F748" s="170">
        <f>[1]!Table3[[#This Row],[Residential Incentive Disbursements]]+[1]!Table3[[#This Row],[C&amp;I Incentive Disbursements]]</f>
        <v>43030.07</v>
      </c>
      <c r="G748" s="28">
        <f>[1]!Table3[[#This Row],[Incentive Disbursements]]/'[1]1.) CLM Reference'!$B$5</f>
        <v>3.4549451430679768E-4</v>
      </c>
      <c r="H748" s="228">
        <v>25884.690636000003</v>
      </c>
      <c r="I748" s="28">
        <f>[1]!Table3[[#This Row],[Residential CLM $ Collected]]/'[1]1.) CLM Reference'!$B$4</f>
        <v>2.7865833086421725E-4</v>
      </c>
      <c r="J748" s="229">
        <v>43030.07</v>
      </c>
      <c r="K748" s="28">
        <f>[1]!Table3[[#This Row],[Residential Incentive Disbursements]]/'[1]1.) CLM Reference'!$B$5</f>
        <v>3.4549451430679768E-4</v>
      </c>
      <c r="L748" s="229">
        <v>0</v>
      </c>
      <c r="M748" s="28">
        <f>[1]!Table3[[#This Row],[C&amp;I CLM $ Collected]]/'[1]1.) CLM Reference'!$B$4</f>
        <v>0</v>
      </c>
      <c r="N748" s="229">
        <v>0</v>
      </c>
      <c r="O748" s="28">
        <f>[1]!Table3[[#This Row],[C&amp;I Incentive Disbursements]]/'[1]1.) CLM Reference'!$B$5</f>
        <v>0</v>
      </c>
      <c r="Q748">
        <f>VLOOKUP(Table3[[#This Row],[Census Tract]],'Population and Diversity Data'!$B$2:$K$823,10,FALSE)</f>
        <v>4</v>
      </c>
      <c r="R748" t="str">
        <f>VLOOKUP(Table3[[#This Row],[Census Tract]],'ES Energy Burden'!$B$2:$E$914,4,FALSE)</f>
        <v>No</v>
      </c>
    </row>
    <row r="749" spans="1:18" x14ac:dyDescent="0.2">
      <c r="A749" t="s">
        <v>982</v>
      </c>
      <c r="B749" s="169">
        <v>9009352000</v>
      </c>
      <c r="C749" t="s">
        <v>944</v>
      </c>
      <c r="D749" s="170">
        <f>[1]!Table3[[#This Row],[Residential CLM $ Collected]]+[1]!Table3[[#This Row],[C&amp;I CLM $ Collected]]</f>
        <v>48736.955610000005</v>
      </c>
      <c r="E749" s="28">
        <f>[1]!Table3[[#This Row],[CLM $ Collected ]]/'[1]1.) CLM Reference'!$B$4</f>
        <v>5.2467147058724657E-4</v>
      </c>
      <c r="F749" s="170">
        <f>[1]!Table3[[#This Row],[Residential Incentive Disbursements]]+[1]!Table3[[#This Row],[C&amp;I Incentive Disbursements]]</f>
        <v>38986.54</v>
      </c>
      <c r="G749" s="28">
        <f>[1]!Table3[[#This Row],[Incentive Disbursements]]/'[1]1.) CLM Reference'!$B$5</f>
        <v>3.1302844038604954E-4</v>
      </c>
      <c r="H749" s="228">
        <v>48736.955610000005</v>
      </c>
      <c r="I749" s="28">
        <f>[1]!Table3[[#This Row],[Residential CLM $ Collected]]/'[1]1.) CLM Reference'!$B$4</f>
        <v>5.2467147058724657E-4</v>
      </c>
      <c r="J749" s="229">
        <v>38986.54</v>
      </c>
      <c r="K749" s="28">
        <f>[1]!Table3[[#This Row],[Residential Incentive Disbursements]]/'[1]1.) CLM Reference'!$B$5</f>
        <v>3.1302844038604954E-4</v>
      </c>
      <c r="L749" s="229">
        <v>0</v>
      </c>
      <c r="M749" s="28">
        <f>[1]!Table3[[#This Row],[C&amp;I CLM $ Collected]]/'[1]1.) CLM Reference'!$B$4</f>
        <v>0</v>
      </c>
      <c r="N749" s="229">
        <v>0</v>
      </c>
      <c r="O749" s="28">
        <f>[1]!Table3[[#This Row],[C&amp;I Incentive Disbursements]]/'[1]1.) CLM Reference'!$B$5</f>
        <v>0</v>
      </c>
      <c r="Q749">
        <f>VLOOKUP(Table3[[#This Row],[Census Tract]],'Population and Diversity Data'!$B$2:$K$823,10,FALSE)</f>
        <v>4</v>
      </c>
      <c r="R749" t="str">
        <f>VLOOKUP(Table3[[#This Row],[Census Tract]],'ES Energy Burden'!$B$2:$E$914,4,FALSE)</f>
        <v>No</v>
      </c>
    </row>
    <row r="750" spans="1:18" x14ac:dyDescent="0.2">
      <c r="A750" t="s">
        <v>982</v>
      </c>
      <c r="B750" s="169">
        <v>9009352100</v>
      </c>
      <c r="C750" t="s">
        <v>936</v>
      </c>
      <c r="D750" s="170">
        <f>[1]!Table3[[#This Row],[Residential CLM $ Collected]]+[1]!Table3[[#This Row],[C&amp;I CLM $ Collected]]</f>
        <v>38439.535680000001</v>
      </c>
      <c r="E750" s="28">
        <f>[1]!Table3[[#This Row],[CLM $ Collected ]]/'[1]1.) CLM Reference'!$B$4</f>
        <v>4.1381591159088264E-4</v>
      </c>
      <c r="F750" s="170">
        <f>[1]!Table3[[#This Row],[Residential Incentive Disbursements]]+[1]!Table3[[#This Row],[C&amp;I Incentive Disbursements]]</f>
        <v>48254.43</v>
      </c>
      <c r="G750" s="28">
        <f>[1]!Table3[[#This Row],[Incentive Disbursements]]/'[1]1.) CLM Reference'!$B$5</f>
        <v>3.8744163920721871E-4</v>
      </c>
      <c r="H750" s="228">
        <v>38439.535680000001</v>
      </c>
      <c r="I750" s="28">
        <f>[1]!Table3[[#This Row],[Residential CLM $ Collected]]/'[1]1.) CLM Reference'!$B$4</f>
        <v>4.1381591159088264E-4</v>
      </c>
      <c r="J750" s="229">
        <v>48254.43</v>
      </c>
      <c r="K750" s="28">
        <f>[1]!Table3[[#This Row],[Residential Incentive Disbursements]]/'[1]1.) CLM Reference'!$B$5</f>
        <v>3.8744163920721871E-4</v>
      </c>
      <c r="L750" s="229">
        <v>0</v>
      </c>
      <c r="M750" s="28">
        <f>[1]!Table3[[#This Row],[C&amp;I CLM $ Collected]]/'[1]1.) CLM Reference'!$B$4</f>
        <v>0</v>
      </c>
      <c r="N750" s="229">
        <v>0</v>
      </c>
      <c r="O750" s="28">
        <f>[1]!Table3[[#This Row],[C&amp;I Incentive Disbursements]]/'[1]1.) CLM Reference'!$B$5</f>
        <v>0</v>
      </c>
      <c r="Q750">
        <f>VLOOKUP(Table3[[#This Row],[Census Tract]],'Population and Diversity Data'!$B$2:$K$823,10,FALSE)</f>
        <v>2</v>
      </c>
      <c r="R750" t="str">
        <f>VLOOKUP(Table3[[#This Row],[Census Tract]],'ES Energy Burden'!$B$2:$E$914,4,FALSE)</f>
        <v>No</v>
      </c>
    </row>
    <row r="751" spans="1:18" x14ac:dyDescent="0.2">
      <c r="A751" t="s">
        <v>982</v>
      </c>
      <c r="B751" s="169">
        <v>9009352200</v>
      </c>
      <c r="C751" t="s">
        <v>944</v>
      </c>
      <c r="D751" s="170">
        <f>[1]!Table3[[#This Row],[Residential CLM $ Collected]]+[1]!Table3[[#This Row],[C&amp;I CLM $ Collected]]</f>
        <v>19370.41071</v>
      </c>
      <c r="E751" s="28">
        <f>[1]!Table3[[#This Row],[CLM $ Collected ]]/'[1]1.) CLM Reference'!$B$4</f>
        <v>2.0852968237124257E-4</v>
      </c>
      <c r="F751" s="170">
        <f>[1]!Table3[[#This Row],[Residential Incentive Disbursements]]+[1]!Table3[[#This Row],[C&amp;I Incentive Disbursements]]</f>
        <v>5523.22</v>
      </c>
      <c r="G751" s="28">
        <f>[1]!Table3[[#This Row],[Incentive Disbursements]]/'[1]1.) CLM Reference'!$B$5</f>
        <v>4.4346714084118176E-5</v>
      </c>
      <c r="H751" s="228">
        <v>19370.41071</v>
      </c>
      <c r="I751" s="28">
        <f>[1]!Table3[[#This Row],[Residential CLM $ Collected]]/'[1]1.) CLM Reference'!$B$4</f>
        <v>2.0852968237124257E-4</v>
      </c>
      <c r="J751" s="229">
        <v>5523.22</v>
      </c>
      <c r="K751" s="28">
        <f>[1]!Table3[[#This Row],[Residential Incentive Disbursements]]/'[1]1.) CLM Reference'!$B$5</f>
        <v>4.4346714084118176E-5</v>
      </c>
      <c r="L751" s="229">
        <v>0</v>
      </c>
      <c r="M751" s="28">
        <f>[1]!Table3[[#This Row],[C&amp;I CLM $ Collected]]/'[1]1.) CLM Reference'!$B$4</f>
        <v>0</v>
      </c>
      <c r="N751" s="229">
        <v>0</v>
      </c>
      <c r="O751" s="28">
        <f>[1]!Table3[[#This Row],[C&amp;I Incentive Disbursements]]/'[1]1.) CLM Reference'!$B$5</f>
        <v>0</v>
      </c>
      <c r="Q751">
        <f>VLOOKUP(Table3[[#This Row],[Census Tract]],'Population and Diversity Data'!$B$2:$K$823,10,FALSE)</f>
        <v>4</v>
      </c>
      <c r="R751" t="str">
        <f>VLOOKUP(Table3[[#This Row],[Census Tract]],'ES Energy Burden'!$B$2:$E$914,4,FALSE)</f>
        <v>Yes</v>
      </c>
    </row>
    <row r="752" spans="1:18" x14ac:dyDescent="0.2">
      <c r="A752" t="s">
        <v>982</v>
      </c>
      <c r="B752" s="169">
        <v>9009352300</v>
      </c>
      <c r="C752" t="s">
        <v>944</v>
      </c>
      <c r="D752" s="170">
        <f>[1]!Table3[[#This Row],[Residential CLM $ Collected]]+[1]!Table3[[#This Row],[C&amp;I CLM $ Collected]]</f>
        <v>22892.527854</v>
      </c>
      <c r="E752" s="28">
        <f>[1]!Table3[[#This Row],[CLM $ Collected ]]/'[1]1.) CLM Reference'!$B$4</f>
        <v>2.4644658461500652E-4</v>
      </c>
      <c r="F752" s="170">
        <f>[1]!Table3[[#This Row],[Residential Incentive Disbursements]]+[1]!Table3[[#This Row],[C&amp;I Incentive Disbursements]]</f>
        <v>24175.97</v>
      </c>
      <c r="G752" s="28">
        <f>[1]!Table3[[#This Row],[Incentive Disbursements]]/'[1]1.) CLM Reference'!$B$5</f>
        <v>1.941122803901019E-4</v>
      </c>
      <c r="H752" s="228">
        <v>22892.527854</v>
      </c>
      <c r="I752" s="28">
        <f>[1]!Table3[[#This Row],[Residential CLM $ Collected]]/'[1]1.) CLM Reference'!$B$4</f>
        <v>2.4644658461500652E-4</v>
      </c>
      <c r="J752" s="229">
        <v>24175.97</v>
      </c>
      <c r="K752" s="28">
        <f>[1]!Table3[[#This Row],[Residential Incentive Disbursements]]/'[1]1.) CLM Reference'!$B$5</f>
        <v>1.941122803901019E-4</v>
      </c>
      <c r="L752" s="229">
        <v>0</v>
      </c>
      <c r="M752" s="28">
        <f>[1]!Table3[[#This Row],[C&amp;I CLM $ Collected]]/'[1]1.) CLM Reference'!$B$4</f>
        <v>0</v>
      </c>
      <c r="N752" s="229">
        <v>0</v>
      </c>
      <c r="O752" s="28">
        <f>[1]!Table3[[#This Row],[C&amp;I Incentive Disbursements]]/'[1]1.) CLM Reference'!$B$5</f>
        <v>0</v>
      </c>
      <c r="Q752">
        <f>VLOOKUP(Table3[[#This Row],[Census Tract]],'Population and Diversity Data'!$B$2:$K$823,10,FALSE)</f>
        <v>2</v>
      </c>
      <c r="R752" t="str">
        <f>VLOOKUP(Table3[[#This Row],[Census Tract]],'ES Energy Burden'!$B$2:$E$914,4,FALSE)</f>
        <v>Yes</v>
      </c>
    </row>
    <row r="753" spans="1:18" x14ac:dyDescent="0.2">
      <c r="A753" t="s">
        <v>982</v>
      </c>
      <c r="B753" s="169">
        <v>9009352400</v>
      </c>
      <c r="C753" t="s">
        <v>944</v>
      </c>
      <c r="D753" s="170">
        <f>[1]!Table3[[#This Row],[Residential CLM $ Collected]]+[1]!Table3[[#This Row],[C&amp;I CLM $ Collected]]</f>
        <v>38637.741974999997</v>
      </c>
      <c r="E753" s="28">
        <f>[1]!Table3[[#This Row],[CLM $ Collected ]]/'[1]1.) CLM Reference'!$B$4</f>
        <v>4.1594967614338085E-4</v>
      </c>
      <c r="F753" s="170">
        <f>[1]!Table3[[#This Row],[Residential Incentive Disbursements]]+[1]!Table3[[#This Row],[C&amp;I Incentive Disbursements]]</f>
        <v>72312.13</v>
      </c>
      <c r="G753" s="28">
        <f>[1]!Table3[[#This Row],[Incentive Disbursements]]/'[1]1.) CLM Reference'!$B$5</f>
        <v>5.8060431304992103E-4</v>
      </c>
      <c r="H753" s="228">
        <v>38637.741974999997</v>
      </c>
      <c r="I753" s="28">
        <f>[1]!Table3[[#This Row],[Residential CLM $ Collected]]/'[1]1.) CLM Reference'!$B$4</f>
        <v>4.1594967614338085E-4</v>
      </c>
      <c r="J753" s="229">
        <v>72312.13</v>
      </c>
      <c r="K753" s="28">
        <f>[1]!Table3[[#This Row],[Residential Incentive Disbursements]]/'[1]1.) CLM Reference'!$B$5</f>
        <v>5.8060431304992103E-4</v>
      </c>
      <c r="L753" s="229">
        <v>0</v>
      </c>
      <c r="M753" s="28">
        <f>[1]!Table3[[#This Row],[C&amp;I CLM $ Collected]]/'[1]1.) CLM Reference'!$B$4</f>
        <v>0</v>
      </c>
      <c r="N753" s="229">
        <v>0</v>
      </c>
      <c r="O753" s="28">
        <f>[1]!Table3[[#This Row],[C&amp;I Incentive Disbursements]]/'[1]1.) CLM Reference'!$B$5</f>
        <v>0</v>
      </c>
      <c r="Q753">
        <f>VLOOKUP(Table3[[#This Row],[Census Tract]],'Population and Diversity Data'!$B$2:$K$823,10,FALSE)</f>
        <v>4</v>
      </c>
      <c r="R753" t="str">
        <f>VLOOKUP(Table3[[#This Row],[Census Tract]],'ES Energy Burden'!$B$2:$E$914,4,FALSE)</f>
        <v>Yes</v>
      </c>
    </row>
    <row r="754" spans="1:18" x14ac:dyDescent="0.2">
      <c r="A754" t="s">
        <v>982</v>
      </c>
      <c r="B754" s="169">
        <v>9009352500</v>
      </c>
      <c r="C754" t="s">
        <v>944</v>
      </c>
      <c r="D754" s="170">
        <f>[1]!Table3[[#This Row],[Residential CLM $ Collected]]+[1]!Table3[[#This Row],[C&amp;I CLM $ Collected]]</f>
        <v>38768.454333000001</v>
      </c>
      <c r="E754" s="28">
        <f>[1]!Table3[[#This Row],[CLM $ Collected ]]/'[1]1.) CLM Reference'!$B$4</f>
        <v>4.1735684333791358E-4</v>
      </c>
      <c r="F754" s="170">
        <f>[1]!Table3[[#This Row],[Residential Incentive Disbursements]]+[1]!Table3[[#This Row],[C&amp;I Incentive Disbursements]]</f>
        <v>72973.83</v>
      </c>
      <c r="G754" s="28">
        <f>[1]!Table3[[#This Row],[Incentive Disbursements]]/'[1]1.) CLM Reference'!$B$5</f>
        <v>5.8591719588085313E-4</v>
      </c>
      <c r="H754" s="228">
        <v>38768.454333000001</v>
      </c>
      <c r="I754" s="28">
        <f>[1]!Table3[[#This Row],[Residential CLM $ Collected]]/'[1]1.) CLM Reference'!$B$4</f>
        <v>4.1735684333791358E-4</v>
      </c>
      <c r="J754" s="229">
        <v>72973.83</v>
      </c>
      <c r="K754" s="28">
        <f>[1]!Table3[[#This Row],[Residential Incentive Disbursements]]/'[1]1.) CLM Reference'!$B$5</f>
        <v>5.8591719588085313E-4</v>
      </c>
      <c r="L754" s="229">
        <v>0</v>
      </c>
      <c r="M754" s="28">
        <f>[1]!Table3[[#This Row],[C&amp;I CLM $ Collected]]/'[1]1.) CLM Reference'!$B$4</f>
        <v>0</v>
      </c>
      <c r="N754" s="229">
        <v>0</v>
      </c>
      <c r="O754" s="28">
        <f>[1]!Table3[[#This Row],[C&amp;I Incentive Disbursements]]/'[1]1.) CLM Reference'!$B$5</f>
        <v>0</v>
      </c>
      <c r="Q754">
        <f>VLOOKUP(Table3[[#This Row],[Census Tract]],'Population and Diversity Data'!$B$2:$K$823,10,FALSE)</f>
        <v>3</v>
      </c>
      <c r="R754" t="str">
        <f>VLOOKUP(Table3[[#This Row],[Census Tract]],'ES Energy Burden'!$B$2:$E$914,4,FALSE)</f>
        <v>No</v>
      </c>
    </row>
    <row r="755" spans="1:18" x14ac:dyDescent="0.2">
      <c r="A755" t="s">
        <v>982</v>
      </c>
      <c r="B755" s="169">
        <v>9009352600</v>
      </c>
      <c r="C755" t="s">
        <v>944</v>
      </c>
      <c r="D755" s="170">
        <f>[1]!Table3[[#This Row],[Residential CLM $ Collected]]+[1]!Table3[[#This Row],[C&amp;I CLM $ Collected]]</f>
        <v>57566.171459999998</v>
      </c>
      <c r="E755" s="28">
        <f>[1]!Table3[[#This Row],[CLM $ Collected ]]/'[1]1.) CLM Reference'!$B$4</f>
        <v>6.1972126608988607E-4</v>
      </c>
      <c r="F755" s="170">
        <f>[1]!Table3[[#This Row],[Residential Incentive Disbursements]]+[1]!Table3[[#This Row],[C&amp;I Incentive Disbursements]]</f>
        <v>54329.26</v>
      </c>
      <c r="G755" s="28">
        <f>[1]!Table3[[#This Row],[Incentive Disbursements]]/'[1]1.) CLM Reference'!$B$5</f>
        <v>4.3621730795110795E-4</v>
      </c>
      <c r="H755" s="228">
        <v>57566.171459999998</v>
      </c>
      <c r="I755" s="28">
        <f>[1]!Table3[[#This Row],[Residential CLM $ Collected]]/'[1]1.) CLM Reference'!$B$4</f>
        <v>6.1972126608988607E-4</v>
      </c>
      <c r="J755" s="229">
        <v>54329.26</v>
      </c>
      <c r="K755" s="28">
        <f>[1]!Table3[[#This Row],[Residential Incentive Disbursements]]/'[1]1.) CLM Reference'!$B$5</f>
        <v>4.3621730795110795E-4</v>
      </c>
      <c r="L755" s="229">
        <v>0</v>
      </c>
      <c r="M755" s="28">
        <f>[1]!Table3[[#This Row],[C&amp;I CLM $ Collected]]/'[1]1.) CLM Reference'!$B$4</f>
        <v>0</v>
      </c>
      <c r="N755" s="229">
        <v>0</v>
      </c>
      <c r="O755" s="28">
        <f>[1]!Table3[[#This Row],[C&amp;I Incentive Disbursements]]/'[1]1.) CLM Reference'!$B$5</f>
        <v>0</v>
      </c>
      <c r="Q755">
        <f>VLOOKUP(Table3[[#This Row],[Census Tract]],'Population and Diversity Data'!$B$2:$K$823,10,FALSE)</f>
        <v>3</v>
      </c>
      <c r="R755" t="str">
        <f>VLOOKUP(Table3[[#This Row],[Census Tract]],'ES Energy Burden'!$B$2:$E$914,4,FALSE)</f>
        <v>Yes</v>
      </c>
    </row>
    <row r="756" spans="1:18" x14ac:dyDescent="0.2">
      <c r="A756" t="s">
        <v>982</v>
      </c>
      <c r="B756" s="169">
        <v>9009352701</v>
      </c>
      <c r="C756" t="s">
        <v>944</v>
      </c>
      <c r="D756" s="170">
        <f>[1]!Table3[[#This Row],[Residential CLM $ Collected]]+[1]!Table3[[#This Row],[C&amp;I CLM $ Collected]]</f>
        <v>23961.671054999999</v>
      </c>
      <c r="E756" s="28">
        <f>[1]!Table3[[#This Row],[CLM $ Collected ]]/'[1]1.) CLM Reference'!$B$4</f>
        <v>2.5795630918676305E-4</v>
      </c>
      <c r="F756" s="170">
        <f>[1]!Table3[[#This Row],[Residential Incentive Disbursements]]+[1]!Table3[[#This Row],[C&amp;I Incentive Disbursements]]</f>
        <v>3889.29</v>
      </c>
      <c r="G756" s="28">
        <f>[1]!Table3[[#This Row],[Incentive Disbursements]]/'[1]1.) CLM Reference'!$B$5</f>
        <v>3.1227659159008691E-5</v>
      </c>
      <c r="H756" s="228">
        <v>23961.671054999999</v>
      </c>
      <c r="I756" s="28">
        <f>[1]!Table3[[#This Row],[Residential CLM $ Collected]]/'[1]1.) CLM Reference'!$B$4</f>
        <v>2.5795630918676305E-4</v>
      </c>
      <c r="J756" s="229">
        <v>3889.29</v>
      </c>
      <c r="K756" s="28">
        <f>[1]!Table3[[#This Row],[Residential Incentive Disbursements]]/'[1]1.) CLM Reference'!$B$5</f>
        <v>3.1227659159008691E-5</v>
      </c>
      <c r="L756" s="229">
        <v>0</v>
      </c>
      <c r="M756" s="28">
        <f>[1]!Table3[[#This Row],[C&amp;I CLM $ Collected]]/'[1]1.) CLM Reference'!$B$4</f>
        <v>0</v>
      </c>
      <c r="N756" s="229">
        <v>0</v>
      </c>
      <c r="O756" s="28">
        <f>[1]!Table3[[#This Row],[C&amp;I Incentive Disbursements]]/'[1]1.) CLM Reference'!$B$5</f>
        <v>0</v>
      </c>
      <c r="Q756">
        <f>VLOOKUP(Table3[[#This Row],[Census Tract]],'Population and Diversity Data'!$B$2:$K$823,10,FALSE)</f>
        <v>4</v>
      </c>
      <c r="R756" t="str">
        <f>VLOOKUP(Table3[[#This Row],[Census Tract]],'ES Energy Burden'!$B$2:$E$914,4,FALSE)</f>
        <v>Yes</v>
      </c>
    </row>
    <row r="757" spans="1:18" x14ac:dyDescent="0.2">
      <c r="A757" t="s">
        <v>982</v>
      </c>
      <c r="B757" s="169">
        <v>9009352702</v>
      </c>
      <c r="C757" t="s">
        <v>944</v>
      </c>
      <c r="D757" s="170">
        <f>[1]!Table3[[#This Row],[Residential CLM $ Collected]]+[1]!Table3[[#This Row],[C&amp;I CLM $ Collected]]</f>
        <v>65231.542299000008</v>
      </c>
      <c r="E757" s="28">
        <f>[1]!Table3[[#This Row],[CLM $ Collected ]]/'[1]1.) CLM Reference'!$B$4</f>
        <v>7.0224183678120611E-4</v>
      </c>
      <c r="F757" s="170">
        <f>[1]!Table3[[#This Row],[Residential Incentive Disbursements]]+[1]!Table3[[#This Row],[C&amp;I Incentive Disbursements]]</f>
        <v>139502.82</v>
      </c>
      <c r="G757" s="28">
        <f>[1]!Table3[[#This Row],[Incentive Disbursements]]/'[1]1.) CLM Reference'!$B$5</f>
        <v>1.1200878604271064E-3</v>
      </c>
      <c r="H757" s="228">
        <v>65231.542299000008</v>
      </c>
      <c r="I757" s="28">
        <f>[1]!Table3[[#This Row],[Residential CLM $ Collected]]/'[1]1.) CLM Reference'!$B$4</f>
        <v>7.0224183678120611E-4</v>
      </c>
      <c r="J757" s="229">
        <v>139502.82</v>
      </c>
      <c r="K757" s="28">
        <f>[1]!Table3[[#This Row],[Residential Incentive Disbursements]]/'[1]1.) CLM Reference'!$B$5</f>
        <v>1.1200878604271064E-3</v>
      </c>
      <c r="L757" s="229">
        <v>0</v>
      </c>
      <c r="M757" s="28">
        <f>[1]!Table3[[#This Row],[C&amp;I CLM $ Collected]]/'[1]1.) CLM Reference'!$B$4</f>
        <v>0</v>
      </c>
      <c r="N757" s="229">
        <v>0</v>
      </c>
      <c r="O757" s="28">
        <f>[1]!Table3[[#This Row],[C&amp;I Incentive Disbursements]]/'[1]1.) CLM Reference'!$B$5</f>
        <v>0</v>
      </c>
      <c r="Q757">
        <f>VLOOKUP(Table3[[#This Row],[Census Tract]],'Population and Diversity Data'!$B$2:$K$823,10,FALSE)</f>
        <v>4</v>
      </c>
      <c r="R757" t="str">
        <f>VLOOKUP(Table3[[#This Row],[Census Tract]],'ES Energy Burden'!$B$2:$E$914,4,FALSE)</f>
        <v>No</v>
      </c>
    </row>
    <row r="758" spans="1:18" x14ac:dyDescent="0.2">
      <c r="A758" t="s">
        <v>982</v>
      </c>
      <c r="B758" s="169">
        <v>9009352800</v>
      </c>
      <c r="C758" t="s">
        <v>944</v>
      </c>
      <c r="D758" s="170">
        <f>[1]!Table3[[#This Row],[Residential CLM $ Collected]]+[1]!Table3[[#This Row],[C&amp;I CLM $ Collected]]</f>
        <v>57099.472227000006</v>
      </c>
      <c r="E758" s="28">
        <f>[1]!Table3[[#This Row],[CLM $ Collected ]]/'[1]1.) CLM Reference'!$B$4</f>
        <v>6.1469707510718543E-4</v>
      </c>
      <c r="F758" s="170">
        <f>[1]!Table3[[#This Row],[Residential Incentive Disbursements]]+[1]!Table3[[#This Row],[C&amp;I Incentive Disbursements]]</f>
        <v>108308.37</v>
      </c>
      <c r="G758" s="28">
        <f>[1]!Table3[[#This Row],[Incentive Disbursements]]/'[1]1.) CLM Reference'!$B$5</f>
        <v>8.6962321205870526E-4</v>
      </c>
      <c r="H758" s="228">
        <v>57099.472227000006</v>
      </c>
      <c r="I758" s="28">
        <f>[1]!Table3[[#This Row],[Residential CLM $ Collected]]/'[1]1.) CLM Reference'!$B$4</f>
        <v>6.1469707510718543E-4</v>
      </c>
      <c r="J758" s="229">
        <v>108308.37</v>
      </c>
      <c r="K758" s="28">
        <f>[1]!Table3[[#This Row],[Residential Incentive Disbursements]]/'[1]1.) CLM Reference'!$B$5</f>
        <v>8.6962321205870526E-4</v>
      </c>
      <c r="L758" s="229">
        <v>0</v>
      </c>
      <c r="M758" s="28">
        <f>[1]!Table3[[#This Row],[C&amp;I CLM $ Collected]]/'[1]1.) CLM Reference'!$B$4</f>
        <v>0</v>
      </c>
      <c r="N758" s="229">
        <v>0</v>
      </c>
      <c r="O758" s="28">
        <f>[1]!Table3[[#This Row],[C&amp;I Incentive Disbursements]]/'[1]1.) CLM Reference'!$B$5</f>
        <v>0</v>
      </c>
      <c r="Q758">
        <f>VLOOKUP(Table3[[#This Row],[Census Tract]],'Population and Diversity Data'!$B$2:$K$823,10,FALSE)</f>
        <v>5</v>
      </c>
      <c r="R758" t="str">
        <f>VLOOKUP(Table3[[#This Row],[Census Tract]],'ES Energy Burden'!$B$2:$E$914,4,FALSE)</f>
        <v>No</v>
      </c>
    </row>
    <row r="759" spans="1:18" x14ac:dyDescent="0.2">
      <c r="A759" t="s">
        <v>982</v>
      </c>
      <c r="B759" s="169">
        <v>9009361100</v>
      </c>
      <c r="C759" t="s">
        <v>944</v>
      </c>
      <c r="D759" s="170">
        <f>[1]!Table3[[#This Row],[Residential CLM $ Collected]]+[1]!Table3[[#This Row],[C&amp;I CLM $ Collected]]</f>
        <v>292.78010999999998</v>
      </c>
      <c r="E759" s="28">
        <f>[1]!Table3[[#This Row],[CLM $ Collected ]]/'[1]1.) CLM Reference'!$B$4</f>
        <v>3.1518868782373618E-6</v>
      </c>
      <c r="F759" s="170">
        <f>[1]!Table3[[#This Row],[Residential Incentive Disbursements]]+[1]!Table3[[#This Row],[C&amp;I Incentive Disbursements]]</f>
        <v>0</v>
      </c>
      <c r="G759" s="28">
        <f>[1]!Table3[[#This Row],[Incentive Disbursements]]/'[1]1.) CLM Reference'!$B$5</f>
        <v>0</v>
      </c>
      <c r="H759" s="228">
        <v>292.78010999999998</v>
      </c>
      <c r="I759" s="28">
        <f>[1]!Table3[[#This Row],[Residential CLM $ Collected]]/'[1]1.) CLM Reference'!$B$4</f>
        <v>3.1518868782373618E-6</v>
      </c>
      <c r="J759" s="229">
        <v>0</v>
      </c>
      <c r="K759" s="28">
        <f>[1]!Table3[[#This Row],[Residential Incentive Disbursements]]/'[1]1.) CLM Reference'!$B$5</f>
        <v>0</v>
      </c>
      <c r="L759" s="229">
        <v>0</v>
      </c>
      <c r="M759" s="28">
        <f>[1]!Table3[[#This Row],[C&amp;I CLM $ Collected]]/'[1]1.) CLM Reference'!$B$4</f>
        <v>0</v>
      </c>
      <c r="N759" s="229">
        <v>0</v>
      </c>
      <c r="O759" s="28">
        <f>[1]!Table3[[#This Row],[C&amp;I Incentive Disbursements]]/'[1]1.) CLM Reference'!$B$5</f>
        <v>0</v>
      </c>
      <c r="Q759">
        <f>VLOOKUP(Table3[[#This Row],[Census Tract]],'Population and Diversity Data'!$B$2:$K$823,10,FALSE)</f>
        <v>2</v>
      </c>
      <c r="R759" t="str">
        <f>VLOOKUP(Table3[[#This Row],[Census Tract]],'ES Energy Burden'!$B$2:$E$914,4,FALSE)</f>
        <v>No</v>
      </c>
    </row>
    <row r="760" spans="1:18" x14ac:dyDescent="0.2">
      <c r="A760" t="s">
        <v>2858</v>
      </c>
      <c r="B760" s="169">
        <v>9011690300</v>
      </c>
      <c r="C760" t="s">
        <v>944</v>
      </c>
      <c r="D760" s="170">
        <f>[1]!Table3[[#This Row],[Residential CLM $ Collected]]+[1]!Table3[[#This Row],[C&amp;I CLM $ Collected]]</f>
        <v>26.410440000000001</v>
      </c>
      <c r="E760" s="28">
        <f>[1]!Table3[[#This Row],[CLM $ Collected ]]/'[1]1.) CLM Reference'!$B$4</f>
        <v>2.8431821848989388E-7</v>
      </c>
      <c r="F760" s="170">
        <f>[1]!Table3[[#This Row],[Residential Incentive Disbursements]]+[1]!Table3[[#This Row],[C&amp;I Incentive Disbursements]]</f>
        <v>19380.12</v>
      </c>
      <c r="G760" s="28">
        <f>[1]!Table3[[#This Row],[Incentive Disbursements]]/'[1]1.) CLM Reference'!$B$5</f>
        <v>1.5560572284933433E-4</v>
      </c>
      <c r="H760" s="228">
        <v>26.410440000000001</v>
      </c>
      <c r="I760" s="28">
        <f>[1]!Table3[[#This Row],[Residential CLM $ Collected]]/'[1]1.) CLM Reference'!$B$4</f>
        <v>2.8431821848989388E-7</v>
      </c>
      <c r="J760" s="229">
        <v>19380.12</v>
      </c>
      <c r="K760" s="28">
        <f>[1]!Table3[[#This Row],[Residential Incentive Disbursements]]/'[1]1.) CLM Reference'!$B$5</f>
        <v>1.5560572284933433E-4</v>
      </c>
      <c r="L760" s="229">
        <v>0</v>
      </c>
      <c r="M760" s="28">
        <f>[1]!Table3[[#This Row],[C&amp;I CLM $ Collected]]/'[1]1.) CLM Reference'!$B$4</f>
        <v>0</v>
      </c>
      <c r="N760" s="229">
        <v>0</v>
      </c>
      <c r="O760" s="28">
        <f>[1]!Table3[[#This Row],[C&amp;I Incentive Disbursements]]/'[1]1.) CLM Reference'!$B$5</f>
        <v>0</v>
      </c>
      <c r="Q760">
        <f>VLOOKUP(Table3[[#This Row],[Census Tract]],'Population and Diversity Data'!$B$2:$K$823,10,FALSE)</f>
        <v>5</v>
      </c>
      <c r="R760" t="str">
        <f>VLOOKUP(Table3[[#This Row],[Census Tract]],'ES Energy Burden'!$B$2:$E$914,4,FALSE)</f>
        <v>No</v>
      </c>
    </row>
    <row r="761" spans="1:18" x14ac:dyDescent="0.2">
      <c r="A761" t="s">
        <v>2858</v>
      </c>
      <c r="B761" s="169">
        <v>9011693300</v>
      </c>
      <c r="C761" t="s">
        <v>944</v>
      </c>
      <c r="D761" s="170">
        <f>[1]!Table3[[#This Row],[Residential CLM $ Collected]]+[1]!Table3[[#This Row],[C&amp;I CLM $ Collected]]</f>
        <v>327100.77140999999</v>
      </c>
      <c r="E761" s="28">
        <f>[1]!Table3[[#This Row],[CLM $ Collected ]]/'[1]1.) CLM Reference'!$B$4</f>
        <v>3.5213615749666118E-3</v>
      </c>
      <c r="F761" s="170">
        <f>[1]!Table3[[#This Row],[Residential Incentive Disbursements]]+[1]!Table3[[#This Row],[C&amp;I Incentive Disbursements]]</f>
        <v>414869.36</v>
      </c>
      <c r="G761" s="28">
        <f>[1]!Table3[[#This Row],[Incentive Disbursements]]/'[1]1.) CLM Reference'!$B$5</f>
        <v>3.3310447329965298E-3</v>
      </c>
      <c r="H761" s="228">
        <v>188488.64073899999</v>
      </c>
      <c r="I761" s="28">
        <f>[1]!Table3[[#This Row],[Residential CLM $ Collected]]/'[1]1.) CLM Reference'!$B$4</f>
        <v>2.0291503867597097E-3</v>
      </c>
      <c r="J761" s="229">
        <v>385602.36</v>
      </c>
      <c r="K761" s="28">
        <f>[1]!Table3[[#This Row],[Residential Incentive Disbursements]]/'[1]1.) CLM Reference'!$B$5</f>
        <v>3.0960558531221293E-3</v>
      </c>
      <c r="L761" s="229">
        <v>138612.13067099999</v>
      </c>
      <c r="M761" s="28">
        <f>[1]!Table3[[#This Row],[C&amp;I CLM $ Collected]]/'[1]1.) CLM Reference'!$B$4</f>
        <v>1.4922111882069019E-3</v>
      </c>
      <c r="N761" s="229">
        <v>29267</v>
      </c>
      <c r="O761" s="28">
        <f>[1]!Table3[[#This Row],[C&amp;I Incentive Disbursements]]/'[1]1.) CLM Reference'!$B$5</f>
        <v>2.3498887987440055E-4</v>
      </c>
      <c r="Q761">
        <f>VLOOKUP(Table3[[#This Row],[Census Tract]],'Population and Diversity Data'!$B$2:$K$823,10,FALSE)</f>
        <v>4</v>
      </c>
      <c r="R761" t="str">
        <f>VLOOKUP(Table3[[#This Row],[Census Tract]],'ES Energy Burden'!$B$2:$E$914,4,FALSE)</f>
        <v>No</v>
      </c>
    </row>
    <row r="762" spans="1:18" x14ac:dyDescent="0.2">
      <c r="A762" t="s">
        <v>2858</v>
      </c>
      <c r="B762" s="169">
        <v>9011693400</v>
      </c>
      <c r="C762" t="s">
        <v>944</v>
      </c>
      <c r="D762" s="170">
        <f>[1]!Table3[[#This Row],[Residential CLM $ Collected]]+[1]!Table3[[#This Row],[C&amp;I CLM $ Collected]]</f>
        <v>45235.504587000003</v>
      </c>
      <c r="E762" s="28">
        <f>[1]!Table3[[#This Row],[CLM $ Collected ]]/'[1]1.) CLM Reference'!$B$4</f>
        <v>4.8697704682948342E-4</v>
      </c>
      <c r="F762" s="170">
        <f>[1]!Table3[[#This Row],[Residential Incentive Disbursements]]+[1]!Table3[[#This Row],[C&amp;I Incentive Disbursements]]</f>
        <v>38042.25</v>
      </c>
      <c r="G762" s="28">
        <f>[1]!Table3[[#This Row],[Incentive Disbursements]]/'[1]1.) CLM Reference'!$B$5</f>
        <v>3.0544660250117587E-4</v>
      </c>
      <c r="H762" s="228">
        <v>45235.504587000003</v>
      </c>
      <c r="I762" s="28">
        <f>[1]!Table3[[#This Row],[Residential CLM $ Collected]]/'[1]1.) CLM Reference'!$B$4</f>
        <v>4.8697704682948342E-4</v>
      </c>
      <c r="J762" s="229">
        <v>38042.25</v>
      </c>
      <c r="K762" s="28">
        <f>[1]!Table3[[#This Row],[Residential Incentive Disbursements]]/'[1]1.) CLM Reference'!$B$5</f>
        <v>3.0544660250117587E-4</v>
      </c>
      <c r="L762" s="229">
        <v>0</v>
      </c>
      <c r="M762" s="28">
        <f>[1]!Table3[[#This Row],[C&amp;I CLM $ Collected]]/'[1]1.) CLM Reference'!$B$4</f>
        <v>0</v>
      </c>
      <c r="N762" s="229">
        <v>0</v>
      </c>
      <c r="O762" s="28">
        <f>[1]!Table3[[#This Row],[C&amp;I Incentive Disbursements]]/'[1]1.) CLM Reference'!$B$5</f>
        <v>0</v>
      </c>
      <c r="Q762">
        <f>VLOOKUP(Table3[[#This Row],[Census Tract]],'Population and Diversity Data'!$B$2:$K$823,10,FALSE)</f>
        <v>3</v>
      </c>
      <c r="R762" t="str">
        <f>VLOOKUP(Table3[[#This Row],[Census Tract]],'ES Energy Burden'!$B$2:$E$914,4,FALSE)</f>
        <v>No</v>
      </c>
    </row>
    <row r="763" spans="1:18" x14ac:dyDescent="0.2">
      <c r="A763" t="s">
        <v>2858</v>
      </c>
      <c r="B763" s="169">
        <v>9011693500</v>
      </c>
      <c r="C763" t="s">
        <v>944</v>
      </c>
      <c r="D763" s="170">
        <f>[1]!Table3[[#This Row],[Residential CLM $ Collected]]+[1]!Table3[[#This Row],[C&amp;I CLM $ Collected]]</f>
        <v>48281.161550999997</v>
      </c>
      <c r="E763" s="28">
        <f>[1]!Table3[[#This Row],[CLM $ Collected ]]/'[1]1.) CLM Reference'!$B$4</f>
        <v>5.1976467786235591E-4</v>
      </c>
      <c r="F763" s="170">
        <f>[1]!Table3[[#This Row],[Residential Incentive Disbursements]]+[1]!Table3[[#This Row],[C&amp;I Incentive Disbursements]]</f>
        <v>80646.14</v>
      </c>
      <c r="G763" s="28">
        <f>[1]!Table3[[#This Row],[Incentive Disbursements]]/'[1]1.) CLM Reference'!$B$5</f>
        <v>6.4751925734766427E-4</v>
      </c>
      <c r="H763" s="228">
        <v>48281.161550999997</v>
      </c>
      <c r="I763" s="28">
        <f>[1]!Table3[[#This Row],[Residential CLM $ Collected]]/'[1]1.) CLM Reference'!$B$4</f>
        <v>5.1976467786235591E-4</v>
      </c>
      <c r="J763" s="229">
        <v>80646.14</v>
      </c>
      <c r="K763" s="28">
        <f>[1]!Table3[[#This Row],[Residential Incentive Disbursements]]/'[1]1.) CLM Reference'!$B$5</f>
        <v>6.4751925734766427E-4</v>
      </c>
      <c r="L763" s="229">
        <v>0</v>
      </c>
      <c r="M763" s="28">
        <f>[1]!Table3[[#This Row],[C&amp;I CLM $ Collected]]/'[1]1.) CLM Reference'!$B$4</f>
        <v>0</v>
      </c>
      <c r="N763" s="229">
        <v>0</v>
      </c>
      <c r="O763" s="28">
        <f>[1]!Table3[[#This Row],[C&amp;I Incentive Disbursements]]/'[1]1.) CLM Reference'!$B$5</f>
        <v>0</v>
      </c>
      <c r="Q763">
        <f>VLOOKUP(Table3[[#This Row],[Census Tract]],'Population and Diversity Data'!$B$2:$K$823,10,FALSE)</f>
        <v>1</v>
      </c>
      <c r="R763" t="str">
        <f>VLOOKUP(Table3[[#This Row],[Census Tract]],'ES Energy Burden'!$B$2:$E$914,4,FALSE)</f>
        <v>No</v>
      </c>
    </row>
    <row r="764" spans="1:18" x14ac:dyDescent="0.2">
      <c r="A764" t="s">
        <v>2858</v>
      </c>
      <c r="B764" s="169">
        <v>9011693600</v>
      </c>
      <c r="C764" t="s">
        <v>944</v>
      </c>
      <c r="D764" s="170">
        <f>[1]!Table3[[#This Row],[Residential CLM $ Collected]]+[1]!Table3[[#This Row],[C&amp;I CLM $ Collected]]</f>
        <v>30911.518448999999</v>
      </c>
      <c r="E764" s="28">
        <f>[1]!Table3[[#This Row],[CLM $ Collected ]]/'[1]1.) CLM Reference'!$B$4</f>
        <v>3.3277400362270249E-4</v>
      </c>
      <c r="F764" s="170">
        <f>[1]!Table3[[#This Row],[Residential Incentive Disbursements]]+[1]!Table3[[#This Row],[C&amp;I Incentive Disbursements]]</f>
        <v>21870.935000000001</v>
      </c>
      <c r="G764" s="28">
        <f>[1]!Table3[[#This Row],[Incentive Disbursements]]/'[1]1.) CLM Reference'!$B$5</f>
        <v>1.7560482855966868E-4</v>
      </c>
      <c r="H764" s="228">
        <v>30911.518448999999</v>
      </c>
      <c r="I764" s="28">
        <f>[1]!Table3[[#This Row],[Residential CLM $ Collected]]/'[1]1.) CLM Reference'!$B$4</f>
        <v>3.3277400362270249E-4</v>
      </c>
      <c r="J764" s="229">
        <v>21870.935000000001</v>
      </c>
      <c r="K764" s="28">
        <f>[1]!Table3[[#This Row],[Residential Incentive Disbursements]]/'[1]1.) CLM Reference'!$B$5</f>
        <v>1.7560482855966868E-4</v>
      </c>
      <c r="L764" s="229">
        <v>0</v>
      </c>
      <c r="M764" s="28">
        <f>[1]!Table3[[#This Row],[C&amp;I CLM $ Collected]]/'[1]1.) CLM Reference'!$B$4</f>
        <v>0</v>
      </c>
      <c r="N764" s="229">
        <v>0</v>
      </c>
      <c r="O764" s="28">
        <f>[1]!Table3[[#This Row],[C&amp;I Incentive Disbursements]]/'[1]1.) CLM Reference'!$B$5</f>
        <v>0</v>
      </c>
      <c r="Q764">
        <f>VLOOKUP(Table3[[#This Row],[Census Tract]],'Population and Diversity Data'!$B$2:$K$823,10,FALSE)</f>
        <v>2</v>
      </c>
      <c r="R764" t="str">
        <f>VLOOKUP(Table3[[#This Row],[Census Tract]],'ES Energy Burden'!$B$2:$E$914,4,FALSE)</f>
        <v>No</v>
      </c>
    </row>
    <row r="765" spans="1:18" x14ac:dyDescent="0.2">
      <c r="A765" t="s">
        <v>2858</v>
      </c>
      <c r="B765" s="169">
        <v>9011693700</v>
      </c>
      <c r="C765" t="s">
        <v>944</v>
      </c>
      <c r="D765" s="170">
        <f>[1]!Table3[[#This Row],[Residential CLM $ Collected]]+[1]!Table3[[#This Row],[C&amp;I CLM $ Collected]]</f>
        <v>38782.259439000001</v>
      </c>
      <c r="E765" s="28">
        <f>[1]!Table3[[#This Row],[CLM $ Collected ]]/'[1]1.) CLM Reference'!$B$4</f>
        <v>4.1750546044326981E-4</v>
      </c>
      <c r="F765" s="170">
        <f>[1]!Table3[[#This Row],[Residential Incentive Disbursements]]+[1]!Table3[[#This Row],[C&amp;I Incentive Disbursements]]</f>
        <v>54294.33</v>
      </c>
      <c r="G765" s="28">
        <f>[1]!Table3[[#This Row],[Incentive Disbursements]]/'[1]1.) CLM Reference'!$B$5</f>
        <v>4.3593685004377159E-4</v>
      </c>
      <c r="H765" s="228">
        <v>38782.259439000001</v>
      </c>
      <c r="I765" s="28">
        <f>[1]!Table3[[#This Row],[Residential CLM $ Collected]]/'[1]1.) CLM Reference'!$B$4</f>
        <v>4.1750546044326981E-4</v>
      </c>
      <c r="J765" s="229">
        <v>54294.33</v>
      </c>
      <c r="K765" s="28">
        <f>[1]!Table3[[#This Row],[Residential Incentive Disbursements]]/'[1]1.) CLM Reference'!$B$5</f>
        <v>4.3593685004377159E-4</v>
      </c>
      <c r="L765" s="229">
        <v>0</v>
      </c>
      <c r="M765" s="28">
        <f>[1]!Table3[[#This Row],[C&amp;I CLM $ Collected]]/'[1]1.) CLM Reference'!$B$4</f>
        <v>0</v>
      </c>
      <c r="N765" s="229">
        <v>0</v>
      </c>
      <c r="O765" s="28">
        <f>[1]!Table3[[#This Row],[C&amp;I Incentive Disbursements]]/'[1]1.) CLM Reference'!$B$5</f>
        <v>0</v>
      </c>
      <c r="Q765">
        <f>VLOOKUP(Table3[[#This Row],[Census Tract]],'Population and Diversity Data'!$B$2:$K$823,10,FALSE)</f>
        <v>4</v>
      </c>
      <c r="R765" t="str">
        <f>VLOOKUP(Table3[[#This Row],[Census Tract]],'ES Energy Burden'!$B$2:$E$914,4,FALSE)</f>
        <v>No</v>
      </c>
    </row>
    <row r="766" spans="1:18" x14ac:dyDescent="0.2">
      <c r="A766" t="s">
        <v>2858</v>
      </c>
      <c r="B766" s="169">
        <v>9011870502</v>
      </c>
      <c r="C766" t="s">
        <v>944</v>
      </c>
      <c r="D766" s="170">
        <f>[1]!Table3[[#This Row],[Residential CLM $ Collected]]+[1]!Table3[[#This Row],[C&amp;I CLM $ Collected]]</f>
        <v>10.51491</v>
      </c>
      <c r="E766" s="28">
        <f>[1]!Table3[[#This Row],[CLM $ Collected ]]/'[1]1.) CLM Reference'!$B$4</f>
        <v>1.1319692056556308E-7</v>
      </c>
      <c r="F766" s="170">
        <f>[1]!Table3[[#This Row],[Residential Incentive Disbursements]]+[1]!Table3[[#This Row],[C&amp;I Incentive Disbursements]]</f>
        <v>0</v>
      </c>
      <c r="G766" s="28">
        <f>[1]!Table3[[#This Row],[Incentive Disbursements]]/'[1]1.) CLM Reference'!$B$5</f>
        <v>0</v>
      </c>
      <c r="H766" s="228">
        <v>10.51491</v>
      </c>
      <c r="I766" s="28">
        <f>[1]!Table3[[#This Row],[Residential CLM $ Collected]]/'[1]1.) CLM Reference'!$B$4</f>
        <v>1.1319692056556308E-7</v>
      </c>
      <c r="J766" s="229">
        <v>0</v>
      </c>
      <c r="K766" s="28">
        <f>[1]!Table3[[#This Row],[Residential Incentive Disbursements]]/'[1]1.) CLM Reference'!$B$5</f>
        <v>0</v>
      </c>
      <c r="L766" s="229">
        <v>0</v>
      </c>
      <c r="M766" s="28">
        <f>[1]!Table3[[#This Row],[C&amp;I CLM $ Collected]]/'[1]1.) CLM Reference'!$B$4</f>
        <v>0</v>
      </c>
      <c r="N766" s="229">
        <v>0</v>
      </c>
      <c r="O766" s="28">
        <f>[1]!Table3[[#This Row],[C&amp;I Incentive Disbursements]]/'[1]1.) CLM Reference'!$B$5</f>
        <v>0</v>
      </c>
      <c r="Q766">
        <f>VLOOKUP(Table3[[#This Row],[Census Tract]],'Population and Diversity Data'!$B$2:$K$823,10,FALSE)</f>
        <v>5</v>
      </c>
      <c r="R766" t="str">
        <f>VLOOKUP(Table3[[#This Row],[Census Tract]],'ES Energy Burden'!$B$2:$E$914,4,FALSE)</f>
        <v>No</v>
      </c>
    </row>
    <row r="767" spans="1:18" x14ac:dyDescent="0.2">
      <c r="A767" t="s">
        <v>2859</v>
      </c>
      <c r="B767" s="169">
        <v>9005342100</v>
      </c>
      <c r="C767" t="s">
        <v>944</v>
      </c>
      <c r="D767" s="170">
        <f>[1]!Table3[[#This Row],[Residential CLM $ Collected]]+[1]!Table3[[#This Row],[C&amp;I CLM $ Collected]]</f>
        <v>65.538269999999997</v>
      </c>
      <c r="E767" s="28">
        <f>[1]!Table3[[#This Row],[CLM $ Collected ]]/'[1]1.) CLM Reference'!$B$4</f>
        <v>7.0554387466886791E-7</v>
      </c>
      <c r="F767" s="170">
        <f>[1]!Table3[[#This Row],[Residential Incentive Disbursements]]+[1]!Table3[[#This Row],[C&amp;I Incentive Disbursements]]</f>
        <v>24003.5</v>
      </c>
      <c r="G767" s="28">
        <f>[1]!Table3[[#This Row],[Incentive Disbursements]]/'[1]1.) CLM Reference'!$B$5</f>
        <v>1.9272749438156196E-4</v>
      </c>
      <c r="H767" s="228">
        <v>65.538269999999997</v>
      </c>
      <c r="I767" s="28">
        <f>[1]!Table3[[#This Row],[Residential CLM $ Collected]]/'[1]1.) CLM Reference'!$B$4</f>
        <v>7.0554387466886791E-7</v>
      </c>
      <c r="J767" s="229">
        <v>24003.5</v>
      </c>
      <c r="K767" s="28">
        <f>[1]!Table3[[#This Row],[Residential Incentive Disbursements]]/'[1]1.) CLM Reference'!$B$5</f>
        <v>1.9272749438156196E-4</v>
      </c>
      <c r="L767" s="229">
        <v>0</v>
      </c>
      <c r="M767" s="28">
        <f>[1]!Table3[[#This Row],[C&amp;I CLM $ Collected]]/'[1]1.) CLM Reference'!$B$4</f>
        <v>0</v>
      </c>
      <c r="N767" s="229">
        <v>0</v>
      </c>
      <c r="O767" s="28">
        <f>[1]!Table3[[#This Row],[C&amp;I Incentive Disbursements]]/'[1]1.) CLM Reference'!$B$5</f>
        <v>0</v>
      </c>
      <c r="Q767">
        <f>VLOOKUP(Table3[[#This Row],[Census Tract]],'Population and Diversity Data'!$B$2:$K$823,10,FALSE)</f>
        <v>2</v>
      </c>
      <c r="R767" t="str">
        <f>VLOOKUP(Table3[[#This Row],[Census Tract]],'ES Energy Burden'!$B$2:$E$914,4,FALSE)</f>
        <v>No</v>
      </c>
    </row>
    <row r="768" spans="1:18" x14ac:dyDescent="0.2">
      <c r="A768" t="s">
        <v>2859</v>
      </c>
      <c r="B768" s="169">
        <v>9005360100</v>
      </c>
      <c r="C768" t="s">
        <v>944</v>
      </c>
      <c r="D768" s="170">
        <f>[1]!Table3[[#This Row],[Residential CLM $ Collected]]+[1]!Table3[[#This Row],[C&amp;I CLM $ Collected]]</f>
        <v>62129.850572999996</v>
      </c>
      <c r="E768" s="28">
        <f>[1]!Table3[[#This Row],[CLM $ Collected ]]/'[1]1.) CLM Reference'!$B$4</f>
        <v>6.6885097067518262E-4</v>
      </c>
      <c r="F768" s="170">
        <f>[1]!Table3[[#This Row],[Residential Incentive Disbursements]]+[1]!Table3[[#This Row],[C&amp;I Incentive Disbursements]]</f>
        <v>40450.42</v>
      </c>
      <c r="G768" s="28">
        <f>[1]!Table3[[#This Row],[Incentive Disbursements]]/'[1]1.) CLM Reference'!$B$5</f>
        <v>3.2478213982468478E-4</v>
      </c>
      <c r="H768" s="228">
        <v>62129.850572999996</v>
      </c>
      <c r="I768" s="28">
        <f>[1]!Table3[[#This Row],[Residential CLM $ Collected]]/'[1]1.) CLM Reference'!$B$4</f>
        <v>6.6885097067518262E-4</v>
      </c>
      <c r="J768" s="229">
        <v>40450.42</v>
      </c>
      <c r="K768" s="28">
        <f>[1]!Table3[[#This Row],[Residential Incentive Disbursements]]/'[1]1.) CLM Reference'!$B$5</f>
        <v>3.2478213982468478E-4</v>
      </c>
      <c r="L768" s="229">
        <v>0</v>
      </c>
      <c r="M768" s="28">
        <f>[1]!Table3[[#This Row],[C&amp;I CLM $ Collected]]/'[1]1.) CLM Reference'!$B$4</f>
        <v>0</v>
      </c>
      <c r="N768" s="229">
        <v>0</v>
      </c>
      <c r="O768" s="28">
        <f>[1]!Table3[[#This Row],[C&amp;I Incentive Disbursements]]/'[1]1.) CLM Reference'!$B$5</f>
        <v>0</v>
      </c>
      <c r="Q768">
        <f>VLOOKUP(Table3[[#This Row],[Census Tract]],'Population and Diversity Data'!$B$2:$K$823,10,FALSE)</f>
        <v>3</v>
      </c>
      <c r="R768" t="str">
        <f>VLOOKUP(Table3[[#This Row],[Census Tract]],'ES Energy Burden'!$B$2:$E$914,4,FALSE)</f>
        <v>No</v>
      </c>
    </row>
    <row r="769" spans="1:18" x14ac:dyDescent="0.2">
      <c r="A769" t="s">
        <v>2859</v>
      </c>
      <c r="B769" s="169">
        <v>9005360200</v>
      </c>
      <c r="C769" t="s">
        <v>944</v>
      </c>
      <c r="D769" s="170">
        <f>[1]!Table3[[#This Row],[Residential CLM $ Collected]]+[1]!Table3[[#This Row],[C&amp;I CLM $ Collected]]</f>
        <v>99607.674809999997</v>
      </c>
      <c r="E769" s="28">
        <f>[1]!Table3[[#This Row],[CLM $ Collected ]]/'[1]1.) CLM Reference'!$B$4</f>
        <v>1.0723137005631059E-3</v>
      </c>
      <c r="F769" s="170">
        <f>[1]!Table3[[#This Row],[Residential Incentive Disbursements]]+[1]!Table3[[#This Row],[C&amp;I Incentive Disbursements]]</f>
        <v>147997.88</v>
      </c>
      <c r="G769" s="28">
        <f>[1]!Table3[[#This Row],[Incentive Disbursements]]/'[1]1.) CLM Reference'!$B$5</f>
        <v>1.188295897939179E-3</v>
      </c>
      <c r="H769" s="228">
        <v>99607.674809999997</v>
      </c>
      <c r="I769" s="28">
        <f>[1]!Table3[[#This Row],[Residential CLM $ Collected]]/'[1]1.) CLM Reference'!$B$4</f>
        <v>1.0723137005631059E-3</v>
      </c>
      <c r="J769" s="229">
        <v>147997.88</v>
      </c>
      <c r="K769" s="28">
        <f>[1]!Table3[[#This Row],[Residential Incentive Disbursements]]/'[1]1.) CLM Reference'!$B$5</f>
        <v>1.188295897939179E-3</v>
      </c>
      <c r="L769" s="229">
        <v>0</v>
      </c>
      <c r="M769" s="28">
        <f>[1]!Table3[[#This Row],[C&amp;I CLM $ Collected]]/'[1]1.) CLM Reference'!$B$4</f>
        <v>0</v>
      </c>
      <c r="N769" s="229">
        <v>0</v>
      </c>
      <c r="O769" s="28">
        <f>[1]!Table3[[#This Row],[C&amp;I Incentive Disbursements]]/'[1]1.) CLM Reference'!$B$5</f>
        <v>0</v>
      </c>
      <c r="Q769">
        <f>VLOOKUP(Table3[[#This Row],[Census Tract]],'Population and Diversity Data'!$B$2:$K$823,10,FALSE)</f>
        <v>2</v>
      </c>
      <c r="R769" t="str">
        <f>VLOOKUP(Table3[[#This Row],[Census Tract]],'ES Energy Burden'!$B$2:$E$914,4,FALSE)</f>
        <v>No</v>
      </c>
    </row>
    <row r="770" spans="1:18" x14ac:dyDescent="0.2">
      <c r="A770" t="s">
        <v>2859</v>
      </c>
      <c r="B770" s="169">
        <v>9005360300</v>
      </c>
      <c r="C770" t="s">
        <v>944</v>
      </c>
      <c r="D770" s="170">
        <f>[1]!Table3[[#This Row],[Residential CLM $ Collected]]+[1]!Table3[[#This Row],[C&amp;I CLM $ Collected]]</f>
        <v>33231.462599999999</v>
      </c>
      <c r="E770" s="28">
        <f>[1]!Table3[[#This Row],[CLM $ Collected ]]/'[1]1.) CLM Reference'!$B$4</f>
        <v>3.5774906606044941E-4</v>
      </c>
      <c r="F770" s="170">
        <f>[1]!Table3[[#This Row],[Residential Incentive Disbursements]]+[1]!Table3[[#This Row],[C&amp;I Incentive Disbursements]]</f>
        <v>78957.36</v>
      </c>
      <c r="G770" s="28">
        <f>[1]!Table3[[#This Row],[Incentive Disbursements]]/'[1]1.) CLM Reference'!$B$5</f>
        <v>6.3395980401953738E-4</v>
      </c>
      <c r="H770" s="228">
        <v>33231.462599999999</v>
      </c>
      <c r="I770" s="28">
        <f>[1]!Table3[[#This Row],[Residential CLM $ Collected]]/'[1]1.) CLM Reference'!$B$4</f>
        <v>3.5774906606044941E-4</v>
      </c>
      <c r="J770" s="229">
        <v>78957.36</v>
      </c>
      <c r="K770" s="28">
        <f>[1]!Table3[[#This Row],[Residential Incentive Disbursements]]/'[1]1.) CLM Reference'!$B$5</f>
        <v>6.3395980401953738E-4</v>
      </c>
      <c r="L770" s="229">
        <v>0</v>
      </c>
      <c r="M770" s="28">
        <f>[1]!Table3[[#This Row],[C&amp;I CLM $ Collected]]/'[1]1.) CLM Reference'!$B$4</f>
        <v>0</v>
      </c>
      <c r="N770" s="229">
        <v>0</v>
      </c>
      <c r="O770" s="28">
        <f>[1]!Table3[[#This Row],[C&amp;I Incentive Disbursements]]/'[1]1.) CLM Reference'!$B$5</f>
        <v>0</v>
      </c>
      <c r="Q770">
        <f>VLOOKUP(Table3[[#This Row],[Census Tract]],'Population and Diversity Data'!$B$2:$K$823,10,FALSE)</f>
        <v>2</v>
      </c>
      <c r="R770" t="str">
        <f>VLOOKUP(Table3[[#This Row],[Census Tract]],'ES Energy Burden'!$B$2:$E$914,4,FALSE)</f>
        <v>No</v>
      </c>
    </row>
    <row r="771" spans="1:18" x14ac:dyDescent="0.2">
      <c r="A771" t="s">
        <v>2859</v>
      </c>
      <c r="B771" s="169">
        <v>9005360400</v>
      </c>
      <c r="C771" t="s">
        <v>944</v>
      </c>
      <c r="D771" s="170">
        <f>[1]!Table3[[#This Row],[Residential CLM $ Collected]]+[1]!Table3[[#This Row],[C&amp;I CLM $ Collected]]</f>
        <v>286625.22216300003</v>
      </c>
      <c r="E771" s="28">
        <f>[1]!Table3[[#This Row],[CLM $ Collected ]]/'[1]1.) CLM Reference'!$B$4</f>
        <v>3.0856272193743916E-3</v>
      </c>
      <c r="F771" s="170">
        <f>[1]!Table3[[#This Row],[Residential Incentive Disbursements]]+[1]!Table3[[#This Row],[C&amp;I Incentive Disbursements]]</f>
        <v>464900.45</v>
      </c>
      <c r="G771" s="28">
        <f>[1]!Table3[[#This Row],[Incentive Disbursements]]/'[1]1.) CLM Reference'!$B$5</f>
        <v>3.7327514264736653E-3</v>
      </c>
      <c r="H771" s="228">
        <v>173153.679573</v>
      </c>
      <c r="I771" s="28">
        <f>[1]!Table3[[#This Row],[Residential CLM $ Collected]]/'[1]1.) CLM Reference'!$B$4</f>
        <v>1.8640638210179492E-3</v>
      </c>
      <c r="J771" s="229">
        <v>345274.68</v>
      </c>
      <c r="K771" s="28">
        <f>[1]!Table3[[#This Row],[Residential Incentive Disbursements]]/'[1]1.) CLM Reference'!$B$5</f>
        <v>2.772259210106676E-3</v>
      </c>
      <c r="L771" s="229">
        <v>113471.54259</v>
      </c>
      <c r="M771" s="28">
        <f>[1]!Table3[[#This Row],[C&amp;I CLM $ Collected]]/'[1]1.) CLM Reference'!$B$4</f>
        <v>1.2215633983564422E-3</v>
      </c>
      <c r="N771" s="229">
        <v>119625.77</v>
      </c>
      <c r="O771" s="28">
        <f>[1]!Table3[[#This Row],[C&amp;I Incentive Disbursements]]/'[1]1.) CLM Reference'!$B$5</f>
        <v>9.6049221636698918E-4</v>
      </c>
      <c r="Q771">
        <f>VLOOKUP(Table3[[#This Row],[Census Tract]],'Population and Diversity Data'!$B$2:$K$823,10,FALSE)</f>
        <v>4</v>
      </c>
      <c r="R771" t="str">
        <f>VLOOKUP(Table3[[#This Row],[Census Tract]],'ES Energy Burden'!$B$2:$E$914,4,FALSE)</f>
        <v>No</v>
      </c>
    </row>
    <row r="772" spans="1:18" x14ac:dyDescent="0.2">
      <c r="A772" t="s">
        <v>2859</v>
      </c>
      <c r="B772" s="169">
        <v>9005362102</v>
      </c>
      <c r="C772" t="s">
        <v>944</v>
      </c>
      <c r="D772" s="170">
        <f>[1]!Table3[[#This Row],[Residential CLM $ Collected]]+[1]!Table3[[#This Row],[C&amp;I CLM $ Collected]]</f>
        <v>27.275010000000002</v>
      </c>
      <c r="E772" s="28">
        <f>[1]!Table3[[#This Row],[CLM $ Collected ]]/'[1]1.) CLM Reference'!$B$4</f>
        <v>2.9362563639583588E-7</v>
      </c>
      <c r="F772" s="170">
        <f>[1]!Table3[[#This Row],[Residential Incentive Disbursements]]+[1]!Table3[[#This Row],[C&amp;I Incentive Disbursements]]</f>
        <v>0</v>
      </c>
      <c r="G772" s="28">
        <f>[1]!Table3[[#This Row],[Incentive Disbursements]]/'[1]1.) CLM Reference'!$B$5</f>
        <v>0</v>
      </c>
      <c r="H772" s="228">
        <v>27.275010000000002</v>
      </c>
      <c r="I772" s="28">
        <f>[1]!Table3[[#This Row],[Residential CLM $ Collected]]/'[1]1.) CLM Reference'!$B$4</f>
        <v>2.9362563639583588E-7</v>
      </c>
      <c r="J772" s="229">
        <v>0</v>
      </c>
      <c r="K772" s="28">
        <f>[1]!Table3[[#This Row],[Residential Incentive Disbursements]]/'[1]1.) CLM Reference'!$B$5</f>
        <v>0</v>
      </c>
      <c r="L772" s="229">
        <v>0</v>
      </c>
      <c r="M772" s="28">
        <f>[1]!Table3[[#This Row],[C&amp;I CLM $ Collected]]/'[1]1.) CLM Reference'!$B$4</f>
        <v>0</v>
      </c>
      <c r="N772" s="229">
        <v>0</v>
      </c>
      <c r="O772" s="28">
        <f>[1]!Table3[[#This Row],[C&amp;I Incentive Disbursements]]/'[1]1.) CLM Reference'!$B$5</f>
        <v>0</v>
      </c>
      <c r="Q772">
        <f>VLOOKUP(Table3[[#This Row],[Census Tract]],'Population and Diversity Data'!$B$2:$K$823,10,FALSE)</f>
        <v>1</v>
      </c>
      <c r="R772" t="str">
        <f>VLOOKUP(Table3[[#This Row],[Census Tract]],'ES Energy Burden'!$B$2:$E$914,4,FALSE)</f>
        <v>No</v>
      </c>
    </row>
    <row r="773" spans="1:18" x14ac:dyDescent="0.2">
      <c r="A773" t="s">
        <v>2859</v>
      </c>
      <c r="B773" s="169">
        <v>9009352100</v>
      </c>
      <c r="C773" t="s">
        <v>944</v>
      </c>
      <c r="D773" s="170">
        <f>[1]!Table3[[#This Row],[Residential CLM $ Collected]]+[1]!Table3[[#This Row],[C&amp;I CLM $ Collected]]</f>
        <v>25.941929999999999</v>
      </c>
      <c r="E773" s="28">
        <f>[1]!Table3[[#This Row],[CLM $ Collected ]]/'[1]1.) CLM Reference'!$B$4</f>
        <v>2.7927453392633865E-7</v>
      </c>
      <c r="F773" s="170">
        <f>[1]!Table3[[#This Row],[Residential Incentive Disbursements]]+[1]!Table3[[#This Row],[C&amp;I Incentive Disbursements]]</f>
        <v>0</v>
      </c>
      <c r="G773" s="28">
        <f>[1]!Table3[[#This Row],[Incentive Disbursements]]/'[1]1.) CLM Reference'!$B$5</f>
        <v>0</v>
      </c>
      <c r="H773" s="228">
        <v>25.941929999999999</v>
      </c>
      <c r="I773" s="28">
        <f>[1]!Table3[[#This Row],[Residential CLM $ Collected]]/'[1]1.) CLM Reference'!$B$4</f>
        <v>2.7927453392633865E-7</v>
      </c>
      <c r="J773" s="229">
        <v>0</v>
      </c>
      <c r="K773" s="28">
        <f>[1]!Table3[[#This Row],[Residential Incentive Disbursements]]/'[1]1.) CLM Reference'!$B$5</f>
        <v>0</v>
      </c>
      <c r="L773" s="229">
        <v>0</v>
      </c>
      <c r="M773" s="28">
        <f>[1]!Table3[[#This Row],[C&amp;I CLM $ Collected]]/'[1]1.) CLM Reference'!$B$4</f>
        <v>0</v>
      </c>
      <c r="N773" s="229">
        <v>0</v>
      </c>
      <c r="O773" s="28">
        <f>[1]!Table3[[#This Row],[C&amp;I Incentive Disbursements]]/'[1]1.) CLM Reference'!$B$5</f>
        <v>0</v>
      </c>
      <c r="Q773">
        <f>VLOOKUP(Table3[[#This Row],[Census Tract]],'Population and Diversity Data'!$B$2:$K$823,10,FALSE)</f>
        <v>2</v>
      </c>
      <c r="R773" t="str">
        <f>VLOOKUP(Table3[[#This Row],[Census Tract]],'ES Energy Burden'!$B$2:$E$914,4,FALSE)</f>
        <v>No</v>
      </c>
    </row>
    <row r="774" spans="1:18" x14ac:dyDescent="0.2">
      <c r="A774" t="s">
        <v>2860</v>
      </c>
      <c r="B774" s="169">
        <v>9003460100</v>
      </c>
      <c r="C774" t="s">
        <v>944</v>
      </c>
      <c r="D774" s="170">
        <f>[1]!Table3[[#This Row],[Residential CLM $ Collected]]+[1]!Table3[[#This Row],[C&amp;I CLM $ Collected]]</f>
        <v>212.85810000000001</v>
      </c>
      <c r="E774" s="28">
        <f>[1]!Table3[[#This Row],[CLM $ Collected ]]/'[1]1.) CLM Reference'!$B$4</f>
        <v>2.2914966877925424E-6</v>
      </c>
      <c r="F774" s="170">
        <f>[1]!Table3[[#This Row],[Residential Incentive Disbursements]]+[1]!Table3[[#This Row],[C&amp;I Incentive Disbursements]]</f>
        <v>0</v>
      </c>
      <c r="G774" s="28">
        <f>[1]!Table3[[#This Row],[Incentive Disbursements]]/'[1]1.) CLM Reference'!$B$5</f>
        <v>0</v>
      </c>
      <c r="H774" s="228">
        <v>212.85810000000001</v>
      </c>
      <c r="I774" s="28">
        <f>[1]!Table3[[#This Row],[Residential CLM $ Collected]]/'[1]1.) CLM Reference'!$B$4</f>
        <v>2.2914966877925424E-6</v>
      </c>
      <c r="J774" s="229">
        <v>0</v>
      </c>
      <c r="K774" s="28">
        <f>[1]!Table3[[#This Row],[Residential Incentive Disbursements]]/'[1]1.) CLM Reference'!$B$5</f>
        <v>0</v>
      </c>
      <c r="L774" s="229">
        <v>0</v>
      </c>
      <c r="M774" s="28">
        <f>[1]!Table3[[#This Row],[C&amp;I CLM $ Collected]]/'[1]1.) CLM Reference'!$B$4</f>
        <v>0</v>
      </c>
      <c r="N774" s="229">
        <v>0</v>
      </c>
      <c r="O774" s="28">
        <f>[1]!Table3[[#This Row],[C&amp;I Incentive Disbursements]]/'[1]1.) CLM Reference'!$B$5</f>
        <v>0</v>
      </c>
      <c r="Q774">
        <f>VLOOKUP(Table3[[#This Row],[Census Tract]],'Population and Diversity Data'!$B$2:$K$823,10,FALSE)</f>
        <v>3</v>
      </c>
      <c r="R774" t="str">
        <f>VLOOKUP(Table3[[#This Row],[Census Tract]],'ES Energy Burden'!$B$2:$E$914,4,FALSE)</f>
        <v>No</v>
      </c>
    </row>
    <row r="775" spans="1:18" x14ac:dyDescent="0.2">
      <c r="A775" t="s">
        <v>2860</v>
      </c>
      <c r="B775" s="169">
        <v>9003471400</v>
      </c>
      <c r="C775" t="s">
        <v>944</v>
      </c>
      <c r="D775" s="170">
        <f>[1]!Table3[[#This Row],[Residential CLM $ Collected]]+[1]!Table3[[#This Row],[C&amp;I CLM $ Collected]]</f>
        <v>225.31467000000001</v>
      </c>
      <c r="E775" s="28">
        <f>[1]!Table3[[#This Row],[CLM $ Collected ]]/'[1]1.) CLM Reference'!$B$4</f>
        <v>2.4255963010854166E-6</v>
      </c>
      <c r="F775" s="170">
        <f>[1]!Table3[[#This Row],[Residential Incentive Disbursements]]+[1]!Table3[[#This Row],[C&amp;I Incentive Disbursements]]</f>
        <v>0</v>
      </c>
      <c r="G775" s="28">
        <f>[1]!Table3[[#This Row],[Incentive Disbursements]]/'[1]1.) CLM Reference'!$B$5</f>
        <v>0</v>
      </c>
      <c r="H775" s="228">
        <v>225.31467000000001</v>
      </c>
      <c r="I775" s="28">
        <f>[1]!Table3[[#This Row],[Residential CLM $ Collected]]/'[1]1.) CLM Reference'!$B$4</f>
        <v>2.4255963010854166E-6</v>
      </c>
      <c r="J775" s="229">
        <v>0</v>
      </c>
      <c r="K775" s="28">
        <f>[1]!Table3[[#This Row],[Residential Incentive Disbursements]]/'[1]1.) CLM Reference'!$B$5</f>
        <v>0</v>
      </c>
      <c r="L775" s="229">
        <v>0</v>
      </c>
      <c r="M775" s="28">
        <f>[1]!Table3[[#This Row],[C&amp;I CLM $ Collected]]/'[1]1.) CLM Reference'!$B$4</f>
        <v>0</v>
      </c>
      <c r="N775" s="229">
        <v>0</v>
      </c>
      <c r="O775" s="28">
        <f>[1]!Table3[[#This Row],[C&amp;I Incentive Disbursements]]/'[1]1.) CLM Reference'!$B$5</f>
        <v>0</v>
      </c>
      <c r="Q775">
        <f>VLOOKUP(Table3[[#This Row],[Census Tract]],'Population and Diversity Data'!$B$2:$K$823,10,FALSE)</f>
        <v>2</v>
      </c>
      <c r="R775" t="str">
        <f>VLOOKUP(Table3[[#This Row],[Census Tract]],'ES Energy Burden'!$B$2:$E$914,4,FALSE)</f>
        <v>No</v>
      </c>
    </row>
    <row r="776" spans="1:18" x14ac:dyDescent="0.2">
      <c r="A776" t="s">
        <v>2860</v>
      </c>
      <c r="B776" s="169">
        <v>9003496100</v>
      </c>
      <c r="C776" t="s">
        <v>944</v>
      </c>
      <c r="D776" s="170">
        <f>[1]!Table3[[#This Row],[Residential CLM $ Collected]]+[1]!Table3[[#This Row],[C&amp;I CLM $ Collected]]</f>
        <v>16448.888610000002</v>
      </c>
      <c r="E776" s="28">
        <f>[1]!Table3[[#This Row],[CLM $ Collected ]]/'[1]1.) CLM Reference'!$B$4</f>
        <v>1.7707840936137024E-4</v>
      </c>
      <c r="F776" s="170">
        <f>[1]!Table3[[#This Row],[Residential Incentive Disbursements]]+[1]!Table3[[#This Row],[C&amp;I Incentive Disbursements]]</f>
        <v>6266.33</v>
      </c>
      <c r="G776" s="28">
        <f>[1]!Table3[[#This Row],[Incentive Disbursements]]/'[1]1.) CLM Reference'!$B$5</f>
        <v>5.0313249312309171E-5</v>
      </c>
      <c r="H776" s="228">
        <v>16448.888610000002</v>
      </c>
      <c r="I776" s="28">
        <f>[1]!Table3[[#This Row],[Residential CLM $ Collected]]/'[1]1.) CLM Reference'!$B$4</f>
        <v>1.7707840936137024E-4</v>
      </c>
      <c r="J776" s="229">
        <v>6266.33</v>
      </c>
      <c r="K776" s="28">
        <f>[1]!Table3[[#This Row],[Residential Incentive Disbursements]]/'[1]1.) CLM Reference'!$B$5</f>
        <v>5.0313249312309171E-5</v>
      </c>
      <c r="L776" s="229">
        <v>0</v>
      </c>
      <c r="M776" s="28">
        <f>[1]!Table3[[#This Row],[C&amp;I CLM $ Collected]]/'[1]1.) CLM Reference'!$B$4</f>
        <v>0</v>
      </c>
      <c r="N776" s="229">
        <v>0</v>
      </c>
      <c r="O776" s="28">
        <f>[1]!Table3[[#This Row],[C&amp;I Incentive Disbursements]]/'[1]1.) CLM Reference'!$B$5</f>
        <v>0</v>
      </c>
      <c r="Q776">
        <f>VLOOKUP(Table3[[#This Row],[Census Tract]],'Population and Diversity Data'!$B$2:$K$823,10,FALSE)</f>
        <v>5</v>
      </c>
      <c r="R776" t="str">
        <f>VLOOKUP(Table3[[#This Row],[Census Tract]],'ES Energy Burden'!$B$2:$E$914,4,FALSE)</f>
        <v>No</v>
      </c>
    </row>
    <row r="777" spans="1:18" x14ac:dyDescent="0.2">
      <c r="A777" t="s">
        <v>2860</v>
      </c>
      <c r="B777" s="169">
        <v>9003496200</v>
      </c>
      <c r="C777" t="s">
        <v>944</v>
      </c>
      <c r="D777" s="170">
        <f>[1]!Table3[[#This Row],[Residential CLM $ Collected]]+[1]!Table3[[#This Row],[C&amp;I CLM $ Collected]]</f>
        <v>42113.700741000001</v>
      </c>
      <c r="E777" s="28">
        <f>[1]!Table3[[#This Row],[CLM $ Collected ]]/'[1]1.) CLM Reference'!$B$4</f>
        <v>4.533696662644637E-4</v>
      </c>
      <c r="F777" s="170">
        <f>[1]!Table3[[#This Row],[Residential Incentive Disbursements]]+[1]!Table3[[#This Row],[C&amp;I Incentive Disbursements]]</f>
        <v>23069.759999999998</v>
      </c>
      <c r="G777" s="28">
        <f>[1]!Table3[[#This Row],[Incentive Disbursements]]/'[1]1.) CLM Reference'!$B$5</f>
        <v>1.8523036393792498E-4</v>
      </c>
      <c r="H777" s="228">
        <v>42113.700741000001</v>
      </c>
      <c r="I777" s="28">
        <f>[1]!Table3[[#This Row],[Residential CLM $ Collected]]/'[1]1.) CLM Reference'!$B$4</f>
        <v>4.533696662644637E-4</v>
      </c>
      <c r="J777" s="229">
        <v>23069.759999999998</v>
      </c>
      <c r="K777" s="28">
        <f>[1]!Table3[[#This Row],[Residential Incentive Disbursements]]/'[1]1.) CLM Reference'!$B$5</f>
        <v>1.8523036393792498E-4</v>
      </c>
      <c r="L777" s="229">
        <v>0</v>
      </c>
      <c r="M777" s="28">
        <f>[1]!Table3[[#This Row],[C&amp;I CLM $ Collected]]/'[1]1.) CLM Reference'!$B$4</f>
        <v>0</v>
      </c>
      <c r="N777" s="229">
        <v>0</v>
      </c>
      <c r="O777" s="28">
        <f>[1]!Table3[[#This Row],[C&amp;I Incentive Disbursements]]/'[1]1.) CLM Reference'!$B$5</f>
        <v>0</v>
      </c>
      <c r="Q777">
        <f>VLOOKUP(Table3[[#This Row],[Census Tract]],'Population and Diversity Data'!$B$2:$K$823,10,FALSE)</f>
        <v>5</v>
      </c>
      <c r="R777" t="str">
        <f>VLOOKUP(Table3[[#This Row],[Census Tract]],'ES Energy Burden'!$B$2:$E$914,4,FALSE)</f>
        <v>No</v>
      </c>
    </row>
    <row r="778" spans="1:18" x14ac:dyDescent="0.2">
      <c r="A778" t="s">
        <v>2860</v>
      </c>
      <c r="B778" s="169">
        <v>9003496300</v>
      </c>
      <c r="C778" t="s">
        <v>944</v>
      </c>
      <c r="D778" s="170">
        <f>[1]!Table3[[#This Row],[Residential CLM $ Collected]]+[1]!Table3[[#This Row],[C&amp;I CLM $ Collected]]</f>
        <v>33541.533627000004</v>
      </c>
      <c r="E778" s="28">
        <f>[1]!Table3[[#This Row],[CLM $ Collected ]]/'[1]1.) CLM Reference'!$B$4</f>
        <v>3.6108709609713086E-4</v>
      </c>
      <c r="F778" s="170">
        <f>[1]!Table3[[#This Row],[Residential Incentive Disbursements]]+[1]!Table3[[#This Row],[C&amp;I Incentive Disbursements]]</f>
        <v>42797.17</v>
      </c>
      <c r="G778" s="28">
        <f>[1]!Table3[[#This Row],[Incentive Disbursements]]/'[1]1.) CLM Reference'!$B$5</f>
        <v>3.4362452728651035E-4</v>
      </c>
      <c r="H778" s="228">
        <v>33541.533627000004</v>
      </c>
      <c r="I778" s="28">
        <f>[1]!Table3[[#This Row],[Residential CLM $ Collected]]/'[1]1.) CLM Reference'!$B$4</f>
        <v>3.6108709609713086E-4</v>
      </c>
      <c r="J778" s="229">
        <v>42797.17</v>
      </c>
      <c r="K778" s="28">
        <f>[1]!Table3[[#This Row],[Residential Incentive Disbursements]]/'[1]1.) CLM Reference'!$B$5</f>
        <v>3.4362452728651035E-4</v>
      </c>
      <c r="L778" s="229">
        <v>0</v>
      </c>
      <c r="M778" s="28">
        <f>[1]!Table3[[#This Row],[C&amp;I CLM $ Collected]]/'[1]1.) CLM Reference'!$B$4</f>
        <v>0</v>
      </c>
      <c r="N778" s="229">
        <v>0</v>
      </c>
      <c r="O778" s="28">
        <f>[1]!Table3[[#This Row],[C&amp;I Incentive Disbursements]]/'[1]1.) CLM Reference'!$B$5</f>
        <v>0</v>
      </c>
      <c r="Q778">
        <f>VLOOKUP(Table3[[#This Row],[Census Tract]],'Population and Diversity Data'!$B$2:$K$823,10,FALSE)</f>
        <v>3</v>
      </c>
      <c r="R778" t="str">
        <f>VLOOKUP(Table3[[#This Row],[Census Tract]],'ES Energy Burden'!$B$2:$E$914,4,FALSE)</f>
        <v>No</v>
      </c>
    </row>
    <row r="779" spans="1:18" x14ac:dyDescent="0.2">
      <c r="A779" t="s">
        <v>2860</v>
      </c>
      <c r="B779" s="169">
        <v>9003496400</v>
      </c>
      <c r="C779" t="s">
        <v>944</v>
      </c>
      <c r="D779" s="170">
        <f>[1]!Table3[[#This Row],[Residential CLM $ Collected]]+[1]!Table3[[#This Row],[C&amp;I CLM $ Collected]]</f>
        <v>30594.441989999999</v>
      </c>
      <c r="E779" s="28">
        <f>[1]!Table3[[#This Row],[CLM $ Collected ]]/'[1]1.) CLM Reference'!$B$4</f>
        <v>3.2936055750260891E-4</v>
      </c>
      <c r="F779" s="170">
        <f>[1]!Table3[[#This Row],[Residential Incentive Disbursements]]+[1]!Table3[[#This Row],[C&amp;I Incentive Disbursements]]</f>
        <v>14597.38</v>
      </c>
      <c r="G779" s="28">
        <f>[1]!Table3[[#This Row],[Incentive Disbursements]]/'[1]1.) CLM Reference'!$B$5</f>
        <v>1.1720442735165807E-4</v>
      </c>
      <c r="H779" s="228">
        <v>30594.441989999999</v>
      </c>
      <c r="I779" s="28">
        <f>[1]!Table3[[#This Row],[Residential CLM $ Collected]]/'[1]1.) CLM Reference'!$B$4</f>
        <v>3.2936055750260891E-4</v>
      </c>
      <c r="J779" s="229">
        <v>14597.38</v>
      </c>
      <c r="K779" s="28">
        <f>[1]!Table3[[#This Row],[Residential Incentive Disbursements]]/'[1]1.) CLM Reference'!$B$5</f>
        <v>1.1720442735165807E-4</v>
      </c>
      <c r="L779" s="229">
        <v>0</v>
      </c>
      <c r="M779" s="28">
        <f>[1]!Table3[[#This Row],[C&amp;I CLM $ Collected]]/'[1]1.) CLM Reference'!$B$4</f>
        <v>0</v>
      </c>
      <c r="N779" s="229">
        <v>0</v>
      </c>
      <c r="O779" s="28">
        <f>[1]!Table3[[#This Row],[C&amp;I Incentive Disbursements]]/'[1]1.) CLM Reference'!$B$5</f>
        <v>0</v>
      </c>
      <c r="Q779">
        <f>VLOOKUP(Table3[[#This Row],[Census Tract]],'Population and Diversity Data'!$B$2:$K$823,10,FALSE)</f>
        <v>2</v>
      </c>
      <c r="R779" t="str">
        <f>VLOOKUP(Table3[[#This Row],[Census Tract]],'ES Energy Burden'!$B$2:$E$914,4,FALSE)</f>
        <v>No</v>
      </c>
    </row>
    <row r="780" spans="1:18" x14ac:dyDescent="0.2">
      <c r="A780" t="s">
        <v>2860</v>
      </c>
      <c r="B780" s="169">
        <v>9003496500</v>
      </c>
      <c r="C780" t="s">
        <v>944</v>
      </c>
      <c r="D780" s="170">
        <f>[1]!Table3[[#This Row],[Residential CLM $ Collected]]+[1]!Table3[[#This Row],[C&amp;I CLM $ Collected]]</f>
        <v>25890.069807000003</v>
      </c>
      <c r="E780" s="28">
        <f>[1]!Table3[[#This Row],[CLM $ Collected ]]/'[1]1.) CLM Reference'!$B$4</f>
        <v>2.787162396425516E-4</v>
      </c>
      <c r="F780" s="170">
        <f>[1]!Table3[[#This Row],[Residential Incentive Disbursements]]+[1]!Table3[[#This Row],[C&amp;I Incentive Disbursements]]</f>
        <v>21906.12</v>
      </c>
      <c r="G780" s="28">
        <f>[1]!Table3[[#This Row],[Incentive Disbursements]]/'[1]1.) CLM Reference'!$B$5</f>
        <v>1.7588733389804911E-4</v>
      </c>
      <c r="H780" s="228">
        <v>25890.069807000003</v>
      </c>
      <c r="I780" s="28">
        <f>[1]!Table3[[#This Row],[Residential CLM $ Collected]]/'[1]1.) CLM Reference'!$B$4</f>
        <v>2.787162396425516E-4</v>
      </c>
      <c r="J780" s="229">
        <v>21906.12</v>
      </c>
      <c r="K780" s="28">
        <f>[1]!Table3[[#This Row],[Residential Incentive Disbursements]]/'[1]1.) CLM Reference'!$B$5</f>
        <v>1.7588733389804911E-4</v>
      </c>
      <c r="L780" s="229">
        <v>0</v>
      </c>
      <c r="M780" s="28">
        <f>[1]!Table3[[#This Row],[C&amp;I CLM $ Collected]]/'[1]1.) CLM Reference'!$B$4</f>
        <v>0</v>
      </c>
      <c r="N780" s="229">
        <v>0</v>
      </c>
      <c r="O780" s="28">
        <f>[1]!Table3[[#This Row],[C&amp;I Incentive Disbursements]]/'[1]1.) CLM Reference'!$B$5</f>
        <v>0</v>
      </c>
      <c r="Q780">
        <f>VLOOKUP(Table3[[#This Row],[Census Tract]],'Population and Diversity Data'!$B$2:$K$823,10,FALSE)</f>
        <v>3</v>
      </c>
      <c r="R780" t="str">
        <f>VLOOKUP(Table3[[#This Row],[Census Tract]],'ES Energy Burden'!$B$2:$E$914,4,FALSE)</f>
        <v>No</v>
      </c>
    </row>
    <row r="781" spans="1:18" x14ac:dyDescent="0.2">
      <c r="A781" t="s">
        <v>2860</v>
      </c>
      <c r="B781" s="169">
        <v>9003496600</v>
      </c>
      <c r="C781" t="s">
        <v>944</v>
      </c>
      <c r="D781" s="170">
        <f>[1]!Table3[[#This Row],[Residential CLM $ Collected]]+[1]!Table3[[#This Row],[C&amp;I CLM $ Collected]]</f>
        <v>34384.151760000001</v>
      </c>
      <c r="E781" s="28">
        <f>[1]!Table3[[#This Row],[CLM $ Collected ]]/'[1]1.) CLM Reference'!$B$4</f>
        <v>3.7015819398273367E-4</v>
      </c>
      <c r="F781" s="170">
        <f>[1]!Table3[[#This Row],[Residential Incentive Disbursements]]+[1]!Table3[[#This Row],[C&amp;I Incentive Disbursements]]</f>
        <v>27790.895</v>
      </c>
      <c r="G781" s="28">
        <f>[1]!Table3[[#This Row],[Incentive Disbursements]]/'[1]1.) CLM Reference'!$B$5</f>
        <v>2.2313702418276827E-4</v>
      </c>
      <c r="H781" s="228">
        <v>34384.151760000001</v>
      </c>
      <c r="I781" s="28">
        <f>[1]!Table3[[#This Row],[Residential CLM $ Collected]]/'[1]1.) CLM Reference'!$B$4</f>
        <v>3.7015819398273367E-4</v>
      </c>
      <c r="J781" s="229">
        <v>27790.895</v>
      </c>
      <c r="K781" s="28">
        <f>[1]!Table3[[#This Row],[Residential Incentive Disbursements]]/'[1]1.) CLM Reference'!$B$5</f>
        <v>2.2313702418276827E-4</v>
      </c>
      <c r="L781" s="229">
        <v>0</v>
      </c>
      <c r="M781" s="28">
        <f>[1]!Table3[[#This Row],[C&amp;I CLM $ Collected]]/'[1]1.) CLM Reference'!$B$4</f>
        <v>0</v>
      </c>
      <c r="N781" s="229">
        <v>0</v>
      </c>
      <c r="O781" s="28">
        <f>[1]!Table3[[#This Row],[C&amp;I Incentive Disbursements]]/'[1]1.) CLM Reference'!$B$5</f>
        <v>0</v>
      </c>
      <c r="Q781">
        <f>VLOOKUP(Table3[[#This Row],[Census Tract]],'Population and Diversity Data'!$B$2:$K$823,10,FALSE)</f>
        <v>4</v>
      </c>
      <c r="R781" t="str">
        <f>VLOOKUP(Table3[[#This Row],[Census Tract]],'ES Energy Burden'!$B$2:$E$914,4,FALSE)</f>
        <v>No</v>
      </c>
    </row>
    <row r="782" spans="1:18" x14ac:dyDescent="0.2">
      <c r="A782" t="s">
        <v>2860</v>
      </c>
      <c r="B782" s="169">
        <v>9003496700</v>
      </c>
      <c r="C782" t="s">
        <v>936</v>
      </c>
      <c r="D782" s="170">
        <f>[1]!Table3[[#This Row],[Residential CLM $ Collected]]+[1]!Table3[[#This Row],[C&amp;I CLM $ Collected]]</f>
        <v>27724.629870000001</v>
      </c>
      <c r="E782" s="28">
        <f>[1]!Table3[[#This Row],[CLM $ Collected ]]/'[1]1.) CLM Reference'!$B$4</f>
        <v>2.9846596167765844E-4</v>
      </c>
      <c r="F782" s="170">
        <f>[1]!Table3[[#This Row],[Residential Incentive Disbursements]]+[1]!Table3[[#This Row],[C&amp;I Incentive Disbursements]]</f>
        <v>8293.83</v>
      </c>
      <c r="G782" s="28">
        <f>[1]!Table3[[#This Row],[Incentive Disbursements]]/'[1]1.) CLM Reference'!$B$5</f>
        <v>6.6592333398322325E-5</v>
      </c>
      <c r="H782" s="228">
        <v>27724.629870000001</v>
      </c>
      <c r="I782" s="28">
        <f>[1]!Table3[[#This Row],[Residential CLM $ Collected]]/'[1]1.) CLM Reference'!$B$4</f>
        <v>2.9846596167765844E-4</v>
      </c>
      <c r="J782" s="229">
        <v>8293.83</v>
      </c>
      <c r="K782" s="28">
        <f>[1]!Table3[[#This Row],[Residential Incentive Disbursements]]/'[1]1.) CLM Reference'!$B$5</f>
        <v>6.6592333398322325E-5</v>
      </c>
      <c r="L782" s="229">
        <v>0</v>
      </c>
      <c r="M782" s="28">
        <f>[1]!Table3[[#This Row],[C&amp;I CLM $ Collected]]/'[1]1.) CLM Reference'!$B$4</f>
        <v>0</v>
      </c>
      <c r="N782" s="229">
        <v>0</v>
      </c>
      <c r="O782" s="28">
        <f>[1]!Table3[[#This Row],[C&amp;I Incentive Disbursements]]/'[1]1.) CLM Reference'!$B$5</f>
        <v>0</v>
      </c>
      <c r="Q782">
        <f>VLOOKUP(Table3[[#This Row],[Census Tract]],'Population and Diversity Data'!$B$2:$K$823,10,FALSE)</f>
        <v>5</v>
      </c>
      <c r="R782" t="str">
        <f>VLOOKUP(Table3[[#This Row],[Census Tract]],'ES Energy Burden'!$B$2:$E$914,4,FALSE)</f>
        <v>No</v>
      </c>
    </row>
    <row r="783" spans="1:18" x14ac:dyDescent="0.2">
      <c r="A783" t="s">
        <v>2860</v>
      </c>
      <c r="B783" s="169">
        <v>9003496800</v>
      </c>
      <c r="C783" t="s">
        <v>944</v>
      </c>
      <c r="D783" s="170">
        <f>[1]!Table3[[#This Row],[Residential CLM $ Collected]]+[1]!Table3[[#This Row],[C&amp;I CLM $ Collected]]</f>
        <v>25846.706549999999</v>
      </c>
      <c r="E783" s="28">
        <f>[1]!Table3[[#This Row],[CLM $ Collected ]]/'[1]1.) CLM Reference'!$B$4</f>
        <v>2.7824941803798308E-4</v>
      </c>
      <c r="F783" s="170">
        <f>[1]!Table3[[#This Row],[Residential Incentive Disbursements]]+[1]!Table3[[#This Row],[C&amp;I Incentive Disbursements]]</f>
        <v>15979.65</v>
      </c>
      <c r="G783" s="28">
        <f>[1]!Table3[[#This Row],[Incentive Disbursements]]/'[1]1.) CLM Reference'!$B$5</f>
        <v>1.2830286856476458E-4</v>
      </c>
      <c r="H783" s="228">
        <v>25846.706549999999</v>
      </c>
      <c r="I783" s="28">
        <f>[1]!Table3[[#This Row],[Residential CLM $ Collected]]/'[1]1.) CLM Reference'!$B$4</f>
        <v>2.7824941803798308E-4</v>
      </c>
      <c r="J783" s="229">
        <v>15979.65</v>
      </c>
      <c r="K783" s="28">
        <f>[1]!Table3[[#This Row],[Residential Incentive Disbursements]]/'[1]1.) CLM Reference'!$B$5</f>
        <v>1.2830286856476458E-4</v>
      </c>
      <c r="L783" s="229">
        <v>0</v>
      </c>
      <c r="M783" s="28">
        <f>[1]!Table3[[#This Row],[C&amp;I CLM $ Collected]]/'[1]1.) CLM Reference'!$B$4</f>
        <v>0</v>
      </c>
      <c r="N783" s="229">
        <v>0</v>
      </c>
      <c r="O783" s="28">
        <f>[1]!Table3[[#This Row],[C&amp;I Incentive Disbursements]]/'[1]1.) CLM Reference'!$B$5</f>
        <v>0</v>
      </c>
      <c r="Q783">
        <f>VLOOKUP(Table3[[#This Row],[Census Tract]],'Population and Diversity Data'!$B$2:$K$823,10,FALSE)</f>
        <v>5</v>
      </c>
      <c r="R783" t="str">
        <f>VLOOKUP(Table3[[#This Row],[Census Tract]],'ES Energy Burden'!$B$2:$E$914,4,FALSE)</f>
        <v>No</v>
      </c>
    </row>
    <row r="784" spans="1:18" x14ac:dyDescent="0.2">
      <c r="A784" t="s">
        <v>2860</v>
      </c>
      <c r="B784" s="169">
        <v>9003496900</v>
      </c>
      <c r="C784" t="s">
        <v>944</v>
      </c>
      <c r="D784" s="170">
        <f>[1]!Table3[[#This Row],[Residential CLM $ Collected]]+[1]!Table3[[#This Row],[C&amp;I CLM $ Collected]]</f>
        <v>42917.689982999997</v>
      </c>
      <c r="E784" s="28">
        <f>[1]!Table3[[#This Row],[CLM $ Collected ]]/'[1]1.) CLM Reference'!$B$4</f>
        <v>4.6202490975796396E-4</v>
      </c>
      <c r="F784" s="170">
        <f>[1]!Table3[[#This Row],[Residential Incentive Disbursements]]+[1]!Table3[[#This Row],[C&amp;I Incentive Disbursements]]</f>
        <v>23923.57</v>
      </c>
      <c r="G784" s="28">
        <f>[1]!Table3[[#This Row],[Incentive Disbursements]]/'[1]1.) CLM Reference'!$B$5</f>
        <v>1.9208572511350029E-4</v>
      </c>
      <c r="H784" s="228">
        <v>42917.689982999997</v>
      </c>
      <c r="I784" s="28">
        <f>[1]!Table3[[#This Row],[Residential CLM $ Collected]]/'[1]1.) CLM Reference'!$B$4</f>
        <v>4.6202490975796396E-4</v>
      </c>
      <c r="J784" s="229">
        <v>23923.57</v>
      </c>
      <c r="K784" s="28">
        <f>[1]!Table3[[#This Row],[Residential Incentive Disbursements]]/'[1]1.) CLM Reference'!$B$5</f>
        <v>1.9208572511350029E-4</v>
      </c>
      <c r="L784" s="229">
        <v>0</v>
      </c>
      <c r="M784" s="28">
        <f>[1]!Table3[[#This Row],[C&amp;I CLM $ Collected]]/'[1]1.) CLM Reference'!$B$4</f>
        <v>0</v>
      </c>
      <c r="N784" s="229">
        <v>0</v>
      </c>
      <c r="O784" s="28">
        <f>[1]!Table3[[#This Row],[C&amp;I Incentive Disbursements]]/'[1]1.) CLM Reference'!$B$5</f>
        <v>0</v>
      </c>
      <c r="Q784">
        <f>VLOOKUP(Table3[[#This Row],[Census Tract]],'Population and Diversity Data'!$B$2:$K$823,10,FALSE)</f>
        <v>3</v>
      </c>
      <c r="R784" t="str">
        <f>VLOOKUP(Table3[[#This Row],[Census Tract]],'ES Energy Burden'!$B$2:$E$914,4,FALSE)</f>
        <v>No</v>
      </c>
    </row>
    <row r="785" spans="1:18" x14ac:dyDescent="0.2">
      <c r="A785" t="s">
        <v>2860</v>
      </c>
      <c r="B785" s="169">
        <v>9003497000</v>
      </c>
      <c r="C785" t="s">
        <v>944</v>
      </c>
      <c r="D785" s="170">
        <f>[1]!Table3[[#This Row],[Residential CLM $ Collected]]+[1]!Table3[[#This Row],[C&amp;I CLM $ Collected]]</f>
        <v>45619.848939000003</v>
      </c>
      <c r="E785" s="28">
        <f>[1]!Table3[[#This Row],[CLM $ Collected ]]/'[1]1.) CLM Reference'!$B$4</f>
        <v>4.9111465685973258E-4</v>
      </c>
      <c r="F785" s="170">
        <f>[1]!Table3[[#This Row],[Residential Incentive Disbursements]]+[1]!Table3[[#This Row],[C&amp;I Incentive Disbursements]]</f>
        <v>29069.134999999998</v>
      </c>
      <c r="G785" s="28">
        <f>[1]!Table3[[#This Row],[Incentive Disbursements]]/'[1]1.) CLM Reference'!$B$5</f>
        <v>2.334001938212913E-4</v>
      </c>
      <c r="H785" s="228">
        <v>45619.848939000003</v>
      </c>
      <c r="I785" s="28">
        <f>[1]!Table3[[#This Row],[Residential CLM $ Collected]]/'[1]1.) CLM Reference'!$B$4</f>
        <v>4.9111465685973258E-4</v>
      </c>
      <c r="J785" s="229">
        <v>29069.134999999998</v>
      </c>
      <c r="K785" s="28">
        <f>[1]!Table3[[#This Row],[Residential Incentive Disbursements]]/'[1]1.) CLM Reference'!$B$5</f>
        <v>2.334001938212913E-4</v>
      </c>
      <c r="L785" s="229">
        <v>0</v>
      </c>
      <c r="M785" s="28">
        <f>[1]!Table3[[#This Row],[C&amp;I CLM $ Collected]]/'[1]1.) CLM Reference'!$B$4</f>
        <v>0</v>
      </c>
      <c r="N785" s="229">
        <v>0</v>
      </c>
      <c r="O785" s="28">
        <f>[1]!Table3[[#This Row],[C&amp;I Incentive Disbursements]]/'[1]1.) CLM Reference'!$B$5</f>
        <v>0</v>
      </c>
      <c r="Q785">
        <f>VLOOKUP(Table3[[#This Row],[Census Tract]],'Population and Diversity Data'!$B$2:$K$823,10,FALSE)</f>
        <v>2</v>
      </c>
      <c r="R785" t="str">
        <f>VLOOKUP(Table3[[#This Row],[Census Tract]],'ES Energy Burden'!$B$2:$E$914,4,FALSE)</f>
        <v>No</v>
      </c>
    </row>
    <row r="786" spans="1:18" x14ac:dyDescent="0.2">
      <c r="A786" t="s">
        <v>2860</v>
      </c>
      <c r="B786" s="169">
        <v>9003497100</v>
      </c>
      <c r="C786" t="s">
        <v>944</v>
      </c>
      <c r="D786" s="170">
        <f>[1]!Table3[[#This Row],[Residential CLM $ Collected]]+[1]!Table3[[#This Row],[C&amp;I CLM $ Collected]]</f>
        <v>28096.74756</v>
      </c>
      <c r="E786" s="28">
        <f>[1]!Table3[[#This Row],[CLM $ Collected ]]/'[1]1.) CLM Reference'!$B$4</f>
        <v>3.0247194713982318E-4</v>
      </c>
      <c r="F786" s="170">
        <f>[1]!Table3[[#This Row],[Residential Incentive Disbursements]]+[1]!Table3[[#This Row],[C&amp;I Incentive Disbursements]]</f>
        <v>9294.2900000000009</v>
      </c>
      <c r="G786" s="28">
        <f>[1]!Table3[[#This Row],[Incentive Disbursements]]/'[1]1.) CLM Reference'!$B$5</f>
        <v>7.4625168152794705E-5</v>
      </c>
      <c r="H786" s="228">
        <v>28096.74756</v>
      </c>
      <c r="I786" s="28">
        <f>[1]!Table3[[#This Row],[Residential CLM $ Collected]]/'[1]1.) CLM Reference'!$B$4</f>
        <v>3.0247194713982318E-4</v>
      </c>
      <c r="J786" s="229">
        <v>9294.2900000000009</v>
      </c>
      <c r="K786" s="28">
        <f>[1]!Table3[[#This Row],[Residential Incentive Disbursements]]/'[1]1.) CLM Reference'!$B$5</f>
        <v>7.4625168152794705E-5</v>
      </c>
      <c r="L786" s="229">
        <v>0</v>
      </c>
      <c r="M786" s="28">
        <f>[1]!Table3[[#This Row],[C&amp;I CLM $ Collected]]/'[1]1.) CLM Reference'!$B$4</f>
        <v>0</v>
      </c>
      <c r="N786" s="229">
        <v>0</v>
      </c>
      <c r="O786" s="28">
        <f>[1]!Table3[[#This Row],[C&amp;I Incentive Disbursements]]/'[1]1.) CLM Reference'!$B$5</f>
        <v>0</v>
      </c>
      <c r="Q786">
        <f>VLOOKUP(Table3[[#This Row],[Census Tract]],'Population and Diversity Data'!$B$2:$K$823,10,FALSE)</f>
        <v>2</v>
      </c>
      <c r="R786" t="str">
        <f>VLOOKUP(Table3[[#This Row],[Census Tract]],'ES Energy Burden'!$B$2:$E$914,4,FALSE)</f>
        <v>No</v>
      </c>
    </row>
    <row r="787" spans="1:18" x14ac:dyDescent="0.2">
      <c r="A787" t="s">
        <v>2860</v>
      </c>
      <c r="B787" s="169">
        <v>9003497200</v>
      </c>
      <c r="C787" t="s">
        <v>944</v>
      </c>
      <c r="D787" s="170">
        <f>[1]!Table3[[#This Row],[Residential CLM $ Collected]]+[1]!Table3[[#This Row],[C&amp;I CLM $ Collected]]</f>
        <v>630909.85072500003</v>
      </c>
      <c r="E787" s="28">
        <f>[1]!Table3[[#This Row],[CLM $ Collected ]]/'[1]1.) CLM Reference'!$B$4</f>
        <v>6.7919794136658412E-3</v>
      </c>
      <c r="F787" s="170">
        <f>[1]!Table3[[#This Row],[Residential Incentive Disbursements]]+[1]!Table3[[#This Row],[C&amp;I Incentive Disbursements]]</f>
        <v>690809.96500000008</v>
      </c>
      <c r="G787" s="28">
        <f>[1]!Table3[[#This Row],[Incentive Disbursements]]/'[1]1.) CLM Reference'!$B$5</f>
        <v>5.546610854594727E-3</v>
      </c>
      <c r="H787" s="228">
        <v>309165.11123400001</v>
      </c>
      <c r="I787" s="28">
        <f>[1]!Table3[[#This Row],[Residential CLM $ Collected]]/'[1]1.) CLM Reference'!$B$4</f>
        <v>3.3282775162125564E-3</v>
      </c>
      <c r="J787" s="229">
        <v>533732.29500000004</v>
      </c>
      <c r="K787" s="28">
        <f>[1]!Table3[[#This Row],[Residential Incentive Disbursements]]/'[1]1.) CLM Reference'!$B$5</f>
        <v>4.2854120393222101E-3</v>
      </c>
      <c r="L787" s="229">
        <v>321744.73949100001</v>
      </c>
      <c r="M787" s="28">
        <f>[1]!Table3[[#This Row],[C&amp;I CLM $ Collected]]/'[1]1.) CLM Reference'!$B$4</f>
        <v>3.4637018974532844E-3</v>
      </c>
      <c r="N787" s="229">
        <v>157077.67000000001</v>
      </c>
      <c r="O787" s="28">
        <f>[1]!Table3[[#This Row],[C&amp;I Incentive Disbursements]]/'[1]1.) CLM Reference'!$B$5</f>
        <v>1.2611988152725162E-3</v>
      </c>
      <c r="Q787">
        <f>VLOOKUP(Table3[[#This Row],[Census Tract]],'Population and Diversity Data'!$B$2:$K$823,10,FALSE)</f>
        <v>2</v>
      </c>
      <c r="R787" t="str">
        <f>VLOOKUP(Table3[[#This Row],[Census Tract]],'ES Energy Burden'!$B$2:$E$914,4,FALSE)</f>
        <v>No</v>
      </c>
    </row>
    <row r="788" spans="1:18" x14ac:dyDescent="0.2">
      <c r="A788" t="s">
        <v>2860</v>
      </c>
      <c r="B788" s="169">
        <v>9003497300</v>
      </c>
      <c r="C788" t="s">
        <v>944</v>
      </c>
      <c r="D788" s="170">
        <f>[1]!Table3[[#This Row],[Residential CLM $ Collected]]+[1]!Table3[[#This Row],[C&amp;I CLM $ Collected]]</f>
        <v>48008.189754000006</v>
      </c>
      <c r="E788" s="28">
        <f>[1]!Table3[[#This Row],[CLM $ Collected ]]/'[1]1.) CLM Reference'!$B$4</f>
        <v>5.1682603484766085E-4</v>
      </c>
      <c r="F788" s="170">
        <f>[1]!Table3[[#This Row],[Residential Incentive Disbursements]]+[1]!Table3[[#This Row],[C&amp;I Incentive Disbursements]]</f>
        <v>48414.97</v>
      </c>
      <c r="G788" s="28">
        <f>[1]!Table3[[#This Row],[Incentive Disbursements]]/'[1]1.) CLM Reference'!$B$5</f>
        <v>3.8873063755945971E-4</v>
      </c>
      <c r="H788" s="228">
        <v>48008.189754000006</v>
      </c>
      <c r="I788" s="28">
        <f>[1]!Table3[[#This Row],[Residential CLM $ Collected]]/'[1]1.) CLM Reference'!$B$4</f>
        <v>5.1682603484766085E-4</v>
      </c>
      <c r="J788" s="229">
        <v>48414.97</v>
      </c>
      <c r="K788" s="28">
        <f>[1]!Table3[[#This Row],[Residential Incentive Disbursements]]/'[1]1.) CLM Reference'!$B$5</f>
        <v>3.8873063755945971E-4</v>
      </c>
      <c r="L788" s="229">
        <v>0</v>
      </c>
      <c r="M788" s="28">
        <f>[1]!Table3[[#This Row],[C&amp;I CLM $ Collected]]/'[1]1.) CLM Reference'!$B$4</f>
        <v>0</v>
      </c>
      <c r="N788" s="229">
        <v>0</v>
      </c>
      <c r="O788" s="28">
        <f>[1]!Table3[[#This Row],[C&amp;I Incentive Disbursements]]/'[1]1.) CLM Reference'!$B$5</f>
        <v>0</v>
      </c>
      <c r="Q788">
        <f>VLOOKUP(Table3[[#This Row],[Census Tract]],'Population and Diversity Data'!$B$2:$K$823,10,FALSE)</f>
        <v>4</v>
      </c>
      <c r="R788" t="str">
        <f>VLOOKUP(Table3[[#This Row],[Census Tract]],'ES Energy Burden'!$B$2:$E$914,4,FALSE)</f>
        <v>No</v>
      </c>
    </row>
    <row r="789" spans="1:18" x14ac:dyDescent="0.2">
      <c r="A789" t="s">
        <v>2860</v>
      </c>
      <c r="B789" s="169">
        <v>9003497400</v>
      </c>
      <c r="C789" t="s">
        <v>944</v>
      </c>
      <c r="D789" s="170">
        <f>[1]!Table3[[#This Row],[Residential CLM $ Collected]]+[1]!Table3[[#This Row],[C&amp;I CLM $ Collected]]</f>
        <v>45826.131959999999</v>
      </c>
      <c r="E789" s="28">
        <f>[1]!Table3[[#This Row],[CLM $ Collected ]]/'[1]1.) CLM Reference'!$B$4</f>
        <v>4.9333537037436661E-4</v>
      </c>
      <c r="F789" s="170">
        <f>[1]!Table3[[#This Row],[Residential Incentive Disbursements]]+[1]!Table3[[#This Row],[C&amp;I Incentive Disbursements]]</f>
        <v>47578.44</v>
      </c>
      <c r="G789" s="28">
        <f>[1]!Table3[[#This Row],[Incentive Disbursements]]/'[1]1.) CLM Reference'!$B$5</f>
        <v>3.8201401994640295E-4</v>
      </c>
      <c r="H789" s="228">
        <v>45826.131959999999</v>
      </c>
      <c r="I789" s="28">
        <f>[1]!Table3[[#This Row],[Residential CLM $ Collected]]/'[1]1.) CLM Reference'!$B$4</f>
        <v>4.9333537037436661E-4</v>
      </c>
      <c r="J789" s="229">
        <v>47578.44</v>
      </c>
      <c r="K789" s="28">
        <f>[1]!Table3[[#This Row],[Residential Incentive Disbursements]]/'[1]1.) CLM Reference'!$B$5</f>
        <v>3.8201401994640295E-4</v>
      </c>
      <c r="L789" s="229">
        <v>0</v>
      </c>
      <c r="M789" s="28">
        <f>[1]!Table3[[#This Row],[C&amp;I CLM $ Collected]]/'[1]1.) CLM Reference'!$B$4</f>
        <v>0</v>
      </c>
      <c r="N789" s="229">
        <v>0</v>
      </c>
      <c r="O789" s="28">
        <f>[1]!Table3[[#This Row],[C&amp;I Incentive Disbursements]]/'[1]1.) CLM Reference'!$B$5</f>
        <v>0</v>
      </c>
      <c r="Q789">
        <f>VLOOKUP(Table3[[#This Row],[Census Tract]],'Population and Diversity Data'!$B$2:$K$823,10,FALSE)</f>
        <v>2</v>
      </c>
      <c r="R789" t="str">
        <f>VLOOKUP(Table3[[#This Row],[Census Tract]],'ES Energy Burden'!$B$2:$E$914,4,FALSE)</f>
        <v>No</v>
      </c>
    </row>
    <row r="790" spans="1:18" x14ac:dyDescent="0.2">
      <c r="A790" t="s">
        <v>2860</v>
      </c>
      <c r="B790" s="169">
        <v>9003497500</v>
      </c>
      <c r="C790" t="s">
        <v>944</v>
      </c>
      <c r="D790" s="170">
        <f>[1]!Table3[[#This Row],[Residential CLM $ Collected]]+[1]!Table3[[#This Row],[C&amp;I CLM $ Collected]]</f>
        <v>43312.493699999999</v>
      </c>
      <c r="E790" s="28">
        <f>[1]!Table3[[#This Row],[CLM $ Collected ]]/'[1]1.) CLM Reference'!$B$4</f>
        <v>4.6627511874617575E-4</v>
      </c>
      <c r="F790" s="170">
        <f>[1]!Table3[[#This Row],[Residential Incentive Disbursements]]+[1]!Table3[[#This Row],[C&amp;I Incentive Disbursements]]</f>
        <v>40365.855000000003</v>
      </c>
      <c r="G790" s="28">
        <f>[1]!Table3[[#This Row],[Incentive Disbursements]]/'[1]1.) CLM Reference'!$B$5</f>
        <v>3.2410315548646844E-4</v>
      </c>
      <c r="H790" s="228">
        <v>43312.493699999999</v>
      </c>
      <c r="I790" s="28">
        <f>[1]!Table3[[#This Row],[Residential CLM $ Collected]]/'[1]1.) CLM Reference'!$B$4</f>
        <v>4.6627511874617575E-4</v>
      </c>
      <c r="J790" s="229">
        <v>40365.855000000003</v>
      </c>
      <c r="K790" s="28">
        <f>[1]!Table3[[#This Row],[Residential Incentive Disbursements]]/'[1]1.) CLM Reference'!$B$5</f>
        <v>3.2410315548646844E-4</v>
      </c>
      <c r="L790" s="229">
        <v>0</v>
      </c>
      <c r="M790" s="28">
        <f>[1]!Table3[[#This Row],[C&amp;I CLM $ Collected]]/'[1]1.) CLM Reference'!$B$4</f>
        <v>0</v>
      </c>
      <c r="N790" s="229">
        <v>0</v>
      </c>
      <c r="O790" s="28">
        <f>[1]!Table3[[#This Row],[C&amp;I Incentive Disbursements]]/'[1]1.) CLM Reference'!$B$5</f>
        <v>0</v>
      </c>
      <c r="Q790">
        <f>VLOOKUP(Table3[[#This Row],[Census Tract]],'Population and Diversity Data'!$B$2:$K$823,10,FALSE)</f>
        <v>5</v>
      </c>
      <c r="R790" t="str">
        <f>VLOOKUP(Table3[[#This Row],[Census Tract]],'ES Energy Burden'!$B$2:$E$914,4,FALSE)</f>
        <v>No</v>
      </c>
    </row>
    <row r="791" spans="1:18" x14ac:dyDescent="0.2">
      <c r="A791" t="s">
        <v>2860</v>
      </c>
      <c r="B791" s="169">
        <v>9003497600</v>
      </c>
      <c r="C791" t="s">
        <v>944</v>
      </c>
      <c r="D791" s="170">
        <f>[1]!Table3[[#This Row],[Residential CLM $ Collected]]+[1]!Table3[[#This Row],[C&amp;I CLM $ Collected]]</f>
        <v>21331.970310000001</v>
      </c>
      <c r="E791" s="28">
        <f>[1]!Table3[[#This Row],[CLM $ Collected ]]/'[1]1.) CLM Reference'!$B$4</f>
        <v>2.2964660170063462E-4</v>
      </c>
      <c r="F791" s="170">
        <f>[1]!Table3[[#This Row],[Residential Incentive Disbursements]]+[1]!Table3[[#This Row],[C&amp;I Incentive Disbursements]]</f>
        <v>10221.24</v>
      </c>
      <c r="G791" s="28">
        <f>[1]!Table3[[#This Row],[Incentive Disbursements]]/'[1]1.) CLM Reference'!$B$5</f>
        <v>8.2067780726668873E-5</v>
      </c>
      <c r="H791" s="228">
        <v>21331.970310000001</v>
      </c>
      <c r="I791" s="28">
        <f>[1]!Table3[[#This Row],[Residential CLM $ Collected]]/'[1]1.) CLM Reference'!$B$4</f>
        <v>2.2964660170063462E-4</v>
      </c>
      <c r="J791" s="229">
        <v>10221.24</v>
      </c>
      <c r="K791" s="28">
        <f>[1]!Table3[[#This Row],[Residential Incentive Disbursements]]/'[1]1.) CLM Reference'!$B$5</f>
        <v>8.2067780726668873E-5</v>
      </c>
      <c r="L791" s="229">
        <v>0</v>
      </c>
      <c r="M791" s="28">
        <f>[1]!Table3[[#This Row],[C&amp;I CLM $ Collected]]/'[1]1.) CLM Reference'!$B$4</f>
        <v>0</v>
      </c>
      <c r="N791" s="229">
        <v>0</v>
      </c>
      <c r="O791" s="28">
        <f>[1]!Table3[[#This Row],[C&amp;I Incentive Disbursements]]/'[1]1.) CLM Reference'!$B$5</f>
        <v>0</v>
      </c>
      <c r="Q791">
        <f>VLOOKUP(Table3[[#This Row],[Census Tract]],'Population and Diversity Data'!$B$2:$K$823,10,FALSE)</f>
        <v>3</v>
      </c>
      <c r="R791" t="str">
        <f>VLOOKUP(Table3[[#This Row],[Census Tract]],'ES Energy Burden'!$B$2:$E$914,4,FALSE)</f>
        <v>No</v>
      </c>
    </row>
    <row r="792" spans="1:18" x14ac:dyDescent="0.2">
      <c r="A792" t="s">
        <v>2860</v>
      </c>
      <c r="B792" s="169">
        <v>9003497700</v>
      </c>
      <c r="C792" t="s">
        <v>944</v>
      </c>
      <c r="D792" s="170">
        <f>[1]!Table3[[#This Row],[Residential CLM $ Collected]]+[1]!Table3[[#This Row],[C&amp;I CLM $ Collected]]</f>
        <v>68225.623556999999</v>
      </c>
      <c r="E792" s="28">
        <f>[1]!Table3[[#This Row],[CLM $ Collected ]]/'[1]1.) CLM Reference'!$B$4</f>
        <v>7.3447423613875323E-4</v>
      </c>
      <c r="F792" s="170">
        <f>[1]!Table3[[#This Row],[Residential Incentive Disbursements]]+[1]!Table3[[#This Row],[C&amp;I Incentive Disbursements]]</f>
        <v>33866.21</v>
      </c>
      <c r="G792" s="28">
        <f>[1]!Table3[[#This Row],[Incentive Disbursements]]/'[1]1.) CLM Reference'!$B$5</f>
        <v>2.7191658706021194E-4</v>
      </c>
      <c r="H792" s="228">
        <v>68225.623556999999</v>
      </c>
      <c r="I792" s="28">
        <f>[1]!Table3[[#This Row],[Residential CLM $ Collected]]/'[1]1.) CLM Reference'!$B$4</f>
        <v>7.3447423613875323E-4</v>
      </c>
      <c r="J792" s="229">
        <v>33866.21</v>
      </c>
      <c r="K792" s="28">
        <f>[1]!Table3[[#This Row],[Residential Incentive Disbursements]]/'[1]1.) CLM Reference'!$B$5</f>
        <v>2.7191658706021194E-4</v>
      </c>
      <c r="L792" s="229">
        <v>0</v>
      </c>
      <c r="M792" s="28">
        <f>[1]!Table3[[#This Row],[C&amp;I CLM $ Collected]]/'[1]1.) CLM Reference'!$B$4</f>
        <v>0</v>
      </c>
      <c r="N792" s="229">
        <v>0</v>
      </c>
      <c r="O792" s="28">
        <f>[1]!Table3[[#This Row],[C&amp;I Incentive Disbursements]]/'[1]1.) CLM Reference'!$B$5</f>
        <v>0</v>
      </c>
      <c r="Q792">
        <f>VLOOKUP(Table3[[#This Row],[Census Tract]],'Population and Diversity Data'!$B$2:$K$823,10,FALSE)</f>
        <v>3</v>
      </c>
      <c r="R792" t="str">
        <f>VLOOKUP(Table3[[#This Row],[Census Tract]],'ES Energy Burden'!$B$2:$E$914,4,FALSE)</f>
        <v>No</v>
      </c>
    </row>
    <row r="793" spans="1:18" x14ac:dyDescent="0.2">
      <c r="A793" t="s">
        <v>2861</v>
      </c>
      <c r="B793" s="169">
        <v>9007680100</v>
      </c>
      <c r="C793" t="s">
        <v>944</v>
      </c>
      <c r="D793" s="170">
        <f>[1]!Table3[[#This Row],[Residential CLM $ Collected]]+[1]!Table3[[#This Row],[C&amp;I CLM $ Collected]]</f>
        <v>208709.18312999999</v>
      </c>
      <c r="E793" s="28">
        <f>[1]!Table3[[#This Row],[CLM $ Collected ]]/'[1]1.) CLM Reference'!$B$4</f>
        <v>2.2468320531578651E-3</v>
      </c>
      <c r="F793" s="170">
        <f>[1]!Table3[[#This Row],[Residential Incentive Disbursements]]+[1]!Table3[[#This Row],[C&amp;I Incentive Disbursements]]</f>
        <v>226416.56</v>
      </c>
      <c r="G793" s="28">
        <f>[1]!Table3[[#This Row],[Incentive Disbursements]]/'[1]1.) CLM Reference'!$B$5</f>
        <v>1.8179305640965936E-3</v>
      </c>
      <c r="H793" s="228">
        <v>153241.18637099999</v>
      </c>
      <c r="I793" s="28">
        <f>[1]!Table3[[#This Row],[Residential CLM $ Collected]]/'[1]1.) CLM Reference'!$B$4</f>
        <v>1.6496984188177296E-3</v>
      </c>
      <c r="J793" s="229">
        <v>215689.32</v>
      </c>
      <c r="K793" s="28">
        <f>[1]!Table3[[#This Row],[Residential Incentive Disbursements]]/'[1]1.) CLM Reference'!$B$5</f>
        <v>1.7318000378471023E-3</v>
      </c>
      <c r="L793" s="229">
        <v>55467.996759000001</v>
      </c>
      <c r="M793" s="28">
        <f>[1]!Table3[[#This Row],[C&amp;I CLM $ Collected]]/'[1]1.) CLM Reference'!$B$4</f>
        <v>5.9713363434013545E-4</v>
      </c>
      <c r="N793" s="229">
        <v>10727.24</v>
      </c>
      <c r="O793" s="28">
        <f>[1]!Table3[[#This Row],[C&amp;I Incentive Disbursements]]/'[1]1.) CLM Reference'!$B$5</f>
        <v>8.6130526249491389E-5</v>
      </c>
      <c r="Q793">
        <f>VLOOKUP(Table3[[#This Row],[Census Tract]],'Population and Diversity Data'!$B$2:$K$823,10,FALSE)</f>
        <v>2</v>
      </c>
      <c r="R793" t="str">
        <f>VLOOKUP(Table3[[#This Row],[Census Tract]],'ES Energy Burden'!$B$2:$E$914,4,FALSE)</f>
        <v>No</v>
      </c>
    </row>
    <row r="794" spans="1:18" x14ac:dyDescent="0.2">
      <c r="A794" t="s">
        <v>2862</v>
      </c>
      <c r="B794" s="169">
        <v>9001050100</v>
      </c>
      <c r="C794" t="s">
        <v>944</v>
      </c>
      <c r="D794" s="170">
        <f>[1]!Table3[[#This Row],[Residential CLM $ Collected]]+[1]!Table3[[#This Row],[C&amp;I CLM $ Collected]]</f>
        <v>318.62061</v>
      </c>
      <c r="E794" s="28">
        <f>[1]!Table3[[#This Row],[CLM $ Collected ]]/'[1]1.) CLM Reference'!$B$4</f>
        <v>3.430069480454065E-6</v>
      </c>
      <c r="F794" s="170">
        <f>[1]!Table3[[#This Row],[Residential Incentive Disbursements]]+[1]!Table3[[#This Row],[C&amp;I Incentive Disbursements]]</f>
        <v>0</v>
      </c>
      <c r="G794" s="28">
        <f>[1]!Table3[[#This Row],[Incentive Disbursements]]/'[1]1.) CLM Reference'!$B$5</f>
        <v>0</v>
      </c>
      <c r="H794" s="228">
        <v>318.62061</v>
      </c>
      <c r="I794" s="28">
        <f>[1]!Table3[[#This Row],[Residential CLM $ Collected]]/'[1]1.) CLM Reference'!$B$4</f>
        <v>3.430069480454065E-6</v>
      </c>
      <c r="J794" s="229">
        <v>0</v>
      </c>
      <c r="K794" s="28">
        <f>[1]!Table3[[#This Row],[Residential Incentive Disbursements]]/'[1]1.) CLM Reference'!$B$5</f>
        <v>0</v>
      </c>
      <c r="L794" s="229">
        <v>0</v>
      </c>
      <c r="M794" s="28">
        <f>[1]!Table3[[#This Row],[C&amp;I CLM $ Collected]]/'[1]1.) CLM Reference'!$B$4</f>
        <v>0</v>
      </c>
      <c r="N794" s="229">
        <v>0</v>
      </c>
      <c r="O794" s="28">
        <f>[1]!Table3[[#This Row],[C&amp;I Incentive Disbursements]]/'[1]1.) CLM Reference'!$B$5</f>
        <v>0</v>
      </c>
      <c r="Q794">
        <f>VLOOKUP(Table3[[#This Row],[Census Tract]],'Population and Diversity Data'!$B$2:$K$823,10,FALSE)</f>
        <v>2</v>
      </c>
      <c r="R794" t="str">
        <f>VLOOKUP(Table3[[#This Row],[Census Tract]],'ES Energy Burden'!$B$2:$E$914,4,FALSE)</f>
        <v>No</v>
      </c>
    </row>
    <row r="795" spans="1:18" x14ac:dyDescent="0.2">
      <c r="A795" t="s">
        <v>2862</v>
      </c>
      <c r="B795" s="169">
        <v>9001050300</v>
      </c>
      <c r="C795" t="s">
        <v>944</v>
      </c>
      <c r="D795" s="170">
        <f>[1]!Table3[[#This Row],[Residential CLM $ Collected]]+[1]!Table3[[#This Row],[C&amp;I CLM $ Collected]]</f>
        <v>253.16928000000001</v>
      </c>
      <c r="E795" s="28">
        <f>[1]!Table3[[#This Row],[CLM $ Collected ]]/'[1]1.) CLM Reference'!$B$4</f>
        <v>2.7254615472505993E-6</v>
      </c>
      <c r="F795" s="170">
        <f>[1]!Table3[[#This Row],[Residential Incentive Disbursements]]+[1]!Table3[[#This Row],[C&amp;I Incentive Disbursements]]</f>
        <v>0</v>
      </c>
      <c r="G795" s="28">
        <f>[1]!Table3[[#This Row],[Incentive Disbursements]]/'[1]1.) CLM Reference'!$B$5</f>
        <v>0</v>
      </c>
      <c r="H795" s="228">
        <v>253.16928000000001</v>
      </c>
      <c r="I795" s="28">
        <f>[1]!Table3[[#This Row],[Residential CLM $ Collected]]/'[1]1.) CLM Reference'!$B$4</f>
        <v>2.7254615472505993E-6</v>
      </c>
      <c r="J795" s="229">
        <v>0</v>
      </c>
      <c r="K795" s="28">
        <f>[1]!Table3[[#This Row],[Residential Incentive Disbursements]]/'[1]1.) CLM Reference'!$B$5</f>
        <v>0</v>
      </c>
      <c r="L795" s="229">
        <v>0</v>
      </c>
      <c r="M795" s="28">
        <f>[1]!Table3[[#This Row],[C&amp;I CLM $ Collected]]/'[1]1.) CLM Reference'!$B$4</f>
        <v>0</v>
      </c>
      <c r="N795" s="229">
        <v>0</v>
      </c>
      <c r="O795" s="28">
        <f>[1]!Table3[[#This Row],[C&amp;I Incentive Disbursements]]/'[1]1.) CLM Reference'!$B$5</f>
        <v>0</v>
      </c>
      <c r="Q795">
        <f>VLOOKUP(Table3[[#This Row],[Census Tract]],'Population and Diversity Data'!$B$2:$K$823,10,FALSE)</f>
        <v>3</v>
      </c>
      <c r="R795" t="str">
        <f>VLOOKUP(Table3[[#This Row],[Census Tract]],'ES Energy Burden'!$B$2:$E$914,4,FALSE)</f>
        <v>No</v>
      </c>
    </row>
    <row r="796" spans="1:18" x14ac:dyDescent="0.2">
      <c r="A796" t="s">
        <v>2862</v>
      </c>
      <c r="B796" s="169">
        <v>9001055100</v>
      </c>
      <c r="C796" t="s">
        <v>944</v>
      </c>
      <c r="D796" s="170">
        <f>[1]!Table3[[#This Row],[Residential CLM $ Collected]]+[1]!Table3[[#This Row],[C&amp;I CLM $ Collected]]</f>
        <v>214617.93030300003</v>
      </c>
      <c r="E796" s="28">
        <f>[1]!Table3[[#This Row],[CLM $ Collected ]]/'[1]1.) CLM Reference'!$B$4</f>
        <v>2.3104419161413883E-3</v>
      </c>
      <c r="F796" s="170">
        <f>[1]!Table3[[#This Row],[Residential Incentive Disbursements]]+[1]!Table3[[#This Row],[C&amp;I Incentive Disbursements]]</f>
        <v>203891.61499999999</v>
      </c>
      <c r="G796" s="28">
        <f>[1]!Table3[[#This Row],[Incentive Disbursements]]/'[1]1.) CLM Reference'!$B$5</f>
        <v>1.63707459680297E-3</v>
      </c>
      <c r="H796" s="228">
        <v>202690.61721300002</v>
      </c>
      <c r="I796" s="28">
        <f>[1]!Table3[[#This Row],[Residential CLM $ Collected]]/'[1]1.) CLM Reference'!$B$4</f>
        <v>2.1820399505126449E-3</v>
      </c>
      <c r="J796" s="229">
        <v>203841.61499999999</v>
      </c>
      <c r="K796" s="28">
        <f>[1]!Table3[[#This Row],[Residential Incentive Disbursements]]/'[1]1.) CLM Reference'!$B$5</f>
        <v>1.6366731397354974E-3</v>
      </c>
      <c r="L796" s="229">
        <v>11927.31309</v>
      </c>
      <c r="M796" s="28">
        <f>[1]!Table3[[#This Row],[C&amp;I CLM $ Collected]]/'[1]1.) CLM Reference'!$B$4</f>
        <v>1.2840196562874343E-4</v>
      </c>
      <c r="N796" s="229">
        <v>50</v>
      </c>
      <c r="O796" s="28">
        <f>[1]!Table3[[#This Row],[C&amp;I Incentive Disbursements]]/'[1]1.) CLM Reference'!$B$5</f>
        <v>4.0145706747258101E-7</v>
      </c>
      <c r="Q796">
        <f>VLOOKUP(Table3[[#This Row],[Census Tract]],'Population and Diversity Data'!$B$2:$K$823,10,FALSE)</f>
        <v>4</v>
      </c>
      <c r="R796" t="str">
        <f>VLOOKUP(Table3[[#This Row],[Census Tract]],'ES Energy Burden'!$B$2:$E$914,4,FALSE)</f>
        <v>No</v>
      </c>
    </row>
    <row r="797" spans="1:18" x14ac:dyDescent="0.2">
      <c r="A797" t="s">
        <v>2862</v>
      </c>
      <c r="B797" s="169">
        <v>9001055200</v>
      </c>
      <c r="C797" t="s">
        <v>944</v>
      </c>
      <c r="D797" s="170">
        <f>[1]!Table3[[#This Row],[Residential CLM $ Collected]]+[1]!Table3[[#This Row],[C&amp;I CLM $ Collected]]</f>
        <v>87994.934789999999</v>
      </c>
      <c r="E797" s="28">
        <f>[1]!Table3[[#This Row],[CLM $ Collected ]]/'[1]1.) CLM Reference'!$B$4</f>
        <v>9.4729823113992725E-4</v>
      </c>
      <c r="F797" s="170">
        <f>[1]!Table3[[#This Row],[Residential Incentive Disbursements]]+[1]!Table3[[#This Row],[C&amp;I Incentive Disbursements]]</f>
        <v>23066.18</v>
      </c>
      <c r="G797" s="28">
        <f>[1]!Table3[[#This Row],[Incentive Disbursements]]/'[1]1.) CLM Reference'!$B$5</f>
        <v>1.8520161961189396E-4</v>
      </c>
      <c r="H797" s="228">
        <v>87994.934789999999</v>
      </c>
      <c r="I797" s="28">
        <f>[1]!Table3[[#This Row],[Residential CLM $ Collected]]/'[1]1.) CLM Reference'!$B$4</f>
        <v>9.4729823113992725E-4</v>
      </c>
      <c r="J797" s="229">
        <v>23066.18</v>
      </c>
      <c r="K797" s="28">
        <f>[1]!Table3[[#This Row],[Residential Incentive Disbursements]]/'[1]1.) CLM Reference'!$B$5</f>
        <v>1.8520161961189396E-4</v>
      </c>
      <c r="L797" s="229">
        <v>0</v>
      </c>
      <c r="M797" s="28">
        <f>[1]!Table3[[#This Row],[C&amp;I CLM $ Collected]]/'[1]1.) CLM Reference'!$B$4</f>
        <v>0</v>
      </c>
      <c r="N797" s="229">
        <v>0</v>
      </c>
      <c r="O797" s="28">
        <f>[1]!Table3[[#This Row],[C&amp;I Incentive Disbursements]]/'[1]1.) CLM Reference'!$B$5</f>
        <v>0</v>
      </c>
      <c r="Q797">
        <f>VLOOKUP(Table3[[#This Row],[Census Tract]],'Population and Diversity Data'!$B$2:$K$823,10,FALSE)</f>
        <v>1</v>
      </c>
      <c r="R797" t="str">
        <f>VLOOKUP(Table3[[#This Row],[Census Tract]],'ES Energy Burden'!$B$2:$E$914,4,FALSE)</f>
        <v>No</v>
      </c>
    </row>
    <row r="798" spans="1:18" x14ac:dyDescent="0.2">
      <c r="A798" t="s">
        <v>2863</v>
      </c>
      <c r="B798" s="169">
        <v>9001042500</v>
      </c>
      <c r="C798" t="s">
        <v>944</v>
      </c>
      <c r="D798" s="170">
        <f>[1]!Table3[[#This Row],[Residential CLM $ Collected]]+[1]!Table3[[#This Row],[C&amp;I CLM $ Collected]]</f>
        <v>72.411360000000002</v>
      </c>
      <c r="E798" s="28">
        <f>[1]!Table3[[#This Row],[CLM $ Collected ]]/'[1]1.) CLM Reference'!$B$4</f>
        <v>7.795352471837031E-7</v>
      </c>
      <c r="F798" s="170">
        <f>[1]!Table3[[#This Row],[Residential Incentive Disbursements]]+[1]!Table3[[#This Row],[C&amp;I Incentive Disbursements]]</f>
        <v>0</v>
      </c>
      <c r="G798" s="28">
        <f>[1]!Table3[[#This Row],[Incentive Disbursements]]/'[1]1.) CLM Reference'!$B$5</f>
        <v>0</v>
      </c>
      <c r="H798" s="228">
        <v>72.411360000000002</v>
      </c>
      <c r="I798" s="28">
        <f>[1]!Table3[[#This Row],[Residential CLM $ Collected]]/'[1]1.) CLM Reference'!$B$4</f>
        <v>7.795352471837031E-7</v>
      </c>
      <c r="J798" s="229">
        <v>0</v>
      </c>
      <c r="K798" s="28">
        <f>[1]!Table3[[#This Row],[Residential Incentive Disbursements]]/'[1]1.) CLM Reference'!$B$5</f>
        <v>0</v>
      </c>
      <c r="L798" s="229">
        <v>0</v>
      </c>
      <c r="M798" s="28">
        <f>[1]!Table3[[#This Row],[C&amp;I CLM $ Collected]]/'[1]1.) CLM Reference'!$B$4</f>
        <v>0</v>
      </c>
      <c r="N798" s="229">
        <v>0</v>
      </c>
      <c r="O798" s="28">
        <f>[1]!Table3[[#This Row],[C&amp;I Incentive Disbursements]]/'[1]1.) CLM Reference'!$B$5</f>
        <v>0</v>
      </c>
      <c r="Q798">
        <f>VLOOKUP(Table3[[#This Row],[Census Tract]],'Population and Diversity Data'!$B$2:$K$823,10,FALSE)</f>
        <v>1</v>
      </c>
      <c r="R798" t="str">
        <f>VLOOKUP(Table3[[#This Row],[Census Tract]],'ES Energy Burden'!$B$2:$E$914,4,FALSE)</f>
        <v>No</v>
      </c>
    </row>
    <row r="799" spans="1:18" x14ac:dyDescent="0.2">
      <c r="A799" t="s">
        <v>2863</v>
      </c>
      <c r="B799" s="169">
        <v>9001042600</v>
      </c>
      <c r="C799" t="s">
        <v>944</v>
      </c>
      <c r="D799" s="170">
        <f>[1]!Table3[[#This Row],[Residential CLM $ Collected]]+[1]!Table3[[#This Row],[C&amp;I CLM $ Collected]]</f>
        <v>510.99950999999999</v>
      </c>
      <c r="E799" s="28">
        <f>[1]!Table3[[#This Row],[CLM $ Collected ]]/'[1]1.) CLM Reference'!$B$4</f>
        <v>5.5010999563963606E-6</v>
      </c>
      <c r="F799" s="170">
        <f>[1]!Table3[[#This Row],[Residential Incentive Disbursements]]+[1]!Table3[[#This Row],[C&amp;I Incentive Disbursements]]</f>
        <v>7093.56</v>
      </c>
      <c r="G799" s="28">
        <f>[1]!Table3[[#This Row],[Incentive Disbursements]]/'[1]1.) CLM Reference'!$B$5</f>
        <v>5.6955195910816032E-5</v>
      </c>
      <c r="H799" s="228">
        <v>510.99950999999999</v>
      </c>
      <c r="I799" s="28">
        <f>[1]!Table3[[#This Row],[Residential CLM $ Collected]]/'[1]1.) CLM Reference'!$B$4</f>
        <v>5.5010999563963606E-6</v>
      </c>
      <c r="J799" s="229">
        <v>7093.56</v>
      </c>
      <c r="K799" s="28">
        <f>[1]!Table3[[#This Row],[Residential Incentive Disbursements]]/'[1]1.) CLM Reference'!$B$5</f>
        <v>5.6955195910816032E-5</v>
      </c>
      <c r="L799" s="229">
        <v>0</v>
      </c>
      <c r="M799" s="28">
        <f>[1]!Table3[[#This Row],[C&amp;I CLM $ Collected]]/'[1]1.) CLM Reference'!$B$4</f>
        <v>0</v>
      </c>
      <c r="N799" s="229">
        <v>0</v>
      </c>
      <c r="O799" s="28">
        <f>[1]!Table3[[#This Row],[C&amp;I Incentive Disbursements]]/'[1]1.) CLM Reference'!$B$5</f>
        <v>0</v>
      </c>
      <c r="Q799">
        <f>VLOOKUP(Table3[[#This Row],[Census Tract]],'Population and Diversity Data'!$B$2:$K$823,10,FALSE)</f>
        <v>3</v>
      </c>
      <c r="R799" t="str">
        <f>VLOOKUP(Table3[[#This Row],[Census Tract]],'ES Energy Burden'!$B$2:$E$914,4,FALSE)</f>
        <v>No</v>
      </c>
    </row>
    <row r="800" spans="1:18" x14ac:dyDescent="0.2">
      <c r="A800" t="s">
        <v>2863</v>
      </c>
      <c r="B800" s="169">
        <v>9001043500</v>
      </c>
      <c r="C800" t="s">
        <v>944</v>
      </c>
      <c r="D800" s="170">
        <f>[1]!Table3[[#This Row],[Residential CLM $ Collected]]+[1]!Table3[[#This Row],[C&amp;I CLM $ Collected]]</f>
        <v>904.67349000000002</v>
      </c>
      <c r="E800" s="28">
        <f>[1]!Table3[[#This Row],[CLM $ Collected ]]/'[1]1.) CLM Reference'!$B$4</f>
        <v>9.739146905232734E-6</v>
      </c>
      <c r="F800" s="170">
        <f>[1]!Table3[[#This Row],[Residential Incentive Disbursements]]+[1]!Table3[[#This Row],[C&amp;I Incentive Disbursements]]</f>
        <v>4648.4399999999996</v>
      </c>
      <c r="G800" s="28">
        <f>[1]!Table3[[#This Row],[Incentive Disbursements]]/'[1]1.) CLM Reference'!$B$5</f>
        <v>3.7322981814444882E-5</v>
      </c>
      <c r="H800" s="228">
        <v>904.67349000000002</v>
      </c>
      <c r="I800" s="28">
        <f>[1]!Table3[[#This Row],[Residential CLM $ Collected]]/'[1]1.) CLM Reference'!$B$4</f>
        <v>9.739146905232734E-6</v>
      </c>
      <c r="J800" s="229">
        <v>4648.4399999999996</v>
      </c>
      <c r="K800" s="28">
        <f>[1]!Table3[[#This Row],[Residential Incentive Disbursements]]/'[1]1.) CLM Reference'!$B$5</f>
        <v>3.7322981814444882E-5</v>
      </c>
      <c r="L800" s="229">
        <v>0</v>
      </c>
      <c r="M800" s="28">
        <f>[1]!Table3[[#This Row],[C&amp;I CLM $ Collected]]/'[1]1.) CLM Reference'!$B$4</f>
        <v>0</v>
      </c>
      <c r="N800" s="229">
        <v>0</v>
      </c>
      <c r="O800" s="28">
        <f>[1]!Table3[[#This Row],[C&amp;I Incentive Disbursements]]/'[1]1.) CLM Reference'!$B$5</f>
        <v>0</v>
      </c>
      <c r="Q800">
        <f>VLOOKUP(Table3[[#This Row],[Census Tract]],'Population and Diversity Data'!$B$2:$K$823,10,FALSE)</f>
        <v>1</v>
      </c>
      <c r="R800" t="str">
        <f>VLOOKUP(Table3[[#This Row],[Census Tract]],'ES Energy Burden'!$B$2:$E$914,4,FALSE)</f>
        <v>No</v>
      </c>
    </row>
    <row r="801" spans="1:18" x14ac:dyDescent="0.2">
      <c r="A801" t="s">
        <v>2863</v>
      </c>
      <c r="B801" s="169">
        <v>9001044300</v>
      </c>
      <c r="C801" t="s">
        <v>944</v>
      </c>
      <c r="D801" s="170">
        <f>[1]!Table3[[#This Row],[Residential CLM $ Collected]]+[1]!Table3[[#This Row],[C&amp;I CLM $ Collected]]</f>
        <v>741.14900999999998</v>
      </c>
      <c r="E801" s="28">
        <f>[1]!Table3[[#This Row],[CLM $ Collected ]]/'[1]1.) CLM Reference'!$B$4</f>
        <v>7.9787450023077431E-6</v>
      </c>
      <c r="F801" s="170">
        <f>[1]!Table3[[#This Row],[Residential Incentive Disbursements]]+[1]!Table3[[#This Row],[C&amp;I Incentive Disbursements]]</f>
        <v>0</v>
      </c>
      <c r="G801" s="28">
        <f>[1]!Table3[[#This Row],[Incentive Disbursements]]/'[1]1.) CLM Reference'!$B$5</f>
        <v>0</v>
      </c>
      <c r="H801" s="228">
        <v>741.14900999999998</v>
      </c>
      <c r="I801" s="28">
        <f>[1]!Table3[[#This Row],[Residential CLM $ Collected]]/'[1]1.) CLM Reference'!$B$4</f>
        <v>7.9787450023077431E-6</v>
      </c>
      <c r="J801" s="229">
        <v>0</v>
      </c>
      <c r="K801" s="28">
        <f>[1]!Table3[[#This Row],[Residential Incentive Disbursements]]/'[1]1.) CLM Reference'!$B$5</f>
        <v>0</v>
      </c>
      <c r="L801" s="229">
        <v>0</v>
      </c>
      <c r="M801" s="28">
        <f>[1]!Table3[[#This Row],[C&amp;I CLM $ Collected]]/'[1]1.) CLM Reference'!$B$4</f>
        <v>0</v>
      </c>
      <c r="N801" s="229">
        <v>0</v>
      </c>
      <c r="O801" s="28">
        <f>[1]!Table3[[#This Row],[C&amp;I Incentive Disbursements]]/'[1]1.) CLM Reference'!$B$5</f>
        <v>0</v>
      </c>
      <c r="Q801">
        <f>VLOOKUP(Table3[[#This Row],[Census Tract]],'Population and Diversity Data'!$B$2:$K$823,10,FALSE)</f>
        <v>3</v>
      </c>
      <c r="R801" t="str">
        <f>VLOOKUP(Table3[[#This Row],[Census Tract]],'ES Energy Burden'!$B$2:$E$914,4,FALSE)</f>
        <v>No</v>
      </c>
    </row>
    <row r="802" spans="1:18" x14ac:dyDescent="0.2">
      <c r="A802" t="s">
        <v>2863</v>
      </c>
      <c r="B802" s="169">
        <v>9001045400</v>
      </c>
      <c r="C802" t="s">
        <v>944</v>
      </c>
      <c r="D802" s="170">
        <f>[1]!Table3[[#This Row],[Residential CLM $ Collected]]+[1]!Table3[[#This Row],[C&amp;I CLM $ Collected]]</f>
        <v>261.25470000000001</v>
      </c>
      <c r="E802" s="28">
        <f>[1]!Table3[[#This Row],[CLM $ Collected ]]/'[1]1.) CLM Reference'!$B$4</f>
        <v>2.8125041035329844E-6</v>
      </c>
      <c r="F802" s="170">
        <f>[1]!Table3[[#This Row],[Residential Incentive Disbursements]]+[1]!Table3[[#This Row],[C&amp;I Incentive Disbursements]]</f>
        <v>1515.03</v>
      </c>
      <c r="G802" s="28">
        <f>[1]!Table3[[#This Row],[Incentive Disbursements]]/'[1]1.) CLM Reference'!$B$5</f>
        <v>1.2164390018659688E-5</v>
      </c>
      <c r="H802" s="228">
        <v>261.25470000000001</v>
      </c>
      <c r="I802" s="28">
        <f>[1]!Table3[[#This Row],[Residential CLM $ Collected]]/'[1]1.) CLM Reference'!$B$4</f>
        <v>2.8125041035329844E-6</v>
      </c>
      <c r="J802" s="229">
        <v>1515.03</v>
      </c>
      <c r="K802" s="28">
        <f>[1]!Table3[[#This Row],[Residential Incentive Disbursements]]/'[1]1.) CLM Reference'!$B$5</f>
        <v>1.2164390018659688E-5</v>
      </c>
      <c r="L802" s="229">
        <v>0</v>
      </c>
      <c r="M802" s="28">
        <f>[1]!Table3[[#This Row],[C&amp;I CLM $ Collected]]/'[1]1.) CLM Reference'!$B$4</f>
        <v>0</v>
      </c>
      <c r="N802" s="229">
        <v>0</v>
      </c>
      <c r="O802" s="28">
        <f>[1]!Table3[[#This Row],[C&amp;I Incentive Disbursements]]/'[1]1.) CLM Reference'!$B$5</f>
        <v>0</v>
      </c>
      <c r="Q802">
        <f>VLOOKUP(Table3[[#This Row],[Census Tract]],'Population and Diversity Data'!$B$2:$K$823,10,FALSE)</f>
        <v>4</v>
      </c>
      <c r="R802" t="str">
        <f>VLOOKUP(Table3[[#This Row],[Census Tract]],'ES Energy Burden'!$B$2:$E$914,4,FALSE)</f>
        <v>No</v>
      </c>
    </row>
    <row r="803" spans="1:18" x14ac:dyDescent="0.2">
      <c r="A803" t="s">
        <v>2863</v>
      </c>
      <c r="B803" s="169">
        <v>9001050100</v>
      </c>
      <c r="C803" t="s">
        <v>944</v>
      </c>
      <c r="D803" s="170">
        <f>[1]!Table3[[#This Row],[Residential CLM $ Collected]]+[1]!Table3[[#This Row],[C&amp;I CLM $ Collected]]</f>
        <v>535384.02871800005</v>
      </c>
      <c r="E803" s="28">
        <f>[1]!Table3[[#This Row],[CLM $ Collected ]]/'[1]1.) CLM Reference'!$B$4</f>
        <v>5.7636083780900254E-3</v>
      </c>
      <c r="F803" s="170">
        <f>[1]!Table3[[#This Row],[Residential Incentive Disbursements]]+[1]!Table3[[#This Row],[C&amp;I Incentive Disbursements]]</f>
        <v>383836.77500000002</v>
      </c>
      <c r="G803" s="28">
        <f>[1]!Table3[[#This Row],[Incentive Disbursements]]/'[1]1.) CLM Reference'!$B$5</f>
        <v>3.0818797215926581E-3</v>
      </c>
      <c r="H803" s="228">
        <v>321653.872218</v>
      </c>
      <c r="I803" s="28">
        <f>[1]!Table3[[#This Row],[Residential CLM $ Collected]]/'[1]1.) CLM Reference'!$B$4</f>
        <v>3.4627236774320202E-3</v>
      </c>
      <c r="J803" s="229">
        <v>348848.11499999999</v>
      </c>
      <c r="K803" s="28">
        <f>[1]!Table3[[#This Row],[Residential Incentive Disbursements]]/'[1]1.) CLM Reference'!$B$5</f>
        <v>2.8009508248247536E-3</v>
      </c>
      <c r="L803" s="229">
        <v>213730.15650000001</v>
      </c>
      <c r="M803" s="28">
        <f>[1]!Table3[[#This Row],[C&amp;I CLM $ Collected]]/'[1]1.) CLM Reference'!$B$4</f>
        <v>2.3008847006580051E-3</v>
      </c>
      <c r="N803" s="229">
        <v>34988.660000000003</v>
      </c>
      <c r="O803" s="28">
        <f>[1]!Table3[[#This Row],[C&amp;I Incentive Disbursements]]/'[1]1.) CLM Reference'!$B$5</f>
        <v>2.8092889676790392E-4</v>
      </c>
      <c r="Q803">
        <f>VLOOKUP(Table3[[#This Row],[Census Tract]],'Population and Diversity Data'!$B$2:$K$823,10,FALSE)</f>
        <v>2</v>
      </c>
      <c r="R803" t="str">
        <f>VLOOKUP(Table3[[#This Row],[Census Tract]],'ES Energy Burden'!$B$2:$E$914,4,FALSE)</f>
        <v>No</v>
      </c>
    </row>
    <row r="804" spans="1:18" x14ac:dyDescent="0.2">
      <c r="A804" t="s">
        <v>2863</v>
      </c>
      <c r="B804" s="169">
        <v>9001050200</v>
      </c>
      <c r="C804" t="s">
        <v>944</v>
      </c>
      <c r="D804" s="170">
        <f>[1]!Table3[[#This Row],[Residential CLM $ Collected]]+[1]!Table3[[#This Row],[C&amp;I CLM $ Collected]]</f>
        <v>71129.185301999998</v>
      </c>
      <c r="E804" s="28">
        <f>[1]!Table3[[#This Row],[CLM $ Collected ]]/'[1]1.) CLM Reference'!$B$4</f>
        <v>7.6573215924089801E-4</v>
      </c>
      <c r="F804" s="170">
        <f>[1]!Table3[[#This Row],[Residential Incentive Disbursements]]+[1]!Table3[[#This Row],[C&amp;I Incentive Disbursements]]</f>
        <v>27588.02</v>
      </c>
      <c r="G804" s="28">
        <f>[1]!Table3[[#This Row],[Incentive Disbursements]]/'[1]1.) CLM Reference'!$B$5</f>
        <v>2.2150811213149827E-4</v>
      </c>
      <c r="H804" s="228">
        <v>71129.185301999998</v>
      </c>
      <c r="I804" s="28">
        <f>[1]!Table3[[#This Row],[Residential CLM $ Collected]]/'[1]1.) CLM Reference'!$B$4</f>
        <v>7.6573215924089801E-4</v>
      </c>
      <c r="J804" s="229">
        <v>27588.02</v>
      </c>
      <c r="K804" s="28">
        <f>[1]!Table3[[#This Row],[Residential Incentive Disbursements]]/'[1]1.) CLM Reference'!$B$5</f>
        <v>2.2150811213149827E-4</v>
      </c>
      <c r="L804" s="229">
        <v>0</v>
      </c>
      <c r="M804" s="28">
        <f>[1]!Table3[[#This Row],[C&amp;I CLM $ Collected]]/'[1]1.) CLM Reference'!$B$4</f>
        <v>0</v>
      </c>
      <c r="N804" s="229">
        <v>0</v>
      </c>
      <c r="O804" s="28">
        <f>[1]!Table3[[#This Row],[C&amp;I Incentive Disbursements]]/'[1]1.) CLM Reference'!$B$5</f>
        <v>0</v>
      </c>
      <c r="Q804">
        <f>VLOOKUP(Table3[[#This Row],[Census Tract]],'Population and Diversity Data'!$B$2:$K$823,10,FALSE)</f>
        <v>4</v>
      </c>
      <c r="R804" t="str">
        <f>VLOOKUP(Table3[[#This Row],[Census Tract]],'ES Energy Burden'!$B$2:$E$914,4,FALSE)</f>
        <v>No</v>
      </c>
    </row>
    <row r="805" spans="1:18" x14ac:dyDescent="0.2">
      <c r="A805" t="s">
        <v>2863</v>
      </c>
      <c r="B805" s="169">
        <v>9001050300</v>
      </c>
      <c r="C805" t="s">
        <v>944</v>
      </c>
      <c r="D805" s="170">
        <f>[1]!Table3[[#This Row],[Residential CLM $ Collected]]+[1]!Table3[[#This Row],[C&amp;I CLM $ Collected]]</f>
        <v>155737.95682200001</v>
      </c>
      <c r="E805" s="28">
        <f>[1]!Table3[[#This Row],[CLM $ Collected ]]/'[1]1.) CLM Reference'!$B$4</f>
        <v>1.6765770822026083E-3</v>
      </c>
      <c r="F805" s="170">
        <f>[1]!Table3[[#This Row],[Residential Incentive Disbursements]]+[1]!Table3[[#This Row],[C&amp;I Incentive Disbursements]]</f>
        <v>82894.264999999999</v>
      </c>
      <c r="G805" s="28">
        <f>[1]!Table3[[#This Row],[Incentive Disbursements]]/'[1]1.) CLM Reference'!$B$5</f>
        <v>6.655697707439002E-4</v>
      </c>
      <c r="H805" s="228">
        <v>155737.95682200001</v>
      </c>
      <c r="I805" s="28">
        <f>[1]!Table3[[#This Row],[Residential CLM $ Collected]]/'[1]1.) CLM Reference'!$B$4</f>
        <v>1.6765770822026083E-3</v>
      </c>
      <c r="J805" s="229">
        <v>82894.264999999999</v>
      </c>
      <c r="K805" s="28">
        <f>[1]!Table3[[#This Row],[Residential Incentive Disbursements]]/'[1]1.) CLM Reference'!$B$5</f>
        <v>6.655697707439002E-4</v>
      </c>
      <c r="L805" s="229">
        <v>0</v>
      </c>
      <c r="M805" s="28">
        <f>[1]!Table3[[#This Row],[C&amp;I CLM $ Collected]]/'[1]1.) CLM Reference'!$B$4</f>
        <v>0</v>
      </c>
      <c r="N805" s="229">
        <v>0</v>
      </c>
      <c r="O805" s="28">
        <f>[1]!Table3[[#This Row],[C&amp;I Incentive Disbursements]]/'[1]1.) CLM Reference'!$B$5</f>
        <v>0</v>
      </c>
      <c r="Q805">
        <f>VLOOKUP(Table3[[#This Row],[Census Tract]],'Population and Diversity Data'!$B$2:$K$823,10,FALSE)</f>
        <v>3</v>
      </c>
      <c r="R805" t="str">
        <f>VLOOKUP(Table3[[#This Row],[Census Tract]],'ES Energy Burden'!$B$2:$E$914,4,FALSE)</f>
        <v>No</v>
      </c>
    </row>
    <row r="806" spans="1:18" x14ac:dyDescent="0.2">
      <c r="A806" t="s">
        <v>2863</v>
      </c>
      <c r="B806" s="169">
        <v>9001050400</v>
      </c>
      <c r="C806" t="s">
        <v>944</v>
      </c>
      <c r="D806" s="170">
        <f>[1]!Table3[[#This Row],[Residential CLM $ Collected]]+[1]!Table3[[#This Row],[C&amp;I CLM $ Collected]]</f>
        <v>43883.853719999999</v>
      </c>
      <c r="E806" s="28">
        <f>[1]!Table3[[#This Row],[CLM $ Collected ]]/'[1]1.) CLM Reference'!$B$4</f>
        <v>4.7242602206330151E-4</v>
      </c>
      <c r="F806" s="170">
        <f>[1]!Table3[[#This Row],[Residential Incentive Disbursements]]+[1]!Table3[[#This Row],[C&amp;I Incentive Disbursements]]</f>
        <v>19179.91</v>
      </c>
      <c r="G806" s="28">
        <f>[1]!Table3[[#This Row],[Incentive Disbursements]]/'[1]1.) CLM Reference'!$B$5</f>
        <v>1.5399820845976063E-4</v>
      </c>
      <c r="H806" s="228">
        <v>43883.853719999999</v>
      </c>
      <c r="I806" s="28">
        <f>[1]!Table3[[#This Row],[Residential CLM $ Collected]]/'[1]1.) CLM Reference'!$B$4</f>
        <v>4.7242602206330151E-4</v>
      </c>
      <c r="J806" s="229">
        <v>19179.91</v>
      </c>
      <c r="K806" s="28">
        <f>[1]!Table3[[#This Row],[Residential Incentive Disbursements]]/'[1]1.) CLM Reference'!$B$5</f>
        <v>1.5399820845976063E-4</v>
      </c>
      <c r="L806" s="229">
        <v>0</v>
      </c>
      <c r="M806" s="28">
        <f>[1]!Table3[[#This Row],[C&amp;I CLM $ Collected]]/'[1]1.) CLM Reference'!$B$4</f>
        <v>0</v>
      </c>
      <c r="N806" s="229">
        <v>0</v>
      </c>
      <c r="O806" s="28">
        <f>[1]!Table3[[#This Row],[C&amp;I Incentive Disbursements]]/'[1]1.) CLM Reference'!$B$5</f>
        <v>0</v>
      </c>
      <c r="Q806">
        <f>VLOOKUP(Table3[[#This Row],[Census Tract]],'Population and Diversity Data'!$B$2:$K$823,10,FALSE)</f>
        <v>3</v>
      </c>
      <c r="R806" t="str">
        <f>VLOOKUP(Table3[[#This Row],[Census Tract]],'ES Energy Burden'!$B$2:$E$914,4,FALSE)</f>
        <v>No</v>
      </c>
    </row>
    <row r="807" spans="1:18" x14ac:dyDescent="0.2">
      <c r="A807" t="s">
        <v>2863</v>
      </c>
      <c r="B807" s="169">
        <v>9001050500</v>
      </c>
      <c r="C807" t="s">
        <v>944</v>
      </c>
      <c r="D807" s="170">
        <f>[1]!Table3[[#This Row],[Residential CLM $ Collected]]+[1]!Table3[[#This Row],[C&amp;I CLM $ Collected]]</f>
        <v>87628.02915300001</v>
      </c>
      <c r="E807" s="28">
        <f>[1]!Table3[[#This Row],[CLM $ Collected ]]/'[1]1.) CLM Reference'!$B$4</f>
        <v>9.4334835536861355E-4</v>
      </c>
      <c r="F807" s="170">
        <f>[1]!Table3[[#This Row],[Residential Incentive Disbursements]]+[1]!Table3[[#This Row],[C&amp;I Incentive Disbursements]]</f>
        <v>59388.24</v>
      </c>
      <c r="G807" s="28">
        <f>[1]!Table3[[#This Row],[Incentive Disbursements]]/'[1]1.) CLM Reference'!$B$5</f>
        <v>4.7683657345515664E-4</v>
      </c>
      <c r="H807" s="228">
        <v>87628.02915300001</v>
      </c>
      <c r="I807" s="28">
        <f>[1]!Table3[[#This Row],[Residential CLM $ Collected]]/'[1]1.) CLM Reference'!$B$4</f>
        <v>9.4334835536861355E-4</v>
      </c>
      <c r="J807" s="229">
        <v>59388.24</v>
      </c>
      <c r="K807" s="28">
        <f>[1]!Table3[[#This Row],[Residential Incentive Disbursements]]/'[1]1.) CLM Reference'!$B$5</f>
        <v>4.7683657345515664E-4</v>
      </c>
      <c r="L807" s="229">
        <v>0</v>
      </c>
      <c r="M807" s="28">
        <f>[1]!Table3[[#This Row],[C&amp;I CLM $ Collected]]/'[1]1.) CLM Reference'!$B$4</f>
        <v>0</v>
      </c>
      <c r="N807" s="229">
        <v>0</v>
      </c>
      <c r="O807" s="28">
        <f>[1]!Table3[[#This Row],[C&amp;I Incentive Disbursements]]/'[1]1.) CLM Reference'!$B$5</f>
        <v>0</v>
      </c>
      <c r="Q807">
        <f>VLOOKUP(Table3[[#This Row],[Census Tract]],'Population and Diversity Data'!$B$2:$K$823,10,FALSE)</f>
        <v>1</v>
      </c>
      <c r="R807" t="str">
        <f>VLOOKUP(Table3[[#This Row],[Census Tract]],'ES Energy Burden'!$B$2:$E$914,4,FALSE)</f>
        <v>No</v>
      </c>
    </row>
    <row r="808" spans="1:18" x14ac:dyDescent="0.2">
      <c r="A808" t="s">
        <v>2863</v>
      </c>
      <c r="B808" s="169">
        <v>9001050600</v>
      </c>
      <c r="C808" t="s">
        <v>944</v>
      </c>
      <c r="D808" s="170">
        <f>[1]!Table3[[#This Row],[Residential CLM $ Collected]]+[1]!Table3[[#This Row],[C&amp;I CLM $ Collected]]</f>
        <v>77110.199418000004</v>
      </c>
      <c r="E808" s="28">
        <f>[1]!Table3[[#This Row],[CLM $ Collected ]]/'[1]1.) CLM Reference'!$B$4</f>
        <v>8.301200027688373E-4</v>
      </c>
      <c r="F808" s="170">
        <f>[1]!Table3[[#This Row],[Residential Incentive Disbursements]]+[1]!Table3[[#This Row],[C&amp;I Incentive Disbursements]]</f>
        <v>30199.65</v>
      </c>
      <c r="G808" s="28">
        <f>[1]!Table3[[#This Row],[Incentive Disbursements]]/'[1]1.) CLM Reference'!$B$5</f>
        <v>2.4247725855396662E-4</v>
      </c>
      <c r="H808" s="228">
        <v>77110.199418000004</v>
      </c>
      <c r="I808" s="28">
        <f>[1]!Table3[[#This Row],[Residential CLM $ Collected]]/'[1]1.) CLM Reference'!$B$4</f>
        <v>8.301200027688373E-4</v>
      </c>
      <c r="J808" s="229">
        <v>30199.65</v>
      </c>
      <c r="K808" s="28">
        <f>[1]!Table3[[#This Row],[Residential Incentive Disbursements]]/'[1]1.) CLM Reference'!$B$5</f>
        <v>2.4247725855396662E-4</v>
      </c>
      <c r="L808" s="229">
        <v>0</v>
      </c>
      <c r="M808" s="28">
        <f>[1]!Table3[[#This Row],[C&amp;I CLM $ Collected]]/'[1]1.) CLM Reference'!$B$4</f>
        <v>0</v>
      </c>
      <c r="N808" s="229">
        <v>0</v>
      </c>
      <c r="O808" s="28">
        <f>[1]!Table3[[#This Row],[C&amp;I Incentive Disbursements]]/'[1]1.) CLM Reference'!$B$5</f>
        <v>0</v>
      </c>
      <c r="Q808">
        <f>VLOOKUP(Table3[[#This Row],[Census Tract]],'Population and Diversity Data'!$B$2:$K$823,10,FALSE)</f>
        <v>3</v>
      </c>
      <c r="R808" t="str">
        <f>VLOOKUP(Table3[[#This Row],[Census Tract]],'ES Energy Burden'!$B$2:$E$914,4,FALSE)</f>
        <v>No</v>
      </c>
    </row>
    <row r="809" spans="1:18" x14ac:dyDescent="0.2">
      <c r="A809" t="s">
        <v>2863</v>
      </c>
      <c r="B809" s="169">
        <v>9001055200</v>
      </c>
      <c r="C809" t="s">
        <v>944</v>
      </c>
      <c r="D809" s="170">
        <f>[1]!Table3[[#This Row],[Residential CLM $ Collected]]+[1]!Table3[[#This Row],[C&amp;I CLM $ Collected]]</f>
        <v>3187.5826500000003</v>
      </c>
      <c r="E809" s="28">
        <f>[1]!Table3[[#This Row],[CLM $ Collected ]]/'[1]1.) CLM Reference'!$B$4</f>
        <v>3.4315513877742854E-5</v>
      </c>
      <c r="F809" s="170">
        <f>[1]!Table3[[#This Row],[Residential Incentive Disbursements]]+[1]!Table3[[#This Row],[C&amp;I Incentive Disbursements]]</f>
        <v>0</v>
      </c>
      <c r="G809" s="28">
        <f>[1]!Table3[[#This Row],[Incentive Disbursements]]/'[1]1.) CLM Reference'!$B$5</f>
        <v>0</v>
      </c>
      <c r="H809" s="228">
        <v>3187.5826500000003</v>
      </c>
      <c r="I809" s="28">
        <f>[1]!Table3[[#This Row],[Residential CLM $ Collected]]/'[1]1.) CLM Reference'!$B$4</f>
        <v>3.4315513877742854E-5</v>
      </c>
      <c r="J809" s="229">
        <v>0</v>
      </c>
      <c r="K809" s="28">
        <f>[1]!Table3[[#This Row],[Residential Incentive Disbursements]]/'[1]1.) CLM Reference'!$B$5</f>
        <v>0</v>
      </c>
      <c r="L809" s="229">
        <v>0</v>
      </c>
      <c r="M809" s="28">
        <f>[1]!Table3[[#This Row],[C&amp;I CLM $ Collected]]/'[1]1.) CLM Reference'!$B$4</f>
        <v>0</v>
      </c>
      <c r="N809" s="229">
        <v>0</v>
      </c>
      <c r="O809" s="28">
        <f>[1]!Table3[[#This Row],[C&amp;I Incentive Disbursements]]/'[1]1.) CLM Reference'!$B$5</f>
        <v>0</v>
      </c>
      <c r="Q809">
        <f>VLOOKUP(Table3[[#This Row],[Census Tract]],'Population and Diversity Data'!$B$2:$K$823,10,FALSE)</f>
        <v>1</v>
      </c>
      <c r="R809" t="str">
        <f>VLOOKUP(Table3[[#This Row],[Census Tract]],'ES Energy Burden'!$B$2:$E$914,4,FALSE)</f>
        <v>No</v>
      </c>
    </row>
    <row r="810" spans="1:18" x14ac:dyDescent="0.2">
      <c r="A810" t="s">
        <v>2863</v>
      </c>
      <c r="B810" s="169">
        <v>9001060400</v>
      </c>
      <c r="C810" t="s">
        <v>944</v>
      </c>
      <c r="D810" s="170">
        <f>[1]!Table3[[#This Row],[Residential CLM $ Collected]]+[1]!Table3[[#This Row],[C&amp;I CLM $ Collected]]</f>
        <v>2587.7884199999999</v>
      </c>
      <c r="E810" s="28">
        <f>[1]!Table3[[#This Row],[CLM $ Collected ]]/'[1]1.) CLM Reference'!$B$4</f>
        <v>2.7858505704682587E-5</v>
      </c>
      <c r="F810" s="170">
        <f>[1]!Table3[[#This Row],[Residential Incentive Disbursements]]+[1]!Table3[[#This Row],[C&amp;I Incentive Disbursements]]</f>
        <v>0</v>
      </c>
      <c r="G810" s="28">
        <f>[1]!Table3[[#This Row],[Incentive Disbursements]]/'[1]1.) CLM Reference'!$B$5</f>
        <v>0</v>
      </c>
      <c r="H810" s="228">
        <v>2587.7884199999999</v>
      </c>
      <c r="I810" s="28">
        <f>[1]!Table3[[#This Row],[Residential CLM $ Collected]]/'[1]1.) CLM Reference'!$B$4</f>
        <v>2.7858505704682587E-5</v>
      </c>
      <c r="J810" s="229">
        <v>0</v>
      </c>
      <c r="K810" s="28">
        <f>[1]!Table3[[#This Row],[Residential Incentive Disbursements]]/'[1]1.) CLM Reference'!$B$5</f>
        <v>0</v>
      </c>
      <c r="L810" s="229">
        <v>0</v>
      </c>
      <c r="M810" s="28">
        <f>[1]!Table3[[#This Row],[C&amp;I CLM $ Collected]]/'[1]1.) CLM Reference'!$B$4</f>
        <v>0</v>
      </c>
      <c r="N810" s="229">
        <v>0</v>
      </c>
      <c r="O810" s="28">
        <f>[1]!Table3[[#This Row],[C&amp;I Incentive Disbursements]]/'[1]1.) CLM Reference'!$B$5</f>
        <v>0</v>
      </c>
      <c r="Q810">
        <f>VLOOKUP(Table3[[#This Row],[Census Tract]],'Population and Diversity Data'!$B$2:$K$823,10,FALSE)</f>
        <v>1</v>
      </c>
      <c r="R810" t="str">
        <f>VLOOKUP(Table3[[#This Row],[Census Tract]],'ES Energy Burden'!$B$2:$E$914,4,FALSE)</f>
        <v>No</v>
      </c>
    </row>
    <row r="811" spans="1:18" x14ac:dyDescent="0.2">
      <c r="A811" t="s">
        <v>2864</v>
      </c>
      <c r="B811" s="169">
        <v>9003492100</v>
      </c>
      <c r="C811" t="s">
        <v>944</v>
      </c>
      <c r="D811" s="170">
        <f>[1]!Table3[[#This Row],[Residential CLM $ Collected]]+[1]!Table3[[#This Row],[C&amp;I CLM $ Collected]]</f>
        <v>35513.312540999999</v>
      </c>
      <c r="E811" s="28">
        <f>[1]!Table3[[#This Row],[CLM $ Collected ]]/'[1]1.) CLM Reference'!$B$4</f>
        <v>3.8231403014610607E-4</v>
      </c>
      <c r="F811" s="170">
        <f>[1]!Table3[[#This Row],[Residential Incentive Disbursements]]+[1]!Table3[[#This Row],[C&amp;I Incentive Disbursements]]</f>
        <v>10410.450000000001</v>
      </c>
      <c r="G811" s="28">
        <f>[1]!Table3[[#This Row],[Incentive Disbursements]]/'[1]1.) CLM Reference'!$B$5</f>
        <v>8.3586974561398618E-5</v>
      </c>
      <c r="H811" s="228">
        <v>35513.312540999999</v>
      </c>
      <c r="I811" s="28">
        <f>[1]!Table3[[#This Row],[Residential CLM $ Collected]]/'[1]1.) CLM Reference'!$B$4</f>
        <v>3.8231403014610607E-4</v>
      </c>
      <c r="J811" s="229">
        <v>10410.450000000001</v>
      </c>
      <c r="K811" s="28">
        <f>[1]!Table3[[#This Row],[Residential Incentive Disbursements]]/'[1]1.) CLM Reference'!$B$5</f>
        <v>8.3586974561398618E-5</v>
      </c>
      <c r="L811" s="229">
        <v>0</v>
      </c>
      <c r="M811" s="28">
        <f>[1]!Table3[[#This Row],[C&amp;I CLM $ Collected]]/'[1]1.) CLM Reference'!$B$4</f>
        <v>0</v>
      </c>
      <c r="N811" s="229">
        <v>0</v>
      </c>
      <c r="O811" s="28">
        <f>[1]!Table3[[#This Row],[C&amp;I Incentive Disbursements]]/'[1]1.) CLM Reference'!$B$5</f>
        <v>0</v>
      </c>
      <c r="Q811">
        <f>VLOOKUP(Table3[[#This Row],[Census Tract]],'Population and Diversity Data'!$B$2:$K$823,10,FALSE)</f>
        <v>1</v>
      </c>
      <c r="R811" t="str">
        <f>VLOOKUP(Table3[[#This Row],[Census Tract]],'ES Energy Burden'!$B$2:$E$914,4,FALSE)</f>
        <v>No</v>
      </c>
    </row>
    <row r="812" spans="1:18" x14ac:dyDescent="0.2">
      <c r="A812" t="s">
        <v>2864</v>
      </c>
      <c r="B812" s="169">
        <v>9003492200</v>
      </c>
      <c r="C812" t="s">
        <v>944</v>
      </c>
      <c r="D812" s="170">
        <f>[1]!Table3[[#This Row],[Residential CLM $ Collected]]+[1]!Table3[[#This Row],[C&amp;I CLM $ Collected]]</f>
        <v>37924.348559999999</v>
      </c>
      <c r="E812" s="28">
        <f>[1]!Table3[[#This Row],[CLM $ Collected ]]/'[1]1.) CLM Reference'!$B$4</f>
        <v>4.0826973045390272E-4</v>
      </c>
      <c r="F812" s="170">
        <f>[1]!Table3[[#This Row],[Residential Incentive Disbursements]]+[1]!Table3[[#This Row],[C&amp;I Incentive Disbursements]]</f>
        <v>33134.660000000003</v>
      </c>
      <c r="G812" s="28">
        <f>[1]!Table3[[#This Row],[Incentive Disbursements]]/'[1]1.) CLM Reference'!$B$5</f>
        <v>2.6604286870602061E-4</v>
      </c>
      <c r="H812" s="228">
        <v>37924.348559999999</v>
      </c>
      <c r="I812" s="28">
        <f>[1]!Table3[[#This Row],[Residential CLM $ Collected]]/'[1]1.) CLM Reference'!$B$4</f>
        <v>4.0826973045390272E-4</v>
      </c>
      <c r="J812" s="229">
        <v>33134.660000000003</v>
      </c>
      <c r="K812" s="28">
        <f>[1]!Table3[[#This Row],[Residential Incentive Disbursements]]/'[1]1.) CLM Reference'!$B$5</f>
        <v>2.6604286870602061E-4</v>
      </c>
      <c r="L812" s="229">
        <v>0</v>
      </c>
      <c r="M812" s="28">
        <f>[1]!Table3[[#This Row],[C&amp;I CLM $ Collected]]/'[1]1.) CLM Reference'!$B$4</f>
        <v>0</v>
      </c>
      <c r="N812" s="229">
        <v>0</v>
      </c>
      <c r="O812" s="28">
        <f>[1]!Table3[[#This Row],[C&amp;I Incentive Disbursements]]/'[1]1.) CLM Reference'!$B$5</f>
        <v>0</v>
      </c>
      <c r="Q812">
        <f>VLOOKUP(Table3[[#This Row],[Census Tract]],'Population and Diversity Data'!$B$2:$K$823,10,FALSE)</f>
        <v>3</v>
      </c>
      <c r="R812" t="str">
        <f>VLOOKUP(Table3[[#This Row],[Census Tract]],'ES Energy Burden'!$B$2:$E$914,4,FALSE)</f>
        <v>No</v>
      </c>
    </row>
    <row r="813" spans="1:18" x14ac:dyDescent="0.2">
      <c r="A813" t="s">
        <v>2864</v>
      </c>
      <c r="B813" s="169">
        <v>9003492300</v>
      </c>
      <c r="C813" t="s">
        <v>944</v>
      </c>
      <c r="D813" s="170">
        <f>[1]!Table3[[#This Row],[Residential CLM $ Collected]]+[1]!Table3[[#This Row],[C&amp;I CLM $ Collected]]</f>
        <v>50552.514452999996</v>
      </c>
      <c r="E813" s="28">
        <f>[1]!Table3[[#This Row],[CLM $ Collected ]]/'[1]1.) CLM Reference'!$B$4</f>
        <v>5.4421663741541487E-4</v>
      </c>
      <c r="F813" s="170">
        <f>[1]!Table3[[#This Row],[Residential Incentive Disbursements]]+[1]!Table3[[#This Row],[C&amp;I Incentive Disbursements]]</f>
        <v>21693.439999999999</v>
      </c>
      <c r="G813" s="28">
        <f>[1]!Table3[[#This Row],[Incentive Disbursements]]/'[1]1.) CLM Reference'!$B$5</f>
        <v>1.7417969611584775E-4</v>
      </c>
      <c r="H813" s="228">
        <v>50552.514452999996</v>
      </c>
      <c r="I813" s="28">
        <f>[1]!Table3[[#This Row],[Residential CLM $ Collected]]/'[1]1.) CLM Reference'!$B$4</f>
        <v>5.4421663741541487E-4</v>
      </c>
      <c r="J813" s="229">
        <v>21693.439999999999</v>
      </c>
      <c r="K813" s="28">
        <f>[1]!Table3[[#This Row],[Residential Incentive Disbursements]]/'[1]1.) CLM Reference'!$B$5</f>
        <v>1.7417969611584775E-4</v>
      </c>
      <c r="L813" s="229">
        <v>0</v>
      </c>
      <c r="M813" s="28">
        <f>[1]!Table3[[#This Row],[C&amp;I CLM $ Collected]]/'[1]1.) CLM Reference'!$B$4</f>
        <v>0</v>
      </c>
      <c r="N813" s="229">
        <v>0</v>
      </c>
      <c r="O813" s="28">
        <f>[1]!Table3[[#This Row],[C&amp;I Incentive Disbursements]]/'[1]1.) CLM Reference'!$B$5</f>
        <v>0</v>
      </c>
      <c r="Q813">
        <f>VLOOKUP(Table3[[#This Row],[Census Tract]],'Population and Diversity Data'!$B$2:$K$823,10,FALSE)</f>
        <v>5</v>
      </c>
      <c r="R813" t="str">
        <f>VLOOKUP(Table3[[#This Row],[Census Tract]],'ES Energy Burden'!$B$2:$E$914,4,FALSE)</f>
        <v>No</v>
      </c>
    </row>
    <row r="814" spans="1:18" x14ac:dyDescent="0.2">
      <c r="A814" t="s">
        <v>2864</v>
      </c>
      <c r="B814" s="169">
        <v>9003492400</v>
      </c>
      <c r="C814" t="s">
        <v>944</v>
      </c>
      <c r="D814" s="170">
        <f>[1]!Table3[[#This Row],[Residential CLM $ Collected]]+[1]!Table3[[#This Row],[C&amp;I CLM $ Collected]]</f>
        <v>270067.70975100005</v>
      </c>
      <c r="E814" s="28">
        <f>[1]!Table3[[#This Row],[CLM $ Collected ]]/'[1]1.) CLM Reference'!$B$4</f>
        <v>2.9073794343467988E-3</v>
      </c>
      <c r="F814" s="170">
        <f>[1]!Table3[[#This Row],[Residential Incentive Disbursements]]+[1]!Table3[[#This Row],[C&amp;I Incentive Disbursements]]</f>
        <v>364013.26500000001</v>
      </c>
      <c r="G814" s="28">
        <f>[1]!Table3[[#This Row],[Incentive Disbursements]]/'[1]1.) CLM Reference'!$B$5</f>
        <v>2.9227139577603901E-3</v>
      </c>
      <c r="H814" s="228">
        <v>148145.87930100001</v>
      </c>
      <c r="I814" s="28">
        <f>[1]!Table3[[#This Row],[Residential CLM $ Collected]]/'[1]1.) CLM Reference'!$B$4</f>
        <v>1.5948455413646711E-3</v>
      </c>
      <c r="J814" s="229">
        <v>245909.85500000001</v>
      </c>
      <c r="K814" s="28">
        <f>[1]!Table3[[#This Row],[Residential Incentive Disbursements]]/'[1]1.) CLM Reference'!$B$5</f>
        <v>1.9744449850181522E-3</v>
      </c>
      <c r="L814" s="229">
        <v>121921.83045000001</v>
      </c>
      <c r="M814" s="28">
        <f>[1]!Table3[[#This Row],[C&amp;I CLM $ Collected]]/'[1]1.) CLM Reference'!$B$4</f>
        <v>1.3125338929821273E-3</v>
      </c>
      <c r="N814" s="229">
        <v>118103.41</v>
      </c>
      <c r="O814" s="28">
        <f>[1]!Table3[[#This Row],[C&amp;I Incentive Disbursements]]/'[1]1.) CLM Reference'!$B$5</f>
        <v>9.4826897274223794E-4</v>
      </c>
      <c r="Q814">
        <f>VLOOKUP(Table3[[#This Row],[Census Tract]],'Population and Diversity Data'!$B$2:$K$823,10,FALSE)</f>
        <v>4</v>
      </c>
      <c r="R814" t="str">
        <f>VLOOKUP(Table3[[#This Row],[Census Tract]],'ES Energy Burden'!$B$2:$E$914,4,FALSE)</f>
        <v>No</v>
      </c>
    </row>
    <row r="815" spans="1:18" x14ac:dyDescent="0.2">
      <c r="A815" t="s">
        <v>2864</v>
      </c>
      <c r="B815" s="169">
        <v>9003492500</v>
      </c>
      <c r="C815" t="s">
        <v>944</v>
      </c>
      <c r="D815" s="170">
        <f>[1]!Table3[[#This Row],[Residential CLM $ Collected]]+[1]!Table3[[#This Row],[C&amp;I CLM $ Collected]]</f>
        <v>37870.569890999999</v>
      </c>
      <c r="E815" s="28">
        <f>[1]!Table3[[#This Row],[CLM $ Collected ]]/'[1]1.) CLM Reference'!$B$4</f>
        <v>4.076907830617791E-4</v>
      </c>
      <c r="F815" s="170">
        <f>[1]!Table3[[#This Row],[Residential Incentive Disbursements]]+[1]!Table3[[#This Row],[C&amp;I Incentive Disbursements]]</f>
        <v>11815.06</v>
      </c>
      <c r="G815" s="28">
        <f>[1]!Table3[[#This Row],[Incentive Disbursements]]/'[1]1.) CLM Reference'!$B$5</f>
        <v>9.4864786792251852E-5</v>
      </c>
      <c r="H815" s="228">
        <v>37870.569890999999</v>
      </c>
      <c r="I815" s="28">
        <f>[1]!Table3[[#This Row],[Residential CLM $ Collected]]/'[1]1.) CLM Reference'!$B$4</f>
        <v>4.076907830617791E-4</v>
      </c>
      <c r="J815" s="229">
        <v>11815.06</v>
      </c>
      <c r="K815" s="28">
        <f>[1]!Table3[[#This Row],[Residential Incentive Disbursements]]/'[1]1.) CLM Reference'!$B$5</f>
        <v>9.4864786792251852E-5</v>
      </c>
      <c r="L815" s="229">
        <v>0</v>
      </c>
      <c r="M815" s="28">
        <f>[1]!Table3[[#This Row],[C&amp;I CLM $ Collected]]/'[1]1.) CLM Reference'!$B$4</f>
        <v>0</v>
      </c>
      <c r="N815" s="229">
        <v>0</v>
      </c>
      <c r="O815" s="28">
        <f>[1]!Table3[[#This Row],[C&amp;I Incentive Disbursements]]/'[1]1.) CLM Reference'!$B$5</f>
        <v>0</v>
      </c>
      <c r="Q815">
        <f>VLOOKUP(Table3[[#This Row],[Census Tract]],'Population and Diversity Data'!$B$2:$K$823,10,FALSE)</f>
        <v>2</v>
      </c>
      <c r="R815" t="str">
        <f>VLOOKUP(Table3[[#This Row],[Census Tract]],'ES Energy Burden'!$B$2:$E$914,4,FALSE)</f>
        <v>No</v>
      </c>
    </row>
    <row r="816" spans="1:18" x14ac:dyDescent="0.2">
      <c r="A816" t="s">
        <v>2864</v>
      </c>
      <c r="B816" s="169">
        <v>9003492600</v>
      </c>
      <c r="C816" t="s">
        <v>944</v>
      </c>
      <c r="D816" s="170">
        <f>[1]!Table3[[#This Row],[Residential CLM $ Collected]]+[1]!Table3[[#This Row],[C&amp;I CLM $ Collected]]</f>
        <v>76744.188779999997</v>
      </c>
      <c r="E816" s="28">
        <f>[1]!Table3[[#This Row],[CLM $ Collected ]]/'[1]1.) CLM Reference'!$B$4</f>
        <v>8.261797619949421E-4</v>
      </c>
      <c r="F816" s="170">
        <f>[1]!Table3[[#This Row],[Residential Incentive Disbursements]]+[1]!Table3[[#This Row],[C&amp;I Incentive Disbursements]]</f>
        <v>39052.839999999997</v>
      </c>
      <c r="G816" s="28">
        <f>[1]!Table3[[#This Row],[Incentive Disbursements]]/'[1]1.) CLM Reference'!$B$5</f>
        <v>3.1356077245751814E-4</v>
      </c>
      <c r="H816" s="228">
        <v>76744.188779999997</v>
      </c>
      <c r="I816" s="28">
        <f>[1]!Table3[[#This Row],[Residential CLM $ Collected]]/'[1]1.) CLM Reference'!$B$4</f>
        <v>8.261797619949421E-4</v>
      </c>
      <c r="J816" s="229">
        <v>39052.839999999997</v>
      </c>
      <c r="K816" s="28">
        <f>[1]!Table3[[#This Row],[Residential Incentive Disbursements]]/'[1]1.) CLM Reference'!$B$5</f>
        <v>3.1356077245751814E-4</v>
      </c>
      <c r="L816" s="229">
        <v>0</v>
      </c>
      <c r="M816" s="28">
        <f>[1]!Table3[[#This Row],[C&amp;I CLM $ Collected]]/'[1]1.) CLM Reference'!$B$4</f>
        <v>0</v>
      </c>
      <c r="N816" s="229">
        <v>0</v>
      </c>
      <c r="O816" s="28">
        <f>[1]!Table3[[#This Row],[C&amp;I Incentive Disbursements]]/'[1]1.) CLM Reference'!$B$5</f>
        <v>0</v>
      </c>
      <c r="Q816">
        <f>VLOOKUP(Table3[[#This Row],[Census Tract]],'Population and Diversity Data'!$B$2:$K$823,10,FALSE)</f>
        <v>1</v>
      </c>
      <c r="R816" t="str">
        <f>VLOOKUP(Table3[[#This Row],[Census Tract]],'ES Energy Burden'!$B$2:$E$914,4,FALSE)</f>
        <v>No</v>
      </c>
    </row>
    <row r="817" spans="1:18" x14ac:dyDescent="0.2">
      <c r="A817" t="s">
        <v>2864</v>
      </c>
      <c r="B817" s="169">
        <v>9003494100</v>
      </c>
      <c r="C817" t="s">
        <v>944</v>
      </c>
      <c r="D817" s="170">
        <f>[1]!Table3[[#This Row],[Residential CLM $ Collected]]+[1]!Table3[[#This Row],[C&amp;I CLM $ Collected]]</f>
        <v>559.50237000000004</v>
      </c>
      <c r="E817" s="28">
        <f>[1]!Table3[[#This Row],[CLM $ Collected ]]/'[1]1.) CLM Reference'!$B$4</f>
        <v>6.0232513005945167E-6</v>
      </c>
      <c r="F817" s="170">
        <f>[1]!Table3[[#This Row],[Residential Incentive Disbursements]]+[1]!Table3[[#This Row],[C&amp;I Incentive Disbursements]]</f>
        <v>447.57</v>
      </c>
      <c r="G817" s="28">
        <f>[1]!Table3[[#This Row],[Incentive Disbursements]]/'[1]1.) CLM Reference'!$B$5</f>
        <v>3.5936027937740615E-6</v>
      </c>
      <c r="H817" s="228">
        <v>559.50237000000004</v>
      </c>
      <c r="I817" s="28">
        <f>[1]!Table3[[#This Row],[Residential CLM $ Collected]]/'[1]1.) CLM Reference'!$B$4</f>
        <v>6.0232513005945167E-6</v>
      </c>
      <c r="J817" s="229">
        <v>447.57</v>
      </c>
      <c r="K817" s="28">
        <f>[1]!Table3[[#This Row],[Residential Incentive Disbursements]]/'[1]1.) CLM Reference'!$B$5</f>
        <v>3.5936027937740615E-6</v>
      </c>
      <c r="L817" s="229">
        <v>0</v>
      </c>
      <c r="M817" s="28">
        <f>[1]!Table3[[#This Row],[C&amp;I CLM $ Collected]]/'[1]1.) CLM Reference'!$B$4</f>
        <v>0</v>
      </c>
      <c r="N817" s="229">
        <v>0</v>
      </c>
      <c r="O817" s="28">
        <f>[1]!Table3[[#This Row],[C&amp;I Incentive Disbursements]]/'[1]1.) CLM Reference'!$B$5</f>
        <v>0</v>
      </c>
      <c r="Q817">
        <f>VLOOKUP(Table3[[#This Row],[Census Tract]],'Population and Diversity Data'!$B$2:$K$823,10,FALSE)</f>
        <v>4</v>
      </c>
      <c r="R817" t="str">
        <f>VLOOKUP(Table3[[#This Row],[Census Tract]],'ES Energy Burden'!$B$2:$E$914,4,FALSE)</f>
        <v>No</v>
      </c>
    </row>
    <row r="818" spans="1:18" x14ac:dyDescent="0.2">
      <c r="A818" t="s">
        <v>2865</v>
      </c>
      <c r="B818" s="169">
        <v>9013840100</v>
      </c>
      <c r="C818" t="s">
        <v>944</v>
      </c>
      <c r="D818" s="170">
        <f>[1]!Table3[[#This Row],[Residential CLM $ Collected]]+[1]!Table3[[#This Row],[C&amp;I CLM $ Collected]]</f>
        <v>112466.34569099999</v>
      </c>
      <c r="E818" s="28">
        <f>[1]!Table3[[#This Row],[CLM $ Collected ]]/'[1]1.) CLM Reference'!$B$4</f>
        <v>1.210742079531188E-3</v>
      </c>
      <c r="F818" s="170">
        <f>[1]!Table3[[#This Row],[Residential Incentive Disbursements]]+[1]!Table3[[#This Row],[C&amp;I Incentive Disbursements]]</f>
        <v>366106.23</v>
      </c>
      <c r="G818" s="28">
        <f>[1]!Table3[[#This Row],[Incentive Disbursements]]/'[1]1.) CLM Reference'!$B$5</f>
        <v>2.9395186695848449E-3</v>
      </c>
      <c r="H818" s="228">
        <v>93452.915450999993</v>
      </c>
      <c r="I818" s="28">
        <f>[1]!Table3[[#This Row],[Residential CLM $ Collected]]/'[1]1.) CLM Reference'!$B$4</f>
        <v>1.006055424813634E-3</v>
      </c>
      <c r="J818" s="229">
        <v>358399.32</v>
      </c>
      <c r="K818" s="28">
        <f>[1]!Table3[[#This Row],[Residential Incentive Disbursements]]/'[1]1.) CLM Reference'!$B$5</f>
        <v>2.8776387998273429E-3</v>
      </c>
      <c r="L818" s="229">
        <v>19013.430240000002</v>
      </c>
      <c r="M818" s="28">
        <f>[1]!Table3[[#This Row],[C&amp;I CLM $ Collected]]/'[1]1.) CLM Reference'!$B$4</f>
        <v>2.0468665471755395E-4</v>
      </c>
      <c r="N818" s="229">
        <v>7706.91</v>
      </c>
      <c r="O818" s="171">
        <f>[1]!Table3[[#This Row],[C&amp;I Incentive Disbursements]]/'[1]1.) CLM Reference'!$B$5</f>
        <v>6.187986975750218E-5</v>
      </c>
      <c r="Q818">
        <f>VLOOKUP(Table3[[#This Row],[Census Tract]],'Population and Diversity Data'!$B$2:$K$823,10,FALSE)</f>
        <v>4</v>
      </c>
      <c r="R818" t="str">
        <f>VLOOKUP(Table3[[#This Row],[Census Tract]],'ES Energy Burden'!$B$2:$E$914,4,FALSE)</f>
        <v>No</v>
      </c>
    </row>
    <row r="819" spans="1:18" x14ac:dyDescent="0.2">
      <c r="A819" t="s">
        <v>2865</v>
      </c>
      <c r="B819" s="169">
        <v>9013890201</v>
      </c>
      <c r="C819" t="s">
        <v>944</v>
      </c>
      <c r="D819" s="170">
        <f>[1]!Table3[[#This Row],[Residential CLM $ Collected]]+[1]!Table3[[#This Row],[C&amp;I CLM $ Collected]]</f>
        <v>185.52029999999999</v>
      </c>
      <c r="E819" s="28">
        <f>[1]!Table3[[#This Row],[CLM $ Collected ]]/'[1]1.) CLM Reference'!$B$4</f>
        <v>1.9971950936716937E-6</v>
      </c>
      <c r="F819" s="170">
        <f>[1]!Table3[[#This Row],[Residential Incentive Disbursements]]+[1]!Table3[[#This Row],[C&amp;I Incentive Disbursements]]</f>
        <v>0</v>
      </c>
      <c r="G819" s="28">
        <f>[1]!Table3[[#This Row],[Incentive Disbursements]]/'[1]1.) CLM Reference'!$B$5</f>
        <v>0</v>
      </c>
      <c r="H819" s="228">
        <v>185.52029999999999</v>
      </c>
      <c r="I819" s="28">
        <f>[1]!Table3[[#This Row],[Residential CLM $ Collected]]/'[1]1.) CLM Reference'!$B$4</f>
        <v>1.9971950936716937E-6</v>
      </c>
      <c r="J819" s="229">
        <v>0</v>
      </c>
      <c r="K819" s="28">
        <f>[1]!Table3[[#This Row],[Residential Incentive Disbursements]]/'[1]1.) CLM Reference'!$B$5</f>
        <v>0</v>
      </c>
      <c r="L819" s="229">
        <v>0</v>
      </c>
      <c r="M819" s="28">
        <f>[1]!Table3[[#This Row],[C&amp;I CLM $ Collected]]/'[1]1.) CLM Reference'!$B$4</f>
        <v>0</v>
      </c>
      <c r="N819" s="229">
        <v>0</v>
      </c>
      <c r="O819" s="171">
        <f>[1]!Table3[[#This Row],[C&amp;I Incentive Disbursements]]/'[1]1.) CLM Reference'!$B$5</f>
        <v>0</v>
      </c>
      <c r="Q819">
        <f>VLOOKUP(Table3[[#This Row],[Census Tract]],'Population and Diversity Data'!$B$2:$K$823,10,FALSE)</f>
        <v>4</v>
      </c>
      <c r="R819" t="str">
        <f>VLOOKUP(Table3[[#This Row],[Census Tract]],'ES Energy Burden'!$B$2:$E$914,4,FALSE)</f>
        <v>No</v>
      </c>
    </row>
    <row r="820" spans="1:18" x14ac:dyDescent="0.2">
      <c r="A820" t="s">
        <v>2865</v>
      </c>
      <c r="B820" s="169">
        <v>9015830100</v>
      </c>
      <c r="C820" t="s">
        <v>944</v>
      </c>
      <c r="D820" s="170">
        <f>[1]!Table3[[#This Row],[Residential CLM $ Collected]]+[1]!Table3[[#This Row],[C&amp;I CLM $ Collected]]</f>
        <v>292.78010999999998</v>
      </c>
      <c r="E820" s="28">
        <f>[1]!Table3[[#This Row],[CLM $ Collected ]]/'[1]1.) CLM Reference'!$B$4</f>
        <v>3.1518868782373618E-6</v>
      </c>
      <c r="F820" s="170">
        <f>[1]!Table3[[#This Row],[Residential Incentive Disbursements]]+[1]!Table3[[#This Row],[C&amp;I Incentive Disbursements]]</f>
        <v>0</v>
      </c>
      <c r="G820" s="28">
        <f>[1]!Table3[[#This Row],[Incentive Disbursements]]/'[1]1.) CLM Reference'!$B$5</f>
        <v>0</v>
      </c>
      <c r="H820" s="228">
        <v>292.78010999999998</v>
      </c>
      <c r="I820" s="28">
        <f>[1]!Table3[[#This Row],[Residential CLM $ Collected]]/'[1]1.) CLM Reference'!$B$4</f>
        <v>3.1518868782373618E-6</v>
      </c>
      <c r="J820" s="229">
        <v>0</v>
      </c>
      <c r="K820" s="28">
        <f>[1]!Table3[[#This Row],[Residential Incentive Disbursements]]/'[1]1.) CLM Reference'!$B$5</f>
        <v>0</v>
      </c>
      <c r="L820" s="229">
        <v>0</v>
      </c>
      <c r="M820" s="28">
        <f>[1]!Table3[[#This Row],[C&amp;I CLM $ Collected]]/'[1]1.) CLM Reference'!$B$4</f>
        <v>0</v>
      </c>
      <c r="N820" s="229">
        <v>0</v>
      </c>
      <c r="O820" s="171">
        <f>[1]!Table3[[#This Row],[C&amp;I Incentive Disbursements]]/'[1]1.) CLM Reference'!$B$5</f>
        <v>0</v>
      </c>
      <c r="Q820">
        <f>VLOOKUP(Table3[[#This Row],[Census Tract]],'Population and Diversity Data'!$B$2:$K$823,10,FALSE)</f>
        <v>4</v>
      </c>
      <c r="R820" t="str">
        <f>VLOOKUP(Table3[[#This Row],[Census Tract]],'ES Energy Burden'!$B$2:$E$914,4,FALSE)</f>
        <v>No</v>
      </c>
    </row>
    <row r="821" spans="1:18" x14ac:dyDescent="0.2">
      <c r="A821" t="s">
        <v>2866</v>
      </c>
      <c r="B821" s="169">
        <v>9001035400</v>
      </c>
      <c r="C821" t="s">
        <v>944</v>
      </c>
      <c r="D821" s="170">
        <f>[1]!Table3[[#This Row],[Residential CLM $ Collected]]+[1]!Table3[[#This Row],[C&amp;I CLM $ Collected]]</f>
        <v>33.017879999999998</v>
      </c>
      <c r="E821" s="28">
        <f>[1]!Table3[[#This Row],[CLM $ Collected ]]/'[1]1.) CLM Reference'!$B$4</f>
        <v>3.5544976986044516E-7</v>
      </c>
      <c r="F821" s="170">
        <f>[1]!Table3[[#This Row],[Residential Incentive Disbursements]]+[1]!Table3[[#This Row],[C&amp;I Incentive Disbursements]]</f>
        <v>0</v>
      </c>
      <c r="G821" s="28">
        <f>[1]!Table3[[#This Row],[Incentive Disbursements]]/'[1]1.) CLM Reference'!$B$5</f>
        <v>0</v>
      </c>
      <c r="H821" s="228">
        <v>33.017879999999998</v>
      </c>
      <c r="I821" s="28">
        <f>[1]!Table3[[#This Row],[Residential CLM $ Collected]]/'[1]1.) CLM Reference'!$B$4</f>
        <v>3.5544976986044516E-7</v>
      </c>
      <c r="J821" s="229">
        <v>0</v>
      </c>
      <c r="K821" s="28">
        <f>[1]!Table3[[#This Row],[Residential Incentive Disbursements]]/'[1]1.) CLM Reference'!$B$5</f>
        <v>0</v>
      </c>
      <c r="L821" s="229">
        <v>0</v>
      </c>
      <c r="M821" s="28">
        <f>[1]!Table3[[#This Row],[C&amp;I CLM $ Collected]]/'[1]1.) CLM Reference'!$B$4</f>
        <v>0</v>
      </c>
      <c r="N821" s="229">
        <v>0</v>
      </c>
      <c r="O821" s="171">
        <f>[1]!Table3[[#This Row],[C&amp;I Incentive Disbursements]]/'[1]1.) CLM Reference'!$B$5</f>
        <v>0</v>
      </c>
      <c r="Q821">
        <f>VLOOKUP(Table3[[#This Row],[Census Tract]],'Population and Diversity Data'!$B$2:$K$823,10,FALSE)</f>
        <v>2</v>
      </c>
      <c r="R821" t="str">
        <f>VLOOKUP(Table3[[#This Row],[Census Tract]],'ES Energy Burden'!$B$2:$E$914,4,FALSE)</f>
        <v>No</v>
      </c>
    </row>
    <row r="822" spans="1:18" x14ac:dyDescent="0.2">
      <c r="A822" t="s">
        <v>2866</v>
      </c>
      <c r="B822" s="169">
        <v>9001042900</v>
      </c>
      <c r="C822" t="s">
        <v>944</v>
      </c>
      <c r="D822" s="170">
        <f>[1]!Table3[[#This Row],[Residential CLM $ Collected]]+[1]!Table3[[#This Row],[C&amp;I CLM $ Collected]]</f>
        <v>316.85766000000001</v>
      </c>
      <c r="E822" s="28">
        <f>[1]!Table3[[#This Row],[CLM $ Collected ]]/'[1]1.) CLM Reference'!$B$4</f>
        <v>3.411090667405636E-6</v>
      </c>
      <c r="F822" s="170">
        <f>[1]!Table3[[#This Row],[Residential Incentive Disbursements]]+[1]!Table3[[#This Row],[C&amp;I Incentive Disbursements]]</f>
        <v>0</v>
      </c>
      <c r="G822" s="28">
        <f>[1]!Table3[[#This Row],[Incentive Disbursements]]/'[1]1.) CLM Reference'!$B$5</f>
        <v>0</v>
      </c>
      <c r="H822" s="228">
        <v>316.85766000000001</v>
      </c>
      <c r="I822" s="28">
        <f>[1]!Table3[[#This Row],[Residential CLM $ Collected]]/'[1]1.) CLM Reference'!$B$4</f>
        <v>3.411090667405636E-6</v>
      </c>
      <c r="J822" s="229">
        <v>0</v>
      </c>
      <c r="K822" s="28">
        <f>[1]!Table3[[#This Row],[Residential Incentive Disbursements]]/'[1]1.) CLM Reference'!$B$5</f>
        <v>0</v>
      </c>
      <c r="L822" s="229">
        <v>0</v>
      </c>
      <c r="M822" s="28">
        <f>[1]!Table3[[#This Row],[C&amp;I CLM $ Collected]]/'[1]1.) CLM Reference'!$B$4</f>
        <v>0</v>
      </c>
      <c r="N822" s="229">
        <v>0</v>
      </c>
      <c r="O822" s="171">
        <f>[1]!Table3[[#This Row],[C&amp;I Incentive Disbursements]]/'[1]1.) CLM Reference'!$B$5</f>
        <v>0</v>
      </c>
      <c r="Q822">
        <f>VLOOKUP(Table3[[#This Row],[Census Tract]],'Population and Diversity Data'!$B$2:$K$823,10,FALSE)</f>
        <v>1</v>
      </c>
      <c r="R822" t="str">
        <f>VLOOKUP(Table3[[#This Row],[Census Tract]],'ES Energy Burden'!$B$2:$E$914,4,FALSE)</f>
        <v>No</v>
      </c>
    </row>
    <row r="823" spans="1:18" x14ac:dyDescent="0.2">
      <c r="A823" t="s">
        <v>2866</v>
      </c>
      <c r="B823" s="169">
        <v>9001045101</v>
      </c>
      <c r="C823" t="s">
        <v>944</v>
      </c>
      <c r="D823" s="170">
        <f>[1]!Table3[[#This Row],[Residential CLM $ Collected]]+[1]!Table3[[#This Row],[C&amp;I CLM $ Collected]]</f>
        <v>70871.097150000001</v>
      </c>
      <c r="E823" s="28">
        <f>[1]!Table3[[#This Row],[CLM $ Collected ]]/'[1]1.) CLM Reference'!$B$4</f>
        <v>7.629537442054049E-4</v>
      </c>
      <c r="F823" s="170">
        <f>[1]!Table3[[#This Row],[Residential Incentive Disbursements]]+[1]!Table3[[#This Row],[C&amp;I Incentive Disbursements]]</f>
        <v>40031.455000000002</v>
      </c>
      <c r="G823" s="28">
        <f>[1]!Table3[[#This Row],[Incentive Disbursements]]/'[1]1.) CLM Reference'!$B$5</f>
        <v>3.2141821061921181E-4</v>
      </c>
      <c r="H823" s="228">
        <v>70871.097150000001</v>
      </c>
      <c r="I823" s="28">
        <f>[1]!Table3[[#This Row],[Residential CLM $ Collected]]/'[1]1.) CLM Reference'!$B$4</f>
        <v>7.629537442054049E-4</v>
      </c>
      <c r="J823" s="229">
        <v>40031.455000000002</v>
      </c>
      <c r="K823" s="28">
        <f>[1]!Table3[[#This Row],[Residential Incentive Disbursements]]/'[1]1.) CLM Reference'!$B$5</f>
        <v>3.2141821061921181E-4</v>
      </c>
      <c r="L823" s="229">
        <v>0</v>
      </c>
      <c r="M823" s="28">
        <f>[1]!Table3[[#This Row],[C&amp;I CLM $ Collected]]/'[1]1.) CLM Reference'!$B$4</f>
        <v>0</v>
      </c>
      <c r="N823" s="229">
        <v>0</v>
      </c>
      <c r="O823" s="171">
        <f>[1]!Table3[[#This Row],[C&amp;I Incentive Disbursements]]/'[1]1.) CLM Reference'!$B$5</f>
        <v>0</v>
      </c>
      <c r="Q823">
        <f>VLOOKUP(Table3[[#This Row],[Census Tract]],'Population and Diversity Data'!$B$2:$K$823,10,FALSE)</f>
        <v>3</v>
      </c>
      <c r="R823" t="str">
        <f>VLOOKUP(Table3[[#This Row],[Census Tract]],'ES Energy Burden'!$B$2:$E$914,4,FALSE)</f>
        <v>No</v>
      </c>
    </row>
    <row r="824" spans="1:18" x14ac:dyDescent="0.2">
      <c r="A824" t="s">
        <v>2866</v>
      </c>
      <c r="B824" s="169">
        <v>9001045102</v>
      </c>
      <c r="C824" t="s">
        <v>944</v>
      </c>
      <c r="D824" s="170">
        <f>[1]!Table3[[#This Row],[Residential CLM $ Collected]]+[1]!Table3[[#This Row],[C&amp;I CLM $ Collected]]</f>
        <v>86008.314735000007</v>
      </c>
      <c r="E824" s="28">
        <f>[1]!Table3[[#This Row],[CLM $ Collected ]]/'[1]1.) CLM Reference'!$B$4</f>
        <v>9.2591152668313316E-4</v>
      </c>
      <c r="F824" s="170">
        <f>[1]!Table3[[#This Row],[Residential Incentive Disbursements]]+[1]!Table3[[#This Row],[C&amp;I Incentive Disbursements]]</f>
        <v>59803.004999999997</v>
      </c>
      <c r="G824" s="28">
        <f>[1]!Table3[[#This Row],[Incentive Disbursements]]/'[1]1.) CLM Reference'!$B$5</f>
        <v>4.8016678026696196E-4</v>
      </c>
      <c r="H824" s="228">
        <v>86008.314735000007</v>
      </c>
      <c r="I824" s="28">
        <f>[1]!Table3[[#This Row],[Residential CLM $ Collected]]/'[1]1.) CLM Reference'!$B$4</f>
        <v>9.2591152668313316E-4</v>
      </c>
      <c r="J824" s="229">
        <v>59803.004999999997</v>
      </c>
      <c r="K824" s="28">
        <f>[1]!Table3[[#This Row],[Residential Incentive Disbursements]]/'[1]1.) CLM Reference'!$B$5</f>
        <v>4.8016678026696196E-4</v>
      </c>
      <c r="L824" s="229">
        <v>0</v>
      </c>
      <c r="M824" s="28">
        <f>[1]!Table3[[#This Row],[C&amp;I CLM $ Collected]]/'[1]1.) CLM Reference'!$B$4</f>
        <v>0</v>
      </c>
      <c r="N824" s="229">
        <v>0</v>
      </c>
      <c r="O824" s="171">
        <f>[1]!Table3[[#This Row],[C&amp;I Incentive Disbursements]]/'[1]1.) CLM Reference'!$B$5</f>
        <v>0</v>
      </c>
      <c r="Q824">
        <f>VLOOKUP(Table3[[#This Row],[Census Tract]],'Population and Diversity Data'!$B$2:$K$823,10,FALSE)</f>
        <v>3</v>
      </c>
      <c r="R824" t="str">
        <f>VLOOKUP(Table3[[#This Row],[Census Tract]],'ES Energy Burden'!$B$2:$E$914,4,FALSE)</f>
        <v>No</v>
      </c>
    </row>
    <row r="825" spans="1:18" x14ac:dyDescent="0.2">
      <c r="A825" t="s">
        <v>2866</v>
      </c>
      <c r="B825" s="169">
        <v>9001045200</v>
      </c>
      <c r="C825" t="s">
        <v>944</v>
      </c>
      <c r="D825" s="170">
        <f>[1]!Table3[[#This Row],[Residential CLM $ Collected]]+[1]!Table3[[#This Row],[C&amp;I CLM $ Collected]]</f>
        <v>46002.0792</v>
      </c>
      <c r="E825" s="28">
        <f>[1]!Table3[[#This Row],[CLM $ Collected ]]/'[1]1.) CLM Reference'!$B$4</f>
        <v>4.9522950791334791E-4</v>
      </c>
      <c r="F825" s="170">
        <f>[1]!Table3[[#This Row],[Residential Incentive Disbursements]]+[1]!Table3[[#This Row],[C&amp;I Incentive Disbursements]]</f>
        <v>19014.46</v>
      </c>
      <c r="G825" s="28">
        <f>[1]!Table3[[#This Row],[Incentive Disbursements]]/'[1]1.) CLM Reference'!$B$5</f>
        <v>1.5266978702349385E-4</v>
      </c>
      <c r="H825" s="228">
        <v>46002.0792</v>
      </c>
      <c r="I825" s="28">
        <f>[1]!Table3[[#This Row],[Residential CLM $ Collected]]/'[1]1.) CLM Reference'!$B$4</f>
        <v>4.9522950791334791E-4</v>
      </c>
      <c r="J825" s="229">
        <v>19014.46</v>
      </c>
      <c r="K825" s="28">
        <f>[1]!Table3[[#This Row],[Residential Incentive Disbursements]]/'[1]1.) CLM Reference'!$B$5</f>
        <v>1.5266978702349385E-4</v>
      </c>
      <c r="L825" s="229">
        <v>0</v>
      </c>
      <c r="M825" s="28">
        <f>[1]!Table3[[#This Row],[C&amp;I CLM $ Collected]]/'[1]1.) CLM Reference'!$B$4</f>
        <v>0</v>
      </c>
      <c r="N825" s="229">
        <v>0</v>
      </c>
      <c r="O825" s="171">
        <f>[1]!Table3[[#This Row],[C&amp;I Incentive Disbursements]]/'[1]1.) CLM Reference'!$B$5</f>
        <v>0</v>
      </c>
      <c r="Q825">
        <f>VLOOKUP(Table3[[#This Row],[Census Tract]],'Population and Diversity Data'!$B$2:$K$823,10,FALSE)</f>
        <v>3</v>
      </c>
      <c r="R825" t="str">
        <f>VLOOKUP(Table3[[#This Row],[Census Tract]],'ES Energy Burden'!$B$2:$E$914,4,FALSE)</f>
        <v>No</v>
      </c>
    </row>
    <row r="826" spans="1:18" x14ac:dyDescent="0.2">
      <c r="A826" t="s">
        <v>2866</v>
      </c>
      <c r="B826" s="169">
        <v>9001045300</v>
      </c>
      <c r="C826" t="s">
        <v>944</v>
      </c>
      <c r="D826" s="170">
        <f>[1]!Table3[[#This Row],[Residential CLM $ Collected]]+[1]!Table3[[#This Row],[C&amp;I CLM $ Collected]]</f>
        <v>36109.273200000003</v>
      </c>
      <c r="E826" s="28">
        <f>[1]!Table3[[#This Row],[CLM $ Collected ]]/'[1]1.) CLM Reference'!$B$4</f>
        <v>3.8872976850021695E-4</v>
      </c>
      <c r="F826" s="170">
        <f>[1]!Table3[[#This Row],[Residential Incentive Disbursements]]+[1]!Table3[[#This Row],[C&amp;I Incentive Disbursements]]</f>
        <v>34329.315000000002</v>
      </c>
      <c r="G826" s="28">
        <f>[1]!Table3[[#This Row],[Incentive Disbursements]]/'[1]1.) CLM Reference'!$B$5</f>
        <v>2.7563492256484973E-4</v>
      </c>
      <c r="H826" s="228">
        <v>36109.273200000003</v>
      </c>
      <c r="I826" s="28">
        <f>[1]!Table3[[#This Row],[Residential CLM $ Collected]]/'[1]1.) CLM Reference'!$B$4</f>
        <v>3.8872976850021695E-4</v>
      </c>
      <c r="J826" s="229">
        <v>34329.315000000002</v>
      </c>
      <c r="K826" s="28">
        <f>[1]!Table3[[#This Row],[Residential Incentive Disbursements]]/'[1]1.) CLM Reference'!$B$5</f>
        <v>2.7563492256484973E-4</v>
      </c>
      <c r="L826" s="229">
        <v>0</v>
      </c>
      <c r="M826" s="28">
        <f>[1]!Table3[[#This Row],[C&amp;I CLM $ Collected]]/'[1]1.) CLM Reference'!$B$4</f>
        <v>0</v>
      </c>
      <c r="N826" s="229">
        <v>0</v>
      </c>
      <c r="O826" s="171">
        <f>[1]!Table3[[#This Row],[C&amp;I Incentive Disbursements]]/'[1]1.) CLM Reference'!$B$5</f>
        <v>0</v>
      </c>
      <c r="Q826">
        <f>VLOOKUP(Table3[[#This Row],[Census Tract]],'Population and Diversity Data'!$B$2:$K$823,10,FALSE)</f>
        <v>4</v>
      </c>
      <c r="R826" t="str">
        <f>VLOOKUP(Table3[[#This Row],[Census Tract]],'ES Energy Burden'!$B$2:$E$914,4,FALSE)</f>
        <v>No</v>
      </c>
    </row>
    <row r="827" spans="1:18" x14ac:dyDescent="0.2">
      <c r="A827" t="s">
        <v>2866</v>
      </c>
      <c r="B827" s="169">
        <v>9001045400</v>
      </c>
      <c r="C827" t="s">
        <v>944</v>
      </c>
      <c r="D827" s="170">
        <f>[1]!Table3[[#This Row],[Residential CLM $ Collected]]+[1]!Table3[[#This Row],[C&amp;I CLM $ Collected]]</f>
        <v>268017.69594600005</v>
      </c>
      <c r="E827" s="28">
        <f>[1]!Table3[[#This Row],[CLM $ Collected ]]/'[1]1.) CLM Reference'!$B$4</f>
        <v>2.8853102725714822E-3</v>
      </c>
      <c r="F827" s="170">
        <f>[1]!Table3[[#This Row],[Residential Incentive Disbursements]]+[1]!Table3[[#This Row],[C&amp;I Incentive Disbursements]]</f>
        <v>342257.79499999998</v>
      </c>
      <c r="G827" s="28">
        <f>[1]!Table3[[#This Row],[Incentive Disbursements]]/'[1]1.) CLM Reference'!$B$5</f>
        <v>2.7480362140066359E-3</v>
      </c>
      <c r="H827" s="228">
        <v>183569.65233600003</v>
      </c>
      <c r="I827" s="28">
        <f>[1]!Table3[[#This Row],[Residential CLM $ Collected]]/'[1]1.) CLM Reference'!$B$4</f>
        <v>1.9761956453955599E-3</v>
      </c>
      <c r="J827" s="229">
        <v>321053.245</v>
      </c>
      <c r="K827" s="28">
        <f>[1]!Table3[[#This Row],[Residential Incentive Disbursements]]/'[1]1.) CLM Reference'!$B$5</f>
        <v>2.5777818848051214E-3</v>
      </c>
      <c r="L827" s="229">
        <v>84448.043610000008</v>
      </c>
      <c r="M827" s="28">
        <f>[1]!Table3[[#This Row],[C&amp;I CLM $ Collected]]/'[1]1.) CLM Reference'!$B$4</f>
        <v>9.0911462717592235E-4</v>
      </c>
      <c r="N827" s="229">
        <v>21204.55</v>
      </c>
      <c r="O827" s="171">
        <f>[1]!Table3[[#This Row],[C&amp;I Incentive Disbursements]]/'[1]1.) CLM Reference'!$B$5</f>
        <v>1.7025432920151433E-4</v>
      </c>
      <c r="Q827">
        <f>VLOOKUP(Table3[[#This Row],[Census Tract]],'Population and Diversity Data'!$B$2:$K$823,10,FALSE)</f>
        <v>4</v>
      </c>
      <c r="R827" t="str">
        <f>VLOOKUP(Table3[[#This Row],[Census Tract]],'ES Energy Burden'!$B$2:$E$914,4,FALSE)</f>
        <v>No</v>
      </c>
    </row>
    <row r="828" spans="1:18" x14ac:dyDescent="0.2">
      <c r="A828" t="s">
        <v>2866</v>
      </c>
      <c r="B828" s="169">
        <v>9001055100</v>
      </c>
      <c r="C828" t="s">
        <v>944</v>
      </c>
      <c r="D828" s="170">
        <f>[1]!Table3[[#This Row],[Residential CLM $ Collected]]+[1]!Table3[[#This Row],[C&amp;I CLM $ Collected]]</f>
        <v>243.73629</v>
      </c>
      <c r="E828" s="28">
        <f>[1]!Table3[[#This Row],[CLM $ Collected ]]/'[1]1.) CLM Reference'!$B$4</f>
        <v>2.6239118982544832E-6</v>
      </c>
      <c r="F828" s="170">
        <f>[1]!Table3[[#This Row],[Residential Incentive Disbursements]]+[1]!Table3[[#This Row],[C&amp;I Incentive Disbursements]]</f>
        <v>282.64999999999998</v>
      </c>
      <c r="G828" s="28">
        <f>[1]!Table3[[#This Row],[Incentive Disbursements]]/'[1]1.) CLM Reference'!$B$5</f>
        <v>2.2694368024225002E-6</v>
      </c>
      <c r="H828" s="228">
        <v>243.73629</v>
      </c>
      <c r="I828" s="28">
        <f>[1]!Table3[[#This Row],[Residential CLM $ Collected]]/'[1]1.) CLM Reference'!$B$4</f>
        <v>2.6239118982544832E-6</v>
      </c>
      <c r="J828" s="229">
        <v>282.64999999999998</v>
      </c>
      <c r="K828" s="28">
        <f>[1]!Table3[[#This Row],[Residential Incentive Disbursements]]/'[1]1.) CLM Reference'!$B$5</f>
        <v>2.2694368024225002E-6</v>
      </c>
      <c r="L828" s="229">
        <v>0</v>
      </c>
      <c r="M828" s="28">
        <f>[1]!Table3[[#This Row],[C&amp;I CLM $ Collected]]/'[1]1.) CLM Reference'!$B$4</f>
        <v>0</v>
      </c>
      <c r="N828" s="229">
        <v>0</v>
      </c>
      <c r="O828" s="171">
        <f>[1]!Table3[[#This Row],[C&amp;I Incentive Disbursements]]/'[1]1.) CLM Reference'!$B$5</f>
        <v>0</v>
      </c>
      <c r="Q828">
        <f>VLOOKUP(Table3[[#This Row],[Census Tract]],'Population and Diversity Data'!$B$2:$K$823,10,FALSE)</f>
        <v>4</v>
      </c>
      <c r="R828" t="str">
        <f>VLOOKUP(Table3[[#This Row],[Census Tract]],'ES Energy Burden'!$B$2:$E$914,4,FALSE)</f>
        <v>No</v>
      </c>
    </row>
    <row r="829" spans="1:18" x14ac:dyDescent="0.2">
      <c r="A829" t="s">
        <v>2866</v>
      </c>
      <c r="B829" s="169">
        <v>9001240100</v>
      </c>
      <c r="C829" t="s">
        <v>944</v>
      </c>
      <c r="D829" s="170">
        <f>[1]!Table3[[#This Row],[Residential CLM $ Collected]]+[1]!Table3[[#This Row],[C&amp;I CLM $ Collected]]</f>
        <v>168.68774999999999</v>
      </c>
      <c r="E829" s="28">
        <f>[1]!Table3[[#This Row],[CLM $ Collected ]]/'[1]1.) CLM Reference'!$B$4</f>
        <v>1.8159864266202527E-6</v>
      </c>
      <c r="F829" s="170">
        <f>[1]!Table3[[#This Row],[Residential Incentive Disbursements]]+[1]!Table3[[#This Row],[C&amp;I Incentive Disbursements]]</f>
        <v>0</v>
      </c>
      <c r="G829" s="28">
        <f>[1]!Table3[[#This Row],[Incentive Disbursements]]/'[1]1.) CLM Reference'!$B$5</f>
        <v>0</v>
      </c>
      <c r="H829" s="228">
        <v>168.68774999999999</v>
      </c>
      <c r="I829" s="28">
        <f>[1]!Table3[[#This Row],[Residential CLM $ Collected]]/'[1]1.) CLM Reference'!$B$4</f>
        <v>1.8159864266202527E-6</v>
      </c>
      <c r="J829" s="229">
        <v>0</v>
      </c>
      <c r="K829" s="28">
        <f>[1]!Table3[[#This Row],[Residential Incentive Disbursements]]/'[1]1.) CLM Reference'!$B$5</f>
        <v>0</v>
      </c>
      <c r="L829" s="229">
        <v>0</v>
      </c>
      <c r="M829" s="28">
        <f>[1]!Table3[[#This Row],[C&amp;I CLM $ Collected]]/'[1]1.) CLM Reference'!$B$4</f>
        <v>0</v>
      </c>
      <c r="N829" s="229">
        <v>0</v>
      </c>
      <c r="O829" s="171">
        <f>[1]!Table3[[#This Row],[C&amp;I Incentive Disbursements]]/'[1]1.) CLM Reference'!$B$5</f>
        <v>0</v>
      </c>
      <c r="Q829">
        <f>VLOOKUP(Table3[[#This Row],[Census Tract]],'Population and Diversity Data'!$B$2:$K$823,10,FALSE)</f>
        <v>1</v>
      </c>
      <c r="R829" t="str">
        <f>VLOOKUP(Table3[[#This Row],[Census Tract]],'ES Energy Burden'!$B$2:$E$914,4,FALSE)</f>
        <v>No</v>
      </c>
    </row>
    <row r="830" spans="1:18" x14ac:dyDescent="0.2">
      <c r="A830" t="s">
        <v>2866</v>
      </c>
      <c r="B830" s="169">
        <v>9001245400</v>
      </c>
      <c r="C830" t="s">
        <v>944</v>
      </c>
      <c r="D830" s="170">
        <f>[1]!Table3[[#This Row],[Residential CLM $ Collected]]+[1]!Table3[[#This Row],[C&amp;I CLM $ Collected]]</f>
        <v>243.8184</v>
      </c>
      <c r="E830" s="28">
        <f>[1]!Table3[[#This Row],[CLM $ Collected ]]/'[1]1.) CLM Reference'!$B$4</f>
        <v>2.624795842971807E-6</v>
      </c>
      <c r="F830" s="170">
        <f>[1]!Table3[[#This Row],[Residential Incentive Disbursements]]+[1]!Table3[[#This Row],[C&amp;I Incentive Disbursements]]</f>
        <v>35</v>
      </c>
      <c r="G830" s="28">
        <f>[1]!Table3[[#This Row],[Incentive Disbursements]]/'[1]1.) CLM Reference'!$B$5</f>
        <v>2.8101994723080671E-7</v>
      </c>
      <c r="H830" s="228">
        <v>243.8184</v>
      </c>
      <c r="I830" s="28">
        <f>[1]!Table3[[#This Row],[Residential CLM $ Collected]]/'[1]1.) CLM Reference'!$B$4</f>
        <v>2.624795842971807E-6</v>
      </c>
      <c r="J830" s="229">
        <v>35</v>
      </c>
      <c r="K830" s="28">
        <f>[1]!Table3[[#This Row],[Residential Incentive Disbursements]]/'[1]1.) CLM Reference'!$B$5</f>
        <v>2.8101994723080671E-7</v>
      </c>
      <c r="L830" s="229">
        <v>0</v>
      </c>
      <c r="M830" s="28">
        <f>[1]!Table3[[#This Row],[C&amp;I CLM $ Collected]]/'[1]1.) CLM Reference'!$B$4</f>
        <v>0</v>
      </c>
      <c r="N830" s="229">
        <v>0</v>
      </c>
      <c r="O830" s="171">
        <f>[1]!Table3[[#This Row],[C&amp;I Incentive Disbursements]]/'[1]1.) CLM Reference'!$B$5</f>
        <v>0</v>
      </c>
      <c r="Q830">
        <f>VLOOKUP(Table3[[#This Row],[Census Tract]],'Population and Diversity Data'!$B$2:$K$823,10,FALSE)</f>
        <v>1</v>
      </c>
      <c r="R830" t="str">
        <f>VLOOKUP(Table3[[#This Row],[Census Tract]],'ES Energy Burden'!$B$2:$E$914,4,FALSE)</f>
        <v>No</v>
      </c>
    </row>
    <row r="831" spans="1:18" x14ac:dyDescent="0.2">
      <c r="A831" t="s">
        <v>2867</v>
      </c>
      <c r="B831" s="169">
        <v>9005290100</v>
      </c>
      <c r="C831" t="s">
        <v>944</v>
      </c>
      <c r="D831" s="170">
        <f>[1]!Table3[[#This Row],[Residential CLM $ Collected]]+[1]!Table3[[#This Row],[C&amp;I CLM $ Collected]]</f>
        <v>819.05691000000002</v>
      </c>
      <c r="E831" s="28">
        <f>[1]!Table3[[#This Row],[CLM $ Collected ]]/'[1]1.) CLM Reference'!$B$4</f>
        <v>8.8174525488040834E-6</v>
      </c>
      <c r="F831" s="170">
        <f>[1]!Table3[[#This Row],[Residential Incentive Disbursements]]+[1]!Table3[[#This Row],[C&amp;I Incentive Disbursements]]</f>
        <v>38855.199999999997</v>
      </c>
      <c r="G831" s="28">
        <f>[1]!Table3[[#This Row],[Incentive Disbursements]]/'[1]1.) CLM Reference'!$B$5</f>
        <v>3.1197389296121257E-4</v>
      </c>
      <c r="H831" s="228">
        <v>819.05691000000002</v>
      </c>
      <c r="I831" s="28">
        <f>[1]!Table3[[#This Row],[Residential CLM $ Collected]]/'[1]1.) CLM Reference'!$B$4</f>
        <v>8.8174525488040834E-6</v>
      </c>
      <c r="J831" s="229">
        <v>38855.199999999997</v>
      </c>
      <c r="K831" s="28">
        <f>[1]!Table3[[#This Row],[Residential Incentive Disbursements]]/'[1]1.) CLM Reference'!$B$5</f>
        <v>3.1197389296121257E-4</v>
      </c>
      <c r="L831" s="229">
        <v>0</v>
      </c>
      <c r="M831" s="28">
        <f>[1]!Table3[[#This Row],[C&amp;I CLM $ Collected]]/'[1]1.) CLM Reference'!$B$4</f>
        <v>0</v>
      </c>
      <c r="N831" s="229">
        <v>0</v>
      </c>
      <c r="O831" s="171">
        <f>[1]!Table3[[#This Row],[C&amp;I Incentive Disbursements]]/'[1]1.) CLM Reference'!$B$5</f>
        <v>0</v>
      </c>
      <c r="Q831">
        <f>VLOOKUP(Table3[[#This Row],[Census Tract]],'Population and Diversity Data'!$B$2:$K$823,10,FALSE)</f>
        <v>2</v>
      </c>
      <c r="R831" t="str">
        <f>VLOOKUP(Table3[[#This Row],[Census Tract]],'ES Energy Burden'!$B$2:$E$914,4,FALSE)</f>
        <v>No</v>
      </c>
    </row>
    <row r="832" spans="1:18" x14ac:dyDescent="0.2">
      <c r="A832" t="s">
        <v>2867</v>
      </c>
      <c r="B832" s="169">
        <v>9005293100</v>
      </c>
      <c r="C832" t="s">
        <v>944</v>
      </c>
      <c r="D832" s="170">
        <f>[1]!Table3[[#This Row],[Residential CLM $ Collected]]+[1]!Table3[[#This Row],[C&amp;I CLM $ Collected]]</f>
        <v>2894.8943100000001</v>
      </c>
      <c r="E832" s="28">
        <f>[1]!Table3[[#This Row],[CLM $ Collected ]]/'[1]1.) CLM Reference'!$B$4</f>
        <v>3.1164614937718966E-5</v>
      </c>
      <c r="F832" s="170">
        <f>[1]!Table3[[#This Row],[Residential Incentive Disbursements]]+[1]!Table3[[#This Row],[C&amp;I Incentive Disbursements]]</f>
        <v>591.26</v>
      </c>
      <c r="G832" s="28">
        <f>[1]!Table3[[#This Row],[Incentive Disbursements]]/'[1]1.) CLM Reference'!$B$5</f>
        <v>4.747310114276765E-6</v>
      </c>
      <c r="H832" s="228">
        <v>2894.8943100000001</v>
      </c>
      <c r="I832" s="28">
        <f>[1]!Table3[[#This Row],[Residential CLM $ Collected]]/'[1]1.) CLM Reference'!$B$4</f>
        <v>3.1164614937718966E-5</v>
      </c>
      <c r="J832" s="229">
        <v>591.26</v>
      </c>
      <c r="K832" s="28">
        <f>[1]!Table3[[#This Row],[Residential Incentive Disbursements]]/'[1]1.) CLM Reference'!$B$5</f>
        <v>4.747310114276765E-6</v>
      </c>
      <c r="L832" s="229">
        <v>0</v>
      </c>
      <c r="M832" s="28">
        <f>[1]!Table3[[#This Row],[C&amp;I CLM $ Collected]]/'[1]1.) CLM Reference'!$B$4</f>
        <v>0</v>
      </c>
      <c r="N832" s="229">
        <v>0</v>
      </c>
      <c r="O832" s="171">
        <f>[1]!Table3[[#This Row],[C&amp;I Incentive Disbursements]]/'[1]1.) CLM Reference'!$B$5</f>
        <v>0</v>
      </c>
      <c r="Q832">
        <f>VLOOKUP(Table3[[#This Row],[Census Tract]],'Population and Diversity Data'!$B$2:$K$823,10,FALSE)</f>
        <v>1</v>
      </c>
      <c r="R832" t="str">
        <f>VLOOKUP(Table3[[#This Row],[Census Tract]],'ES Energy Burden'!$B$2:$E$914,4,FALSE)</f>
        <v>No</v>
      </c>
    </row>
    <row r="833" spans="1:18" x14ac:dyDescent="0.2">
      <c r="A833" t="s">
        <v>2867</v>
      </c>
      <c r="B833" s="169">
        <v>9005310700</v>
      </c>
      <c r="C833" t="s">
        <v>944</v>
      </c>
      <c r="D833" s="170">
        <f>[1]!Table3[[#This Row],[Residential CLM $ Collected]]+[1]!Table3[[#This Row],[C&amp;I CLM $ Collected]]</f>
        <v>178.227</v>
      </c>
      <c r="E833" s="28">
        <f>[1]!Table3[[#This Row],[CLM $ Collected ]]/'[1]1.) CLM Reference'!$B$4</f>
        <v>1.9186800040740826E-6</v>
      </c>
      <c r="F833" s="170">
        <f>[1]!Table3[[#This Row],[Residential Incentive Disbursements]]+[1]!Table3[[#This Row],[C&amp;I Incentive Disbursements]]</f>
        <v>0</v>
      </c>
      <c r="G833" s="28">
        <f>[1]!Table3[[#This Row],[Incentive Disbursements]]/'[1]1.) CLM Reference'!$B$5</f>
        <v>0</v>
      </c>
      <c r="H833" s="228">
        <v>178.227</v>
      </c>
      <c r="I833" s="28">
        <f>[1]!Table3[[#This Row],[Residential CLM $ Collected]]/'[1]1.) CLM Reference'!$B$4</f>
        <v>1.9186800040740826E-6</v>
      </c>
      <c r="J833" s="229">
        <v>0</v>
      </c>
      <c r="K833" s="28">
        <f>[1]!Table3[[#This Row],[Residential Incentive Disbursements]]/'[1]1.) CLM Reference'!$B$5</f>
        <v>0</v>
      </c>
      <c r="L833" s="229">
        <v>0</v>
      </c>
      <c r="M833" s="28">
        <f>[1]!Table3[[#This Row],[C&amp;I CLM $ Collected]]/'[1]1.) CLM Reference'!$B$4</f>
        <v>0</v>
      </c>
      <c r="N833" s="229">
        <v>0</v>
      </c>
      <c r="O833" s="171">
        <f>[1]!Table3[[#This Row],[C&amp;I Incentive Disbursements]]/'[1]1.) CLM Reference'!$B$5</f>
        <v>0</v>
      </c>
      <c r="Q833">
        <f>VLOOKUP(Table3[[#This Row],[Census Tract]],'Population and Diversity Data'!$B$2:$K$823,10,FALSE)</f>
        <v>1</v>
      </c>
      <c r="R833" t="str">
        <f>VLOOKUP(Table3[[#This Row],[Census Tract]],'ES Energy Burden'!$B$2:$E$914,4,FALSE)</f>
        <v>No</v>
      </c>
    </row>
    <row r="834" spans="1:18" x14ac:dyDescent="0.2">
      <c r="A834" t="s">
        <v>2867</v>
      </c>
      <c r="B834" s="169">
        <v>9005320100</v>
      </c>
      <c r="C834" t="s">
        <v>944</v>
      </c>
      <c r="D834" s="170">
        <f>[1]!Table3[[#This Row],[Residential CLM $ Collected]]+[1]!Table3[[#This Row],[C&amp;I CLM $ Collected]]</f>
        <v>179762.96656500001</v>
      </c>
      <c r="E834" s="28">
        <f>[1]!Table3[[#This Row],[CLM $ Collected ]]/'[1]1.) CLM Reference'!$B$4</f>
        <v>1.9352152559449656E-3</v>
      </c>
      <c r="F834" s="170">
        <f>[1]!Table3[[#This Row],[Residential Incentive Disbursements]]+[1]!Table3[[#This Row],[C&amp;I Incentive Disbursements]]</f>
        <v>165704.77000000002</v>
      </c>
      <c r="G834" s="28">
        <f>[1]!Table3[[#This Row],[Incentive Disbursements]]/'[1]1.) CLM Reference'!$B$5</f>
        <v>1.3304670206083704E-3</v>
      </c>
      <c r="H834" s="228">
        <v>122420.332335</v>
      </c>
      <c r="I834" s="28">
        <f>[1]!Table3[[#This Row],[Residential CLM $ Collected]]/'[1]1.) CLM Reference'!$B$4</f>
        <v>1.3179004513528721E-3</v>
      </c>
      <c r="J834" s="229">
        <v>84824.17</v>
      </c>
      <c r="K834" s="28">
        <f>[1]!Table3[[#This Row],[Residential Incentive Disbursements]]/'[1]1.) CLM Reference'!$B$5</f>
        <v>6.8106525077991356E-4</v>
      </c>
      <c r="L834" s="229">
        <v>57342.634230000003</v>
      </c>
      <c r="M834" s="28">
        <f>[1]!Table3[[#This Row],[C&amp;I CLM $ Collected]]/'[1]1.) CLM Reference'!$B$4</f>
        <v>6.1731480459209336E-4</v>
      </c>
      <c r="N834" s="229">
        <v>80880.600000000006</v>
      </c>
      <c r="O834" s="171">
        <f>[1]!Table3[[#This Row],[C&amp;I Incentive Disbursements]]/'[1]1.) CLM Reference'!$B$5</f>
        <v>6.494017698284567E-4</v>
      </c>
      <c r="Q834">
        <f>VLOOKUP(Table3[[#This Row],[Census Tract]],'Population and Diversity Data'!$B$2:$K$823,10,FALSE)</f>
        <v>1</v>
      </c>
      <c r="R834" t="str">
        <f>VLOOKUP(Table3[[#This Row],[Census Tract]],'ES Energy Burden'!$B$2:$E$914,4,FALSE)</f>
        <v>No</v>
      </c>
    </row>
    <row r="835" spans="1:18" x14ac:dyDescent="0.2">
      <c r="A835" t="s">
        <v>2867</v>
      </c>
      <c r="B835" s="169">
        <v>9005320200</v>
      </c>
      <c r="C835" t="s">
        <v>944</v>
      </c>
      <c r="D835" s="170">
        <f>[1]!Table3[[#This Row],[Residential CLM $ Collected]]+[1]!Table3[[#This Row],[C&amp;I CLM $ Collected]]</f>
        <v>47163.092864999999</v>
      </c>
      <c r="E835" s="28">
        <f>[1]!Table3[[#This Row],[CLM $ Collected ]]/'[1]1.) CLM Reference'!$B$4</f>
        <v>5.077282522309444E-4</v>
      </c>
      <c r="F835" s="170">
        <f>[1]!Table3[[#This Row],[Residential Incentive Disbursements]]+[1]!Table3[[#This Row],[C&amp;I Incentive Disbursements]]</f>
        <v>27253.485000000001</v>
      </c>
      <c r="G835" s="28">
        <f>[1]!Table3[[#This Row],[Incentive Disbursements]]/'[1]1.) CLM Reference'!$B$5</f>
        <v>2.1882208333015948E-4</v>
      </c>
      <c r="H835" s="228">
        <v>47163.092864999999</v>
      </c>
      <c r="I835" s="28">
        <f>[1]!Table3[[#This Row],[Residential CLM $ Collected]]/'[1]1.) CLM Reference'!$B$4</f>
        <v>5.077282522309444E-4</v>
      </c>
      <c r="J835" s="229">
        <v>27253.485000000001</v>
      </c>
      <c r="K835" s="28">
        <f>[1]!Table3[[#This Row],[Residential Incentive Disbursements]]/'[1]1.) CLM Reference'!$B$5</f>
        <v>2.1882208333015948E-4</v>
      </c>
      <c r="L835" s="229">
        <v>0</v>
      </c>
      <c r="M835" s="28">
        <f>[1]!Table3[[#This Row],[C&amp;I CLM $ Collected]]/'[1]1.) CLM Reference'!$B$4</f>
        <v>0</v>
      </c>
      <c r="N835" s="229">
        <v>0</v>
      </c>
      <c r="O835" s="171">
        <f>[1]!Table3[[#This Row],[C&amp;I Incentive Disbursements]]/'[1]1.) CLM Reference'!$B$5</f>
        <v>0</v>
      </c>
      <c r="Q835">
        <f>VLOOKUP(Table3[[#This Row],[Census Tract]],'Population and Diversity Data'!$B$2:$K$823,10,FALSE)</f>
        <v>3</v>
      </c>
      <c r="R835" t="str">
        <f>VLOOKUP(Table3[[#This Row],[Census Tract]],'ES Energy Burden'!$B$2:$E$914,4,FALSE)</f>
        <v>No</v>
      </c>
    </row>
    <row r="836" spans="1:18" x14ac:dyDescent="0.2">
      <c r="A836" t="s">
        <v>2868</v>
      </c>
      <c r="B836" s="169">
        <v>9013881500</v>
      </c>
      <c r="C836" t="s">
        <v>944</v>
      </c>
      <c r="D836" s="170">
        <f>[1]!Table3[[#This Row],[Residential CLM $ Collected]]+[1]!Table3[[#This Row],[C&amp;I CLM $ Collected]]</f>
        <v>1362.91491</v>
      </c>
      <c r="E836" s="28">
        <f>[1]!Table3[[#This Row],[CLM $ Collected ]]/'[1]1.) CLM Reference'!$B$4</f>
        <v>1.4672286382374318E-5</v>
      </c>
      <c r="F836" s="170">
        <f>[1]!Table3[[#This Row],[Residential Incentive Disbursements]]+[1]!Table3[[#This Row],[C&amp;I Incentive Disbursements]]</f>
        <v>23715.695</v>
      </c>
      <c r="G836" s="28">
        <f>[1]!Table3[[#This Row],[Incentive Disbursements]]/'[1]1.) CLM Reference'!$B$5</f>
        <v>1.9041666735548302E-4</v>
      </c>
      <c r="H836" s="228">
        <v>1362.91491</v>
      </c>
      <c r="I836" s="28">
        <f>[1]!Table3[[#This Row],[Residential CLM $ Collected]]/'[1]1.) CLM Reference'!$B$4</f>
        <v>1.4672286382374318E-5</v>
      </c>
      <c r="J836" s="229">
        <v>23715.695</v>
      </c>
      <c r="K836" s="28">
        <f>[1]!Table3[[#This Row],[Residential Incentive Disbursements]]/'[1]1.) CLM Reference'!$B$5</f>
        <v>1.9041666735548302E-4</v>
      </c>
      <c r="L836" s="229">
        <v>0</v>
      </c>
      <c r="M836" s="28">
        <f>[1]!Table3[[#This Row],[C&amp;I CLM $ Collected]]/'[1]1.) CLM Reference'!$B$4</f>
        <v>0</v>
      </c>
      <c r="N836" s="229">
        <v>0</v>
      </c>
      <c r="O836" s="171">
        <f>[1]!Table3[[#This Row],[C&amp;I Incentive Disbursements]]/'[1]1.) CLM Reference'!$B$5</f>
        <v>0</v>
      </c>
      <c r="Q836">
        <f>VLOOKUP(Table3[[#This Row],[Census Tract]],'Population and Diversity Data'!$B$2:$K$823,10,FALSE)</f>
        <v>4</v>
      </c>
      <c r="R836" t="str">
        <f>VLOOKUP(Table3[[#This Row],[Census Tract]],'ES Energy Burden'!$B$2:$E$914,4,FALSE)</f>
        <v>No</v>
      </c>
    </row>
    <row r="837" spans="1:18" x14ac:dyDescent="0.2">
      <c r="A837" t="s">
        <v>2868</v>
      </c>
      <c r="B837" s="169">
        <v>9015800300</v>
      </c>
      <c r="C837" t="s">
        <v>944</v>
      </c>
      <c r="D837" s="170">
        <f>[1]!Table3[[#This Row],[Residential CLM $ Collected]]+[1]!Table3[[#This Row],[C&amp;I CLM $ Collected]]</f>
        <v>26256.757611000001</v>
      </c>
      <c r="E837" s="28">
        <f>[1]!Table3[[#This Row],[CLM $ Collected ]]/'[1]1.) CLM Reference'!$B$4</f>
        <v>2.8266377036052716E-4</v>
      </c>
      <c r="F837" s="170">
        <f>[1]!Table3[[#This Row],[Residential Incentive Disbursements]]+[1]!Table3[[#This Row],[C&amp;I Incentive Disbursements]]</f>
        <v>42645.85</v>
      </c>
      <c r="G837" s="28">
        <f>[1]!Table3[[#This Row],[Incentive Disbursements]]/'[1]1.) CLM Reference'!$B$5</f>
        <v>3.4240955761751136E-4</v>
      </c>
      <c r="H837" s="228">
        <v>26256.757611000001</v>
      </c>
      <c r="I837" s="28">
        <f>[1]!Table3[[#This Row],[Residential CLM $ Collected]]/'[1]1.) CLM Reference'!$B$4</f>
        <v>2.8266377036052716E-4</v>
      </c>
      <c r="J837" s="229">
        <v>42645.85</v>
      </c>
      <c r="K837" s="28">
        <f>[1]!Table3[[#This Row],[Residential Incentive Disbursements]]/'[1]1.) CLM Reference'!$B$5</f>
        <v>3.4240955761751136E-4</v>
      </c>
      <c r="L837" s="229">
        <v>0</v>
      </c>
      <c r="M837" s="28">
        <f>[1]!Table3[[#This Row],[C&amp;I CLM $ Collected]]/'[1]1.) CLM Reference'!$B$4</f>
        <v>0</v>
      </c>
      <c r="N837" s="229">
        <v>0</v>
      </c>
      <c r="O837" s="171">
        <f>[1]!Table3[[#This Row],[C&amp;I Incentive Disbursements]]/'[1]1.) CLM Reference'!$B$5</f>
        <v>0</v>
      </c>
      <c r="Q837">
        <f>VLOOKUP(Table3[[#This Row],[Census Tract]],'Population and Diversity Data'!$B$2:$K$823,10,FALSE)</f>
        <v>5</v>
      </c>
      <c r="R837" t="str">
        <f>VLOOKUP(Table3[[#This Row],[Census Tract]],'ES Energy Burden'!$B$2:$E$914,4,FALSE)</f>
        <v>Yes</v>
      </c>
    </row>
    <row r="838" spans="1:18" x14ac:dyDescent="0.2">
      <c r="A838" t="s">
        <v>2868</v>
      </c>
      <c r="B838" s="169">
        <v>9015800400</v>
      </c>
      <c r="C838" t="s">
        <v>944</v>
      </c>
      <c r="D838" s="170">
        <f>[1]!Table3[[#This Row],[Residential CLM $ Collected]]+[1]!Table3[[#This Row],[C&amp;I CLM $ Collected]]</f>
        <v>35383.881098999998</v>
      </c>
      <c r="E838" s="28">
        <f>[1]!Table3[[#This Row],[CLM $ Collected ]]/'[1]1.) CLM Reference'!$B$4</f>
        <v>3.8092065248916364E-4</v>
      </c>
      <c r="F838" s="170">
        <f>[1]!Table3[[#This Row],[Residential Incentive Disbursements]]+[1]!Table3[[#This Row],[C&amp;I Incentive Disbursements]]</f>
        <v>24489.759999999998</v>
      </c>
      <c r="G838" s="28">
        <f>[1]!Table3[[#This Row],[Incentive Disbursements]]/'[1]1.) CLM Reference'!$B$5</f>
        <v>1.966317446541463E-4</v>
      </c>
      <c r="H838" s="228">
        <v>35383.881098999998</v>
      </c>
      <c r="I838" s="28">
        <f>[1]!Table3[[#This Row],[Residential CLM $ Collected]]/'[1]1.) CLM Reference'!$B$4</f>
        <v>3.8092065248916364E-4</v>
      </c>
      <c r="J838" s="229">
        <v>24489.759999999998</v>
      </c>
      <c r="K838" s="28">
        <f>[1]!Table3[[#This Row],[Residential Incentive Disbursements]]/'[1]1.) CLM Reference'!$B$5</f>
        <v>1.966317446541463E-4</v>
      </c>
      <c r="L838" s="229">
        <v>0</v>
      </c>
      <c r="M838" s="28">
        <f>[1]!Table3[[#This Row],[C&amp;I CLM $ Collected]]/'[1]1.) CLM Reference'!$B$4</f>
        <v>0</v>
      </c>
      <c r="N838" s="229">
        <v>0</v>
      </c>
      <c r="O838" s="171">
        <f>[1]!Table3[[#This Row],[C&amp;I Incentive Disbursements]]/'[1]1.) CLM Reference'!$B$5</f>
        <v>0</v>
      </c>
      <c r="Q838">
        <f>VLOOKUP(Table3[[#This Row],[Census Tract]],'Population and Diversity Data'!$B$2:$K$823,10,FALSE)</f>
        <v>5</v>
      </c>
      <c r="R838" t="str">
        <f>VLOOKUP(Table3[[#This Row],[Census Tract]],'ES Energy Burden'!$B$2:$E$914,4,FALSE)</f>
        <v>No</v>
      </c>
    </row>
    <row r="839" spans="1:18" x14ac:dyDescent="0.2">
      <c r="A839" t="s">
        <v>2868</v>
      </c>
      <c r="B839" s="169">
        <v>9015800500</v>
      </c>
      <c r="C839" t="s">
        <v>936</v>
      </c>
      <c r="D839" s="170">
        <f>[1]!Table3[[#This Row],[Residential CLM $ Collected]]+[1]!Table3[[#This Row],[C&amp;I CLM $ Collected]]</f>
        <v>65345.950509000002</v>
      </c>
      <c r="E839" s="28">
        <f>[1]!Table3[[#This Row],[CLM $ Collected ]]/'[1]1.) CLM Reference'!$B$4</f>
        <v>7.0347348375292696E-4</v>
      </c>
      <c r="F839" s="170">
        <f>[1]!Table3[[#This Row],[Residential Incentive Disbursements]]+[1]!Table3[[#This Row],[C&amp;I Incentive Disbursements]]</f>
        <v>69607.570000000007</v>
      </c>
      <c r="G839" s="28">
        <f>[1]!Table3[[#This Row],[Incentive Disbursements]]/'[1]1.) CLM Reference'!$B$5</f>
        <v>5.5888901852184814E-4</v>
      </c>
      <c r="H839" s="228">
        <v>65345.950509000002</v>
      </c>
      <c r="I839" s="28">
        <f>[1]!Table3[[#This Row],[Residential CLM $ Collected]]/'[1]1.) CLM Reference'!$B$4</f>
        <v>7.0347348375292696E-4</v>
      </c>
      <c r="J839" s="229">
        <v>69607.570000000007</v>
      </c>
      <c r="K839" s="28">
        <f>[1]!Table3[[#This Row],[Residential Incentive Disbursements]]/'[1]1.) CLM Reference'!$B$5</f>
        <v>5.5888901852184814E-4</v>
      </c>
      <c r="L839" s="229">
        <v>0</v>
      </c>
      <c r="M839" s="28">
        <f>[1]!Table3[[#This Row],[C&amp;I CLM $ Collected]]/'[1]1.) CLM Reference'!$B$4</f>
        <v>0</v>
      </c>
      <c r="N839" s="229">
        <v>0</v>
      </c>
      <c r="O839" s="171">
        <f>[1]!Table3[[#This Row],[C&amp;I Incentive Disbursements]]/'[1]1.) CLM Reference'!$B$5</f>
        <v>0</v>
      </c>
      <c r="Q839">
        <f>VLOOKUP(Table3[[#This Row],[Census Tract]],'Population and Diversity Data'!$B$2:$K$823,10,FALSE)</f>
        <v>5</v>
      </c>
      <c r="R839" t="str">
        <f>VLOOKUP(Table3[[#This Row],[Census Tract]],'ES Energy Burden'!$B$2:$E$914,4,FALSE)</f>
        <v>No</v>
      </c>
    </row>
    <row r="840" spans="1:18" x14ac:dyDescent="0.2">
      <c r="A840" t="s">
        <v>2868</v>
      </c>
      <c r="B840" s="169">
        <v>9015800600</v>
      </c>
      <c r="C840" t="s">
        <v>944</v>
      </c>
      <c r="D840" s="170">
        <f>[1]!Table3[[#This Row],[Residential CLM $ Collected]]+[1]!Table3[[#This Row],[C&amp;I CLM $ Collected]]</f>
        <v>270036.75814499997</v>
      </c>
      <c r="E840" s="28">
        <f>[1]!Table3[[#This Row],[CLM $ Collected ]]/'[1]1.) CLM Reference'!$B$4</f>
        <v>2.907046228785765E-3</v>
      </c>
      <c r="F840" s="170">
        <f>[1]!Table3[[#This Row],[Residential Incentive Disbursements]]+[1]!Table3[[#This Row],[C&amp;I Incentive Disbursements]]</f>
        <v>253806.65000000002</v>
      </c>
      <c r="G840" s="28">
        <f>[1]!Table3[[#This Row],[Incentive Disbursements]]/'[1]1.) CLM Reference'!$B$5</f>
        <v>2.0378494682807952E-3</v>
      </c>
      <c r="H840" s="228">
        <v>135299.778012</v>
      </c>
      <c r="I840" s="28">
        <f>[1]!Table3[[#This Row],[Residential CLM $ Collected]]/'[1]1.) CLM Reference'!$B$4</f>
        <v>1.4565524787337866E-3</v>
      </c>
      <c r="J840" s="229">
        <v>103563.74</v>
      </c>
      <c r="K840" s="28">
        <f>[1]!Table3[[#This Row],[Residential Incentive Disbursements]]/'[1]1.) CLM Reference'!$B$5</f>
        <v>8.3152790713785678E-4</v>
      </c>
      <c r="L840" s="229">
        <v>134736.980133</v>
      </c>
      <c r="M840" s="28">
        <f>[1]!Table3[[#This Row],[C&amp;I CLM $ Collected]]/'[1]1.) CLM Reference'!$B$4</f>
        <v>1.4504937500519788E-3</v>
      </c>
      <c r="N840" s="229">
        <v>150242.91</v>
      </c>
      <c r="O840" s="171">
        <f>[1]!Table3[[#This Row],[C&amp;I Incentive Disbursements]]/'[1]1.) CLM Reference'!$B$5</f>
        <v>1.2063215611429383E-3</v>
      </c>
      <c r="Q840">
        <f>VLOOKUP(Table3[[#This Row],[Census Tract]],'Population and Diversity Data'!$B$2:$K$823,10,FALSE)</f>
        <v>5</v>
      </c>
      <c r="R840" t="str">
        <f>VLOOKUP(Table3[[#This Row],[Census Tract]],'ES Energy Burden'!$B$2:$E$914,4,FALSE)</f>
        <v>Yes</v>
      </c>
    </row>
    <row r="841" spans="1:18" x14ac:dyDescent="0.2">
      <c r="A841" t="s">
        <v>2868</v>
      </c>
      <c r="B841" s="169">
        <v>9015800700</v>
      </c>
      <c r="C841" t="s">
        <v>944</v>
      </c>
      <c r="D841" s="170">
        <f>[1]!Table3[[#This Row],[Residential CLM $ Collected]]+[1]!Table3[[#This Row],[C&amp;I CLM $ Collected]]</f>
        <v>22710.111795000001</v>
      </c>
      <c r="E841" s="28">
        <f>[1]!Table3[[#This Row],[CLM $ Collected ]]/'[1]1.) CLM Reference'!$B$4</f>
        <v>2.4448280783132448E-4</v>
      </c>
      <c r="F841" s="170">
        <f>[1]!Table3[[#This Row],[Residential Incentive Disbursements]]+[1]!Table3[[#This Row],[C&amp;I Incentive Disbursements]]</f>
        <v>5531.64</v>
      </c>
      <c r="G841" s="28">
        <f>[1]!Table3[[#This Row],[Incentive Disbursements]]/'[1]1.) CLM Reference'!$B$5</f>
        <v>4.4414319454280559E-5</v>
      </c>
      <c r="H841" s="228">
        <v>22710.111795000001</v>
      </c>
      <c r="I841" s="28">
        <f>[1]!Table3[[#This Row],[Residential CLM $ Collected]]/'[1]1.) CLM Reference'!$B$4</f>
        <v>2.4448280783132448E-4</v>
      </c>
      <c r="J841" s="229">
        <v>5531.64</v>
      </c>
      <c r="K841" s="28">
        <f>[1]!Table3[[#This Row],[Residential Incentive Disbursements]]/'[1]1.) CLM Reference'!$B$5</f>
        <v>4.4414319454280559E-5</v>
      </c>
      <c r="L841" s="229">
        <v>0</v>
      </c>
      <c r="M841" s="28">
        <f>[1]!Table3[[#This Row],[C&amp;I CLM $ Collected]]/'[1]1.) CLM Reference'!$B$4</f>
        <v>0</v>
      </c>
      <c r="N841" s="229">
        <v>0</v>
      </c>
      <c r="O841" s="171">
        <f>[1]!Table3[[#This Row],[C&amp;I Incentive Disbursements]]/'[1]1.) CLM Reference'!$B$5</f>
        <v>0</v>
      </c>
      <c r="Q841">
        <f>VLOOKUP(Table3[[#This Row],[Census Tract]],'Population and Diversity Data'!$B$2:$K$823,10,FALSE)</f>
        <v>5</v>
      </c>
      <c r="R841" t="str">
        <f>VLOOKUP(Table3[[#This Row],[Census Tract]],'ES Energy Burden'!$B$2:$E$914,4,FALSE)</f>
        <v>Yes</v>
      </c>
    </row>
    <row r="842" spans="1:18" x14ac:dyDescent="0.2">
      <c r="A842" t="s">
        <v>2868</v>
      </c>
      <c r="B842" s="169">
        <v>9015815000</v>
      </c>
      <c r="C842" t="s">
        <v>944</v>
      </c>
      <c r="D842" s="170">
        <f>[1]!Table3[[#This Row],[Residential CLM $ Collected]]+[1]!Table3[[#This Row],[C&amp;I CLM $ Collected]]</f>
        <v>153.59882999999999</v>
      </c>
      <c r="E842" s="28">
        <f>[1]!Table3[[#This Row],[CLM $ Collected ]]/'[1]1.) CLM Reference'!$B$4</f>
        <v>1.6535485856249294E-6</v>
      </c>
      <c r="F842" s="170">
        <f>[1]!Table3[[#This Row],[Residential Incentive Disbursements]]+[1]!Table3[[#This Row],[C&amp;I Incentive Disbursements]]</f>
        <v>0</v>
      </c>
      <c r="G842" s="28">
        <f>[1]!Table3[[#This Row],[Incentive Disbursements]]/'[1]1.) CLM Reference'!$B$5</f>
        <v>0</v>
      </c>
      <c r="H842" s="228">
        <v>153.59882999999999</v>
      </c>
      <c r="I842" s="28">
        <f>[1]!Table3[[#This Row],[Residential CLM $ Collected]]/'[1]1.) CLM Reference'!$B$4</f>
        <v>1.6535485856249294E-6</v>
      </c>
      <c r="J842" s="229">
        <v>0</v>
      </c>
      <c r="K842" s="28">
        <f>[1]!Table3[[#This Row],[Residential Incentive Disbursements]]/'[1]1.) CLM Reference'!$B$5</f>
        <v>0</v>
      </c>
      <c r="L842" s="229">
        <v>0</v>
      </c>
      <c r="M842" s="28">
        <f>[1]!Table3[[#This Row],[C&amp;I CLM $ Collected]]/'[1]1.) CLM Reference'!$B$4</f>
        <v>0</v>
      </c>
      <c r="N842" s="229">
        <v>0</v>
      </c>
      <c r="O842" s="171">
        <f>[1]!Table3[[#This Row],[C&amp;I Incentive Disbursements]]/'[1]1.) CLM Reference'!$B$5</f>
        <v>0</v>
      </c>
      <c r="Q842">
        <f>VLOOKUP(Table3[[#This Row],[Census Tract]],'Population and Diversity Data'!$B$2:$K$823,10,FALSE)</f>
        <v>5</v>
      </c>
      <c r="R842" t="str">
        <f>VLOOKUP(Table3[[#This Row],[Census Tract]],'ES Energy Burden'!$B$2:$E$914,4,FALSE)</f>
        <v>No</v>
      </c>
    </row>
    <row r="843" spans="1:18" x14ac:dyDescent="0.2">
      <c r="A843" t="s">
        <v>2868</v>
      </c>
      <c r="B843" s="169">
        <v>9015825000</v>
      </c>
      <c r="C843" t="s">
        <v>944</v>
      </c>
      <c r="D843" s="170">
        <f>[1]!Table3[[#This Row],[Residential CLM $ Collected]]+[1]!Table3[[#This Row],[C&amp;I CLM $ Collected]]</f>
        <v>241.28120099999998</v>
      </c>
      <c r="E843" s="28">
        <f>[1]!Table3[[#This Row],[CLM $ Collected ]]/'[1]1.) CLM Reference'!$B$4</f>
        <v>2.5974819512064922E-6</v>
      </c>
      <c r="F843" s="170">
        <f>[1]!Table3[[#This Row],[Residential Incentive Disbursements]]+[1]!Table3[[#This Row],[C&amp;I Incentive Disbursements]]</f>
        <v>0</v>
      </c>
      <c r="G843" s="28">
        <f>[1]!Table3[[#This Row],[Incentive Disbursements]]/'[1]1.) CLM Reference'!$B$5</f>
        <v>0</v>
      </c>
      <c r="H843" s="228">
        <v>241.28120099999998</v>
      </c>
      <c r="I843" s="28">
        <f>[1]!Table3[[#This Row],[Residential CLM $ Collected]]/'[1]1.) CLM Reference'!$B$4</f>
        <v>2.5974819512064922E-6</v>
      </c>
      <c r="J843" s="229">
        <v>0</v>
      </c>
      <c r="K843" s="28">
        <f>[1]!Table3[[#This Row],[Residential Incentive Disbursements]]/'[1]1.) CLM Reference'!$B$5</f>
        <v>0</v>
      </c>
      <c r="L843" s="229">
        <v>0</v>
      </c>
      <c r="M843" s="28">
        <f>[1]!Table3[[#This Row],[C&amp;I CLM $ Collected]]/'[1]1.) CLM Reference'!$B$4</f>
        <v>0</v>
      </c>
      <c r="N843" s="229">
        <v>0</v>
      </c>
      <c r="O843" s="171">
        <f>[1]!Table3[[#This Row],[C&amp;I Incentive Disbursements]]/'[1]1.) CLM Reference'!$B$5</f>
        <v>0</v>
      </c>
      <c r="Q843">
        <f>VLOOKUP(Table3[[#This Row],[Census Tract]],'Population and Diversity Data'!$B$2:$K$823,10,FALSE)</f>
        <v>2</v>
      </c>
      <c r="R843" t="str">
        <f>VLOOKUP(Table3[[#This Row],[Census Tract]],'ES Energy Burden'!$B$2:$E$914,4,FALSE)</f>
        <v>No</v>
      </c>
    </row>
    <row r="844" spans="1:18" x14ac:dyDescent="0.2">
      <c r="A844" t="s">
        <v>2869</v>
      </c>
      <c r="B844" s="169">
        <v>9003470100</v>
      </c>
      <c r="C844" t="s">
        <v>944</v>
      </c>
      <c r="D844" s="170">
        <f>[1]!Table3[[#This Row],[Residential CLM $ Collected]]+[1]!Table3[[#This Row],[C&amp;I CLM $ Collected]]</f>
        <v>49.55097</v>
      </c>
      <c r="E844" s="28">
        <f>[1]!Table3[[#This Row],[CLM $ Collected ]]/'[1]1.) CLM Reference'!$B$4</f>
        <v>5.3343463853105728E-7</v>
      </c>
      <c r="F844" s="170">
        <f>[1]!Table3[[#This Row],[Residential Incentive Disbursements]]+[1]!Table3[[#This Row],[C&amp;I Incentive Disbursements]]</f>
        <v>0</v>
      </c>
      <c r="G844" s="28">
        <f>[1]!Table3[[#This Row],[Incentive Disbursements]]/'[1]1.) CLM Reference'!$B$5</f>
        <v>0</v>
      </c>
      <c r="H844" s="228">
        <v>49.55097</v>
      </c>
      <c r="I844" s="28">
        <f>[1]!Table3[[#This Row],[Residential CLM $ Collected]]/'[1]1.) CLM Reference'!$B$4</f>
        <v>5.3343463853105728E-7</v>
      </c>
      <c r="J844" s="229">
        <v>0</v>
      </c>
      <c r="K844" s="28">
        <f>[1]!Table3[[#This Row],[Residential Incentive Disbursements]]/'[1]1.) CLM Reference'!$B$5</f>
        <v>0</v>
      </c>
      <c r="L844" s="229">
        <v>0</v>
      </c>
      <c r="M844" s="28">
        <f>[1]!Table3[[#This Row],[C&amp;I CLM $ Collected]]/'[1]1.) CLM Reference'!$B$4</f>
        <v>0</v>
      </c>
      <c r="N844" s="229">
        <v>0</v>
      </c>
      <c r="O844" s="171">
        <f>[1]!Table3[[#This Row],[C&amp;I Incentive Disbursements]]/'[1]1.) CLM Reference'!$B$5</f>
        <v>0</v>
      </c>
      <c r="Q844">
        <f>VLOOKUP(Table3[[#This Row],[Census Tract]],'Population and Diversity Data'!$B$2:$K$823,10,FALSE)</f>
        <v>3</v>
      </c>
      <c r="R844" t="str">
        <f>VLOOKUP(Table3[[#This Row],[Census Tract]],'ES Energy Burden'!$B$2:$E$914,4,FALSE)</f>
        <v>No</v>
      </c>
    </row>
    <row r="845" spans="1:18" x14ac:dyDescent="0.2">
      <c r="A845" t="s">
        <v>2869</v>
      </c>
      <c r="B845" s="169">
        <v>9003473100</v>
      </c>
      <c r="C845" t="s">
        <v>944</v>
      </c>
      <c r="D845" s="170">
        <f>[1]!Table3[[#This Row],[Residential CLM $ Collected]]+[1]!Table3[[#This Row],[C&amp;I CLM $ Collected]]</f>
        <v>59616.347070000003</v>
      </c>
      <c r="E845" s="28">
        <f>[1]!Table3[[#This Row],[CLM $ Collected ]]/'[1]1.) CLM Reference'!$B$4</f>
        <v>6.4179216975626316E-4</v>
      </c>
      <c r="F845" s="170">
        <f>[1]!Table3[[#This Row],[Residential Incentive Disbursements]]+[1]!Table3[[#This Row],[C&amp;I Incentive Disbursements]]</f>
        <v>127200.1</v>
      </c>
      <c r="G845" s="28">
        <f>[1]!Table3[[#This Row],[Incentive Disbursements]]/'[1]1.) CLM Reference'!$B$5</f>
        <v>1.021307582564381E-3</v>
      </c>
      <c r="H845" s="228">
        <v>59616.347070000003</v>
      </c>
      <c r="I845" s="28">
        <f>[1]!Table3[[#This Row],[Residential CLM $ Collected]]/'[1]1.) CLM Reference'!$B$4</f>
        <v>6.4179216975626316E-4</v>
      </c>
      <c r="J845" s="229">
        <v>127200.1</v>
      </c>
      <c r="K845" s="28">
        <f>[1]!Table3[[#This Row],[Residential Incentive Disbursements]]/'[1]1.) CLM Reference'!$B$5</f>
        <v>1.021307582564381E-3</v>
      </c>
      <c r="L845" s="229">
        <v>0</v>
      </c>
      <c r="M845" s="28">
        <f>[1]!Table3[[#This Row],[C&amp;I CLM $ Collected]]/'[1]1.) CLM Reference'!$B$4</f>
        <v>0</v>
      </c>
      <c r="N845" s="229">
        <v>0</v>
      </c>
      <c r="O845" s="171">
        <f>[1]!Table3[[#This Row],[C&amp;I Incentive Disbursements]]/'[1]1.) CLM Reference'!$B$5</f>
        <v>0</v>
      </c>
      <c r="Q845">
        <f>VLOOKUP(Table3[[#This Row],[Census Tract]],'Population and Diversity Data'!$B$2:$K$823,10,FALSE)</f>
        <v>1</v>
      </c>
      <c r="R845" t="str">
        <f>VLOOKUP(Table3[[#This Row],[Census Tract]],'ES Energy Burden'!$B$2:$E$914,4,FALSE)</f>
        <v>No</v>
      </c>
    </row>
    <row r="846" spans="1:18" x14ac:dyDescent="0.2">
      <c r="A846" t="s">
        <v>2869</v>
      </c>
      <c r="B846" s="169">
        <v>9003473400</v>
      </c>
      <c r="C846" t="s">
        <v>944</v>
      </c>
      <c r="D846" s="170">
        <f>[1]!Table3[[#This Row],[Residential CLM $ Collected]]+[1]!Table3[[#This Row],[C&amp;I CLM $ Collected]]</f>
        <v>20071.610789999999</v>
      </c>
      <c r="E846" s="28">
        <f>[1]!Table3[[#This Row],[CLM $ Collected ]]/'[1]1.) CLM Reference'!$B$4</f>
        <v>2.1607836227019811E-4</v>
      </c>
      <c r="F846" s="170">
        <f>[1]!Table3[[#This Row],[Residential Incentive Disbursements]]+[1]!Table3[[#This Row],[C&amp;I Incentive Disbursements]]</f>
        <v>21364.74</v>
      </c>
      <c r="G846" s="28">
        <f>[1]!Table3[[#This Row],[Incentive Disbursements]]/'[1]1.) CLM Reference'!$B$5</f>
        <v>1.71540517354283E-4</v>
      </c>
      <c r="H846" s="228">
        <v>20071.610789999999</v>
      </c>
      <c r="I846" s="28">
        <f>[1]!Table3[[#This Row],[Residential CLM $ Collected]]/'[1]1.) CLM Reference'!$B$4</f>
        <v>2.1607836227019811E-4</v>
      </c>
      <c r="J846" s="229">
        <v>21364.74</v>
      </c>
      <c r="K846" s="28">
        <f>[1]!Table3[[#This Row],[Residential Incentive Disbursements]]/'[1]1.) CLM Reference'!$B$5</f>
        <v>1.71540517354283E-4</v>
      </c>
      <c r="L846" s="229">
        <v>0</v>
      </c>
      <c r="M846" s="28">
        <f>[1]!Table3[[#This Row],[C&amp;I CLM $ Collected]]/'[1]1.) CLM Reference'!$B$4</f>
        <v>0</v>
      </c>
      <c r="N846" s="229">
        <v>0</v>
      </c>
      <c r="O846" s="171">
        <f>[1]!Table3[[#This Row],[C&amp;I Incentive Disbursements]]/'[1]1.) CLM Reference'!$B$5</f>
        <v>0</v>
      </c>
      <c r="Q846">
        <f>VLOOKUP(Table3[[#This Row],[Census Tract]],'Population and Diversity Data'!$B$2:$K$823,10,FALSE)</f>
        <v>2</v>
      </c>
      <c r="R846" t="str">
        <f>VLOOKUP(Table3[[#This Row],[Census Tract]],'ES Energy Burden'!$B$2:$E$914,4,FALSE)</f>
        <v>No</v>
      </c>
    </row>
    <row r="847" spans="1:18" x14ac:dyDescent="0.2">
      <c r="A847" t="s">
        <v>2869</v>
      </c>
      <c r="B847" s="169">
        <v>9003473501</v>
      </c>
      <c r="C847" t="s">
        <v>944</v>
      </c>
      <c r="D847" s="170">
        <f>[1]!Table3[[#This Row],[Residential CLM $ Collected]]+[1]!Table3[[#This Row],[C&amp;I CLM $ Collected]]</f>
        <v>49962.848250000003</v>
      </c>
      <c r="E847" s="28">
        <f>[1]!Table3[[#This Row],[CLM $ Collected ]]/'[1]1.) CLM Reference'!$B$4</f>
        <v>5.3786866122339922E-4</v>
      </c>
      <c r="F847" s="170">
        <f>[1]!Table3[[#This Row],[Residential Incentive Disbursements]]+[1]!Table3[[#This Row],[C&amp;I Incentive Disbursements]]</f>
        <v>28077</v>
      </c>
      <c r="G847" s="28">
        <f>[1]!Table3[[#This Row],[Incentive Disbursements]]/'[1]1.) CLM Reference'!$B$5</f>
        <v>2.2543420166855314E-4</v>
      </c>
      <c r="H847" s="228">
        <v>49962.848250000003</v>
      </c>
      <c r="I847" s="28">
        <f>[1]!Table3[[#This Row],[Residential CLM $ Collected]]/'[1]1.) CLM Reference'!$B$4</f>
        <v>5.3786866122339922E-4</v>
      </c>
      <c r="J847" s="229">
        <v>28077</v>
      </c>
      <c r="K847" s="28">
        <f>[1]!Table3[[#This Row],[Residential Incentive Disbursements]]/'[1]1.) CLM Reference'!$B$5</f>
        <v>2.2543420166855314E-4</v>
      </c>
      <c r="L847" s="229">
        <v>0</v>
      </c>
      <c r="M847" s="28">
        <f>[1]!Table3[[#This Row],[C&amp;I CLM $ Collected]]/'[1]1.) CLM Reference'!$B$4</f>
        <v>0</v>
      </c>
      <c r="N847" s="229">
        <v>0</v>
      </c>
      <c r="O847" s="171">
        <f>[1]!Table3[[#This Row],[C&amp;I Incentive Disbursements]]/'[1]1.) CLM Reference'!$B$5</f>
        <v>0</v>
      </c>
      <c r="Q847">
        <f>VLOOKUP(Table3[[#This Row],[Census Tract]],'Population and Diversity Data'!$B$2:$K$823,10,FALSE)</f>
        <v>3</v>
      </c>
      <c r="R847" t="str">
        <f>VLOOKUP(Table3[[#This Row],[Census Tract]],'ES Energy Burden'!$B$2:$E$914,4,FALSE)</f>
        <v>No</v>
      </c>
    </row>
    <row r="848" spans="1:18" x14ac:dyDescent="0.2">
      <c r="A848" t="s">
        <v>2869</v>
      </c>
      <c r="B848" s="169">
        <v>9003473502</v>
      </c>
      <c r="C848" t="s">
        <v>944</v>
      </c>
      <c r="D848" s="170">
        <f>[1]!Table3[[#This Row],[Residential CLM $ Collected]]+[1]!Table3[[#This Row],[C&amp;I CLM $ Collected]]</f>
        <v>32310.085521000001</v>
      </c>
      <c r="E848" s="28">
        <f>[1]!Table3[[#This Row],[CLM $ Collected ]]/'[1]1.) CLM Reference'!$B$4</f>
        <v>3.4783009880133895E-4</v>
      </c>
      <c r="F848" s="170">
        <f>[1]!Table3[[#This Row],[Residential Incentive Disbursements]]+[1]!Table3[[#This Row],[C&amp;I Incentive Disbursements]]</f>
        <v>52284.84</v>
      </c>
      <c r="G848" s="28">
        <f>[1]!Table3[[#This Row],[Incentive Disbursements]]/'[1]1.) CLM Reference'!$B$5</f>
        <v>4.1980237079346201E-4</v>
      </c>
      <c r="H848" s="228">
        <v>32310.085521000001</v>
      </c>
      <c r="I848" s="28">
        <f>[1]!Table3[[#This Row],[Residential CLM $ Collected]]/'[1]1.) CLM Reference'!$B$4</f>
        <v>3.4783009880133895E-4</v>
      </c>
      <c r="J848" s="229">
        <v>52284.84</v>
      </c>
      <c r="K848" s="28">
        <f>[1]!Table3[[#This Row],[Residential Incentive Disbursements]]/'[1]1.) CLM Reference'!$B$5</f>
        <v>4.1980237079346201E-4</v>
      </c>
      <c r="L848" s="229">
        <v>0</v>
      </c>
      <c r="M848" s="28">
        <f>[1]!Table3[[#This Row],[C&amp;I CLM $ Collected]]/'[1]1.) CLM Reference'!$B$4</f>
        <v>0</v>
      </c>
      <c r="N848" s="229">
        <v>0</v>
      </c>
      <c r="O848" s="171">
        <f>[1]!Table3[[#This Row],[C&amp;I Incentive Disbursements]]/'[1]1.) CLM Reference'!$B$5</f>
        <v>0</v>
      </c>
      <c r="Q848">
        <f>VLOOKUP(Table3[[#This Row],[Census Tract]],'Population and Diversity Data'!$B$2:$K$823,10,FALSE)</f>
        <v>2</v>
      </c>
      <c r="R848" t="str">
        <f>VLOOKUP(Table3[[#This Row],[Census Tract]],'ES Energy Burden'!$B$2:$E$914,4,FALSE)</f>
        <v>No</v>
      </c>
    </row>
    <row r="849" spans="1:18" x14ac:dyDescent="0.2">
      <c r="A849" t="s">
        <v>2869</v>
      </c>
      <c r="B849" s="169">
        <v>9003473601</v>
      </c>
      <c r="C849" t="s">
        <v>944</v>
      </c>
      <c r="D849" s="170">
        <f>[1]!Table3[[#This Row],[Residential CLM $ Collected]]+[1]!Table3[[#This Row],[C&amp;I CLM $ Collected]]</f>
        <v>320343.85643400002</v>
      </c>
      <c r="E849" s="28">
        <f>[1]!Table3[[#This Row],[CLM $ Collected ]]/'[1]1.) CLM Reference'!$B$4</f>
        <v>3.4486208698339448E-3</v>
      </c>
      <c r="F849" s="170">
        <f>[1]!Table3[[#This Row],[Residential Incentive Disbursements]]+[1]!Table3[[#This Row],[C&amp;I Incentive Disbursements]]</f>
        <v>583112.92000000004</v>
      </c>
      <c r="G849" s="28">
        <f>[1]!Table3[[#This Row],[Incentive Disbursements]]/'[1]1.) CLM Reference'!$B$5</f>
        <v>4.6818960573714744E-3</v>
      </c>
      <c r="H849" s="228">
        <v>164555.215524</v>
      </c>
      <c r="I849" s="28">
        <f>[1]!Table3[[#This Row],[Residential CLM $ Collected]]/'[1]1.) CLM Reference'!$B$4</f>
        <v>1.7714981545557062E-3</v>
      </c>
      <c r="J849" s="229">
        <v>442167.51</v>
      </c>
      <c r="K849" s="28">
        <f>[1]!Table3[[#This Row],[Residential Incentive Disbursements]]/'[1]1.) CLM Reference'!$B$5</f>
        <v>3.5502254379250627E-3</v>
      </c>
      <c r="L849" s="229">
        <v>155788.64091000002</v>
      </c>
      <c r="M849" s="28">
        <f>[1]!Table3[[#This Row],[C&amp;I CLM $ Collected]]/'[1]1.) CLM Reference'!$B$4</f>
        <v>1.6771227152782384E-3</v>
      </c>
      <c r="N849" s="229">
        <v>140945.41</v>
      </c>
      <c r="O849" s="171">
        <f>[1]!Table3[[#This Row],[C&amp;I Incentive Disbursements]]/'[1]1.) CLM Reference'!$B$5</f>
        <v>1.1316706194464119E-3</v>
      </c>
      <c r="Q849">
        <f>VLOOKUP(Table3[[#This Row],[Census Tract]],'Population and Diversity Data'!$B$2:$K$823,10,FALSE)</f>
        <v>3</v>
      </c>
      <c r="R849" t="str">
        <f>VLOOKUP(Table3[[#This Row],[Census Tract]],'ES Energy Burden'!$B$2:$E$914,4,FALSE)</f>
        <v>No</v>
      </c>
    </row>
    <row r="850" spans="1:18" x14ac:dyDescent="0.2">
      <c r="A850" t="s">
        <v>2869</v>
      </c>
      <c r="B850" s="169">
        <v>9003473602</v>
      </c>
      <c r="C850" t="s">
        <v>944</v>
      </c>
      <c r="D850" s="170">
        <f>[1]!Table3[[#This Row],[Residential CLM $ Collected]]+[1]!Table3[[#This Row],[C&amp;I CLM $ Collected]]</f>
        <v>21608.422122000004</v>
      </c>
      <c r="E850" s="28">
        <f>[1]!Table3[[#This Row],[CLM $ Collected ]]/'[1]1.) CLM Reference'!$B$4</f>
        <v>2.326227083723199E-4</v>
      </c>
      <c r="F850" s="170">
        <f>[1]!Table3[[#This Row],[Residential Incentive Disbursements]]+[1]!Table3[[#This Row],[C&amp;I Incentive Disbursements]]</f>
        <v>32396.705000000002</v>
      </c>
      <c r="G850" s="28">
        <f>[1]!Table3[[#This Row],[Incentive Disbursements]]/'[1]1.) CLM Reference'!$B$5</f>
        <v>2.6011772370148603E-4</v>
      </c>
      <c r="H850" s="228">
        <v>21608.422122000004</v>
      </c>
      <c r="I850" s="28">
        <f>[1]!Table3[[#This Row],[Residential CLM $ Collected]]/'[1]1.) CLM Reference'!$B$4</f>
        <v>2.326227083723199E-4</v>
      </c>
      <c r="J850" s="229">
        <v>32396.705000000002</v>
      </c>
      <c r="K850" s="28">
        <f>[1]!Table3[[#This Row],[Residential Incentive Disbursements]]/'[1]1.) CLM Reference'!$B$5</f>
        <v>2.6011772370148603E-4</v>
      </c>
      <c r="L850" s="229">
        <v>0</v>
      </c>
      <c r="M850" s="28">
        <f>[1]!Table3[[#This Row],[C&amp;I CLM $ Collected]]/'[1]1.) CLM Reference'!$B$4</f>
        <v>0</v>
      </c>
      <c r="N850" s="229">
        <v>0</v>
      </c>
      <c r="O850" s="171">
        <f>[1]!Table3[[#This Row],[C&amp;I Incentive Disbursements]]/'[1]1.) CLM Reference'!$B$5</f>
        <v>0</v>
      </c>
      <c r="Q850">
        <f>VLOOKUP(Table3[[#This Row],[Census Tract]],'Population and Diversity Data'!$B$2:$K$823,10,FALSE)</f>
        <v>5</v>
      </c>
      <c r="R850" t="str">
        <f>VLOOKUP(Table3[[#This Row],[Census Tract]],'ES Energy Burden'!$B$2:$E$914,4,FALSE)</f>
        <v>No</v>
      </c>
    </row>
    <row r="851" spans="1:18" x14ac:dyDescent="0.2">
      <c r="A851" t="s">
        <v>2869</v>
      </c>
      <c r="B851" s="169">
        <v>9003473700</v>
      </c>
      <c r="C851" t="s">
        <v>944</v>
      </c>
      <c r="D851" s="170">
        <f>[1]!Table3[[#This Row],[Residential CLM $ Collected]]+[1]!Table3[[#This Row],[C&amp;I CLM $ Collected]]</f>
        <v>49874.666940000003</v>
      </c>
      <c r="E851" s="28">
        <f>[1]!Table3[[#This Row],[CLM $ Collected ]]/'[1]1.) CLM Reference'!$B$4</f>
        <v>5.3691935659374115E-4</v>
      </c>
      <c r="F851" s="170">
        <f>[1]!Table3[[#This Row],[Residential Incentive Disbursements]]+[1]!Table3[[#This Row],[C&amp;I Incentive Disbursements]]</f>
        <v>103144.505</v>
      </c>
      <c r="G851" s="28">
        <f>[1]!Table3[[#This Row],[Incentive Disbursements]]/'[1]1.) CLM Reference'!$B$5</f>
        <v>8.2816181006421937E-4</v>
      </c>
      <c r="H851" s="228">
        <v>49874.666940000003</v>
      </c>
      <c r="I851" s="28">
        <f>[1]!Table3[[#This Row],[Residential CLM $ Collected]]/'[1]1.) CLM Reference'!$B$4</f>
        <v>5.3691935659374115E-4</v>
      </c>
      <c r="J851" s="229">
        <v>103144.505</v>
      </c>
      <c r="K851" s="28">
        <f>[1]!Table3[[#This Row],[Residential Incentive Disbursements]]/'[1]1.) CLM Reference'!$B$5</f>
        <v>8.2816181006421937E-4</v>
      </c>
      <c r="L851" s="229">
        <v>0</v>
      </c>
      <c r="M851" s="28">
        <f>[1]!Table3[[#This Row],[C&amp;I CLM $ Collected]]/'[1]1.) CLM Reference'!$B$4</f>
        <v>0</v>
      </c>
      <c r="N851" s="229">
        <v>0</v>
      </c>
      <c r="O851" s="171">
        <f>[1]!Table3[[#This Row],[C&amp;I Incentive Disbursements]]/'[1]1.) CLM Reference'!$B$5</f>
        <v>0</v>
      </c>
      <c r="Q851">
        <f>VLOOKUP(Table3[[#This Row],[Census Tract]],'Population and Diversity Data'!$B$2:$K$823,10,FALSE)</f>
        <v>3</v>
      </c>
      <c r="R851" t="str">
        <f>VLOOKUP(Table3[[#This Row],[Census Tract]],'ES Energy Burden'!$B$2:$E$914,4,FALSE)</f>
        <v>No</v>
      </c>
    </row>
    <row r="852" spans="1:18" x14ac:dyDescent="0.2">
      <c r="A852" t="s">
        <v>2869</v>
      </c>
      <c r="B852" s="169">
        <v>9003473800</v>
      </c>
      <c r="C852" t="s">
        <v>944</v>
      </c>
      <c r="D852" s="170">
        <f>[1]!Table3[[#This Row],[Residential CLM $ Collected]]+[1]!Table3[[#This Row],[C&amp;I CLM $ Collected]]</f>
        <v>14993.566140000001</v>
      </c>
      <c r="E852" s="28">
        <f>[1]!Table3[[#This Row],[CLM $ Collected ]]/'[1]1.) CLM Reference'!$B$4</f>
        <v>1.6141132119476973E-4</v>
      </c>
      <c r="F852" s="170">
        <f>[1]!Table3[[#This Row],[Residential Incentive Disbursements]]+[1]!Table3[[#This Row],[C&amp;I Incentive Disbursements]]</f>
        <v>4319.22</v>
      </c>
      <c r="G852" s="28">
        <f>[1]!Table3[[#This Row],[Incentive Disbursements]]/'[1]1.) CLM Reference'!$B$5</f>
        <v>3.4679627899378424E-5</v>
      </c>
      <c r="H852" s="228">
        <v>14993.566140000001</v>
      </c>
      <c r="I852" s="28">
        <f>[1]!Table3[[#This Row],[Residential CLM $ Collected]]/'[1]1.) CLM Reference'!$B$4</f>
        <v>1.6141132119476973E-4</v>
      </c>
      <c r="J852" s="229">
        <v>4319.22</v>
      </c>
      <c r="K852" s="28">
        <f>[1]!Table3[[#This Row],[Residential Incentive Disbursements]]/'[1]1.) CLM Reference'!$B$5</f>
        <v>3.4679627899378424E-5</v>
      </c>
      <c r="L852" s="229">
        <v>0</v>
      </c>
      <c r="M852" s="28">
        <f>[1]!Table3[[#This Row],[C&amp;I CLM $ Collected]]/'[1]1.) CLM Reference'!$B$4</f>
        <v>0</v>
      </c>
      <c r="N852" s="229">
        <v>0</v>
      </c>
      <c r="O852" s="171">
        <f>[1]!Table3[[#This Row],[C&amp;I Incentive Disbursements]]/'[1]1.) CLM Reference'!$B$5</f>
        <v>0</v>
      </c>
      <c r="Q852">
        <f>VLOOKUP(Table3[[#This Row],[Census Tract]],'Population and Diversity Data'!$B$2:$K$823,10,FALSE)</f>
        <v>5</v>
      </c>
      <c r="R852" t="str">
        <f>VLOOKUP(Table3[[#This Row],[Census Tract]],'ES Energy Burden'!$B$2:$E$914,4,FALSE)</f>
        <v>No</v>
      </c>
    </row>
    <row r="853" spans="1:18" x14ac:dyDescent="0.2">
      <c r="A853" t="s">
        <v>2869</v>
      </c>
      <c r="B853" s="169">
        <v>9003524400</v>
      </c>
      <c r="C853" t="s">
        <v>944</v>
      </c>
      <c r="D853" s="170">
        <f>[1]!Table3[[#This Row],[Residential CLM $ Collected]]+[1]!Table3[[#This Row],[C&amp;I CLM $ Collected]]</f>
        <v>126.14028</v>
      </c>
      <c r="E853" s="28">
        <f>[1]!Table3[[#This Row],[CLM $ Collected ]]/'[1]1.) CLM Reference'!$B$4</f>
        <v>1.3579470728021339E-6</v>
      </c>
      <c r="F853" s="170">
        <f>[1]!Table3[[#This Row],[Residential Incentive Disbursements]]+[1]!Table3[[#This Row],[C&amp;I Incentive Disbursements]]</f>
        <v>0</v>
      </c>
      <c r="G853" s="28">
        <f>[1]!Table3[[#This Row],[Incentive Disbursements]]/'[1]1.) CLM Reference'!$B$5</f>
        <v>0</v>
      </c>
      <c r="H853" s="228">
        <v>126.14028</v>
      </c>
      <c r="I853" s="28">
        <f>[1]!Table3[[#This Row],[Residential CLM $ Collected]]/'[1]1.) CLM Reference'!$B$4</f>
        <v>1.3579470728021339E-6</v>
      </c>
      <c r="J853" s="229">
        <v>0</v>
      </c>
      <c r="K853" s="28">
        <f>[1]!Table3[[#This Row],[Residential Incentive Disbursements]]/'[1]1.) CLM Reference'!$B$5</f>
        <v>0</v>
      </c>
      <c r="L853" s="229">
        <v>0</v>
      </c>
      <c r="M853" s="28">
        <f>[1]!Table3[[#This Row],[C&amp;I CLM $ Collected]]/'[1]1.) CLM Reference'!$B$4</f>
        <v>0</v>
      </c>
      <c r="N853" s="229">
        <v>0</v>
      </c>
      <c r="O853" s="171">
        <f>[1]!Table3[[#This Row],[C&amp;I Incentive Disbursements]]/'[1]1.) CLM Reference'!$B$5</f>
        <v>0</v>
      </c>
      <c r="Q853">
        <f>VLOOKUP(Table3[[#This Row],[Census Tract]],'Population and Diversity Data'!$B$2:$K$823,10,FALSE)</f>
        <v>5</v>
      </c>
      <c r="R853" t="str">
        <f>VLOOKUP(Table3[[#This Row],[Census Tract]],'ES Energy Burden'!$B$2:$E$914,4,FALSE)</f>
        <v>Yes</v>
      </c>
    </row>
    <row r="854" spans="1:18" x14ac:dyDescent="0.2">
      <c r="A854" t="s">
        <v>2870</v>
      </c>
      <c r="B854" s="169">
        <v>9003476100</v>
      </c>
      <c r="C854" t="s">
        <v>944</v>
      </c>
      <c r="D854" s="170">
        <f>[1]!Table3[[#This Row],[Residential CLM $ Collected]]+[1]!Table3[[#This Row],[C&amp;I CLM $ Collected]]</f>
        <v>202207.63943099999</v>
      </c>
      <c r="E854" s="28">
        <f>[1]!Table3[[#This Row],[CLM $ Collected ]]/'[1]1.) CLM Reference'!$B$4</f>
        <v>2.176840514889897E-3</v>
      </c>
      <c r="F854" s="170">
        <f>[1]!Table3[[#This Row],[Residential Incentive Disbursements]]+[1]!Table3[[#This Row],[C&amp;I Incentive Disbursements]]</f>
        <v>300592.18</v>
      </c>
      <c r="G854" s="28">
        <f>[1]!Table3[[#This Row],[Incentive Disbursements]]/'[1]1.) CLM Reference'!$B$5</f>
        <v>2.4134971017598043E-3</v>
      </c>
      <c r="H854" s="228">
        <v>100669.664781</v>
      </c>
      <c r="I854" s="28">
        <f>[1]!Table3[[#This Row],[Residential CLM $ Collected]]/'[1]1.) CLM Reference'!$B$4</f>
        <v>1.0837464179509592E-3</v>
      </c>
      <c r="J854" s="229">
        <v>183148.27</v>
      </c>
      <c r="K854" s="28">
        <f>[1]!Table3[[#This Row],[Residential Incentive Disbursements]]/'[1]1.) CLM Reference'!$B$5</f>
        <v>1.4705233477375296E-3</v>
      </c>
      <c r="L854" s="229">
        <v>101537.97465</v>
      </c>
      <c r="M854" s="28">
        <f>[1]!Table3[[#This Row],[C&amp;I CLM $ Collected]]/'[1]1.) CLM Reference'!$B$4</f>
        <v>1.093094096938938E-3</v>
      </c>
      <c r="N854" s="229">
        <v>117443.91</v>
      </c>
      <c r="O854" s="171">
        <f>[1]!Table3[[#This Row],[C&amp;I Incentive Disbursements]]/'[1]1.) CLM Reference'!$B$5</f>
        <v>9.4297375402227458E-4</v>
      </c>
      <c r="Q854">
        <f>VLOOKUP(Table3[[#This Row],[Census Tract]],'Population and Diversity Data'!$B$2:$K$823,10,FALSE)</f>
        <v>2</v>
      </c>
      <c r="R854" t="str">
        <f>VLOOKUP(Table3[[#This Row],[Census Tract]],'ES Energy Burden'!$B$2:$E$914,4,FALSE)</f>
        <v>No</v>
      </c>
    </row>
    <row r="855" spans="1:18" x14ac:dyDescent="0.2">
      <c r="A855" t="s">
        <v>2870</v>
      </c>
      <c r="B855" s="169">
        <v>9003476200</v>
      </c>
      <c r="C855" t="s">
        <v>944</v>
      </c>
      <c r="D855" s="170">
        <f>[1]!Table3[[#This Row],[Residential CLM $ Collected]]+[1]!Table3[[#This Row],[C&amp;I CLM $ Collected]]</f>
        <v>24917.057130000001</v>
      </c>
      <c r="E855" s="28">
        <f>[1]!Table3[[#This Row],[CLM $ Collected ]]/'[1]1.) CLM Reference'!$B$4</f>
        <v>2.6824139594843963E-4</v>
      </c>
      <c r="F855" s="170">
        <f>[1]!Table3[[#This Row],[Residential Incentive Disbursements]]+[1]!Table3[[#This Row],[C&amp;I Incentive Disbursements]]</f>
        <v>12391.18</v>
      </c>
      <c r="G855" s="28">
        <f>[1]!Table3[[#This Row],[Incentive Disbursements]]/'[1]1.) CLM Reference'!$B$5</f>
        <v>9.9490535706497918E-5</v>
      </c>
      <c r="H855" s="228">
        <v>24917.057130000001</v>
      </c>
      <c r="I855" s="28">
        <f>[1]!Table3[[#This Row],[Residential CLM $ Collected]]/'[1]1.) CLM Reference'!$B$4</f>
        <v>2.6824139594843963E-4</v>
      </c>
      <c r="J855" s="229">
        <v>12391.18</v>
      </c>
      <c r="K855" s="28">
        <f>[1]!Table3[[#This Row],[Residential Incentive Disbursements]]/'[1]1.) CLM Reference'!$B$5</f>
        <v>9.9490535706497918E-5</v>
      </c>
      <c r="L855" s="229">
        <v>0</v>
      </c>
      <c r="M855" s="28">
        <f>[1]!Table3[[#This Row],[C&amp;I CLM $ Collected]]/'[1]1.) CLM Reference'!$B$4</f>
        <v>0</v>
      </c>
      <c r="N855" s="229">
        <v>0</v>
      </c>
      <c r="O855" s="171">
        <f>[1]!Table3[[#This Row],[C&amp;I Incentive Disbursements]]/'[1]1.) CLM Reference'!$B$5</f>
        <v>0</v>
      </c>
      <c r="Q855">
        <f>VLOOKUP(Table3[[#This Row],[Census Tract]],'Population and Diversity Data'!$B$2:$K$823,10,FALSE)</f>
        <v>2</v>
      </c>
      <c r="R855" t="str">
        <f>VLOOKUP(Table3[[#This Row],[Census Tract]],'ES Energy Burden'!$B$2:$E$914,4,FALSE)</f>
        <v>No</v>
      </c>
    </row>
    <row r="856" spans="1:18" x14ac:dyDescent="0.2">
      <c r="A856" t="s">
        <v>2870</v>
      </c>
      <c r="B856" s="169">
        <v>9003476300</v>
      </c>
      <c r="C856" t="s">
        <v>944</v>
      </c>
      <c r="D856" s="170">
        <f>[1]!Table3[[#This Row],[Residential CLM $ Collected]]+[1]!Table3[[#This Row],[C&amp;I CLM $ Collected]]</f>
        <v>51116.455110000003</v>
      </c>
      <c r="E856" s="28">
        <f>[1]!Table3[[#This Row],[CLM $ Collected ]]/'[1]1.) CLM Reference'!$B$4</f>
        <v>5.5028766852781828E-4</v>
      </c>
      <c r="F856" s="170">
        <f>[1]!Table3[[#This Row],[Residential Incentive Disbursements]]+[1]!Table3[[#This Row],[C&amp;I Incentive Disbursements]]</f>
        <v>114017.03</v>
      </c>
      <c r="G856" s="28">
        <f>[1]!Table3[[#This Row],[Incentive Disbursements]]/'[1]1.) CLM Reference'!$B$5</f>
        <v>9.154588501146658E-4</v>
      </c>
      <c r="H856" s="228">
        <v>51116.455110000003</v>
      </c>
      <c r="I856" s="28">
        <f>[1]!Table3[[#This Row],[Residential CLM $ Collected]]/'[1]1.) CLM Reference'!$B$4</f>
        <v>5.5028766852781828E-4</v>
      </c>
      <c r="J856" s="229">
        <v>114017.03</v>
      </c>
      <c r="K856" s="28">
        <f>[1]!Table3[[#This Row],[Residential Incentive Disbursements]]/'[1]1.) CLM Reference'!$B$5</f>
        <v>9.154588501146658E-4</v>
      </c>
      <c r="L856" s="229">
        <v>0</v>
      </c>
      <c r="M856" s="28">
        <f>[1]!Table3[[#This Row],[C&amp;I CLM $ Collected]]/'[1]1.) CLM Reference'!$B$4</f>
        <v>0</v>
      </c>
      <c r="N856" s="229">
        <v>0</v>
      </c>
      <c r="O856" s="171">
        <f>[1]!Table3[[#This Row],[C&amp;I Incentive Disbursements]]/'[1]1.) CLM Reference'!$B$5</f>
        <v>0</v>
      </c>
      <c r="Q856">
        <f>VLOOKUP(Table3[[#This Row],[Census Tract]],'Population and Diversity Data'!$B$2:$K$823,10,FALSE)</f>
        <v>4</v>
      </c>
      <c r="R856" t="str">
        <f>VLOOKUP(Table3[[#This Row],[Census Tract]],'ES Energy Burden'!$B$2:$E$914,4,FALSE)</f>
        <v>No</v>
      </c>
    </row>
    <row r="857" spans="1:18" x14ac:dyDescent="0.2">
      <c r="A857" t="s">
        <v>2871</v>
      </c>
      <c r="B857" s="169">
        <v>9009352600</v>
      </c>
      <c r="C857" t="s">
        <v>944</v>
      </c>
      <c r="D857" s="170">
        <f>[1]!Table3[[#This Row],[Residential CLM $ Collected]]+[1]!Table3[[#This Row],[C&amp;I CLM $ Collected]]</f>
        <v>45.28125</v>
      </c>
      <c r="E857" s="28">
        <f>[1]!Table3[[#This Row],[CLM $ Collected ]]/'[1]1.) CLM Reference'!$B$4</f>
        <v>4.874695132302039E-7</v>
      </c>
      <c r="F857" s="170">
        <f>[1]!Table3[[#This Row],[Residential Incentive Disbursements]]+[1]!Table3[[#This Row],[C&amp;I Incentive Disbursements]]</f>
        <v>0</v>
      </c>
      <c r="G857" s="28">
        <f>[1]!Table3[[#This Row],[Incentive Disbursements]]/'[1]1.) CLM Reference'!$B$5</f>
        <v>0</v>
      </c>
      <c r="H857" s="228">
        <v>45.28125</v>
      </c>
      <c r="I857" s="28">
        <f>[1]!Table3[[#This Row],[Residential CLM $ Collected]]/'[1]1.) CLM Reference'!$B$4</f>
        <v>4.874695132302039E-7</v>
      </c>
      <c r="J857" s="229">
        <v>0</v>
      </c>
      <c r="K857" s="28">
        <f>[1]!Table3[[#This Row],[Residential Incentive Disbursements]]/'[1]1.) CLM Reference'!$B$5</f>
        <v>0</v>
      </c>
      <c r="L857" s="229">
        <v>0</v>
      </c>
      <c r="M857" s="28">
        <f>[1]!Table3[[#This Row],[C&amp;I CLM $ Collected]]/'[1]1.) CLM Reference'!$B$4</f>
        <v>0</v>
      </c>
      <c r="N857" s="229">
        <v>0</v>
      </c>
      <c r="O857" s="171">
        <f>[1]!Table3[[#This Row],[C&amp;I Incentive Disbursements]]/'[1]1.) CLM Reference'!$B$5</f>
        <v>0</v>
      </c>
      <c r="Q857">
        <f>VLOOKUP(Table3[[#This Row],[Census Tract]],'Population and Diversity Data'!$B$2:$K$823,10,FALSE)</f>
        <v>3</v>
      </c>
      <c r="R857" t="str">
        <f>VLOOKUP(Table3[[#This Row],[Census Tract]],'ES Energy Burden'!$B$2:$E$914,4,FALSE)</f>
        <v>Yes</v>
      </c>
    </row>
    <row r="858" spans="1:18" x14ac:dyDescent="0.2">
      <c r="A858" t="s">
        <v>2871</v>
      </c>
      <c r="B858" s="169">
        <v>9009352701</v>
      </c>
      <c r="C858" t="s">
        <v>944</v>
      </c>
      <c r="D858" s="170">
        <f>[1]!Table3[[#This Row],[Residential CLM $ Collected]]+[1]!Table3[[#This Row],[C&amp;I CLM $ Collected]]</f>
        <v>83.583150000000003</v>
      </c>
      <c r="E858" s="28">
        <f>[1]!Table3[[#This Row],[CLM $ Collected ]]/'[1]1.) CLM Reference'!$B$4</f>
        <v>8.9980372548785901E-7</v>
      </c>
      <c r="F858" s="170">
        <f>[1]!Table3[[#This Row],[Residential Incentive Disbursements]]+[1]!Table3[[#This Row],[C&amp;I Incentive Disbursements]]</f>
        <v>0</v>
      </c>
      <c r="G858" s="28">
        <f>[1]!Table3[[#This Row],[Incentive Disbursements]]/'[1]1.) CLM Reference'!$B$5</f>
        <v>0</v>
      </c>
      <c r="H858" s="228">
        <v>83.583150000000003</v>
      </c>
      <c r="I858" s="28">
        <f>[1]!Table3[[#This Row],[Residential CLM $ Collected]]/'[1]1.) CLM Reference'!$B$4</f>
        <v>8.9980372548785901E-7</v>
      </c>
      <c r="J858" s="229">
        <v>0</v>
      </c>
      <c r="K858" s="28">
        <f>[1]!Table3[[#This Row],[Residential Incentive Disbursements]]/'[1]1.) CLM Reference'!$B$5</f>
        <v>0</v>
      </c>
      <c r="L858" s="229">
        <v>0</v>
      </c>
      <c r="M858" s="28">
        <f>[1]!Table3[[#This Row],[C&amp;I CLM $ Collected]]/'[1]1.) CLM Reference'!$B$4</f>
        <v>0</v>
      </c>
      <c r="N858" s="229">
        <v>0</v>
      </c>
      <c r="O858" s="171">
        <f>[1]!Table3[[#This Row],[C&amp;I Incentive Disbursements]]/'[1]1.) CLM Reference'!$B$5</f>
        <v>0</v>
      </c>
      <c r="Q858">
        <f>VLOOKUP(Table3[[#This Row],[Census Tract]],'Population and Diversity Data'!$B$2:$K$823,10,FALSE)</f>
        <v>4</v>
      </c>
      <c r="R858" t="str">
        <f>VLOOKUP(Table3[[#This Row],[Census Tract]],'ES Energy Burden'!$B$2:$E$914,4,FALSE)</f>
        <v>Yes</v>
      </c>
    </row>
    <row r="859" spans="1:18" x14ac:dyDescent="0.2">
      <c r="A859" t="s">
        <v>2871</v>
      </c>
      <c r="B859" s="169">
        <v>9009361100</v>
      </c>
      <c r="C859" t="s">
        <v>944</v>
      </c>
      <c r="D859" s="170">
        <f>[1]!Table3[[#This Row],[Residential CLM $ Collected]]+[1]!Table3[[#This Row],[C&amp;I CLM $ Collected]]</f>
        <v>83789.394864000002</v>
      </c>
      <c r="E859" s="28">
        <f>[1]!Table3[[#This Row],[CLM $ Collected ]]/'[1]1.) CLM Reference'!$B$4</f>
        <v>9.0202402822818332E-4</v>
      </c>
      <c r="F859" s="170">
        <f>[1]!Table3[[#This Row],[Residential Incentive Disbursements]]+[1]!Table3[[#This Row],[C&amp;I Incentive Disbursements]]</f>
        <v>159721.81</v>
      </c>
      <c r="G859" s="28">
        <f>[1]!Table3[[#This Row],[Incentive Disbursements]]/'[1]1.) CLM Reference'!$B$5</f>
        <v>1.2824289890802552E-3</v>
      </c>
      <c r="H859" s="228">
        <v>83789.394864000002</v>
      </c>
      <c r="I859" s="28">
        <f>[1]!Table3[[#This Row],[Residential CLM $ Collected]]/'[1]1.) CLM Reference'!$B$4</f>
        <v>9.0202402822818332E-4</v>
      </c>
      <c r="J859" s="229">
        <v>159721.81</v>
      </c>
      <c r="K859" s="28">
        <f>[1]!Table3[[#This Row],[Residential Incentive Disbursements]]/'[1]1.) CLM Reference'!$B$5</f>
        <v>1.2824289890802552E-3</v>
      </c>
      <c r="L859" s="229">
        <v>0</v>
      </c>
      <c r="M859" s="28">
        <f>[1]!Table3[[#This Row],[C&amp;I CLM $ Collected]]/'[1]1.) CLM Reference'!$B$4</f>
        <v>0</v>
      </c>
      <c r="N859" s="229">
        <v>0</v>
      </c>
      <c r="O859" s="171">
        <f>[1]!Table3[[#This Row],[C&amp;I Incentive Disbursements]]/'[1]1.) CLM Reference'!$B$5</f>
        <v>0</v>
      </c>
      <c r="Q859">
        <f>VLOOKUP(Table3[[#This Row],[Census Tract]],'Population and Diversity Data'!$B$2:$K$823,10,FALSE)</f>
        <v>2</v>
      </c>
      <c r="R859" t="str">
        <f>VLOOKUP(Table3[[#This Row],[Census Tract]],'ES Energy Burden'!$B$2:$E$914,4,FALSE)</f>
        <v>No</v>
      </c>
    </row>
    <row r="860" spans="1:18" x14ac:dyDescent="0.2">
      <c r="A860" t="s">
        <v>2871</v>
      </c>
      <c r="B860" s="169">
        <v>9009361200</v>
      </c>
      <c r="C860" t="s">
        <v>944</v>
      </c>
      <c r="D860" s="170">
        <f>[1]!Table3[[#This Row],[Residential CLM $ Collected]]+[1]!Table3[[#This Row],[C&amp;I CLM $ Collected]]</f>
        <v>208704.33670800002</v>
      </c>
      <c r="E860" s="28">
        <f>[1]!Table3[[#This Row],[CLM $ Collected ]]/'[1]1.) CLM Reference'!$B$4</f>
        <v>2.246779879620844E-3</v>
      </c>
      <c r="F860" s="170">
        <f>[1]!Table3[[#This Row],[Residential Incentive Disbursements]]+[1]!Table3[[#This Row],[C&amp;I Incentive Disbursements]]</f>
        <v>356149.29250000004</v>
      </c>
      <c r="G860" s="28">
        <f>[1]!Table3[[#This Row],[Incentive Disbursements]]/'[1]1.) CLM Reference'!$B$5</f>
        <v>2.8595730109896899E-3</v>
      </c>
      <c r="H860" s="228">
        <v>151534.98114300001</v>
      </c>
      <c r="I860" s="28">
        <f>[1]!Table3[[#This Row],[Residential CLM $ Collected]]/'[1]1.) CLM Reference'!$B$4</f>
        <v>1.6313304843644189E-3</v>
      </c>
      <c r="J860" s="229">
        <v>326662.40250000003</v>
      </c>
      <c r="K860" s="28">
        <f>[1]!Table3[[#This Row],[Residential Incentive Disbursements]]/'[1]1.) CLM Reference'!$B$5</f>
        <v>2.6228186032239585E-3</v>
      </c>
      <c r="L860" s="229">
        <v>57169.355564999998</v>
      </c>
      <c r="M860" s="28">
        <f>[1]!Table3[[#This Row],[C&amp;I CLM $ Collected]]/'[1]1.) CLM Reference'!$B$4</f>
        <v>6.1544939525642504E-4</v>
      </c>
      <c r="N860" s="229">
        <v>29486.89</v>
      </c>
      <c r="O860" s="171">
        <f>[1]!Table3[[#This Row],[C&amp;I Incentive Disbursements]]/'[1]1.) CLM Reference'!$B$5</f>
        <v>2.3675440776573146E-4</v>
      </c>
      <c r="Q860">
        <f>VLOOKUP(Table3[[#This Row],[Census Tract]],'Population and Diversity Data'!$B$2:$K$823,10,FALSE)</f>
        <v>2</v>
      </c>
      <c r="R860" t="str">
        <f>VLOOKUP(Table3[[#This Row],[Census Tract]],'ES Energy Burden'!$B$2:$E$914,4,FALSE)</f>
        <v>No</v>
      </c>
    </row>
    <row r="861" spans="1:18" x14ac:dyDescent="0.2">
      <c r="A861" t="s">
        <v>2871</v>
      </c>
      <c r="B861" s="169">
        <v>9009361300</v>
      </c>
      <c r="C861" t="s">
        <v>944</v>
      </c>
      <c r="D861" s="170">
        <f>[1]!Table3[[#This Row],[Residential CLM $ Collected]]+[1]!Table3[[#This Row],[C&amp;I CLM $ Collected]]</f>
        <v>50841.12096</v>
      </c>
      <c r="E861" s="28">
        <f>[1]!Table3[[#This Row],[CLM $ Collected ]]/'[1]1.) CLM Reference'!$B$4</f>
        <v>5.4732359390363813E-4</v>
      </c>
      <c r="F861" s="170">
        <f>[1]!Table3[[#This Row],[Residential Incentive Disbursements]]+[1]!Table3[[#This Row],[C&amp;I Incentive Disbursements]]</f>
        <v>60562.62</v>
      </c>
      <c r="G861" s="28">
        <f>[1]!Table3[[#This Row],[Incentive Disbursements]]/'[1]1.) CLM Reference'!$B$5</f>
        <v>4.8626583647312568E-4</v>
      </c>
      <c r="H861" s="228">
        <v>50841.12096</v>
      </c>
      <c r="I861" s="28">
        <f>[1]!Table3[[#This Row],[Residential CLM $ Collected]]/'[1]1.) CLM Reference'!$B$4</f>
        <v>5.4732359390363813E-4</v>
      </c>
      <c r="J861" s="229">
        <v>60562.62</v>
      </c>
      <c r="K861" s="28">
        <f>[1]!Table3[[#This Row],[Residential Incentive Disbursements]]/'[1]1.) CLM Reference'!$B$5</f>
        <v>4.8626583647312568E-4</v>
      </c>
      <c r="L861" s="229">
        <v>0</v>
      </c>
      <c r="M861" s="28">
        <f>[1]!Table3[[#This Row],[C&amp;I CLM $ Collected]]/'[1]1.) CLM Reference'!$B$4</f>
        <v>0</v>
      </c>
      <c r="N861" s="229">
        <v>0</v>
      </c>
      <c r="O861" s="171">
        <f>[1]!Table3[[#This Row],[C&amp;I Incentive Disbursements]]/'[1]1.) CLM Reference'!$B$5</f>
        <v>0</v>
      </c>
      <c r="Q861">
        <f>VLOOKUP(Table3[[#This Row],[Census Tract]],'Population and Diversity Data'!$B$2:$K$823,10,FALSE)</f>
        <v>1</v>
      </c>
      <c r="R861" t="str">
        <f>VLOOKUP(Table3[[#This Row],[Census Tract]],'ES Energy Burden'!$B$2:$E$914,4,FALSE)</f>
        <v>No</v>
      </c>
    </row>
    <row r="862" spans="1:18" x14ac:dyDescent="0.2">
      <c r="A862" t="s">
        <v>2872</v>
      </c>
      <c r="B862" s="169">
        <v>9005362101</v>
      </c>
      <c r="C862" t="s">
        <v>944</v>
      </c>
      <c r="D862" s="170">
        <f>[1]!Table3[[#This Row],[Residential CLM $ Collected]]+[1]!Table3[[#This Row],[C&amp;I CLM $ Collected]]</f>
        <v>181420.263213</v>
      </c>
      <c r="E862" s="28">
        <f>[1]!Table3[[#This Row],[CLM $ Collected ]]/'[1]1.) CLM Reference'!$B$4</f>
        <v>1.9530566713272398E-3</v>
      </c>
      <c r="F862" s="170">
        <f>[1]!Table3[[#This Row],[Residential Incentive Disbursements]]+[1]!Table3[[#This Row],[C&amp;I Incentive Disbursements]]</f>
        <v>354615.005</v>
      </c>
      <c r="G862" s="28">
        <f>[1]!Table3[[#This Row],[Incentive Disbursements]]/'[1]1.) CLM Reference'!$B$5</f>
        <v>2.8472539997814929E-3</v>
      </c>
      <c r="H862" s="228">
        <v>138746.17959300001</v>
      </c>
      <c r="I862" s="28">
        <f>[1]!Table3[[#This Row],[Residential CLM $ Collected]]/'[1]1.) CLM Reference'!$B$4</f>
        <v>1.493654274755007E-3</v>
      </c>
      <c r="J862" s="229">
        <v>330214.005</v>
      </c>
      <c r="K862" s="28">
        <f>[1]!Table3[[#This Row],[Residential Incentive Disbursements]]/'[1]1.) CLM Reference'!$B$5</f>
        <v>2.6513349217135241E-3</v>
      </c>
      <c r="L862" s="229">
        <v>42674.083619999998</v>
      </c>
      <c r="M862" s="28">
        <f>[1]!Table3[[#This Row],[C&amp;I CLM $ Collected]]/'[1]1.) CLM Reference'!$B$4</f>
        <v>4.5940239657223277E-4</v>
      </c>
      <c r="N862" s="229">
        <v>24401</v>
      </c>
      <c r="O862" s="171">
        <f>[1]!Table3[[#This Row],[C&amp;I Incentive Disbursements]]/'[1]1.) CLM Reference'!$B$5</f>
        <v>1.9591907806796897E-4</v>
      </c>
      <c r="Q862">
        <f>VLOOKUP(Table3[[#This Row],[Census Tract]],'Population and Diversity Data'!$B$2:$K$823,10,FALSE)</f>
        <v>2</v>
      </c>
      <c r="R862" t="str">
        <f>VLOOKUP(Table3[[#This Row],[Census Tract]],'ES Energy Burden'!$B$2:$E$914,4,FALSE)</f>
        <v>No</v>
      </c>
    </row>
    <row r="863" spans="1:18" x14ac:dyDescent="0.2">
      <c r="A863" t="s">
        <v>2872</v>
      </c>
      <c r="B863" s="169">
        <v>9005362102</v>
      </c>
      <c r="C863" t="s">
        <v>944</v>
      </c>
      <c r="D863" s="170">
        <f>[1]!Table3[[#This Row],[Residential CLM $ Collected]]+[1]!Table3[[#This Row],[C&amp;I CLM $ Collected]]</f>
        <v>85384.974738000004</v>
      </c>
      <c r="E863" s="28">
        <f>[1]!Table3[[#This Row],[CLM $ Collected ]]/'[1]1.) CLM Reference'!$B$4</f>
        <v>9.1920103956286798E-4</v>
      </c>
      <c r="F863" s="170">
        <f>[1]!Table3[[#This Row],[Residential Incentive Disbursements]]+[1]!Table3[[#This Row],[C&amp;I Incentive Disbursements]]</f>
        <v>104272.47</v>
      </c>
      <c r="G863" s="28">
        <f>[1]!Table3[[#This Row],[Incentive Disbursements]]/'[1]1.) CLM Reference'!$B$5</f>
        <v>8.372184004864536E-4</v>
      </c>
      <c r="H863" s="228">
        <v>85384.974738000004</v>
      </c>
      <c r="I863" s="28">
        <f>[1]!Table3[[#This Row],[Residential CLM $ Collected]]/'[1]1.) CLM Reference'!$B$4</f>
        <v>9.1920103956286798E-4</v>
      </c>
      <c r="J863" s="229">
        <v>104272.47</v>
      </c>
      <c r="K863" s="28">
        <f>[1]!Table3[[#This Row],[Residential Incentive Disbursements]]/'[1]1.) CLM Reference'!$B$5</f>
        <v>8.372184004864536E-4</v>
      </c>
      <c r="L863" s="229">
        <v>0</v>
      </c>
      <c r="M863" s="28">
        <f>[1]!Table3[[#This Row],[C&amp;I CLM $ Collected]]/'[1]1.) CLM Reference'!$B$4</f>
        <v>0</v>
      </c>
      <c r="N863" s="229">
        <v>0</v>
      </c>
      <c r="O863" s="171">
        <f>[1]!Table3[[#This Row],[C&amp;I Incentive Disbursements]]/'[1]1.) CLM Reference'!$B$5</f>
        <v>0</v>
      </c>
      <c r="Q863">
        <f>VLOOKUP(Table3[[#This Row],[Census Tract]],'Population and Diversity Data'!$B$2:$K$823,10,FALSE)</f>
        <v>1</v>
      </c>
      <c r="R863" t="str">
        <f>VLOOKUP(Table3[[#This Row],[Census Tract]],'ES Energy Burden'!$B$2:$E$914,4,FALSE)</f>
        <v>No</v>
      </c>
    </row>
    <row r="864" spans="1:18" x14ac:dyDescent="0.2">
      <c r="A864" t="s">
        <v>2873</v>
      </c>
      <c r="B864" s="169">
        <v>9015900200</v>
      </c>
      <c r="C864" t="s">
        <v>944</v>
      </c>
      <c r="D864" s="170">
        <f>[1]!Table3[[#This Row],[Residential CLM $ Collected]]+[1]!Table3[[#This Row],[C&amp;I CLM $ Collected]]</f>
        <v>115.41768</v>
      </c>
      <c r="E864" s="28">
        <f>[1]!Table3[[#This Row],[CLM $ Collected ]]/'[1]1.) CLM Reference'!$B$4</f>
        <v>1.2425142920692216E-6</v>
      </c>
      <c r="F864" s="170">
        <f>[1]!Table3[[#This Row],[Residential Incentive Disbursements]]+[1]!Table3[[#This Row],[C&amp;I Incentive Disbursements]]</f>
        <v>8237.125</v>
      </c>
      <c r="G864" s="28">
        <f>[1]!Table3[[#This Row],[Incentive Disbursements]]/'[1]1.) CLM Reference'!$B$5</f>
        <v>6.6137040938101671E-5</v>
      </c>
      <c r="H864" s="228">
        <v>115.41768</v>
      </c>
      <c r="I864" s="28">
        <f>[1]!Table3[[#This Row],[Residential CLM $ Collected]]/'[1]1.) CLM Reference'!$B$4</f>
        <v>1.2425142920692216E-6</v>
      </c>
      <c r="J864" s="229">
        <v>8237.125</v>
      </c>
      <c r="K864" s="28">
        <f>[1]!Table3[[#This Row],[Residential Incentive Disbursements]]/'[1]1.) CLM Reference'!$B$5</f>
        <v>6.6137040938101671E-5</v>
      </c>
      <c r="L864" s="229">
        <v>0</v>
      </c>
      <c r="M864" s="28">
        <f>[1]!Table3[[#This Row],[C&amp;I CLM $ Collected]]/'[1]1.) CLM Reference'!$B$4</f>
        <v>0</v>
      </c>
      <c r="N864" s="229">
        <v>0</v>
      </c>
      <c r="O864" s="171">
        <f>[1]!Table3[[#This Row],[C&amp;I Incentive Disbursements]]/'[1]1.) CLM Reference'!$B$5</f>
        <v>0</v>
      </c>
      <c r="Q864">
        <f>VLOOKUP(Table3[[#This Row],[Census Tract]],'Population and Diversity Data'!$B$2:$K$823,10,FALSE)</f>
        <v>2</v>
      </c>
      <c r="R864" t="str">
        <f>VLOOKUP(Table3[[#This Row],[Census Tract]],'ES Energy Burden'!$B$2:$E$914,4,FALSE)</f>
        <v>No</v>
      </c>
    </row>
    <row r="865" spans="1:18" x14ac:dyDescent="0.2">
      <c r="A865" t="s">
        <v>2873</v>
      </c>
      <c r="B865" s="169">
        <v>9015901100</v>
      </c>
      <c r="C865" t="s">
        <v>944</v>
      </c>
      <c r="D865" s="170">
        <f>[1]!Table3[[#This Row],[Residential CLM $ Collected]]+[1]!Table3[[#This Row],[C&amp;I CLM $ Collected]]</f>
        <v>173914.05584700001</v>
      </c>
      <c r="E865" s="28">
        <f>[1]!Table3[[#This Row],[CLM $ Collected ]]/'[1]1.) CLM Reference'!$B$4</f>
        <v>1.8722495546750055E-3</v>
      </c>
      <c r="F865" s="170">
        <f>[1]!Table3[[#This Row],[Residential Incentive Disbursements]]+[1]!Table3[[#This Row],[C&amp;I Incentive Disbursements]]</f>
        <v>190406.92500000002</v>
      </c>
      <c r="G865" s="28">
        <f>[1]!Table3[[#This Row],[Incentive Disbursements]]/'[1]1.) CLM Reference'!$B$5</f>
        <v>1.5288041147394336E-3</v>
      </c>
      <c r="H865" s="228">
        <v>157071.80865600001</v>
      </c>
      <c r="I865" s="28">
        <f>[1]!Table3[[#This Row],[Residential CLM $ Collected]]/'[1]1.) CLM Reference'!$B$4</f>
        <v>1.6909364937524483E-3</v>
      </c>
      <c r="J865" s="229">
        <v>180564.32500000001</v>
      </c>
      <c r="K865" s="28">
        <f>[1]!Table3[[#This Row],[Residential Incentive Disbursements]]/'[1]1.) CLM Reference'!$B$5</f>
        <v>1.449776488093321E-3</v>
      </c>
      <c r="L865" s="229">
        <v>16842.247191000002</v>
      </c>
      <c r="M865" s="28">
        <f>[1]!Table3[[#This Row],[C&amp;I CLM $ Collected]]/'[1]1.) CLM Reference'!$B$4</f>
        <v>1.8131306092255712E-4</v>
      </c>
      <c r="N865" s="229">
        <v>9842.6</v>
      </c>
      <c r="O865" s="171">
        <f>[1]!Table3[[#This Row],[C&amp;I Incentive Disbursements]]/'[1]1.) CLM Reference'!$B$5</f>
        <v>7.902762664611251E-5</v>
      </c>
      <c r="Q865">
        <f>VLOOKUP(Table3[[#This Row],[Census Tract]],'Population and Diversity Data'!$B$2:$K$823,10,FALSE)</f>
        <v>1</v>
      </c>
      <c r="R865" t="str">
        <f>VLOOKUP(Table3[[#This Row],[Census Tract]],'ES Energy Burden'!$B$2:$E$914,4,FALSE)</f>
        <v>No</v>
      </c>
    </row>
    <row r="866" spans="1:18" x14ac:dyDescent="0.2">
      <c r="A866" t="s">
        <v>2873</v>
      </c>
      <c r="B866" s="169">
        <v>9015902200</v>
      </c>
      <c r="C866" t="s">
        <v>944</v>
      </c>
      <c r="D866" s="170">
        <f>[1]!Table3[[#This Row],[Residential CLM $ Collected]]+[1]!Table3[[#This Row],[C&amp;I CLM $ Collected]]</f>
        <v>634.60887000000002</v>
      </c>
      <c r="E866" s="28">
        <f>[1]!Table3[[#This Row],[CLM $ Collected ]]/'[1]1.) CLM Reference'!$B$4</f>
        <v>6.8318007332056812E-6</v>
      </c>
      <c r="F866" s="170">
        <f>[1]!Table3[[#This Row],[Residential Incentive Disbursements]]+[1]!Table3[[#This Row],[C&amp;I Incentive Disbursements]]</f>
        <v>0</v>
      </c>
      <c r="G866" s="28">
        <f>[1]!Table3[[#This Row],[Incentive Disbursements]]/'[1]1.) CLM Reference'!$B$5</f>
        <v>0</v>
      </c>
      <c r="H866" s="228">
        <v>634.60887000000002</v>
      </c>
      <c r="I866" s="28">
        <f>[1]!Table3[[#This Row],[Residential CLM $ Collected]]/'[1]1.) CLM Reference'!$B$4</f>
        <v>6.8318007332056812E-6</v>
      </c>
      <c r="J866" s="229">
        <v>0</v>
      </c>
      <c r="K866" s="28">
        <f>[1]!Table3[[#This Row],[Residential Incentive Disbursements]]/'[1]1.) CLM Reference'!$B$5</f>
        <v>0</v>
      </c>
      <c r="L866" s="229">
        <v>0</v>
      </c>
      <c r="M866" s="28">
        <f>[1]!Table3[[#This Row],[C&amp;I CLM $ Collected]]/'[1]1.) CLM Reference'!$B$4</f>
        <v>0</v>
      </c>
      <c r="N866" s="229">
        <v>0</v>
      </c>
      <c r="O866" s="171">
        <f>[1]!Table3[[#This Row],[C&amp;I Incentive Disbursements]]/'[1]1.) CLM Reference'!$B$5</f>
        <v>0</v>
      </c>
      <c r="Q866">
        <f>VLOOKUP(Table3[[#This Row],[Census Tract]],'Population and Diversity Data'!$B$2:$K$823,10,FALSE)</f>
        <v>2</v>
      </c>
      <c r="R866" t="str">
        <f>VLOOKUP(Table3[[#This Row],[Census Tract]],'ES Energy Burden'!$B$2:$E$914,4,FALSE)</f>
        <v>No</v>
      </c>
    </row>
    <row r="867" spans="1:18" x14ac:dyDescent="0.2">
      <c r="A867" t="s">
        <v>2873</v>
      </c>
      <c r="B867" s="169">
        <v>9015902500</v>
      </c>
      <c r="C867" t="s">
        <v>944</v>
      </c>
      <c r="D867" s="170">
        <f>[1]!Table3[[#This Row],[Residential CLM $ Collected]]+[1]!Table3[[#This Row],[C&amp;I CLM $ Collected]]</f>
        <v>1455.77649</v>
      </c>
      <c r="E867" s="28">
        <f>[1]!Table3[[#This Row],[CLM $ Collected ]]/'[1]1.) CLM Reference'!$B$4</f>
        <v>1.5671975860919802E-5</v>
      </c>
      <c r="F867" s="170">
        <f>[1]!Table3[[#This Row],[Residential Incentive Disbursements]]+[1]!Table3[[#This Row],[C&amp;I Incentive Disbursements]]</f>
        <v>1514.96</v>
      </c>
      <c r="G867" s="28">
        <f>[1]!Table3[[#This Row],[Incentive Disbursements]]/'[1]1.) CLM Reference'!$B$5</f>
        <v>1.2163827978765226E-5</v>
      </c>
      <c r="H867" s="228">
        <v>1455.77649</v>
      </c>
      <c r="I867" s="28">
        <f>[1]!Table3[[#This Row],[Residential CLM $ Collected]]/'[1]1.) CLM Reference'!$B$4</f>
        <v>1.5671975860919802E-5</v>
      </c>
      <c r="J867" s="229">
        <v>1514.96</v>
      </c>
      <c r="K867" s="28">
        <f>[1]!Table3[[#This Row],[Residential Incentive Disbursements]]/'[1]1.) CLM Reference'!$B$5</f>
        <v>1.2163827978765226E-5</v>
      </c>
      <c r="L867" s="229">
        <v>0</v>
      </c>
      <c r="M867" s="28">
        <f>[1]!Table3[[#This Row],[C&amp;I CLM $ Collected]]/'[1]1.) CLM Reference'!$B$4</f>
        <v>0</v>
      </c>
      <c r="N867" s="229">
        <v>0</v>
      </c>
      <c r="O867" s="171">
        <f>[1]!Table3[[#This Row],[C&amp;I Incentive Disbursements]]/'[1]1.) CLM Reference'!$B$5</f>
        <v>0</v>
      </c>
      <c r="Q867">
        <f>VLOOKUP(Table3[[#This Row],[Census Tract]],'Population and Diversity Data'!$B$2:$K$823,10,FALSE)</f>
        <v>2</v>
      </c>
      <c r="R867" t="str">
        <f>VLOOKUP(Table3[[#This Row],[Census Tract]],'ES Energy Burden'!$B$2:$E$914,4,FALSE)</f>
        <v>No</v>
      </c>
    </row>
    <row r="868" spans="1:18" x14ac:dyDescent="0.2">
      <c r="A868" s="67"/>
      <c r="B868" s="230"/>
      <c r="C868" s="107" t="s">
        <v>2695</v>
      </c>
      <c r="D868" s="29">
        <f>SUBTOTAL(109,[1]!Table3[CLM $ Collected ])</f>
        <v>58471010.013801031</v>
      </c>
      <c r="E868" s="28">
        <f>D868/'[1]1.) CLM Reference'!B4</f>
        <v>0.62946218996838565</v>
      </c>
      <c r="F868" s="29">
        <f>SUBTOTAL(109,[1]!Table3[Incentive Disbursements])</f>
        <v>80858628.885499969</v>
      </c>
      <c r="G868" s="28">
        <f>F868/'[1]1.) CLM Reference'!B5</f>
        <v>0.64922536064453096</v>
      </c>
      <c r="H868" s="108">
        <f>SUBTOTAL(109,[1]!Table3[Residential CLM $ Collected])</f>
        <v>44253449.255484052</v>
      </c>
      <c r="I868" s="28">
        <f>H868/'[1]1.) CLM Reference'!B4</f>
        <v>0.47640485559317242</v>
      </c>
      <c r="J868" s="108">
        <f>SUBTOTAL(109,[1]!Table3[Residential Incentive Disbursements])</f>
        <v>67612952.937499985</v>
      </c>
      <c r="K868" s="28">
        <f>J868/'[1]1.) CLM Reference'!B5</f>
        <v>0.54287395618900747</v>
      </c>
      <c r="L868" s="29">
        <f>SUBTOTAL(109,[1]!Table3[C&amp;I CLM $ Collected])</f>
        <v>14217560.758317005</v>
      </c>
      <c r="M868" s="28">
        <f>L868/'[1]1.) CLM Reference'!B4</f>
        <v>0.15305733437521354</v>
      </c>
      <c r="N868" s="29">
        <f>SUBTOTAL(109,[1]!Table3[C&amp;I Incentive Disbursements])</f>
        <v>13245675.947999999</v>
      </c>
      <c r="O868" s="28">
        <f>N868/'[1]1.) CLM Reference'!B5</f>
        <v>0.10635140445552357</v>
      </c>
      <c r="Q868" t="e">
        <f>VLOOKUP(Table3[[#This Row],[Census Tract]],'Population and Diversity Data'!$B$2:$K$823,10,FALSE)</f>
        <v>#N/A</v>
      </c>
      <c r="R868" t="e">
        <f>VLOOKUP(Table3[[#This Row],[Census Tract]],'ES Energy Burden'!$B$2:$E$914,4,FALSE)</f>
        <v>#N/A</v>
      </c>
    </row>
    <row r="869" spans="1:18" x14ac:dyDescent="0.2">
      <c r="Q869" t="e">
        <f>VLOOKUP(Table3[[#This Row],[Census Tract]],'Population and Diversity Data'!$B$2:$K$823,10,FALSE)</f>
        <v>#N/A</v>
      </c>
      <c r="R869" t="e">
        <f>VLOOKUP(Table3[[#This Row],[Census Tract]],'ES Energy Burden'!$B$2:$E$914,4,FALSE)</f>
        <v>#N/A</v>
      </c>
    </row>
    <row r="870" spans="1:18" x14ac:dyDescent="0.2">
      <c r="A870" s="21" t="s">
        <v>2706</v>
      </c>
      <c r="B870" s="22"/>
      <c r="C870" s="23"/>
      <c r="D870" s="23"/>
      <c r="E870" s="24"/>
      <c r="F870" s="24"/>
      <c r="G870" s="24"/>
      <c r="H870" s="24"/>
      <c r="I870" s="24"/>
      <c r="J870" s="24"/>
      <c r="K870" s="24"/>
      <c r="L870" s="24"/>
      <c r="M870" s="24"/>
      <c r="N870" s="24"/>
      <c r="O870" s="24"/>
      <c r="Q870" t="e">
        <f>VLOOKUP(Table3[[#This Row],[Census Tract]],'Population and Diversity Data'!$B$2:$K$823,10,FALSE)</f>
        <v>#N/A</v>
      </c>
      <c r="R870" t="e">
        <f>VLOOKUP(Table3[[#This Row],[Census Tract]],'ES Energy Burden'!$B$2:$E$914,4,FALSE)</f>
        <v>#N/A</v>
      </c>
    </row>
    <row r="871" spans="1:18" x14ac:dyDescent="0.2">
      <c r="A871" s="21" t="s">
        <v>3878</v>
      </c>
      <c r="B871" s="22"/>
      <c r="C871" s="23"/>
      <c r="D871" s="23"/>
      <c r="E871" s="24"/>
      <c r="F871" s="24"/>
      <c r="G871" s="24"/>
      <c r="H871" s="24"/>
      <c r="I871" s="24"/>
      <c r="J871" s="24"/>
      <c r="K871" s="24"/>
      <c r="L871" s="24"/>
      <c r="M871" s="24"/>
      <c r="N871" s="24"/>
      <c r="O871" s="24"/>
      <c r="Q871" t="e">
        <f>VLOOKUP(Table3[[#This Row],[Census Tract]],'Population and Diversity Data'!$B$2:$K$823,10,FALSE)</f>
        <v>#N/A</v>
      </c>
      <c r="R871" t="e">
        <f>VLOOKUP(Table3[[#This Row],[Census Tract]],'ES Energy Burden'!$B$2:$E$914,4,FALSE)</f>
        <v>#N/A</v>
      </c>
    </row>
    <row r="872" spans="1:18" x14ac:dyDescent="0.2">
      <c r="Q872" t="e">
        <f>VLOOKUP(Table3[[#This Row],[Census Tract]],'Population and Diversity Data'!$B$2:$K$823,10,FALSE)</f>
        <v>#N/A</v>
      </c>
      <c r="R872" t="e">
        <f>VLOOKUP(Table3[[#This Row],[Census Tract]],'ES Energy Burden'!$B$2:$E$914,4,FALSE)</f>
        <v>#N/A</v>
      </c>
    </row>
    <row r="873" spans="1:18" x14ac:dyDescent="0.2">
      <c r="Q873" t="e">
        <f>VLOOKUP(Table3[[#This Row],[Census Tract]],'Population and Diversity Data'!$B$2:$K$823,10,FALSE)</f>
        <v>#N/A</v>
      </c>
      <c r="R873" t="e">
        <f>VLOOKUP(Table3[[#This Row],[Census Tract]],'ES Energy Burden'!$B$2:$E$914,4,FALSE)</f>
        <v>#N/A</v>
      </c>
    </row>
    <row r="874" spans="1:18" x14ac:dyDescent="0.2">
      <c r="Q874" t="e">
        <f>VLOOKUP(Table3[[#This Row],[Census Tract]],'Population and Diversity Data'!$B$2:$K$823,10,FALSE)</f>
        <v>#N/A</v>
      </c>
      <c r="R874" t="e">
        <f>VLOOKUP(Table3[[#This Row],[Census Tract]],'ES Energy Burden'!$B$2:$E$914,4,FALSE)</f>
        <v>#N/A</v>
      </c>
    </row>
    <row r="875" spans="1:18" x14ac:dyDescent="0.2">
      <c r="Q875" t="e">
        <f>VLOOKUP(Table3[[#This Row],[Census Tract]],'Population and Diversity Data'!$B$2:$K$823,10,FALSE)</f>
        <v>#N/A</v>
      </c>
      <c r="R875" t="e">
        <f>VLOOKUP(Table3[[#This Row],[Census Tract]],'ES Energy Burden'!$B$2:$E$914,4,FALSE)</f>
        <v>#N/A</v>
      </c>
    </row>
    <row r="876" spans="1:18" x14ac:dyDescent="0.2">
      <c r="Q876" t="e">
        <f>VLOOKUP(Table3[[#This Row],[Census Tract]],'Population and Diversity Data'!$B$2:$K$823,10,FALSE)</f>
        <v>#N/A</v>
      </c>
      <c r="R876" t="e">
        <f>VLOOKUP(Table3[[#This Row],[Census Tract]],'ES Energy Burden'!$B$2:$E$914,4,FALSE)</f>
        <v>#N/A</v>
      </c>
    </row>
    <row r="877" spans="1:18" x14ac:dyDescent="0.2">
      <c r="Q877" t="e">
        <f>VLOOKUP(Table3[[#This Row],[Census Tract]],'Population and Diversity Data'!$B$2:$K$823,10,FALSE)</f>
        <v>#N/A</v>
      </c>
      <c r="R877" t="e">
        <f>VLOOKUP(Table3[[#This Row],[Census Tract]],'ES Energy Burden'!$B$2:$E$914,4,FALSE)</f>
        <v>#N/A</v>
      </c>
    </row>
    <row r="878" spans="1:18" x14ac:dyDescent="0.2">
      <c r="Q878" t="e">
        <f>VLOOKUP(Table3[[#This Row],[Census Tract]],'Population and Diversity Data'!$B$2:$K$823,10,FALSE)</f>
        <v>#N/A</v>
      </c>
      <c r="R878" t="e">
        <f>VLOOKUP(Table3[[#This Row],[Census Tract]],'ES Energy Burden'!$B$2:$E$914,4,FALSE)</f>
        <v>#N/A</v>
      </c>
    </row>
    <row r="879" spans="1:18" x14ac:dyDescent="0.2">
      <c r="Q879" t="e">
        <f>VLOOKUP(Table3[[#This Row],[Census Tract]],'Population and Diversity Data'!$B$2:$K$823,10,FALSE)</f>
        <v>#N/A</v>
      </c>
      <c r="R879" t="e">
        <f>VLOOKUP(Table3[[#This Row],[Census Tract]],'ES Energy Burden'!$B$2:$E$914,4,FALSE)</f>
        <v>#N/A</v>
      </c>
    </row>
    <row r="880" spans="1:18" x14ac:dyDescent="0.2">
      <c r="Q880" t="e">
        <f>VLOOKUP(Table3[[#This Row],[Census Tract]],'Population and Diversity Data'!$B$2:$K$823,10,FALSE)</f>
        <v>#N/A</v>
      </c>
      <c r="R880" t="e">
        <f>VLOOKUP(Table3[[#This Row],[Census Tract]],'ES Energy Burden'!$B$2:$E$914,4,FALSE)</f>
        <v>#N/A</v>
      </c>
    </row>
    <row r="881" spans="17:18" x14ac:dyDescent="0.2">
      <c r="Q881" t="e">
        <f>VLOOKUP(Table3[[#This Row],[Census Tract]],'Population and Diversity Data'!$B$2:$K$823,10,FALSE)</f>
        <v>#N/A</v>
      </c>
      <c r="R881" t="e">
        <f>VLOOKUP(Table3[[#This Row],[Census Tract]],'ES Energy Burden'!$B$2:$E$914,4,FALSE)</f>
        <v>#N/A</v>
      </c>
    </row>
    <row r="882" spans="17:18" x14ac:dyDescent="0.2">
      <c r="Q882" t="e">
        <f>VLOOKUP(Table3[[#This Row],[Census Tract]],'Population and Diversity Data'!$B$2:$K$823,10,FALSE)</f>
        <v>#N/A</v>
      </c>
      <c r="R882" t="e">
        <f>VLOOKUP(Table3[[#This Row],[Census Tract]],'ES Energy Burden'!$B$2:$E$914,4,FALSE)</f>
        <v>#N/A</v>
      </c>
    </row>
    <row r="883" spans="17:18" x14ac:dyDescent="0.2">
      <c r="Q883" t="e">
        <f>VLOOKUP(Table3[[#This Row],[Census Tract]],'Population and Diversity Data'!$B$2:$K$823,10,FALSE)</f>
        <v>#N/A</v>
      </c>
      <c r="R883" t="e">
        <f>VLOOKUP(Table3[[#This Row],[Census Tract]],'ES Energy Burden'!$B$2:$E$914,4,FALSE)</f>
        <v>#N/A</v>
      </c>
    </row>
    <row r="884" spans="17:18" x14ac:dyDescent="0.2">
      <c r="Q884" t="e">
        <f>VLOOKUP(Table3[[#This Row],[Census Tract]],'Population and Diversity Data'!$B$2:$K$823,10,FALSE)</f>
        <v>#N/A</v>
      </c>
      <c r="R884" t="e">
        <f>VLOOKUP(Table3[[#This Row],[Census Tract]],'ES Energy Burden'!$B$2:$E$914,4,FALSE)</f>
        <v>#N/A</v>
      </c>
    </row>
    <row r="885" spans="17:18" x14ac:dyDescent="0.2">
      <c r="Q885" t="e">
        <f>VLOOKUP(Table3[[#This Row],[Census Tract]],'Population and Diversity Data'!$B$2:$K$823,10,FALSE)</f>
        <v>#N/A</v>
      </c>
      <c r="R885" t="e">
        <f>VLOOKUP(Table3[[#This Row],[Census Tract]],'ES Energy Burden'!$B$2:$E$914,4,FALSE)</f>
        <v>#N/A</v>
      </c>
    </row>
    <row r="886" spans="17:18" x14ac:dyDescent="0.2">
      <c r="Q886" t="e">
        <f>VLOOKUP(Table3[[#This Row],[Census Tract]],'Population and Diversity Data'!$B$2:$K$823,10,FALSE)</f>
        <v>#N/A</v>
      </c>
      <c r="R886" t="e">
        <f>VLOOKUP(Table3[[#This Row],[Census Tract]],'ES Energy Burden'!$B$2:$E$914,4,FALSE)</f>
        <v>#N/A</v>
      </c>
    </row>
    <row r="887" spans="17:18" x14ac:dyDescent="0.2">
      <c r="Q887" t="e">
        <f>VLOOKUP(Table3[[#This Row],[Census Tract]],'Population and Diversity Data'!$B$2:$K$823,10,FALSE)</f>
        <v>#N/A</v>
      </c>
      <c r="R887" t="e">
        <f>VLOOKUP(Table3[[#This Row],[Census Tract]],'ES Energy Burden'!$B$2:$E$914,4,FALSE)</f>
        <v>#N/A</v>
      </c>
    </row>
    <row r="888" spans="17:18" x14ac:dyDescent="0.2">
      <c r="Q888" t="e">
        <f>VLOOKUP(Table3[[#This Row],[Census Tract]],'Population and Diversity Data'!$B$2:$K$823,10,FALSE)</f>
        <v>#N/A</v>
      </c>
      <c r="R888" t="e">
        <f>VLOOKUP(Table3[[#This Row],[Census Tract]],'ES Energy Burden'!$B$2:$E$914,4,FALSE)</f>
        <v>#N/A</v>
      </c>
    </row>
    <row r="889" spans="17:18" x14ac:dyDescent="0.2">
      <c r="Q889" t="e">
        <f>VLOOKUP(Table3[[#This Row],[Census Tract]],'Population and Diversity Data'!$B$2:$K$823,10,FALSE)</f>
        <v>#N/A</v>
      </c>
      <c r="R889" t="e">
        <f>VLOOKUP(Table3[[#This Row],[Census Tract]],'ES Energy Burden'!$B$2:$E$914,4,FALSE)</f>
        <v>#N/A</v>
      </c>
    </row>
    <row r="890" spans="17:18" x14ac:dyDescent="0.2">
      <c r="Q890" t="e">
        <f>VLOOKUP(Table3[[#This Row],[Census Tract]],'Population and Diversity Data'!$B$2:$K$823,10,FALSE)</f>
        <v>#N/A</v>
      </c>
      <c r="R890" t="e">
        <f>VLOOKUP(Table3[[#This Row],[Census Tract]],'ES Energy Burden'!$B$2:$E$914,4,FALSE)</f>
        <v>#N/A</v>
      </c>
    </row>
    <row r="891" spans="17:18" x14ac:dyDescent="0.2">
      <c r="Q891" t="e">
        <f>VLOOKUP(Table3[[#This Row],[Census Tract]],'Population and Diversity Data'!$B$2:$K$823,10,FALSE)</f>
        <v>#N/A</v>
      </c>
      <c r="R891" t="e">
        <f>VLOOKUP(Table3[[#This Row],[Census Tract]],'ES Energy Burden'!$B$2:$E$914,4,FALSE)</f>
        <v>#N/A</v>
      </c>
    </row>
    <row r="892" spans="17:18" x14ac:dyDescent="0.2">
      <c r="Q892" t="e">
        <f>VLOOKUP(Table3[[#This Row],[Census Tract]],'Population and Diversity Data'!$B$2:$K$823,10,FALSE)</f>
        <v>#N/A</v>
      </c>
      <c r="R892" t="e">
        <f>VLOOKUP(Table3[[#This Row],[Census Tract]],'ES Energy Burden'!$B$2:$E$914,4,FALSE)</f>
        <v>#N/A</v>
      </c>
    </row>
    <row r="893" spans="17:18" x14ac:dyDescent="0.2">
      <c r="Q893" t="e">
        <f>VLOOKUP(Table3[[#This Row],[Census Tract]],'Population and Diversity Data'!$B$2:$K$823,10,FALSE)</f>
        <v>#N/A</v>
      </c>
      <c r="R893" t="e">
        <f>VLOOKUP(Table3[[#This Row],[Census Tract]],'ES Energy Burden'!$B$2:$E$914,4,FALSE)</f>
        <v>#N/A</v>
      </c>
    </row>
    <row r="894" spans="17:18" x14ac:dyDescent="0.2">
      <c r="Q894" t="e">
        <f>VLOOKUP(Table3[[#This Row],[Census Tract]],'Population and Diversity Data'!$B$2:$K$823,10,FALSE)</f>
        <v>#N/A</v>
      </c>
      <c r="R894" t="e">
        <f>VLOOKUP(Table3[[#This Row],[Census Tract]],'ES Energy Burden'!$B$2:$E$914,4,FALSE)</f>
        <v>#N/A</v>
      </c>
    </row>
    <row r="895" spans="17:18" x14ac:dyDescent="0.2">
      <c r="Q895" t="e">
        <f>VLOOKUP(Table3[[#This Row],[Census Tract]],'Population and Diversity Data'!$B$2:$K$823,10,FALSE)</f>
        <v>#N/A</v>
      </c>
      <c r="R895" t="e">
        <f>VLOOKUP(Table3[[#This Row],[Census Tract]],'ES Energy Burden'!$B$2:$E$914,4,FALSE)</f>
        <v>#N/A</v>
      </c>
    </row>
    <row r="896" spans="17:18" x14ac:dyDescent="0.2">
      <c r="Q896" t="e">
        <f>VLOOKUP(Table3[[#This Row],[Census Tract]],'Population and Diversity Data'!$B$2:$K$823,10,FALSE)</f>
        <v>#N/A</v>
      </c>
      <c r="R896" t="e">
        <f>VLOOKUP(Table3[[#This Row],[Census Tract]],'ES Energy Burden'!$B$2:$E$914,4,FALSE)</f>
        <v>#N/A</v>
      </c>
    </row>
    <row r="897" spans="17:18" x14ac:dyDescent="0.2">
      <c r="Q897" t="e">
        <f>VLOOKUP(Table3[[#This Row],[Census Tract]],'Population and Diversity Data'!$B$2:$K$823,10,FALSE)</f>
        <v>#N/A</v>
      </c>
      <c r="R897" t="e">
        <f>VLOOKUP(Table3[[#This Row],[Census Tract]],'ES Energy Burden'!$B$2:$E$914,4,FALSE)</f>
        <v>#N/A</v>
      </c>
    </row>
    <row r="898" spans="17:18" x14ac:dyDescent="0.2">
      <c r="Q898" t="e">
        <f>VLOOKUP(Table3[[#This Row],[Census Tract]],'Population and Diversity Data'!$B$2:$K$823,10,FALSE)</f>
        <v>#N/A</v>
      </c>
      <c r="R898" t="e">
        <f>VLOOKUP(Table3[[#This Row],[Census Tract]],'ES Energy Burden'!$B$2:$E$914,4,FALSE)</f>
        <v>#N/A</v>
      </c>
    </row>
    <row r="899" spans="17:18" x14ac:dyDescent="0.2">
      <c r="Q899" t="e">
        <f>VLOOKUP(Table3[[#This Row],[Census Tract]],'Population and Diversity Data'!$B$2:$K$823,10,FALSE)</f>
        <v>#N/A</v>
      </c>
      <c r="R899" t="e">
        <f>VLOOKUP(Table3[[#This Row],[Census Tract]],'ES Energy Burden'!$B$2:$E$914,4,FALSE)</f>
        <v>#N/A</v>
      </c>
    </row>
    <row r="900" spans="17:18" x14ac:dyDescent="0.2">
      <c r="Q900" t="e">
        <f>VLOOKUP(Table3[[#This Row],[Census Tract]],'Population and Diversity Data'!$B$2:$K$823,10,FALSE)</f>
        <v>#N/A</v>
      </c>
      <c r="R900" t="e">
        <f>VLOOKUP(Table3[[#This Row],[Census Tract]],'ES Energy Burden'!$B$2:$E$914,4,FALSE)</f>
        <v>#N/A</v>
      </c>
    </row>
    <row r="901" spans="17:18" x14ac:dyDescent="0.2">
      <c r="Q901" t="e">
        <f>VLOOKUP(Table3[[#This Row],[Census Tract]],'Population and Diversity Data'!$B$2:$K$823,10,FALSE)</f>
        <v>#N/A</v>
      </c>
      <c r="R901" t="e">
        <f>VLOOKUP(Table3[[#This Row],[Census Tract]],'ES Energy Burden'!$B$2:$E$914,4,FALSE)</f>
        <v>#N/A</v>
      </c>
    </row>
    <row r="902" spans="17:18" x14ac:dyDescent="0.2">
      <c r="Q902" t="e">
        <f>VLOOKUP(Table3[[#This Row],[Census Tract]],'Population and Diversity Data'!$B$2:$K$823,10,FALSE)</f>
        <v>#N/A</v>
      </c>
      <c r="R902" t="e">
        <f>VLOOKUP(Table3[[#This Row],[Census Tract]],'ES Energy Burden'!$B$2:$E$914,4,FALSE)</f>
        <v>#N/A</v>
      </c>
    </row>
    <row r="903" spans="17:18" x14ac:dyDescent="0.2">
      <c r="Q903" t="e">
        <f>VLOOKUP(Table3[[#This Row],[Census Tract]],'Population and Diversity Data'!$B$2:$K$823,10,FALSE)</f>
        <v>#N/A</v>
      </c>
      <c r="R903" t="e">
        <f>VLOOKUP(Table3[[#This Row],[Census Tract]],'ES Energy Burden'!$B$2:$E$914,4,FALSE)</f>
        <v>#N/A</v>
      </c>
    </row>
    <row r="904" spans="17:18" x14ac:dyDescent="0.2">
      <c r="Q904" t="e">
        <f>VLOOKUP(Table3[[#This Row],[Census Tract]],'Population and Diversity Data'!$B$2:$K$823,10,FALSE)</f>
        <v>#N/A</v>
      </c>
      <c r="R904" t="e">
        <f>VLOOKUP(Table3[[#This Row],[Census Tract]],'ES Energy Burden'!$B$2:$E$914,4,FALSE)</f>
        <v>#N/A</v>
      </c>
    </row>
    <row r="905" spans="17:18" x14ac:dyDescent="0.2">
      <c r="Q905" t="e">
        <f>VLOOKUP(Table3[[#This Row],[Census Tract]],'Population and Diversity Data'!$B$2:$K$823,10,FALSE)</f>
        <v>#N/A</v>
      </c>
      <c r="R905" t="e">
        <f>VLOOKUP(Table3[[#This Row],[Census Tract]],'ES Energy Burden'!$B$2:$E$914,4,FALSE)</f>
        <v>#N/A</v>
      </c>
    </row>
    <row r="906" spans="17:18" x14ac:dyDescent="0.2">
      <c r="Q906" t="e">
        <f>VLOOKUP(Table3[[#This Row],[Census Tract]],'Population and Diversity Data'!$B$2:$K$823,10,FALSE)</f>
        <v>#N/A</v>
      </c>
      <c r="R906" t="e">
        <f>VLOOKUP(Table3[[#This Row],[Census Tract]],'ES Energy Burden'!$B$2:$E$914,4,FALSE)</f>
        <v>#N/A</v>
      </c>
    </row>
    <row r="907" spans="17:18" x14ac:dyDescent="0.2">
      <c r="Q907" t="e">
        <f>VLOOKUP(Table3[[#This Row],[Census Tract]],'Population and Diversity Data'!$B$2:$K$823,10,FALSE)</f>
        <v>#N/A</v>
      </c>
      <c r="R907" t="e">
        <f>VLOOKUP(Table3[[#This Row],[Census Tract]],'ES Energy Burden'!$B$2:$E$914,4,FALSE)</f>
        <v>#N/A</v>
      </c>
    </row>
    <row r="908" spans="17:18" x14ac:dyDescent="0.2">
      <c r="Q908" t="e">
        <f>VLOOKUP(Table3[[#This Row],[Census Tract]],'Population and Diversity Data'!$B$2:$K$823,10,FALSE)</f>
        <v>#N/A</v>
      </c>
      <c r="R908" t="e">
        <f>VLOOKUP(Table3[[#This Row],[Census Tract]],'ES Energy Burden'!$B$2:$E$914,4,FALSE)</f>
        <v>#N/A</v>
      </c>
    </row>
    <row r="909" spans="17:18" x14ac:dyDescent="0.2">
      <c r="Q909" t="e">
        <f>VLOOKUP(Table3[[#This Row],[Census Tract]],'Population and Diversity Data'!$B$2:$K$823,10,FALSE)</f>
        <v>#N/A</v>
      </c>
      <c r="R909" t="e">
        <f>VLOOKUP(Table3[[#This Row],[Census Tract]],'ES Energy Burden'!$B$2:$E$914,4,FALSE)</f>
        <v>#N/A</v>
      </c>
    </row>
    <row r="910" spans="17:18" x14ac:dyDescent="0.2">
      <c r="Q910" t="e">
        <f>VLOOKUP(Table3[[#This Row],[Census Tract]],'Population and Diversity Data'!$B$2:$K$823,10,FALSE)</f>
        <v>#N/A</v>
      </c>
      <c r="R910" t="e">
        <f>VLOOKUP(Table3[[#This Row],[Census Tract]],'ES Energy Burden'!$B$2:$E$914,4,FALSE)</f>
        <v>#N/A</v>
      </c>
    </row>
    <row r="911" spans="17:18" x14ac:dyDescent="0.2">
      <c r="Q911" t="e">
        <f>VLOOKUP(Table3[[#This Row],[Census Tract]],'Population and Diversity Data'!$B$2:$K$823,10,FALSE)</f>
        <v>#N/A</v>
      </c>
      <c r="R911" t="e">
        <f>VLOOKUP(Table3[[#This Row],[Census Tract]],'ES Energy Burden'!$B$2:$E$914,4,FALSE)</f>
        <v>#N/A</v>
      </c>
    </row>
    <row r="912" spans="17:18" x14ac:dyDescent="0.2">
      <c r="Q912" t="e">
        <f>VLOOKUP(Table3[[#This Row],[Census Tract]],'Population and Diversity Data'!$B$2:$K$823,10,FALSE)</f>
        <v>#N/A</v>
      </c>
      <c r="R912" t="e">
        <f>VLOOKUP(Table3[[#This Row],[Census Tract]],'ES Energy Burden'!$B$2:$E$914,4,FALSE)</f>
        <v>#N/A</v>
      </c>
    </row>
    <row r="913" spans="17:18" x14ac:dyDescent="0.2">
      <c r="Q913" t="e">
        <f>VLOOKUP(Table3[[#This Row],[Census Tract]],'Population and Diversity Data'!$B$2:$K$823,10,FALSE)</f>
        <v>#N/A</v>
      </c>
      <c r="R913" t="e">
        <f>VLOOKUP(Table3[[#This Row],[Census Tract]],'ES Energy Burden'!$B$2:$E$914,4,FALSE)</f>
        <v>#N/A</v>
      </c>
    </row>
    <row r="914" spans="17:18" x14ac:dyDescent="0.2">
      <c r="Q914" t="e">
        <f>VLOOKUP(Table3[[#This Row],[Census Tract]],'Population and Diversity Data'!$B$2:$K$823,10,FALSE)</f>
        <v>#N/A</v>
      </c>
      <c r="R914" t="e">
        <f>VLOOKUP(Table3[[#This Row],[Census Tract]],'ES Energy Burden'!$B$2:$E$914,4,FALSE)</f>
        <v>#N/A</v>
      </c>
    </row>
    <row r="915" spans="17:18" x14ac:dyDescent="0.2">
      <c r="Q915" t="e">
        <f>VLOOKUP(Table3[[#This Row],[Census Tract]],'Population and Diversity Data'!$B$2:$K$823,10,FALSE)</f>
        <v>#N/A</v>
      </c>
      <c r="R915" t="e">
        <f>VLOOKUP(Table3[[#This Row],[Census Tract]],'ES Energy Burden'!$B$2:$E$914,4,FALSE)</f>
        <v>#N/A</v>
      </c>
    </row>
    <row r="916" spans="17:18" x14ac:dyDescent="0.2">
      <c r="Q916" t="e">
        <f>VLOOKUP(Table3[[#This Row],[Census Tract]],'Population and Diversity Data'!$B$2:$K$823,10,FALSE)</f>
        <v>#N/A</v>
      </c>
      <c r="R916" t="e">
        <f>VLOOKUP(Table3[[#This Row],[Census Tract]],'ES Energy Burden'!$B$2:$E$914,4,FALSE)</f>
        <v>#N/A</v>
      </c>
    </row>
    <row r="917" spans="17:18" x14ac:dyDescent="0.2">
      <c r="Q917" t="e">
        <f>VLOOKUP(Table3[[#This Row],[Census Tract]],'Population and Diversity Data'!$B$2:$K$823,10,FALSE)</f>
        <v>#N/A</v>
      </c>
      <c r="R917" t="e">
        <f>VLOOKUP(Table3[[#This Row],[Census Tract]],'ES Energy Burden'!$B$2:$E$914,4,FALSE)</f>
        <v>#N/A</v>
      </c>
    </row>
    <row r="918" spans="17:18" x14ac:dyDescent="0.2">
      <c r="Q918" t="e">
        <f>VLOOKUP(Table3[[#This Row],[Census Tract]],'Population and Diversity Data'!$B$2:$K$823,10,FALSE)</f>
        <v>#N/A</v>
      </c>
      <c r="R918" t="e">
        <f>VLOOKUP(Table3[[#This Row],[Census Tract]],'ES Energy Burden'!$B$2:$E$914,4,FALSE)</f>
        <v>#N/A</v>
      </c>
    </row>
    <row r="919" spans="17:18" x14ac:dyDescent="0.2">
      <c r="Q919" t="e">
        <f>VLOOKUP(Table3[[#This Row],[Census Tract]],'Population and Diversity Data'!$B$2:$K$823,10,FALSE)</f>
        <v>#N/A</v>
      </c>
      <c r="R919" t="e">
        <f>VLOOKUP(Table3[[#This Row],[Census Tract]],'ES Energy Burden'!$B$2:$E$914,4,FALSE)</f>
        <v>#N/A</v>
      </c>
    </row>
    <row r="920" spans="17:18" x14ac:dyDescent="0.2">
      <c r="Q920" t="e">
        <f>VLOOKUP(Table3[[#This Row],[Census Tract]],'Population and Diversity Data'!$B$2:$K$823,10,FALSE)</f>
        <v>#N/A</v>
      </c>
      <c r="R920" t="e">
        <f>VLOOKUP(Table3[[#This Row],[Census Tract]],'ES Energy Burden'!$B$2:$E$914,4,FALSE)</f>
        <v>#N/A</v>
      </c>
    </row>
    <row r="921" spans="17:18" x14ac:dyDescent="0.2">
      <c r="Q921" t="e">
        <f>VLOOKUP(Table3[[#This Row],[Census Tract]],'Population and Diversity Data'!$B$2:$K$823,10,FALSE)</f>
        <v>#N/A</v>
      </c>
      <c r="R921" t="e">
        <f>VLOOKUP(Table3[[#This Row],[Census Tract]],'ES Energy Burden'!$B$2:$E$914,4,FALSE)</f>
        <v>#N/A</v>
      </c>
    </row>
    <row r="922" spans="17:18" x14ac:dyDescent="0.2">
      <c r="Q922" t="e">
        <f>VLOOKUP(Table3[[#This Row],[Census Tract]],'Population and Diversity Data'!$B$2:$K$823,10,FALSE)</f>
        <v>#N/A</v>
      </c>
      <c r="R922" t="e">
        <f>VLOOKUP(Table3[[#This Row],[Census Tract]],'ES Energy Burden'!$B$2:$E$914,4,FALSE)</f>
        <v>#N/A</v>
      </c>
    </row>
    <row r="923" spans="17:18" x14ac:dyDescent="0.2">
      <c r="Q923" t="e">
        <f>VLOOKUP(Table3[[#This Row],[Census Tract]],'Population and Diversity Data'!$B$2:$K$823,10,FALSE)</f>
        <v>#N/A</v>
      </c>
      <c r="R923" t="e">
        <f>VLOOKUP(Table3[[#This Row],[Census Tract]],'ES Energy Burden'!$B$2:$E$914,4,FALSE)</f>
        <v>#N/A</v>
      </c>
    </row>
    <row r="924" spans="17:18" x14ac:dyDescent="0.2">
      <c r="Q924" t="e">
        <f>VLOOKUP(Table3[[#This Row],[Census Tract]],'Population and Diversity Data'!$B$2:$K$823,10,FALSE)</f>
        <v>#N/A</v>
      </c>
      <c r="R924" t="e">
        <f>VLOOKUP(Table3[[#This Row],[Census Tract]],'ES Energy Burden'!$B$2:$E$914,4,FALSE)</f>
        <v>#N/A</v>
      </c>
    </row>
    <row r="925" spans="17:18" x14ac:dyDescent="0.2">
      <c r="Q925" t="e">
        <f>VLOOKUP(Table3[[#This Row],[Census Tract]],'Population and Diversity Data'!$B$2:$K$823,10,FALSE)</f>
        <v>#N/A</v>
      </c>
      <c r="R925" t="e">
        <f>VLOOKUP(Table3[[#This Row],[Census Tract]],'ES Energy Burden'!$B$2:$E$914,4,FALSE)</f>
        <v>#N/A</v>
      </c>
    </row>
    <row r="926" spans="17:18" x14ac:dyDescent="0.2">
      <c r="Q926" t="e">
        <f>VLOOKUP(Table3[[#This Row],[Census Tract]],'Population and Diversity Data'!$B$2:$K$823,10,FALSE)</f>
        <v>#N/A</v>
      </c>
      <c r="R926" t="e">
        <f>VLOOKUP(Table3[[#This Row],[Census Tract]],'ES Energy Burden'!$B$2:$E$914,4,FALSE)</f>
        <v>#N/A</v>
      </c>
    </row>
    <row r="927" spans="17:18" x14ac:dyDescent="0.2">
      <c r="Q927" t="e">
        <f>VLOOKUP(Table3[[#This Row],[Census Tract]],'Population and Diversity Data'!$B$2:$K$823,10,FALSE)</f>
        <v>#N/A</v>
      </c>
      <c r="R927" t="e">
        <f>VLOOKUP(Table3[[#This Row],[Census Tract]],'ES Energy Burden'!$B$2:$E$914,4,FALSE)</f>
        <v>#N/A</v>
      </c>
    </row>
    <row r="928" spans="17:18" x14ac:dyDescent="0.2">
      <c r="Q928" t="e">
        <f>VLOOKUP(Table3[[#This Row],[Census Tract]],'Population and Diversity Data'!$B$2:$K$823,10,FALSE)</f>
        <v>#N/A</v>
      </c>
      <c r="R928" t="e">
        <f>VLOOKUP(Table3[[#This Row],[Census Tract]],'ES Energy Burden'!$B$2:$E$914,4,FALSE)</f>
        <v>#N/A</v>
      </c>
    </row>
    <row r="929" spans="1:19" x14ac:dyDescent="0.2">
      <c r="Q929" t="e">
        <f>VLOOKUP(Table3[[#This Row],[Census Tract]],'Population and Diversity Data'!$B$2:$K$823,10,FALSE)</f>
        <v>#N/A</v>
      </c>
      <c r="R929" t="e">
        <f>VLOOKUP(Table3[[#This Row],[Census Tract]],'ES Energy Burden'!$B$2:$E$914,4,FALSE)</f>
        <v>#N/A</v>
      </c>
    </row>
    <row r="930" spans="1:19" x14ac:dyDescent="0.2">
      <c r="Q930" t="e">
        <f>VLOOKUP(Table3[[#This Row],[Census Tract]],'Population and Diversity Data'!$B$2:$K$823,10,FALSE)</f>
        <v>#N/A</v>
      </c>
      <c r="R930" t="e">
        <f>VLOOKUP(Table3[[#This Row],[Census Tract]],'ES Energy Burden'!$B$2:$E$914,4,FALSE)</f>
        <v>#N/A</v>
      </c>
    </row>
    <row r="931" spans="1:19" x14ac:dyDescent="0.2">
      <c r="Q931" t="e">
        <f>VLOOKUP(Table3[[#This Row],[Census Tract]],'Population and Diversity Data'!$B$2:$K$823,10,FALSE)</f>
        <v>#N/A</v>
      </c>
      <c r="R931" t="e">
        <f>VLOOKUP(Table3[[#This Row],[Census Tract]],'ES Energy Burden'!$B$2:$E$914,4,FALSE)</f>
        <v>#N/A</v>
      </c>
    </row>
    <row r="932" spans="1:19" x14ac:dyDescent="0.2">
      <c r="Q932" t="e">
        <f>VLOOKUP(Table3[[#This Row],[Census Tract]],'Population and Diversity Data'!$B$2:$K$823,10,FALSE)</f>
        <v>#N/A</v>
      </c>
      <c r="R932" t="e">
        <f>VLOOKUP(Table3[[#This Row],[Census Tract]],'ES Energy Burden'!$B$2:$E$914,4,FALSE)</f>
        <v>#N/A</v>
      </c>
    </row>
    <row r="933" spans="1:19" x14ac:dyDescent="0.2">
      <c r="Q933" t="e">
        <f>VLOOKUP(Table3[[#This Row],[Census Tract]],'Population and Diversity Data'!$B$2:$K$823,10,FALSE)</f>
        <v>#N/A</v>
      </c>
      <c r="R933" t="e">
        <f>VLOOKUP(Table3[[#This Row],[Census Tract]],'ES Energy Burden'!$B$2:$E$914,4,FALSE)</f>
        <v>#N/A</v>
      </c>
    </row>
    <row r="934" spans="1:19" x14ac:dyDescent="0.2">
      <c r="Q934" t="e">
        <f>VLOOKUP(Table3[[#This Row],[Census Tract]],'Population and Diversity Data'!$B$2:$K$823,10,FALSE)</f>
        <v>#N/A</v>
      </c>
      <c r="R934" t="e">
        <f>VLOOKUP(Table3[[#This Row],[Census Tract]],'ES Energy Burden'!$B$2:$E$914,4,FALSE)</f>
        <v>#N/A</v>
      </c>
    </row>
    <row r="935" spans="1:19" x14ac:dyDescent="0.2">
      <c r="Q935" t="e">
        <f>VLOOKUP(Table3[[#This Row],[Census Tract]],'Population and Diversity Data'!$B$2:$K$823,10,FALSE)</f>
        <v>#N/A</v>
      </c>
      <c r="R935" t="e">
        <f>VLOOKUP(Table3[[#This Row],[Census Tract]],'ES Energy Burden'!$B$2:$E$914,4,FALSE)</f>
        <v>#N/A</v>
      </c>
    </row>
    <row r="936" spans="1:19" x14ac:dyDescent="0.2">
      <c r="Q936" t="e">
        <f>VLOOKUP(Table3[[#This Row],[Census Tract]],'Population and Diversity Data'!$B$2:$K$823,10,FALSE)</f>
        <v>#N/A</v>
      </c>
      <c r="R936" t="e">
        <f>VLOOKUP(Table3[[#This Row],[Census Tract]],'ES Energy Burden'!$B$2:$E$914,4,FALSE)</f>
        <v>#N/A</v>
      </c>
    </row>
    <row r="937" spans="1:19" x14ac:dyDescent="0.2">
      <c r="Q937" t="e">
        <f>VLOOKUP(Table3[[#This Row],[Census Tract]],'Population and Diversity Data'!$B$2:$K$823,10,FALSE)</f>
        <v>#N/A</v>
      </c>
      <c r="R937" t="e">
        <f>VLOOKUP(Table3[[#This Row],[Census Tract]],'ES Energy Burden'!$B$2:$E$914,4,FALSE)</f>
        <v>#N/A</v>
      </c>
    </row>
    <row r="938" spans="1:19" x14ac:dyDescent="0.2">
      <c r="Q938" t="e">
        <f>VLOOKUP(Table3[[#This Row],[Census Tract]],'Population and Diversity Data'!$B$2:$K$823,10,FALSE)</f>
        <v>#N/A</v>
      </c>
      <c r="R938" t="e">
        <f>VLOOKUP(Table3[[#This Row],[Census Tract]],'ES Energy Burden'!$B$2:$E$914,4,FALSE)</f>
        <v>#N/A</v>
      </c>
    </row>
    <row r="939" spans="1:19" s="22" customFormat="1" x14ac:dyDescent="0.2">
      <c r="A939"/>
      <c r="B939"/>
      <c r="C939"/>
      <c r="D939" s="27"/>
      <c r="E939" s="26"/>
      <c r="F939" s="27"/>
      <c r="G939" s="26"/>
      <c r="H939" s="25"/>
      <c r="I939" s="20"/>
      <c r="J939"/>
      <c r="K939" s="20"/>
      <c r="L939"/>
      <c r="M939" s="20"/>
      <c r="N939"/>
      <c r="O939" s="20"/>
      <c r="P939"/>
      <c r="Q939" t="e">
        <f>VLOOKUP(Table3[[#This Row],[Census Tract]],'Population and Diversity Data'!$B$2:$K$823,10,FALSE)</f>
        <v>#N/A</v>
      </c>
      <c r="R939" t="e">
        <f>VLOOKUP(Table3[[#This Row],[Census Tract]],'ES Energy Burden'!$B$2:$E$914,4,FALSE)</f>
        <v>#N/A</v>
      </c>
      <c r="S939"/>
    </row>
    <row r="940" spans="1:19" s="22" customFormat="1" x14ac:dyDescent="0.2">
      <c r="A940"/>
      <c r="B940"/>
      <c r="C940"/>
      <c r="D940" s="27"/>
      <c r="E940" s="26"/>
      <c r="F940" s="27"/>
      <c r="G940" s="26"/>
      <c r="H940" s="25"/>
      <c r="I940" s="20"/>
      <c r="J940"/>
      <c r="K940" s="20"/>
      <c r="L940"/>
      <c r="M940" s="20"/>
      <c r="N940"/>
      <c r="O940" s="20"/>
      <c r="P940"/>
      <c r="Q940"/>
      <c r="R940"/>
      <c r="S940"/>
    </row>
    <row r="941" spans="1:19" x14ac:dyDescent="0.2">
      <c r="P941" s="24"/>
      <c r="Q941" s="22"/>
      <c r="R941" s="22"/>
      <c r="S941" s="22"/>
    </row>
    <row r="942" spans="1:19" x14ac:dyDescent="0.2">
      <c r="P942" s="24"/>
      <c r="Q942" s="22"/>
      <c r="R942" s="22"/>
      <c r="S942" s="22"/>
    </row>
  </sheetData>
  <mergeCells count="7">
    <mergeCell ref="D3:O3"/>
    <mergeCell ref="A1:O2"/>
    <mergeCell ref="L4:O4"/>
    <mergeCell ref="D4:G4"/>
    <mergeCell ref="H4:K4"/>
    <mergeCell ref="A3:C3"/>
    <mergeCell ref="A4:C4"/>
  </mergeCells>
  <pageMargins left="0.7" right="0.7" top="0.75" bottom="0.75" header="0.3" footer="0.3"/>
  <pageSetup paperSize="5" scale="52" fitToHeight="25" orientation="landscape"/>
  <rowBreaks count="1" manualBreakCount="1">
    <brk id="78" max="16383" man="1"/>
  </rowBreak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AB5E-18FC-4419-AA06-7DFEE85EA076}">
  <sheetPr>
    <tabColor theme="6" tint="0.59999389629810485"/>
    <pageSetUpPr fitToPage="1"/>
  </sheetPr>
  <dimension ref="A1:Q281"/>
  <sheetViews>
    <sheetView zoomScale="80" zoomScaleNormal="80" workbookViewId="0">
      <pane ySplit="5" topLeftCell="A230" activePane="bottomLeft" state="frozen"/>
      <selection pane="bottomLeft" activeCell="G273" sqref="G273"/>
    </sheetView>
  </sheetViews>
  <sheetFormatPr baseColWidth="10" defaultColWidth="8.6640625" defaultRowHeight="15" x14ac:dyDescent="0.2"/>
  <cols>
    <col min="1" max="1" width="16.5" customWidth="1"/>
    <col min="2" max="2" width="19.1640625" customWidth="1"/>
    <col min="3" max="3" width="20" customWidth="1"/>
    <col min="4" max="4" width="20.6640625" style="32" customWidth="1"/>
    <col min="5" max="5" width="25" style="31" customWidth="1"/>
    <col min="6" max="6" width="23.33203125" style="32" customWidth="1"/>
    <col min="7" max="7" width="31.5" style="31" customWidth="1"/>
    <col min="8" max="8" width="27.1640625" style="27" customWidth="1"/>
    <col min="9" max="9" width="34.83203125" style="31" customWidth="1"/>
    <col min="10" max="10" width="34.6640625" style="27" customWidth="1"/>
    <col min="11" max="11" width="42.6640625" style="31" customWidth="1"/>
    <col min="12" max="12" width="21" style="27" customWidth="1"/>
    <col min="13" max="13" width="28.83203125" style="31" customWidth="1"/>
    <col min="14" max="14" width="28.5" style="27" customWidth="1"/>
    <col min="15" max="15" width="36.33203125" style="31" customWidth="1"/>
    <col min="16" max="16" width="20.5" customWidth="1"/>
    <col min="17" max="17" width="19.33203125" customWidth="1"/>
    <col min="18" max="18" width="20.5" customWidth="1"/>
    <col min="19" max="19" width="14.1640625" customWidth="1"/>
  </cols>
  <sheetData>
    <row r="1" spans="1:17" x14ac:dyDescent="0.2">
      <c r="A1" s="261" t="s">
        <v>2710</v>
      </c>
      <c r="B1" s="262"/>
      <c r="C1" s="262"/>
      <c r="D1" s="262"/>
      <c r="E1" s="262"/>
      <c r="F1" s="262"/>
      <c r="G1" s="262"/>
      <c r="H1" s="262"/>
      <c r="I1" s="262"/>
      <c r="J1" s="262"/>
      <c r="K1" s="262"/>
      <c r="L1" s="262"/>
      <c r="M1" s="262"/>
      <c r="N1" s="262"/>
      <c r="O1" s="263"/>
    </row>
    <row r="2" spans="1:17" ht="16" thickBot="1" x14ac:dyDescent="0.25">
      <c r="A2" s="264"/>
      <c r="B2" s="265"/>
      <c r="C2" s="265"/>
      <c r="D2" s="265"/>
      <c r="E2" s="265"/>
      <c r="F2" s="265"/>
      <c r="G2" s="265"/>
      <c r="H2" s="265"/>
      <c r="I2" s="265"/>
      <c r="J2" s="265"/>
      <c r="K2" s="265"/>
      <c r="L2" s="265"/>
      <c r="M2" s="265"/>
      <c r="N2" s="265"/>
      <c r="O2" s="266"/>
    </row>
    <row r="3" spans="1:17" ht="17" thickBot="1" x14ac:dyDescent="0.25">
      <c r="A3" s="274" t="s">
        <v>3883</v>
      </c>
      <c r="B3" s="275"/>
      <c r="C3" s="279"/>
      <c r="D3" s="258" t="s">
        <v>2874</v>
      </c>
      <c r="E3" s="259"/>
      <c r="F3" s="259"/>
      <c r="G3" s="259"/>
      <c r="H3" s="259"/>
      <c r="I3" s="259"/>
      <c r="J3" s="259"/>
      <c r="K3" s="259"/>
      <c r="L3" s="259"/>
      <c r="M3" s="259"/>
      <c r="N3" s="259"/>
      <c r="O3" s="260"/>
    </row>
    <row r="4" spans="1:17" x14ac:dyDescent="0.2">
      <c r="A4" s="276"/>
      <c r="B4" s="277"/>
      <c r="C4" s="278"/>
      <c r="D4" s="280" t="s">
        <v>2699</v>
      </c>
      <c r="E4" s="281"/>
      <c r="F4" s="281"/>
      <c r="G4" s="282"/>
      <c r="H4" s="283" t="s">
        <v>2700</v>
      </c>
      <c r="I4" s="284"/>
      <c r="J4" s="284"/>
      <c r="K4" s="285"/>
      <c r="L4" s="267" t="s">
        <v>2701</v>
      </c>
      <c r="M4" s="268"/>
      <c r="N4" s="268"/>
      <c r="O4" s="269"/>
    </row>
    <row r="5" spans="1:17" ht="74.25" customHeight="1" x14ac:dyDescent="0.2">
      <c r="A5" s="346" t="s">
        <v>2712</v>
      </c>
      <c r="B5" s="346" t="s">
        <v>2711</v>
      </c>
      <c r="C5" s="347" t="s">
        <v>2713</v>
      </c>
      <c r="D5" s="348" t="s">
        <v>2714</v>
      </c>
      <c r="E5" s="349" t="s">
        <v>2715</v>
      </c>
      <c r="F5" s="348" t="s">
        <v>2716</v>
      </c>
      <c r="G5" s="349" t="s">
        <v>2717</v>
      </c>
      <c r="H5" s="350" t="s">
        <v>2718</v>
      </c>
      <c r="I5" s="351" t="s">
        <v>2719</v>
      </c>
      <c r="J5" s="350" t="s">
        <v>2720</v>
      </c>
      <c r="K5" s="351" t="s">
        <v>2721</v>
      </c>
      <c r="L5" s="350" t="s">
        <v>2722</v>
      </c>
      <c r="M5" s="351" t="s">
        <v>2723</v>
      </c>
      <c r="N5" s="350" t="s">
        <v>2724</v>
      </c>
      <c r="O5" s="351" t="s">
        <v>2725</v>
      </c>
      <c r="P5" s="352" t="s">
        <v>2727</v>
      </c>
      <c r="Q5" s="63" t="s">
        <v>2728</v>
      </c>
    </row>
    <row r="6" spans="1:17" x14ac:dyDescent="0.2">
      <c r="A6" s="321" t="s">
        <v>2730</v>
      </c>
      <c r="B6" s="322">
        <v>9013528100</v>
      </c>
      <c r="C6" s="323" t="s">
        <v>944</v>
      </c>
      <c r="D6" s="324">
        <f>[1]!Table32[[#This Row],[Residential CLM $ Collected]]+[1]!Table32[[#This Row],[C&amp;I CLM $ Collected]]</f>
        <v>2421.667332</v>
      </c>
      <c r="E6" s="325">
        <f>[1]!Table32[[#This Row],[CLM $ Collected ]]/'[1]1.) CLM Reference'!$B$4</f>
        <v>2.6070150349990924E-5</v>
      </c>
      <c r="F6" s="326">
        <f>[1]!Table32[[#This Row],[Residential Incentive Disbursements]]+[1]!Table32[[#This Row],[C&amp;I Incentive Disbursements]]</f>
        <v>4956</v>
      </c>
      <c r="G6" s="325">
        <f>[1]!Table32[[#This Row],[Incentive Disbursements]]/'[1]1.) CLM Reference'!$B$5</f>
        <v>3.979242452788223E-5</v>
      </c>
      <c r="H6" s="327">
        <v>0</v>
      </c>
      <c r="I6" s="325">
        <f>[1]!Table32[[#This Row],[Residential CLM $ Collected]]/'[1]1.) CLM Reference'!$B$4</f>
        <v>0</v>
      </c>
      <c r="J6" s="327">
        <v>0</v>
      </c>
      <c r="K6" s="325">
        <f>[1]!Table32[[#This Row],[Residential Incentive Disbursements]]/'[1]1.) CLM Reference'!$B$5</f>
        <v>0</v>
      </c>
      <c r="L6" s="327">
        <v>2421.667332</v>
      </c>
      <c r="M6" s="325">
        <f>[1]!Table32[[#This Row],[C&amp;I CLM $ Collected]]/'[1]1.) CLM Reference'!$B$4</f>
        <v>2.6070150349990924E-5</v>
      </c>
      <c r="N6" s="327">
        <v>4956</v>
      </c>
      <c r="O6" s="325">
        <f>[1]!Table32[[#This Row],[C&amp;I Incentive Disbursements]]/'[1]1.) CLM Reference'!$B$5</f>
        <v>3.979242452788223E-5</v>
      </c>
      <c r="P6" s="323">
        <f>VLOOKUP('3.) Large Load'!$B6,'Population and Diversity Data'!$B$2:$K$823,10,FALSE)</f>
        <v>1</v>
      </c>
      <c r="Q6" s="328" t="str">
        <f>VLOOKUP('3.) Large Load'!$B6,'ES Energy Burden'!$B$2:$E$914,4,FALSE)</f>
        <v>No</v>
      </c>
    </row>
    <row r="7" spans="1:17" x14ac:dyDescent="0.2">
      <c r="A7" s="329" t="s">
        <v>2731</v>
      </c>
      <c r="B7" s="330">
        <v>9015830100</v>
      </c>
      <c r="C7" s="319" t="s">
        <v>944</v>
      </c>
      <c r="D7" s="331">
        <f>[1]!Table32[[#This Row],[Residential CLM $ Collected]]+[1]!Table32[[#This Row],[C&amp;I CLM $ Collected]]</f>
        <v>5824.3965360000002</v>
      </c>
      <c r="E7" s="177">
        <f>[1]!Table32[[#This Row],[CLM $ Collected ]]/'[1]1.) CLM Reference'!$B$4</f>
        <v>6.2701796974765623E-5</v>
      </c>
      <c r="F7" s="332">
        <f>[1]!Table32[[#This Row],[Residential Incentive Disbursements]]+[1]!Table32[[#This Row],[C&amp;I Incentive Disbursements]]</f>
        <v>2936</v>
      </c>
      <c r="G7" s="177">
        <f>[1]!Table32[[#This Row],[Incentive Disbursements]]/'[1]1.) CLM Reference'!$B$5</f>
        <v>2.3573559001989957E-5</v>
      </c>
      <c r="H7" s="333">
        <v>0</v>
      </c>
      <c r="I7" s="177">
        <f>[1]!Table32[[#This Row],[Residential CLM $ Collected]]/'[1]1.) CLM Reference'!$B$4</f>
        <v>0</v>
      </c>
      <c r="J7" s="333">
        <v>0</v>
      </c>
      <c r="K7" s="177">
        <f>[1]!Table32[[#This Row],[Residential Incentive Disbursements]]/'[1]1.) CLM Reference'!$B$5</f>
        <v>0</v>
      </c>
      <c r="L7" s="333">
        <v>5824.3965360000002</v>
      </c>
      <c r="M7" s="177">
        <f>[1]!Table32[[#This Row],[C&amp;I CLM $ Collected]]/'[1]1.) CLM Reference'!$B$4</f>
        <v>6.2701796974765623E-5</v>
      </c>
      <c r="N7" s="333">
        <v>2936</v>
      </c>
      <c r="O7" s="177">
        <f>[1]!Table32[[#This Row],[C&amp;I Incentive Disbursements]]/'[1]1.) CLM Reference'!$B$5</f>
        <v>2.3573559001989957E-5</v>
      </c>
      <c r="P7" s="319">
        <f>VLOOKUP('3.) Large Load'!$B7,'Population and Diversity Data'!$B$2:$K$823,10,FALSE)</f>
        <v>4</v>
      </c>
      <c r="Q7" s="334" t="str">
        <f>VLOOKUP('3.) Large Load'!$B7,'ES Energy Burden'!$B$2:$E$914,4,FALSE)</f>
        <v>No</v>
      </c>
    </row>
    <row r="8" spans="1:17" x14ac:dyDescent="0.2">
      <c r="A8" s="335" t="s">
        <v>2732</v>
      </c>
      <c r="B8" s="336">
        <v>9003462101</v>
      </c>
      <c r="C8" s="318" t="s">
        <v>944</v>
      </c>
      <c r="D8" s="324">
        <f>[1]!Table32[[#This Row],[Residential CLM $ Collected]]+[1]!Table32[[#This Row],[C&amp;I CLM $ Collected]]</f>
        <v>199608.12135600002</v>
      </c>
      <c r="E8" s="325">
        <f>[1]!Table32[[#This Row],[CLM $ Collected ]]/'[1]1.) CLM Reference'!$B$4</f>
        <v>2.1488557350825073E-3</v>
      </c>
      <c r="F8" s="326">
        <f>[1]!Table32[[#This Row],[Residential Incentive Disbursements]]+[1]!Table32[[#This Row],[C&amp;I Incentive Disbursements]]</f>
        <v>585480.56000000006</v>
      </c>
      <c r="G8" s="325">
        <f>[1]!Table32[[#This Row],[Incentive Disbursements]]/'[1]1.) CLM Reference'!$B$5</f>
        <v>4.7009061735960901E-3</v>
      </c>
      <c r="H8" s="337">
        <v>0</v>
      </c>
      <c r="I8" s="325">
        <f>[1]!Table32[[#This Row],[Residential CLM $ Collected]]/'[1]1.) CLM Reference'!$B$4</f>
        <v>0</v>
      </c>
      <c r="J8" s="337">
        <v>0</v>
      </c>
      <c r="K8" s="325">
        <f>[1]!Table32[[#This Row],[Residential Incentive Disbursements]]/'[1]1.) CLM Reference'!$B$5</f>
        <v>0</v>
      </c>
      <c r="L8" s="337">
        <v>199608.12135600002</v>
      </c>
      <c r="M8" s="325">
        <f>[1]!Table32[[#This Row],[C&amp;I CLM $ Collected]]/'[1]1.) CLM Reference'!$B$4</f>
        <v>2.1488557350825073E-3</v>
      </c>
      <c r="N8" s="337">
        <v>585480.56000000006</v>
      </c>
      <c r="O8" s="325">
        <f>[1]!Table32[[#This Row],[C&amp;I Incentive Disbursements]]/'[1]1.) CLM Reference'!$B$5</f>
        <v>4.7009061735960901E-3</v>
      </c>
      <c r="P8" s="318">
        <f>VLOOKUP('3.) Large Load'!$B8,'Population and Diversity Data'!$B$2:$K$823,10,FALSE)</f>
        <v>4</v>
      </c>
      <c r="Q8" s="338" t="str">
        <f>VLOOKUP('3.) Large Load'!$B8,'ES Energy Burden'!$B$2:$E$914,4,FALSE)</f>
        <v>No</v>
      </c>
    </row>
    <row r="9" spans="1:17" x14ac:dyDescent="0.2">
      <c r="A9" s="329" t="s">
        <v>2732</v>
      </c>
      <c r="B9" s="330">
        <v>9003462201</v>
      </c>
      <c r="C9" s="319" t="s">
        <v>944</v>
      </c>
      <c r="D9" s="331">
        <f>[1]!Table32[[#This Row],[Residential CLM $ Collected]]+[1]!Table32[[#This Row],[C&amp;I CLM $ Collected]]</f>
        <v>565.94752199999994</v>
      </c>
      <c r="E9" s="177">
        <f>[1]!Table32[[#This Row],[CLM $ Collected ]]/'[1]1.) CLM Reference'!$B$4</f>
        <v>6.0926357612296496E-6</v>
      </c>
      <c r="F9" s="332">
        <f>[1]!Table32[[#This Row],[Residential Incentive Disbursements]]+[1]!Table32[[#This Row],[C&amp;I Incentive Disbursements]]</f>
        <v>0</v>
      </c>
      <c r="G9" s="177">
        <f>[1]!Table32[[#This Row],[Incentive Disbursements]]/'[1]1.) CLM Reference'!$B$5</f>
        <v>0</v>
      </c>
      <c r="H9" s="333">
        <v>0</v>
      </c>
      <c r="I9" s="177">
        <f>[1]!Table32[[#This Row],[Residential CLM $ Collected]]/'[1]1.) CLM Reference'!$B$4</f>
        <v>0</v>
      </c>
      <c r="J9" s="333">
        <v>0</v>
      </c>
      <c r="K9" s="177">
        <f>[1]!Table32[[#This Row],[Residential Incentive Disbursements]]/'[1]1.) CLM Reference'!$B$5</f>
        <v>0</v>
      </c>
      <c r="L9" s="333">
        <v>565.94752199999994</v>
      </c>
      <c r="M9" s="177">
        <f>[1]!Table32[[#This Row],[C&amp;I CLM $ Collected]]/'[1]1.) CLM Reference'!$B$4</f>
        <v>6.0926357612296496E-6</v>
      </c>
      <c r="N9" s="333">
        <v>0</v>
      </c>
      <c r="O9" s="177">
        <f>[1]!Table32[[#This Row],[C&amp;I Incentive Disbursements]]/'[1]1.) CLM Reference'!$B$5</f>
        <v>0</v>
      </c>
      <c r="P9" s="319">
        <f>VLOOKUP('3.) Large Load'!$B9,'Population and Diversity Data'!$B$2:$K$823,10,FALSE)</f>
        <v>4</v>
      </c>
      <c r="Q9" s="334" t="str">
        <f>VLOOKUP('3.) Large Load'!$B9,'ES Energy Burden'!$B$2:$E$914,4,FALSE)</f>
        <v>No</v>
      </c>
    </row>
    <row r="10" spans="1:17" x14ac:dyDescent="0.2">
      <c r="A10" s="335" t="s">
        <v>2733</v>
      </c>
      <c r="B10" s="336">
        <v>9003330100</v>
      </c>
      <c r="C10" s="318" t="s">
        <v>944</v>
      </c>
      <c r="D10" s="324">
        <f>[1]!Table32[[#This Row],[Residential CLM $ Collected]]+[1]!Table32[[#This Row],[C&amp;I CLM $ Collected]]</f>
        <v>0</v>
      </c>
      <c r="E10" s="325">
        <f>[1]!Table32[[#This Row],[CLM $ Collected ]]/'[1]1.) CLM Reference'!$B$4</f>
        <v>0</v>
      </c>
      <c r="F10" s="326">
        <f>[1]!Table32[[#This Row],[Residential Incentive Disbursements]]+[1]!Table32[[#This Row],[C&amp;I Incentive Disbursements]]</f>
        <v>196</v>
      </c>
      <c r="G10" s="325">
        <f>[1]!Table32[[#This Row],[Incentive Disbursements]]/'[1]1.) CLM Reference'!$B$5</f>
        <v>1.5737117044925174E-6</v>
      </c>
      <c r="H10" s="337">
        <v>0</v>
      </c>
      <c r="I10" s="325">
        <f>[1]!Table32[[#This Row],[Residential CLM $ Collected]]/'[1]1.) CLM Reference'!$B$4</f>
        <v>0</v>
      </c>
      <c r="J10" s="337">
        <v>0</v>
      </c>
      <c r="K10" s="325">
        <f>[1]!Table32[[#This Row],[Residential Incentive Disbursements]]/'[1]1.) CLM Reference'!$B$5</f>
        <v>0</v>
      </c>
      <c r="L10" s="337">
        <v>0</v>
      </c>
      <c r="M10" s="325">
        <f>[1]!Table32[[#This Row],[C&amp;I CLM $ Collected]]/'[1]1.) CLM Reference'!$B$4</f>
        <v>0</v>
      </c>
      <c r="N10" s="337">
        <v>196</v>
      </c>
      <c r="O10" s="325">
        <f>[1]!Table32[[#This Row],[C&amp;I Incentive Disbursements]]/'[1]1.) CLM Reference'!$B$5</f>
        <v>1.5737117044925174E-6</v>
      </c>
      <c r="P10" s="318">
        <f>VLOOKUP('3.) Large Load'!$B10,'Population and Diversity Data'!$B$2:$K$823,10,FALSE)</f>
        <v>3</v>
      </c>
      <c r="Q10" s="338" t="str">
        <f>VLOOKUP('3.) Large Load'!$B10,'ES Energy Burden'!$B$2:$E$914,4,FALSE)</f>
        <v>No</v>
      </c>
    </row>
    <row r="11" spans="1:17" x14ac:dyDescent="0.2">
      <c r="A11" s="329" t="s">
        <v>2733</v>
      </c>
      <c r="B11" s="330">
        <v>9005290100</v>
      </c>
      <c r="C11" s="319" t="s">
        <v>944</v>
      </c>
      <c r="D11" s="331">
        <f>[1]!Table32[[#This Row],[Residential CLM $ Collected]]+[1]!Table32[[#This Row],[C&amp;I CLM $ Collected]]</f>
        <v>6948.2365890000001</v>
      </c>
      <c r="E11" s="177">
        <f>[1]!Table32[[#This Row],[CLM $ Collected ]]/'[1]1.) CLM Reference'!$B$4</f>
        <v>7.4800353520455425E-5</v>
      </c>
      <c r="F11" s="332">
        <f>[1]!Table32[[#This Row],[Residential Incentive Disbursements]]+[1]!Table32[[#This Row],[C&amp;I Incentive Disbursements]]</f>
        <v>20729</v>
      </c>
      <c r="G11" s="177">
        <f>[1]!Table32[[#This Row],[Incentive Disbursements]]/'[1]1.) CLM Reference'!$B$5</f>
        <v>1.6643607103278263E-4</v>
      </c>
      <c r="H11" s="333">
        <v>0</v>
      </c>
      <c r="I11" s="177">
        <f>[1]!Table32[[#This Row],[Residential CLM $ Collected]]/'[1]1.) CLM Reference'!$B$4</f>
        <v>0</v>
      </c>
      <c r="J11" s="333">
        <v>0</v>
      </c>
      <c r="K11" s="177">
        <f>[1]!Table32[[#This Row],[Residential Incentive Disbursements]]/'[1]1.) CLM Reference'!$B$5</f>
        <v>0</v>
      </c>
      <c r="L11" s="333">
        <v>6948.2365890000001</v>
      </c>
      <c r="M11" s="177">
        <f>[1]!Table32[[#This Row],[C&amp;I CLM $ Collected]]/'[1]1.) CLM Reference'!$B$4</f>
        <v>7.4800353520455425E-5</v>
      </c>
      <c r="N11" s="333">
        <v>20729</v>
      </c>
      <c r="O11" s="177">
        <f>[1]!Table32[[#This Row],[C&amp;I Incentive Disbursements]]/'[1]1.) CLM Reference'!$B$5</f>
        <v>1.6643607103278263E-4</v>
      </c>
      <c r="P11" s="319">
        <f>VLOOKUP('3.) Large Load'!$B11,'Population and Diversity Data'!$B$2:$K$823,10,FALSE)</f>
        <v>2</v>
      </c>
      <c r="Q11" s="334" t="str">
        <f>VLOOKUP('3.) Large Load'!$B11,'ES Energy Burden'!$B$2:$E$914,4,FALSE)</f>
        <v>No</v>
      </c>
    </row>
    <row r="12" spans="1:17" x14ac:dyDescent="0.2">
      <c r="A12" s="335" t="s">
        <v>2734</v>
      </c>
      <c r="B12" s="336">
        <v>9009341100</v>
      </c>
      <c r="C12" s="318" t="s">
        <v>944</v>
      </c>
      <c r="D12" s="324">
        <f>[1]!Table32[[#This Row],[Residential CLM $ Collected]]+[1]!Table32[[#This Row],[C&amp;I CLM $ Collected]]</f>
        <v>27308.045751000001</v>
      </c>
      <c r="E12" s="325">
        <f>[1]!Table32[[#This Row],[CLM $ Collected ]]/'[1]1.) CLM Reference'!$B$4</f>
        <v>2.939812785536642E-4</v>
      </c>
      <c r="F12" s="326">
        <f>[1]!Table32[[#This Row],[Residential Incentive Disbursements]]+[1]!Table32[[#This Row],[C&amp;I Incentive Disbursements]]</f>
        <v>34018.92</v>
      </c>
      <c r="G12" s="325">
        <f>[1]!Table32[[#This Row],[Incentive Disbursements]]/'[1]1.) CLM Reference'!$B$5</f>
        <v>2.7314271723568668E-4</v>
      </c>
      <c r="H12" s="337">
        <v>0</v>
      </c>
      <c r="I12" s="325">
        <f>[1]!Table32[[#This Row],[Residential CLM $ Collected]]/'[1]1.) CLM Reference'!$B$4</f>
        <v>0</v>
      </c>
      <c r="J12" s="337">
        <v>0</v>
      </c>
      <c r="K12" s="325">
        <f>[1]!Table32[[#This Row],[Residential Incentive Disbursements]]/'[1]1.) CLM Reference'!$B$5</f>
        <v>0</v>
      </c>
      <c r="L12" s="337">
        <v>27308.045751000001</v>
      </c>
      <c r="M12" s="325">
        <f>[1]!Table32[[#This Row],[C&amp;I CLM $ Collected]]/'[1]1.) CLM Reference'!$B$4</f>
        <v>2.939812785536642E-4</v>
      </c>
      <c r="N12" s="337">
        <v>34018.92</v>
      </c>
      <c r="O12" s="325">
        <f>[1]!Table32[[#This Row],[C&amp;I Incentive Disbursements]]/'[1]1.) CLM Reference'!$B$5</f>
        <v>2.7314271723568668E-4</v>
      </c>
      <c r="P12" s="318">
        <f>VLOOKUP('3.) Large Load'!$B12,'Population and Diversity Data'!$B$2:$K$823,10,FALSE)</f>
        <v>1</v>
      </c>
      <c r="Q12" s="338" t="str">
        <f>VLOOKUP('3.) Large Load'!$B12,'ES Energy Burden'!$B$2:$E$914,4,FALSE)</f>
        <v>No</v>
      </c>
    </row>
    <row r="13" spans="1:17" x14ac:dyDescent="0.2">
      <c r="A13" s="329" t="s">
        <v>2735</v>
      </c>
      <c r="B13" s="330">
        <v>9003400100</v>
      </c>
      <c r="C13" s="319" t="s">
        <v>944</v>
      </c>
      <c r="D13" s="331">
        <f>[1]!Table32[[#This Row],[Residential CLM $ Collected]]+[1]!Table32[[#This Row],[C&amp;I CLM $ Collected]]</f>
        <v>0</v>
      </c>
      <c r="E13" s="177">
        <f>[1]!Table32[[#This Row],[CLM $ Collected ]]/'[1]1.) CLM Reference'!$B$4</f>
        <v>0</v>
      </c>
      <c r="F13" s="332">
        <f>[1]!Table32[[#This Row],[Residential Incentive Disbursements]]+[1]!Table32[[#This Row],[C&amp;I Incentive Disbursements]]</f>
        <v>429003.28</v>
      </c>
      <c r="G13" s="177">
        <f>[1]!Table32[[#This Row],[Incentive Disbursements]]/'[1]1.) CLM Reference'!$B$5</f>
        <v>3.4445279744983715E-3</v>
      </c>
      <c r="H13" s="333">
        <v>0</v>
      </c>
      <c r="I13" s="177">
        <f>[1]!Table32[[#This Row],[Residential CLM $ Collected]]/'[1]1.) CLM Reference'!$B$4</f>
        <v>0</v>
      </c>
      <c r="J13" s="333">
        <v>0</v>
      </c>
      <c r="K13" s="177">
        <f>[1]!Table32[[#This Row],[Residential Incentive Disbursements]]/'[1]1.) CLM Reference'!$B$5</f>
        <v>0</v>
      </c>
      <c r="L13" s="333">
        <v>0</v>
      </c>
      <c r="M13" s="177">
        <f>[1]!Table32[[#This Row],[C&amp;I CLM $ Collected]]/'[1]1.) CLM Reference'!$B$4</f>
        <v>0</v>
      </c>
      <c r="N13" s="333">
        <v>429003.28</v>
      </c>
      <c r="O13" s="177">
        <f>[1]!Table32[[#This Row],[C&amp;I Incentive Disbursements]]/'[1]1.) CLM Reference'!$B$5</f>
        <v>3.4445279744983715E-3</v>
      </c>
      <c r="P13" s="319">
        <f>VLOOKUP('3.) Large Load'!$B13,'Population and Diversity Data'!$B$2:$K$823,10,FALSE)</f>
        <v>2</v>
      </c>
      <c r="Q13" s="334" t="str">
        <f>VLOOKUP('3.) Large Load'!$B13,'ES Energy Burden'!$B$2:$E$914,4,FALSE)</f>
        <v>No</v>
      </c>
    </row>
    <row r="14" spans="1:17" x14ac:dyDescent="0.2">
      <c r="A14" s="335" t="s">
        <v>2735</v>
      </c>
      <c r="B14" s="336">
        <v>9003400200</v>
      </c>
      <c r="C14" s="318" t="s">
        <v>944</v>
      </c>
      <c r="D14" s="324">
        <f>[1]!Table32[[#This Row],[Residential CLM $ Collected]]+[1]!Table32[[#This Row],[C&amp;I CLM $ Collected]]</f>
        <v>309463.13913899998</v>
      </c>
      <c r="E14" s="325">
        <f>[1]!Table32[[#This Row],[CLM $ Collected ]]/'[1]1.) CLM Reference'!$B$4</f>
        <v>3.3314858975575803E-3</v>
      </c>
      <c r="F14" s="326">
        <f>[1]!Table32[[#This Row],[Residential Incentive Disbursements]]+[1]!Table32[[#This Row],[C&amp;I Incentive Disbursements]]</f>
        <v>1526523.0992000001</v>
      </c>
      <c r="G14" s="325">
        <f>[1]!Table32[[#This Row],[Incentive Disbursements]]/'[1]1.) CLM Reference'!$B$5</f>
        <v>1.2256669736679757E-2</v>
      </c>
      <c r="H14" s="337">
        <v>0</v>
      </c>
      <c r="I14" s="325">
        <f>[1]!Table32[[#This Row],[Residential CLM $ Collected]]/'[1]1.) CLM Reference'!$B$4</f>
        <v>0</v>
      </c>
      <c r="J14" s="337">
        <v>0</v>
      </c>
      <c r="K14" s="325">
        <f>[1]!Table32[[#This Row],[Residential Incentive Disbursements]]/'[1]1.) CLM Reference'!$B$5</f>
        <v>0</v>
      </c>
      <c r="L14" s="337">
        <v>309463.13913899998</v>
      </c>
      <c r="M14" s="325">
        <f>[1]!Table32[[#This Row],[C&amp;I CLM $ Collected]]/'[1]1.) CLM Reference'!$B$4</f>
        <v>3.3314858975575803E-3</v>
      </c>
      <c r="N14" s="337">
        <v>1526523.0992000001</v>
      </c>
      <c r="O14" s="325">
        <f>[1]!Table32[[#This Row],[C&amp;I Incentive Disbursements]]/'[1]1.) CLM Reference'!$B$5</f>
        <v>1.2256669736679757E-2</v>
      </c>
      <c r="P14" s="318">
        <f>VLOOKUP('3.) Large Load'!$B14,'Population and Diversity Data'!$B$2:$K$823,10,FALSE)</f>
        <v>2</v>
      </c>
      <c r="Q14" s="338" t="str">
        <f>VLOOKUP('3.) Large Load'!$B14,'ES Energy Burden'!$B$2:$E$914,4,FALSE)</f>
        <v>No</v>
      </c>
    </row>
    <row r="15" spans="1:17" x14ac:dyDescent="0.2">
      <c r="A15" s="329" t="s">
        <v>2735</v>
      </c>
      <c r="B15" s="330">
        <v>9003400300</v>
      </c>
      <c r="C15" s="319" t="s">
        <v>944</v>
      </c>
      <c r="D15" s="331">
        <f>[1]!Table32[[#This Row],[Residential CLM $ Collected]]+[1]!Table32[[#This Row],[C&amp;I CLM $ Collected]]</f>
        <v>13.418706</v>
      </c>
      <c r="E15" s="177">
        <f>[1]!Table32[[#This Row],[CLM $ Collected ]]/'[1]1.) CLM Reference'!$B$4</f>
        <v>1.444573655099896E-7</v>
      </c>
      <c r="F15" s="332">
        <f>[1]!Table32[[#This Row],[Residential Incentive Disbursements]]+[1]!Table32[[#This Row],[C&amp;I Incentive Disbursements]]</f>
        <v>0</v>
      </c>
      <c r="G15" s="177">
        <f>[1]!Table32[[#This Row],[Incentive Disbursements]]/'[1]1.) CLM Reference'!$B$5</f>
        <v>0</v>
      </c>
      <c r="H15" s="333">
        <v>0</v>
      </c>
      <c r="I15" s="177">
        <f>[1]!Table32[[#This Row],[Residential CLM $ Collected]]/'[1]1.) CLM Reference'!$B$4</f>
        <v>0</v>
      </c>
      <c r="J15" s="333">
        <v>0</v>
      </c>
      <c r="K15" s="177">
        <f>[1]!Table32[[#This Row],[Residential Incentive Disbursements]]/'[1]1.) CLM Reference'!$B$5</f>
        <v>0</v>
      </c>
      <c r="L15" s="333">
        <v>13.418706</v>
      </c>
      <c r="M15" s="177">
        <f>[1]!Table32[[#This Row],[C&amp;I CLM $ Collected]]/'[1]1.) CLM Reference'!$B$4</f>
        <v>1.444573655099896E-7</v>
      </c>
      <c r="N15" s="333">
        <v>0</v>
      </c>
      <c r="O15" s="177">
        <f>[1]!Table32[[#This Row],[C&amp;I Incentive Disbursements]]/'[1]1.) CLM Reference'!$B$5</f>
        <v>0</v>
      </c>
      <c r="P15" s="319">
        <f>VLOOKUP('3.) Large Load'!$B15,'Population and Diversity Data'!$B$2:$K$823,10,FALSE)</f>
        <v>2</v>
      </c>
      <c r="Q15" s="334" t="str">
        <f>VLOOKUP('3.) Large Load'!$B15,'ES Energy Burden'!$B$2:$E$914,4,FALSE)</f>
        <v>No</v>
      </c>
    </row>
    <row r="16" spans="1:17" x14ac:dyDescent="0.2">
      <c r="A16" s="335" t="s">
        <v>2736</v>
      </c>
      <c r="B16" s="336">
        <v>9009161100</v>
      </c>
      <c r="C16" s="318" t="s">
        <v>944</v>
      </c>
      <c r="D16" s="324">
        <f>[1]!Table32[[#This Row],[Residential CLM $ Collected]]+[1]!Table32[[#This Row],[C&amp;I CLM $ Collected]]</f>
        <v>20158.017075</v>
      </c>
      <c r="E16" s="325">
        <f>[1]!Table32[[#This Row],[CLM $ Collected ]]/'[1]1.) CLM Reference'!$B$4</f>
        <v>2.1700855809493749E-4</v>
      </c>
      <c r="F16" s="326">
        <f>[1]!Table32[[#This Row],[Residential Incentive Disbursements]]+[1]!Table32[[#This Row],[C&amp;I Incentive Disbursements]]</f>
        <v>37346.400000000001</v>
      </c>
      <c r="G16" s="325">
        <f>[1]!Table32[[#This Row],[Incentive Disbursements]]/'[1]1.) CLM Reference'!$B$5</f>
        <v>2.9985952449315998E-4</v>
      </c>
      <c r="H16" s="337">
        <v>0</v>
      </c>
      <c r="I16" s="325">
        <f>[1]!Table32[[#This Row],[Residential CLM $ Collected]]/'[1]1.) CLM Reference'!$B$4</f>
        <v>0</v>
      </c>
      <c r="J16" s="337">
        <v>0</v>
      </c>
      <c r="K16" s="325">
        <f>[1]!Table32[[#This Row],[Residential Incentive Disbursements]]/'[1]1.) CLM Reference'!$B$5</f>
        <v>0</v>
      </c>
      <c r="L16" s="337">
        <v>20158.017075</v>
      </c>
      <c r="M16" s="325">
        <f>[1]!Table32[[#This Row],[C&amp;I CLM $ Collected]]/'[1]1.) CLM Reference'!$B$4</f>
        <v>2.1700855809493749E-4</v>
      </c>
      <c r="N16" s="337">
        <v>37346.400000000001</v>
      </c>
      <c r="O16" s="325">
        <f>[1]!Table32[[#This Row],[C&amp;I Incentive Disbursements]]/'[1]1.) CLM Reference'!$B$5</f>
        <v>2.9985952449315998E-4</v>
      </c>
      <c r="P16" s="318">
        <f>VLOOKUP('3.) Large Load'!$B16,'Population and Diversity Data'!$B$2:$K$823,10,FALSE)</f>
        <v>4</v>
      </c>
      <c r="Q16" s="338" t="str">
        <f>VLOOKUP('3.) Large Load'!$B16,'ES Energy Burden'!$B$2:$E$914,4,FALSE)</f>
        <v>No</v>
      </c>
    </row>
    <row r="17" spans="1:17" x14ac:dyDescent="0.2">
      <c r="A17" s="329" t="s">
        <v>2737</v>
      </c>
      <c r="B17" s="330">
        <v>9001200100</v>
      </c>
      <c r="C17" s="319" t="s">
        <v>944</v>
      </c>
      <c r="D17" s="331">
        <f>[1]!Table32[[#This Row],[Residential CLM $ Collected]]+[1]!Table32[[#This Row],[C&amp;I CLM $ Collected]]</f>
        <v>212258.47771800001</v>
      </c>
      <c r="E17" s="177">
        <f>[1]!Table32[[#This Row],[CLM $ Collected ]]/'[1]1.) CLM Reference'!$B$4</f>
        <v>2.2850415307037139E-3</v>
      </c>
      <c r="F17" s="332">
        <f>[1]!Table32[[#This Row],[Residential Incentive Disbursements]]+[1]!Table32[[#This Row],[C&amp;I Incentive Disbursements]]</f>
        <v>259074.95</v>
      </c>
      <c r="G17" s="177">
        <f>[1]!Table32[[#This Row],[Incentive Disbursements]]/'[1]1.) CLM Reference'!$B$5</f>
        <v>2.0801493936521112E-3</v>
      </c>
      <c r="H17" s="333">
        <v>0</v>
      </c>
      <c r="I17" s="177">
        <f>[1]!Table32[[#This Row],[Residential CLM $ Collected]]/'[1]1.) CLM Reference'!$B$4</f>
        <v>0</v>
      </c>
      <c r="J17" s="333">
        <v>0</v>
      </c>
      <c r="K17" s="177">
        <f>[1]!Table32[[#This Row],[Residential Incentive Disbursements]]/'[1]1.) CLM Reference'!$B$5</f>
        <v>0</v>
      </c>
      <c r="L17" s="333">
        <v>212258.47771800001</v>
      </c>
      <c r="M17" s="177">
        <f>[1]!Table32[[#This Row],[C&amp;I CLM $ Collected]]/'[1]1.) CLM Reference'!$B$4</f>
        <v>2.2850415307037139E-3</v>
      </c>
      <c r="N17" s="333">
        <v>259074.95</v>
      </c>
      <c r="O17" s="177">
        <f>[1]!Table32[[#This Row],[C&amp;I Incentive Disbursements]]/'[1]1.) CLM Reference'!$B$5</f>
        <v>2.0801493936521112E-3</v>
      </c>
      <c r="P17" s="319">
        <f>VLOOKUP('3.) Large Load'!$B17,'Population and Diversity Data'!$B$2:$K$823,10,FALSE)</f>
        <v>4</v>
      </c>
      <c r="Q17" s="334" t="str">
        <f>VLOOKUP('3.) Large Load'!$B17,'ES Energy Burden'!$B$2:$E$914,4,FALSE)</f>
        <v>No</v>
      </c>
    </row>
    <row r="18" spans="1:17" x14ac:dyDescent="0.2">
      <c r="A18" s="335" t="s">
        <v>2737</v>
      </c>
      <c r="B18" s="336">
        <v>9001200200</v>
      </c>
      <c r="C18" s="318" t="s">
        <v>944</v>
      </c>
      <c r="D18" s="324">
        <f>[1]!Table32[[#This Row],[Residential CLM $ Collected]]+[1]!Table32[[#This Row],[C&amp;I CLM $ Collected]]</f>
        <v>706.24308300000007</v>
      </c>
      <c r="E18" s="325">
        <f>[1]!Table32[[#This Row],[CLM $ Collected ]]/'[1]1.) CLM Reference'!$B$4</f>
        <v>7.6029697036236523E-6</v>
      </c>
      <c r="F18" s="326">
        <f>[1]!Table32[[#This Row],[Residential Incentive Disbursements]]+[1]!Table32[[#This Row],[C&amp;I Incentive Disbursements]]</f>
        <v>0</v>
      </c>
      <c r="G18" s="325">
        <f>[1]!Table32[[#This Row],[Incentive Disbursements]]/'[1]1.) CLM Reference'!$B$5</f>
        <v>0</v>
      </c>
      <c r="H18" s="337">
        <v>0</v>
      </c>
      <c r="I18" s="325">
        <f>[1]!Table32[[#This Row],[Residential CLM $ Collected]]/'[1]1.) CLM Reference'!$B$4</f>
        <v>0</v>
      </c>
      <c r="J18" s="337">
        <v>0</v>
      </c>
      <c r="K18" s="325">
        <f>[1]!Table32[[#This Row],[Residential Incentive Disbursements]]/'[1]1.) CLM Reference'!$B$5</f>
        <v>0</v>
      </c>
      <c r="L18" s="337">
        <v>706.24308300000007</v>
      </c>
      <c r="M18" s="325">
        <f>[1]!Table32[[#This Row],[C&amp;I CLM $ Collected]]/'[1]1.) CLM Reference'!$B$4</f>
        <v>7.6029697036236523E-6</v>
      </c>
      <c r="N18" s="337">
        <v>0</v>
      </c>
      <c r="O18" s="325">
        <f>[1]!Table32[[#This Row],[C&amp;I Incentive Disbursements]]/'[1]1.) CLM Reference'!$B$5</f>
        <v>0</v>
      </c>
      <c r="P18" s="318">
        <f>VLOOKUP('3.) Large Load'!$B18,'Population and Diversity Data'!$B$2:$K$823,10,FALSE)</f>
        <v>4</v>
      </c>
      <c r="Q18" s="338" t="str">
        <f>VLOOKUP('3.) Large Load'!$B18,'ES Energy Burden'!$B$2:$E$914,4,FALSE)</f>
        <v>No</v>
      </c>
    </row>
    <row r="19" spans="1:17" x14ac:dyDescent="0.2">
      <c r="A19" s="329" t="s">
        <v>2737</v>
      </c>
      <c r="B19" s="330">
        <v>9001200301</v>
      </c>
      <c r="C19" s="319" t="s">
        <v>944</v>
      </c>
      <c r="D19" s="331">
        <f>[1]!Table32[[#This Row],[Residential CLM $ Collected]]+[1]!Table32[[#This Row],[C&amp;I CLM $ Collected]]</f>
        <v>9.2885729999999995</v>
      </c>
      <c r="E19" s="177">
        <f>[1]!Table32[[#This Row],[CLM $ Collected ]]/'[1]1.) CLM Reference'!$B$4</f>
        <v>9.9994946228587199E-8</v>
      </c>
      <c r="F19" s="332">
        <f>[1]!Table32[[#This Row],[Residential Incentive Disbursements]]+[1]!Table32[[#This Row],[C&amp;I Incentive Disbursements]]</f>
        <v>0</v>
      </c>
      <c r="G19" s="177">
        <f>[1]!Table32[[#This Row],[Incentive Disbursements]]/'[1]1.) CLM Reference'!$B$5</f>
        <v>0</v>
      </c>
      <c r="H19" s="333">
        <v>0</v>
      </c>
      <c r="I19" s="177">
        <f>[1]!Table32[[#This Row],[Residential CLM $ Collected]]/'[1]1.) CLM Reference'!$B$4</f>
        <v>0</v>
      </c>
      <c r="J19" s="333">
        <v>0</v>
      </c>
      <c r="K19" s="177">
        <f>[1]!Table32[[#This Row],[Residential Incentive Disbursements]]/'[1]1.) CLM Reference'!$B$5</f>
        <v>0</v>
      </c>
      <c r="L19" s="333">
        <v>9.2885729999999995</v>
      </c>
      <c r="M19" s="177">
        <f>[1]!Table32[[#This Row],[C&amp;I CLM $ Collected]]/'[1]1.) CLM Reference'!$B$4</f>
        <v>9.9994946228587199E-8</v>
      </c>
      <c r="N19" s="333">
        <v>0</v>
      </c>
      <c r="O19" s="177">
        <f>[1]!Table32[[#This Row],[C&amp;I Incentive Disbursements]]/'[1]1.) CLM Reference'!$B$5</f>
        <v>0</v>
      </c>
      <c r="P19" s="319">
        <f>VLOOKUP('3.) Large Load'!$B19,'Population and Diversity Data'!$B$2:$K$823,10,FALSE)</f>
        <v>4</v>
      </c>
      <c r="Q19" s="334" t="str">
        <f>VLOOKUP('3.) Large Load'!$B19,'ES Energy Burden'!$B$2:$E$914,4,FALSE)</f>
        <v>No</v>
      </c>
    </row>
    <row r="20" spans="1:17" x14ac:dyDescent="0.2">
      <c r="A20" s="335" t="s">
        <v>2738</v>
      </c>
      <c r="B20" s="336">
        <v>9005303100</v>
      </c>
      <c r="C20" s="318" t="s">
        <v>944</v>
      </c>
      <c r="D20" s="324">
        <f>[1]!Table32[[#This Row],[Residential CLM $ Collected]]+[1]!Table32[[#This Row],[C&amp;I CLM $ Collected]]</f>
        <v>0</v>
      </c>
      <c r="E20" s="325">
        <f>[1]!Table32[[#This Row],[CLM $ Collected ]]/'[1]1.) CLM Reference'!$B$4</f>
        <v>0</v>
      </c>
      <c r="F20" s="326">
        <f>[1]!Table32[[#This Row],[Residential Incentive Disbursements]]+[1]!Table32[[#This Row],[C&amp;I Incentive Disbursements]]</f>
        <v>576</v>
      </c>
      <c r="G20" s="325">
        <f>[1]!Table32[[#This Row],[Incentive Disbursements]]/'[1]1.) CLM Reference'!$B$5</f>
        <v>4.6247854172841331E-6</v>
      </c>
      <c r="H20" s="337">
        <v>0</v>
      </c>
      <c r="I20" s="325">
        <f>[1]!Table32[[#This Row],[Residential CLM $ Collected]]/'[1]1.) CLM Reference'!$B$4</f>
        <v>0</v>
      </c>
      <c r="J20" s="337">
        <v>0</v>
      </c>
      <c r="K20" s="325">
        <f>[1]!Table32[[#This Row],[Residential Incentive Disbursements]]/'[1]1.) CLM Reference'!$B$5</f>
        <v>0</v>
      </c>
      <c r="L20" s="337">
        <v>0</v>
      </c>
      <c r="M20" s="325">
        <f>[1]!Table32[[#This Row],[C&amp;I CLM $ Collected]]/'[1]1.) CLM Reference'!$B$4</f>
        <v>0</v>
      </c>
      <c r="N20" s="337">
        <v>576</v>
      </c>
      <c r="O20" s="325">
        <f>[1]!Table32[[#This Row],[C&amp;I Incentive Disbursements]]/'[1]1.) CLM Reference'!$B$5</f>
        <v>4.6247854172841331E-6</v>
      </c>
      <c r="P20" s="318">
        <f>VLOOKUP('3.) Large Load'!$B20,'Population and Diversity Data'!$B$2:$K$823,10,FALSE)</f>
        <v>1</v>
      </c>
      <c r="Q20" s="338" t="str">
        <f>VLOOKUP('3.) Large Load'!$B20,'ES Energy Burden'!$B$2:$E$914,4,FALSE)</f>
        <v>No</v>
      </c>
    </row>
    <row r="21" spans="1:17" x14ac:dyDescent="0.2">
      <c r="A21" s="329" t="s">
        <v>2738</v>
      </c>
      <c r="B21" s="330">
        <v>9005342100</v>
      </c>
      <c r="C21" s="319" t="s">
        <v>944</v>
      </c>
      <c r="D21" s="331">
        <f>[1]!Table32[[#This Row],[Residential CLM $ Collected]]+[1]!Table32[[#This Row],[C&amp;I CLM $ Collected]]</f>
        <v>929.15482800000007</v>
      </c>
      <c r="E21" s="177">
        <f>[1]!Table32[[#This Row],[CLM $ Collected ]]/'[1]1.) CLM Reference'!$B$4</f>
        <v>1.0002697622540319E-5</v>
      </c>
      <c r="F21" s="332">
        <f>[1]!Table32[[#This Row],[Residential Incentive Disbursements]]+[1]!Table32[[#This Row],[C&amp;I Incentive Disbursements]]</f>
        <v>25283.25</v>
      </c>
      <c r="G21" s="177">
        <f>[1]!Table32[[#This Row],[Incentive Disbursements]]/'[1]1.) CLM Reference'!$B$5</f>
        <v>2.0300278802352266E-4</v>
      </c>
      <c r="H21" s="333">
        <v>0</v>
      </c>
      <c r="I21" s="177">
        <f>[1]!Table32[[#This Row],[Residential CLM $ Collected]]/'[1]1.) CLM Reference'!$B$4</f>
        <v>0</v>
      </c>
      <c r="J21" s="333">
        <v>0</v>
      </c>
      <c r="K21" s="177">
        <f>[1]!Table32[[#This Row],[Residential Incentive Disbursements]]/'[1]1.) CLM Reference'!$B$5</f>
        <v>0</v>
      </c>
      <c r="L21" s="333">
        <v>929.15482800000007</v>
      </c>
      <c r="M21" s="177">
        <f>[1]!Table32[[#This Row],[C&amp;I CLM $ Collected]]/'[1]1.) CLM Reference'!$B$4</f>
        <v>1.0002697622540319E-5</v>
      </c>
      <c r="N21" s="333">
        <v>25283.25</v>
      </c>
      <c r="O21" s="177">
        <f>[1]!Table32[[#This Row],[C&amp;I Incentive Disbursements]]/'[1]1.) CLM Reference'!$B$5</f>
        <v>2.0300278802352266E-4</v>
      </c>
      <c r="P21" s="319">
        <f>VLOOKUP('3.) Large Load'!$B21,'Population and Diversity Data'!$B$2:$K$823,10,FALSE)</f>
        <v>2</v>
      </c>
      <c r="Q21" s="334" t="str">
        <f>VLOOKUP('3.) Large Load'!$B21,'ES Energy Burden'!$B$2:$E$914,4,FALSE)</f>
        <v>No</v>
      </c>
    </row>
    <row r="22" spans="1:17" x14ac:dyDescent="0.2">
      <c r="A22" s="335" t="s">
        <v>2739</v>
      </c>
      <c r="B22" s="336">
        <v>9003471300</v>
      </c>
      <c r="C22" s="318" t="s">
        <v>944</v>
      </c>
      <c r="D22" s="324">
        <f>[1]!Table32[[#This Row],[Residential CLM $ Collected]]+[1]!Table32[[#This Row],[C&amp;I CLM $ Collected]]</f>
        <v>772596.780165</v>
      </c>
      <c r="E22" s="325">
        <f>[1]!Table32[[#This Row],[CLM $ Collected ]]/'[1]1.) CLM Reference'!$B$4</f>
        <v>8.3172919552851436E-3</v>
      </c>
      <c r="F22" s="326">
        <f>[1]!Table32[[#This Row],[Residential Incentive Disbursements]]+[1]!Table32[[#This Row],[C&amp;I Incentive Disbursements]]</f>
        <v>1548701.432</v>
      </c>
      <c r="G22" s="325">
        <f>[1]!Table32[[#This Row],[Incentive Disbursements]]/'[1]1.) CLM Reference'!$B$5</f>
        <v>1.2434742705626136E-2</v>
      </c>
      <c r="H22" s="337">
        <v>0</v>
      </c>
      <c r="I22" s="325">
        <f>[1]!Table32[[#This Row],[Residential CLM $ Collected]]/'[1]1.) CLM Reference'!$B$4</f>
        <v>0</v>
      </c>
      <c r="J22" s="337">
        <v>0</v>
      </c>
      <c r="K22" s="325">
        <f>[1]!Table32[[#This Row],[Residential Incentive Disbursements]]/'[1]1.) CLM Reference'!$B$5</f>
        <v>0</v>
      </c>
      <c r="L22" s="337">
        <v>772596.780165</v>
      </c>
      <c r="M22" s="325">
        <f>[1]!Table32[[#This Row],[C&amp;I CLM $ Collected]]/'[1]1.) CLM Reference'!$B$4</f>
        <v>8.3172919552851436E-3</v>
      </c>
      <c r="N22" s="337">
        <v>1548701.432</v>
      </c>
      <c r="O22" s="325">
        <f>[1]!Table32[[#This Row],[C&amp;I Incentive Disbursements]]/'[1]1.) CLM Reference'!$B$5</f>
        <v>1.2434742705626136E-2</v>
      </c>
      <c r="P22" s="318">
        <f>VLOOKUP('3.) Large Load'!$B22,'Population and Diversity Data'!$B$2:$K$823,10,FALSE)</f>
        <v>1</v>
      </c>
      <c r="Q22" s="338" t="str">
        <f>VLOOKUP('3.) Large Load'!$B22,'ES Energy Burden'!$B$2:$E$914,4,FALSE)</f>
        <v>No</v>
      </c>
    </row>
    <row r="23" spans="1:17" x14ac:dyDescent="0.2">
      <c r="A23" s="329" t="s">
        <v>2740</v>
      </c>
      <c r="B23" s="330">
        <v>9013529100</v>
      </c>
      <c r="C23" s="319" t="s">
        <v>944</v>
      </c>
      <c r="D23" s="331">
        <f>[1]!Table32[[#This Row],[Residential CLM $ Collected]]+[1]!Table32[[#This Row],[C&amp;I CLM $ Collected]]</f>
        <v>18444.647508000002</v>
      </c>
      <c r="E23" s="177">
        <f>[1]!Table32[[#This Row],[CLM $ Collected ]]/'[1]1.) CLM Reference'!$B$4</f>
        <v>1.9856349686520256E-4</v>
      </c>
      <c r="F23" s="332">
        <f>[1]!Table32[[#This Row],[Residential Incentive Disbursements]]+[1]!Table32[[#This Row],[C&amp;I Incentive Disbursements]]</f>
        <v>14115.2</v>
      </c>
      <c r="G23" s="177">
        <f>[1]!Table32[[#This Row],[Incentive Disbursements]]/'[1]1.) CLM Reference'!$B$5</f>
        <v>1.1333293597577951E-4</v>
      </c>
      <c r="H23" s="333">
        <v>0</v>
      </c>
      <c r="I23" s="177">
        <f>[1]!Table32[[#This Row],[Residential CLM $ Collected]]/'[1]1.) CLM Reference'!$B$4</f>
        <v>0</v>
      </c>
      <c r="J23" s="333">
        <v>0</v>
      </c>
      <c r="K23" s="177">
        <f>[1]!Table32[[#This Row],[Residential Incentive Disbursements]]/'[1]1.) CLM Reference'!$B$5</f>
        <v>0</v>
      </c>
      <c r="L23" s="333">
        <v>18444.647508000002</v>
      </c>
      <c r="M23" s="177">
        <f>[1]!Table32[[#This Row],[C&amp;I CLM $ Collected]]/'[1]1.) CLM Reference'!$B$4</f>
        <v>1.9856349686520256E-4</v>
      </c>
      <c r="N23" s="333">
        <v>14115.2</v>
      </c>
      <c r="O23" s="177">
        <f>[1]!Table32[[#This Row],[C&amp;I Incentive Disbursements]]/'[1]1.) CLM Reference'!$B$5</f>
        <v>1.1333293597577951E-4</v>
      </c>
      <c r="P23" s="319">
        <f>VLOOKUP('3.) Large Load'!$B23,'Population and Diversity Data'!$B$2:$K$823,10,FALSE)</f>
        <v>2</v>
      </c>
      <c r="Q23" s="334" t="str">
        <f>VLOOKUP('3.) Large Load'!$B23,'ES Energy Burden'!$B$2:$E$914,4,FALSE)</f>
        <v>No</v>
      </c>
    </row>
    <row r="24" spans="1:17" x14ac:dyDescent="0.2">
      <c r="A24" s="335" t="s">
        <v>2741</v>
      </c>
      <c r="B24" s="336">
        <v>9009184100</v>
      </c>
      <c r="C24" s="318" t="s">
        <v>936</v>
      </c>
      <c r="D24" s="324">
        <f>[1]!Table32[[#This Row],[Residential CLM $ Collected]]+[1]!Table32[[#This Row],[C&amp;I CLM $ Collected]]</f>
        <v>13.179620999999999</v>
      </c>
      <c r="E24" s="325">
        <f>[1]!Table32[[#This Row],[CLM $ Collected ]]/'[1]1.) CLM Reference'!$B$4</f>
        <v>1.4188352648013412E-7</v>
      </c>
      <c r="F24" s="326">
        <f>[1]!Table32[[#This Row],[Residential Incentive Disbursements]]+[1]!Table32[[#This Row],[C&amp;I Incentive Disbursements]]</f>
        <v>3384.8</v>
      </c>
      <c r="G24" s="325">
        <f>[1]!Table32[[#This Row],[Incentive Disbursements]]/'[1]1.) CLM Reference'!$B$5</f>
        <v>2.7177037639623844E-5</v>
      </c>
      <c r="H24" s="337">
        <v>0</v>
      </c>
      <c r="I24" s="325">
        <f>[1]!Table32[[#This Row],[Residential CLM $ Collected]]/'[1]1.) CLM Reference'!$B$4</f>
        <v>0</v>
      </c>
      <c r="J24" s="337">
        <v>0</v>
      </c>
      <c r="K24" s="325">
        <f>[1]!Table32[[#This Row],[Residential Incentive Disbursements]]/'[1]1.) CLM Reference'!$B$5</f>
        <v>0</v>
      </c>
      <c r="L24" s="337">
        <v>13.179620999999999</v>
      </c>
      <c r="M24" s="325">
        <f>[1]!Table32[[#This Row],[C&amp;I CLM $ Collected]]/'[1]1.) CLM Reference'!$B$4</f>
        <v>1.4188352648013412E-7</v>
      </c>
      <c r="N24" s="337">
        <v>3384.8</v>
      </c>
      <c r="O24" s="325">
        <f>[1]!Table32[[#This Row],[C&amp;I Incentive Disbursements]]/'[1]1.) CLM Reference'!$B$5</f>
        <v>2.7177037639623844E-5</v>
      </c>
      <c r="P24" s="318">
        <f>VLOOKUP('3.) Large Load'!$B24,'Population and Diversity Data'!$B$2:$K$823,10,FALSE)</f>
        <v>3</v>
      </c>
      <c r="Q24" s="338" t="str">
        <f>VLOOKUP('3.) Large Load'!$B24,'ES Energy Burden'!$B$2:$E$914,4,FALSE)</f>
        <v>No</v>
      </c>
    </row>
    <row r="25" spans="1:17" x14ac:dyDescent="0.2">
      <c r="A25" s="329" t="s">
        <v>2741</v>
      </c>
      <c r="B25" s="330">
        <v>9009184200</v>
      </c>
      <c r="C25" s="319" t="s">
        <v>944</v>
      </c>
      <c r="D25" s="331">
        <f>[1]!Table32[[#This Row],[Residential CLM $ Collected]]+[1]!Table32[[#This Row],[C&amp;I CLM $ Collected]]</f>
        <v>0.66702300000000003</v>
      </c>
      <c r="E25" s="177">
        <f>[1]!Table32[[#This Row],[CLM $ Collected ]]/'[1]1.) CLM Reference'!$B$4</f>
        <v>7.1807509095563902E-9</v>
      </c>
      <c r="F25" s="332">
        <f>[1]!Table32[[#This Row],[Residential Incentive Disbursements]]+[1]!Table32[[#This Row],[C&amp;I Incentive Disbursements]]</f>
        <v>0</v>
      </c>
      <c r="G25" s="177">
        <f>[1]!Table32[[#This Row],[Incentive Disbursements]]/'[1]1.) CLM Reference'!$B$5</f>
        <v>0</v>
      </c>
      <c r="H25" s="333">
        <v>0</v>
      </c>
      <c r="I25" s="177">
        <f>[1]!Table32[[#This Row],[Residential CLM $ Collected]]/'[1]1.) CLM Reference'!$B$4</f>
        <v>0</v>
      </c>
      <c r="J25" s="333">
        <v>0</v>
      </c>
      <c r="K25" s="177">
        <f>[1]!Table32[[#This Row],[Residential Incentive Disbursements]]/'[1]1.) CLM Reference'!$B$5</f>
        <v>0</v>
      </c>
      <c r="L25" s="333">
        <v>0.66702300000000003</v>
      </c>
      <c r="M25" s="177">
        <f>[1]!Table32[[#This Row],[C&amp;I CLM $ Collected]]/'[1]1.) CLM Reference'!$B$4</f>
        <v>7.1807509095563902E-9</v>
      </c>
      <c r="N25" s="333">
        <v>0</v>
      </c>
      <c r="O25" s="177">
        <f>[1]!Table32[[#This Row],[C&amp;I Incentive Disbursements]]/'[1]1.) CLM Reference'!$B$5</f>
        <v>0</v>
      </c>
      <c r="P25" s="319">
        <f>VLOOKUP('3.) Large Load'!$B25,'Population and Diversity Data'!$B$2:$K$823,10,FALSE)</f>
        <v>5</v>
      </c>
      <c r="Q25" s="334" t="str">
        <f>VLOOKUP('3.) Large Load'!$B25,'ES Energy Burden'!$B$2:$E$914,4,FALSE)</f>
        <v>No</v>
      </c>
    </row>
    <row r="26" spans="1:17" x14ac:dyDescent="0.2">
      <c r="A26" s="335" t="s">
        <v>2741</v>
      </c>
      <c r="B26" s="336">
        <v>9009184300</v>
      </c>
      <c r="C26" s="318" t="s">
        <v>944</v>
      </c>
      <c r="D26" s="324">
        <f>[1]!Table32[[#This Row],[Residential CLM $ Collected]]+[1]!Table32[[#This Row],[C&amp;I CLM $ Collected]]</f>
        <v>349273.05835799995</v>
      </c>
      <c r="E26" s="325">
        <f>[1]!Table32[[#This Row],[CLM $ Collected ]]/'[1]1.) CLM Reference'!$B$4</f>
        <v>3.7600544981023897E-3</v>
      </c>
      <c r="F26" s="326">
        <f>[1]!Table32[[#This Row],[Residential Incentive Disbursements]]+[1]!Table32[[#This Row],[C&amp;I Incentive Disbursements]]</f>
        <v>513191.43</v>
      </c>
      <c r="G26" s="325">
        <f>[1]!Table32[[#This Row],[Incentive Disbursements]]/'[1]1.) CLM Reference'!$B$5</f>
        <v>4.1204865307972061E-3</v>
      </c>
      <c r="H26" s="337">
        <v>0</v>
      </c>
      <c r="I26" s="325">
        <f>[1]!Table32[[#This Row],[Residential CLM $ Collected]]/'[1]1.) CLM Reference'!$B$4</f>
        <v>0</v>
      </c>
      <c r="J26" s="337">
        <v>0</v>
      </c>
      <c r="K26" s="325">
        <f>[1]!Table32[[#This Row],[Residential Incentive Disbursements]]/'[1]1.) CLM Reference'!$B$5</f>
        <v>0</v>
      </c>
      <c r="L26" s="337">
        <v>349273.05835799995</v>
      </c>
      <c r="M26" s="325">
        <f>[1]!Table32[[#This Row],[C&amp;I CLM $ Collected]]/'[1]1.) CLM Reference'!$B$4</f>
        <v>3.7600544981023897E-3</v>
      </c>
      <c r="N26" s="337">
        <v>513191.43</v>
      </c>
      <c r="O26" s="325">
        <f>[1]!Table32[[#This Row],[C&amp;I Incentive Disbursements]]/'[1]1.) CLM Reference'!$B$5</f>
        <v>4.1204865307972061E-3</v>
      </c>
      <c r="P26" s="318">
        <f>VLOOKUP('3.) Large Load'!$B26,'Population and Diversity Data'!$B$2:$K$823,10,FALSE)</f>
        <v>2</v>
      </c>
      <c r="Q26" s="338" t="str">
        <f>VLOOKUP('3.) Large Load'!$B26,'ES Energy Burden'!$B$2:$E$914,4,FALSE)</f>
        <v>No</v>
      </c>
    </row>
    <row r="27" spans="1:17" x14ac:dyDescent="0.2">
      <c r="A27" s="329" t="s">
        <v>2742</v>
      </c>
      <c r="B27" s="330">
        <v>9005250100</v>
      </c>
      <c r="C27" s="319" t="s">
        <v>944</v>
      </c>
      <c r="D27" s="331">
        <f>[1]!Table32[[#This Row],[Residential CLM $ Collected]]+[1]!Table32[[#This Row],[C&amp;I CLM $ Collected]]</f>
        <v>330.491784</v>
      </c>
      <c r="E27" s="177">
        <f>[1]!Table32[[#This Row],[CLM $ Collected ]]/'[1]1.) CLM Reference'!$B$4</f>
        <v>3.5578670878798991E-6</v>
      </c>
      <c r="F27" s="332">
        <f>[1]!Table32[[#This Row],[Residential Incentive Disbursements]]+[1]!Table32[[#This Row],[C&amp;I Incentive Disbursements]]</f>
        <v>5567</v>
      </c>
      <c r="G27" s="177">
        <f>[1]!Table32[[#This Row],[Incentive Disbursements]]/'[1]1.) CLM Reference'!$B$5</f>
        <v>4.469822989239717E-5</v>
      </c>
      <c r="H27" s="333">
        <v>0</v>
      </c>
      <c r="I27" s="177">
        <f>[1]!Table32[[#This Row],[Residential CLM $ Collected]]/'[1]1.) CLM Reference'!$B$4</f>
        <v>0</v>
      </c>
      <c r="J27" s="333">
        <v>0</v>
      </c>
      <c r="K27" s="177">
        <f>[1]!Table32[[#This Row],[Residential Incentive Disbursements]]/'[1]1.) CLM Reference'!$B$5</f>
        <v>0</v>
      </c>
      <c r="L27" s="333">
        <v>330.491784</v>
      </c>
      <c r="M27" s="177">
        <f>[1]!Table32[[#This Row],[C&amp;I CLM $ Collected]]/'[1]1.) CLM Reference'!$B$4</f>
        <v>3.5578670878798991E-6</v>
      </c>
      <c r="N27" s="333">
        <v>5567</v>
      </c>
      <c r="O27" s="177">
        <f>[1]!Table32[[#This Row],[C&amp;I Incentive Disbursements]]/'[1]1.) CLM Reference'!$B$5</f>
        <v>4.469822989239717E-5</v>
      </c>
      <c r="P27" s="319">
        <f>VLOOKUP('3.) Large Load'!$B27,'Population and Diversity Data'!$B$2:$K$823,10,FALSE)</f>
        <v>2</v>
      </c>
      <c r="Q27" s="334" t="str">
        <f>VLOOKUP('3.) Large Load'!$B27,'ES Energy Burden'!$B$2:$E$914,4,FALSE)</f>
        <v>No</v>
      </c>
    </row>
    <row r="28" spans="1:17" x14ac:dyDescent="0.2">
      <c r="A28" s="335" t="s">
        <v>2743</v>
      </c>
      <c r="B28" s="336">
        <v>9003405100</v>
      </c>
      <c r="C28" s="318" t="s">
        <v>944</v>
      </c>
      <c r="D28" s="324">
        <f>[1]!Table32[[#This Row],[Residential CLM $ Collected]]+[1]!Table32[[#This Row],[C&amp;I CLM $ Collected]]</f>
        <v>0</v>
      </c>
      <c r="E28" s="325">
        <f>[1]!Table32[[#This Row],[CLM $ Collected ]]/'[1]1.) CLM Reference'!$B$4</f>
        <v>0</v>
      </c>
      <c r="F28" s="326">
        <f>[1]!Table32[[#This Row],[Residential Incentive Disbursements]]+[1]!Table32[[#This Row],[C&amp;I Incentive Disbursements]]</f>
        <v>270</v>
      </c>
      <c r="G28" s="325">
        <f>[1]!Table32[[#This Row],[Incentive Disbursements]]/'[1]1.) CLM Reference'!$B$5</f>
        <v>2.1678681643519373E-6</v>
      </c>
      <c r="H28" s="337">
        <v>0</v>
      </c>
      <c r="I28" s="325">
        <f>[1]!Table32[[#This Row],[Residential CLM $ Collected]]/'[1]1.) CLM Reference'!$B$4</f>
        <v>0</v>
      </c>
      <c r="J28" s="337">
        <v>0</v>
      </c>
      <c r="K28" s="325">
        <f>[1]!Table32[[#This Row],[Residential Incentive Disbursements]]/'[1]1.) CLM Reference'!$B$5</f>
        <v>0</v>
      </c>
      <c r="L28" s="337">
        <v>0</v>
      </c>
      <c r="M28" s="325">
        <f>[1]!Table32[[#This Row],[C&amp;I CLM $ Collected]]/'[1]1.) CLM Reference'!$B$4</f>
        <v>0</v>
      </c>
      <c r="N28" s="337">
        <v>270</v>
      </c>
      <c r="O28" s="325">
        <f>[1]!Table32[[#This Row],[C&amp;I Incentive Disbursements]]/'[1]1.) CLM Reference'!$B$5</f>
        <v>2.1678681643519373E-6</v>
      </c>
      <c r="P28" s="318">
        <f>VLOOKUP('3.) Large Load'!$B28,'Population and Diversity Data'!$B$2:$K$823,10,FALSE)</f>
        <v>4</v>
      </c>
      <c r="Q28" s="338" t="str">
        <f>VLOOKUP('3.) Large Load'!$B28,'ES Energy Burden'!$B$2:$E$914,4,FALSE)</f>
        <v>No</v>
      </c>
    </row>
    <row r="29" spans="1:17" x14ac:dyDescent="0.2">
      <c r="A29" s="329" t="s">
        <v>2743</v>
      </c>
      <c r="B29" s="330">
        <v>9003405402</v>
      </c>
      <c r="C29" s="319" t="s">
        <v>944</v>
      </c>
      <c r="D29" s="331">
        <f>[1]!Table32[[#This Row],[Residential CLM $ Collected]]+[1]!Table32[[#This Row],[C&amp;I CLM $ Collected]]</f>
        <v>21.807449999999999</v>
      </c>
      <c r="E29" s="177">
        <f>[1]!Table32[[#This Row],[CLM $ Collected ]]/'[1]1.) CLM Reference'!$B$4</f>
        <v>2.3476531757166617E-7</v>
      </c>
      <c r="F29" s="332">
        <f>[1]!Table32[[#This Row],[Residential Incentive Disbursements]]+[1]!Table32[[#This Row],[C&amp;I Incentive Disbursements]]</f>
        <v>0</v>
      </c>
      <c r="G29" s="177">
        <f>[1]!Table32[[#This Row],[Incentive Disbursements]]/'[1]1.) CLM Reference'!$B$5</f>
        <v>0</v>
      </c>
      <c r="H29" s="333">
        <v>0</v>
      </c>
      <c r="I29" s="177">
        <f>[1]!Table32[[#This Row],[Residential CLM $ Collected]]/'[1]1.) CLM Reference'!$B$4</f>
        <v>0</v>
      </c>
      <c r="J29" s="333">
        <v>0</v>
      </c>
      <c r="K29" s="177">
        <f>[1]!Table32[[#This Row],[Residential Incentive Disbursements]]/'[1]1.) CLM Reference'!$B$5</f>
        <v>0</v>
      </c>
      <c r="L29" s="333">
        <v>21.807449999999999</v>
      </c>
      <c r="M29" s="177">
        <f>[1]!Table32[[#This Row],[C&amp;I CLM $ Collected]]/'[1]1.) CLM Reference'!$B$4</f>
        <v>2.3476531757166617E-7</v>
      </c>
      <c r="N29" s="333">
        <v>0</v>
      </c>
      <c r="O29" s="177">
        <f>[1]!Table32[[#This Row],[C&amp;I Incentive Disbursements]]/'[1]1.) CLM Reference'!$B$5</f>
        <v>0</v>
      </c>
      <c r="P29" s="319">
        <f>VLOOKUP('3.) Large Load'!$B29,'Population and Diversity Data'!$B$2:$K$823,10,FALSE)</f>
        <v>5</v>
      </c>
      <c r="Q29" s="334" t="str">
        <f>VLOOKUP('3.) Large Load'!$B29,'ES Energy Burden'!$B$2:$E$914,4,FALSE)</f>
        <v>No</v>
      </c>
    </row>
    <row r="30" spans="1:17" x14ac:dyDescent="0.2">
      <c r="A30" s="335" t="s">
        <v>2743</v>
      </c>
      <c r="B30" s="336">
        <v>9003406001</v>
      </c>
      <c r="C30" s="318" t="s">
        <v>944</v>
      </c>
      <c r="D30" s="324">
        <f>[1]!Table32[[#This Row],[Residential CLM $ Collected]]+[1]!Table32[[#This Row],[C&amp;I CLM $ Collected]]</f>
        <v>864300.70624800003</v>
      </c>
      <c r="E30" s="325">
        <f>[1]!Table32[[#This Row],[CLM $ Collected ]]/'[1]1.) CLM Reference'!$B$4</f>
        <v>9.3045188584509921E-3</v>
      </c>
      <c r="F30" s="326">
        <f>[1]!Table32[[#This Row],[Residential Incentive Disbursements]]+[1]!Table32[[#This Row],[C&amp;I Incentive Disbursements]]</f>
        <v>321891.07799999998</v>
      </c>
      <c r="G30" s="325">
        <f>[1]!Table32[[#This Row],[Incentive Disbursements]]/'[1]1.) CLM Reference'!$B$5</f>
        <v>2.5845089643893563E-3</v>
      </c>
      <c r="H30" s="337">
        <v>0</v>
      </c>
      <c r="I30" s="325">
        <f>[1]!Table32[[#This Row],[Residential CLM $ Collected]]/'[1]1.) CLM Reference'!$B$4</f>
        <v>0</v>
      </c>
      <c r="J30" s="337">
        <v>0</v>
      </c>
      <c r="K30" s="325">
        <f>[1]!Table32[[#This Row],[Residential Incentive Disbursements]]/'[1]1.) CLM Reference'!$B$5</f>
        <v>0</v>
      </c>
      <c r="L30" s="337">
        <v>864300.70624800003</v>
      </c>
      <c r="M30" s="325">
        <f>[1]!Table32[[#This Row],[C&amp;I CLM $ Collected]]/'[1]1.) CLM Reference'!$B$4</f>
        <v>9.3045188584509921E-3</v>
      </c>
      <c r="N30" s="337">
        <v>321891.07799999998</v>
      </c>
      <c r="O30" s="325">
        <f>[1]!Table32[[#This Row],[C&amp;I Incentive Disbursements]]/'[1]1.) CLM Reference'!$B$5</f>
        <v>2.5845089643893563E-3</v>
      </c>
      <c r="P30" s="318">
        <f>VLOOKUP('3.) Large Load'!$B30,'Population and Diversity Data'!$B$2:$K$823,10,FALSE)</f>
        <v>4</v>
      </c>
      <c r="Q30" s="338" t="str">
        <f>VLOOKUP('3.) Large Load'!$B30,'ES Energy Burden'!$B$2:$E$914,4,FALSE)</f>
        <v>No</v>
      </c>
    </row>
    <row r="31" spans="1:17" x14ac:dyDescent="0.2">
      <c r="A31" s="329" t="s">
        <v>2744</v>
      </c>
      <c r="B31" s="330">
        <v>9001205300</v>
      </c>
      <c r="C31" s="319" t="s">
        <v>944</v>
      </c>
      <c r="D31" s="331">
        <f>[1]!Table32[[#This Row],[Residential CLM $ Collected]]+[1]!Table32[[#This Row],[C&amp;I CLM $ Collected]]</f>
        <v>169956.23647800001</v>
      </c>
      <c r="E31" s="177">
        <f>[1]!Table32[[#This Row],[CLM $ Collected ]]/'[1]1.) CLM Reference'!$B$4</f>
        <v>1.8296421557790054E-3</v>
      </c>
      <c r="F31" s="332">
        <f>[1]!Table32[[#This Row],[Residential Incentive Disbursements]]+[1]!Table32[[#This Row],[C&amp;I Incentive Disbursements]]</f>
        <v>234071.87</v>
      </c>
      <c r="G31" s="177">
        <f>[1]!Table32[[#This Row],[Incentive Disbursements]]/'[1]1.) CLM Reference'!$B$5</f>
        <v>1.879396130160464E-3</v>
      </c>
      <c r="H31" s="333">
        <v>0</v>
      </c>
      <c r="I31" s="177">
        <f>[1]!Table32[[#This Row],[Residential CLM $ Collected]]/'[1]1.) CLM Reference'!$B$4</f>
        <v>0</v>
      </c>
      <c r="J31" s="333">
        <v>0</v>
      </c>
      <c r="K31" s="177">
        <f>[1]!Table32[[#This Row],[Residential Incentive Disbursements]]/'[1]1.) CLM Reference'!$B$5</f>
        <v>0</v>
      </c>
      <c r="L31" s="333">
        <v>169956.23647800001</v>
      </c>
      <c r="M31" s="177">
        <f>[1]!Table32[[#This Row],[C&amp;I CLM $ Collected]]/'[1]1.) CLM Reference'!$B$4</f>
        <v>1.8296421557790054E-3</v>
      </c>
      <c r="N31" s="333">
        <v>234071.87</v>
      </c>
      <c r="O31" s="177">
        <f>[1]!Table32[[#This Row],[C&amp;I Incentive Disbursements]]/'[1]1.) CLM Reference'!$B$5</f>
        <v>1.879396130160464E-3</v>
      </c>
      <c r="P31" s="319">
        <f>VLOOKUP('3.) Large Load'!$B31,'Population and Diversity Data'!$B$2:$K$823,10,FALSE)</f>
        <v>4</v>
      </c>
      <c r="Q31" s="334" t="str">
        <f>VLOOKUP('3.) Large Load'!$B31,'ES Energy Burden'!$B$2:$E$914,4,FALSE)</f>
        <v>No</v>
      </c>
    </row>
    <row r="32" spans="1:17" x14ac:dyDescent="0.2">
      <c r="A32" s="335" t="s">
        <v>2745</v>
      </c>
      <c r="B32" s="336">
        <v>9015905100</v>
      </c>
      <c r="C32" s="318" t="s">
        <v>944</v>
      </c>
      <c r="D32" s="324">
        <f>[1]!Table32[[#This Row],[Residential CLM $ Collected]]+[1]!Table32[[#This Row],[C&amp;I CLM $ Collected]]</f>
        <v>32303.988129000001</v>
      </c>
      <c r="E32" s="325">
        <f>[1]!Table32[[#This Row],[CLM $ Collected ]]/'[1]1.) CLM Reference'!$B$4</f>
        <v>3.477644581065654E-4</v>
      </c>
      <c r="F32" s="326">
        <f>[1]!Table32[[#This Row],[Residential Incentive Disbursements]]+[1]!Table32[[#This Row],[C&amp;I Incentive Disbursements]]</f>
        <v>8614</v>
      </c>
      <c r="G32" s="325">
        <f>[1]!Table32[[#This Row],[Incentive Disbursements]]/'[1]1.) CLM Reference'!$B$5</f>
        <v>6.9163023584176253E-5</v>
      </c>
      <c r="H32" s="337">
        <v>0</v>
      </c>
      <c r="I32" s="325">
        <f>[1]!Table32[[#This Row],[Residential CLM $ Collected]]/'[1]1.) CLM Reference'!$B$4</f>
        <v>0</v>
      </c>
      <c r="J32" s="337">
        <v>0</v>
      </c>
      <c r="K32" s="325">
        <f>[1]!Table32[[#This Row],[Residential Incentive Disbursements]]/'[1]1.) CLM Reference'!$B$5</f>
        <v>0</v>
      </c>
      <c r="L32" s="337">
        <v>32303.988129000001</v>
      </c>
      <c r="M32" s="325">
        <f>[1]!Table32[[#This Row],[C&amp;I CLM $ Collected]]/'[1]1.) CLM Reference'!$B$4</f>
        <v>3.477644581065654E-4</v>
      </c>
      <c r="N32" s="337">
        <v>8614</v>
      </c>
      <c r="O32" s="325">
        <f>[1]!Table32[[#This Row],[C&amp;I Incentive Disbursements]]/'[1]1.) CLM Reference'!$B$5</f>
        <v>6.9163023584176253E-5</v>
      </c>
      <c r="P32" s="318">
        <f>VLOOKUP('3.) Large Load'!$B32,'Population and Diversity Data'!$B$2:$K$823,10,FALSE)</f>
        <v>4</v>
      </c>
      <c r="Q32" s="338" t="str">
        <f>VLOOKUP('3.) Large Load'!$B32,'ES Energy Burden'!$B$2:$E$914,4,FALSE)</f>
        <v>No</v>
      </c>
    </row>
    <row r="33" spans="1:17" x14ac:dyDescent="0.2">
      <c r="A33" s="329" t="s">
        <v>2746</v>
      </c>
      <c r="B33" s="330">
        <v>9003410101</v>
      </c>
      <c r="C33" s="319" t="s">
        <v>944</v>
      </c>
      <c r="D33" s="331">
        <f>[1]!Table32[[#This Row],[Residential CLM $ Collected]]+[1]!Table32[[#This Row],[C&amp;I CLM $ Collected]]</f>
        <v>12304.956783000001</v>
      </c>
      <c r="E33" s="177">
        <f>[1]!Table32[[#This Row],[CLM $ Collected ]]/'[1]1.) CLM Reference'!$B$4</f>
        <v>1.3246744057038412E-4</v>
      </c>
      <c r="F33" s="332">
        <f>[1]!Table32[[#This Row],[Residential Incentive Disbursements]]+[1]!Table32[[#This Row],[C&amp;I Incentive Disbursements]]</f>
        <v>4315.6000000000004</v>
      </c>
      <c r="G33" s="177">
        <f>[1]!Table32[[#This Row],[Incentive Disbursements]]/'[1]1.) CLM Reference'!$B$5</f>
        <v>3.4650562407693416E-5</v>
      </c>
      <c r="H33" s="333">
        <v>0</v>
      </c>
      <c r="I33" s="177">
        <f>[1]!Table32[[#This Row],[Residential CLM $ Collected]]/'[1]1.) CLM Reference'!$B$4</f>
        <v>0</v>
      </c>
      <c r="J33" s="333">
        <v>0</v>
      </c>
      <c r="K33" s="177">
        <f>[1]!Table32[[#This Row],[Residential Incentive Disbursements]]/'[1]1.) CLM Reference'!$B$5</f>
        <v>0</v>
      </c>
      <c r="L33" s="333">
        <v>12304.956783000001</v>
      </c>
      <c r="M33" s="177">
        <f>[1]!Table32[[#This Row],[C&amp;I CLM $ Collected]]/'[1]1.) CLM Reference'!$B$4</f>
        <v>1.3246744057038412E-4</v>
      </c>
      <c r="N33" s="333">
        <v>4315.6000000000004</v>
      </c>
      <c r="O33" s="177">
        <f>[1]!Table32[[#This Row],[C&amp;I Incentive Disbursements]]/'[1]1.) CLM Reference'!$B$5</f>
        <v>3.4650562407693416E-5</v>
      </c>
      <c r="P33" s="319">
        <f>VLOOKUP('3.) Large Load'!$B33,'Population and Diversity Data'!$B$2:$K$823,10,FALSE)</f>
        <v>1</v>
      </c>
      <c r="Q33" s="334" t="str">
        <f>VLOOKUP('3.) Large Load'!$B33,'ES Energy Burden'!$B$2:$E$914,4,FALSE)</f>
        <v>No</v>
      </c>
    </row>
    <row r="34" spans="1:17" x14ac:dyDescent="0.2">
      <c r="A34" s="335" t="s">
        <v>2747</v>
      </c>
      <c r="B34" s="336">
        <v>9005260200</v>
      </c>
      <c r="C34" s="318" t="s">
        <v>944</v>
      </c>
      <c r="D34" s="324">
        <f>[1]!Table32[[#This Row],[Residential CLM $ Collected]]+[1]!Table32[[#This Row],[C&amp;I CLM $ Collected]]</f>
        <v>0</v>
      </c>
      <c r="E34" s="325">
        <f>[1]!Table32[[#This Row],[CLM $ Collected ]]/'[1]1.) CLM Reference'!$B$4</f>
        <v>0</v>
      </c>
      <c r="F34" s="326">
        <f>[1]!Table32[[#This Row],[Residential Incentive Disbursements]]+[1]!Table32[[#This Row],[C&amp;I Incentive Disbursements]]</f>
        <v>1950</v>
      </c>
      <c r="G34" s="325">
        <f>[1]!Table32[[#This Row],[Incentive Disbursements]]/'[1]1.) CLM Reference'!$B$5</f>
        <v>1.5656825631430659E-5</v>
      </c>
      <c r="H34" s="337">
        <v>0</v>
      </c>
      <c r="I34" s="325">
        <f>[1]!Table32[[#This Row],[Residential CLM $ Collected]]/'[1]1.) CLM Reference'!$B$4</f>
        <v>0</v>
      </c>
      <c r="J34" s="337">
        <v>0</v>
      </c>
      <c r="K34" s="325">
        <f>[1]!Table32[[#This Row],[Residential Incentive Disbursements]]/'[1]1.) CLM Reference'!$B$5</f>
        <v>0</v>
      </c>
      <c r="L34" s="337">
        <v>0</v>
      </c>
      <c r="M34" s="325">
        <f>[1]!Table32[[#This Row],[C&amp;I CLM $ Collected]]/'[1]1.) CLM Reference'!$B$4</f>
        <v>0</v>
      </c>
      <c r="N34" s="337">
        <v>1950</v>
      </c>
      <c r="O34" s="325">
        <f>[1]!Table32[[#This Row],[C&amp;I Incentive Disbursements]]/'[1]1.) CLM Reference'!$B$5</f>
        <v>1.5656825631430659E-5</v>
      </c>
      <c r="P34" s="318">
        <f>VLOOKUP('3.) Large Load'!$B34,'Population and Diversity Data'!$B$2:$K$823,10,FALSE)</f>
        <v>1</v>
      </c>
      <c r="Q34" s="338" t="str">
        <f>VLOOKUP('3.) Large Load'!$B34,'ES Energy Burden'!$B$2:$E$914,4,FALSE)</f>
        <v>No</v>
      </c>
    </row>
    <row r="35" spans="1:17" x14ac:dyDescent="0.2">
      <c r="A35" s="329" t="s">
        <v>2747</v>
      </c>
      <c r="B35" s="330">
        <v>9005425600</v>
      </c>
      <c r="C35" s="319" t="s">
        <v>944</v>
      </c>
      <c r="D35" s="331">
        <f>[1]!Table32[[#This Row],[Residential CLM $ Collected]]+[1]!Table32[[#This Row],[C&amp;I CLM $ Collected]]</f>
        <v>14720.256243000002</v>
      </c>
      <c r="E35" s="177">
        <f>[1]!Table32[[#This Row],[CLM $ Collected ]]/'[1]1.) CLM Reference'!$B$4</f>
        <v>1.5846903840770917E-4</v>
      </c>
      <c r="F35" s="332">
        <f>[1]!Table32[[#This Row],[Residential Incentive Disbursements]]+[1]!Table32[[#This Row],[C&amp;I Incentive Disbursements]]</f>
        <v>67875.149999999994</v>
      </c>
      <c r="G35" s="177">
        <f>[1]!Table32[[#This Row],[Incentive Disbursements]]/'[1]1.) CLM Reference'!$B$5</f>
        <v>5.4497917346523102E-4</v>
      </c>
      <c r="H35" s="333">
        <v>0</v>
      </c>
      <c r="I35" s="177">
        <f>[1]!Table32[[#This Row],[Residential CLM $ Collected]]/'[1]1.) CLM Reference'!$B$4</f>
        <v>0</v>
      </c>
      <c r="J35" s="333">
        <v>0</v>
      </c>
      <c r="K35" s="177">
        <f>[1]!Table32[[#This Row],[Residential Incentive Disbursements]]/'[1]1.) CLM Reference'!$B$5</f>
        <v>0</v>
      </c>
      <c r="L35" s="333">
        <v>14720.256243000002</v>
      </c>
      <c r="M35" s="177">
        <f>[1]!Table32[[#This Row],[C&amp;I CLM $ Collected]]/'[1]1.) CLM Reference'!$B$4</f>
        <v>1.5846903840770917E-4</v>
      </c>
      <c r="N35" s="333">
        <v>67875.149999999994</v>
      </c>
      <c r="O35" s="177">
        <f>[1]!Table32[[#This Row],[C&amp;I Incentive Disbursements]]/'[1]1.) CLM Reference'!$B$5</f>
        <v>5.4497917346523102E-4</v>
      </c>
      <c r="P35" s="319">
        <f>VLOOKUP('3.) Large Load'!$B35,'Population and Diversity Data'!$B$2:$K$823,10,FALSE)</f>
        <v>1</v>
      </c>
      <c r="Q35" s="334" t="str">
        <f>VLOOKUP('3.) Large Load'!$B35,'ES Energy Burden'!$B$2:$E$914,4,FALSE)</f>
        <v>No</v>
      </c>
    </row>
    <row r="36" spans="1:17" x14ac:dyDescent="0.2">
      <c r="A36" s="335" t="s">
        <v>2748</v>
      </c>
      <c r="B36" s="336">
        <v>9015906100</v>
      </c>
      <c r="C36" s="318" t="s">
        <v>944</v>
      </c>
      <c r="D36" s="324">
        <f>[1]!Table32[[#This Row],[Residential CLM $ Collected]]+[1]!Table32[[#This Row],[C&amp;I CLM $ Collected]]</f>
        <v>5281.8682349999999</v>
      </c>
      <c r="E36" s="325">
        <f>[1]!Table32[[#This Row],[CLM $ Collected ]]/'[1]1.) CLM Reference'!$B$4</f>
        <v>5.6861277845941224E-5</v>
      </c>
      <c r="F36" s="326">
        <f>[1]!Table32[[#This Row],[Residential Incentive Disbursements]]+[1]!Table32[[#This Row],[C&amp;I Incentive Disbursements]]</f>
        <v>3809.6</v>
      </c>
      <c r="G36" s="325">
        <f>[1]!Table32[[#This Row],[Incentive Disbursements]]/'[1]1.) CLM Reference'!$B$5</f>
        <v>3.0587816884870887E-5</v>
      </c>
      <c r="H36" s="337">
        <v>0</v>
      </c>
      <c r="I36" s="325">
        <f>[1]!Table32[[#This Row],[Residential CLM $ Collected]]/'[1]1.) CLM Reference'!$B$4</f>
        <v>0</v>
      </c>
      <c r="J36" s="337">
        <v>0</v>
      </c>
      <c r="K36" s="325">
        <f>[1]!Table32[[#This Row],[Residential Incentive Disbursements]]/'[1]1.) CLM Reference'!$B$5</f>
        <v>0</v>
      </c>
      <c r="L36" s="337">
        <v>5281.8682349999999</v>
      </c>
      <c r="M36" s="325">
        <f>[1]!Table32[[#This Row],[C&amp;I CLM $ Collected]]/'[1]1.) CLM Reference'!$B$4</f>
        <v>5.6861277845941224E-5</v>
      </c>
      <c r="N36" s="337">
        <v>3809.6</v>
      </c>
      <c r="O36" s="325">
        <f>[1]!Table32[[#This Row],[C&amp;I Incentive Disbursements]]/'[1]1.) CLM Reference'!$B$5</f>
        <v>3.0587816884870887E-5</v>
      </c>
      <c r="P36" s="318">
        <f>VLOOKUP('3.) Large Load'!$B36,'Population and Diversity Data'!$B$2:$K$823,10,FALSE)</f>
        <v>1</v>
      </c>
      <c r="Q36" s="338" t="str">
        <f>VLOOKUP('3.) Large Load'!$B36,'ES Energy Burden'!$B$2:$E$914,4,FALSE)</f>
        <v>No</v>
      </c>
    </row>
    <row r="37" spans="1:17" x14ac:dyDescent="0.2">
      <c r="A37" s="329" t="s">
        <v>2749</v>
      </c>
      <c r="B37" s="330">
        <v>9003464101</v>
      </c>
      <c r="C37" s="319" t="s">
        <v>944</v>
      </c>
      <c r="D37" s="331">
        <f>[1]!Table32[[#This Row],[Residential CLM $ Collected]]+[1]!Table32[[#This Row],[C&amp;I CLM $ Collected]]</f>
        <v>32743.650471000001</v>
      </c>
      <c r="E37" s="177">
        <f>[1]!Table32[[#This Row],[CLM $ Collected ]]/'[1]1.) CLM Reference'!$B$4</f>
        <v>3.5249758689255057E-4</v>
      </c>
      <c r="F37" s="332">
        <f>[1]!Table32[[#This Row],[Residential Incentive Disbursements]]+[1]!Table32[[#This Row],[C&amp;I Incentive Disbursements]]</f>
        <v>30447.25</v>
      </c>
      <c r="G37" s="177">
        <f>[1]!Table32[[#This Row],[Incentive Disbursements]]/'[1]1.) CLM Reference'!$B$5</f>
        <v>2.4446527395209086E-4</v>
      </c>
      <c r="H37" s="333">
        <v>0</v>
      </c>
      <c r="I37" s="177">
        <f>[1]!Table32[[#This Row],[Residential CLM $ Collected]]/'[1]1.) CLM Reference'!$B$4</f>
        <v>0</v>
      </c>
      <c r="J37" s="333">
        <v>0</v>
      </c>
      <c r="K37" s="177">
        <f>[1]!Table32[[#This Row],[Residential Incentive Disbursements]]/'[1]1.) CLM Reference'!$B$5</f>
        <v>0</v>
      </c>
      <c r="L37" s="333">
        <v>32743.650471000001</v>
      </c>
      <c r="M37" s="177">
        <f>[1]!Table32[[#This Row],[C&amp;I CLM $ Collected]]/'[1]1.) CLM Reference'!$B$4</f>
        <v>3.5249758689255057E-4</v>
      </c>
      <c r="N37" s="333">
        <v>30447.25</v>
      </c>
      <c r="O37" s="177">
        <f>[1]!Table32[[#This Row],[C&amp;I Incentive Disbursements]]/'[1]1.) CLM Reference'!$B$5</f>
        <v>2.4446527395209086E-4</v>
      </c>
      <c r="P37" s="319">
        <f>VLOOKUP('3.) Large Load'!$B37,'Population and Diversity Data'!$B$2:$K$823,10,FALSE)</f>
        <v>1</v>
      </c>
      <c r="Q37" s="334" t="str">
        <f>VLOOKUP('3.) Large Load'!$B37,'ES Energy Burden'!$B$2:$E$914,4,FALSE)</f>
        <v>No</v>
      </c>
    </row>
    <row r="38" spans="1:17" x14ac:dyDescent="0.2">
      <c r="A38" s="335" t="s">
        <v>2750</v>
      </c>
      <c r="B38" s="336">
        <v>9015815000</v>
      </c>
      <c r="C38" s="318" t="s">
        <v>944</v>
      </c>
      <c r="D38" s="324">
        <f>[1]!Table32[[#This Row],[Residential CLM $ Collected]]+[1]!Table32[[#This Row],[C&amp;I CLM $ Collected]]</f>
        <v>8015.3589180000008</v>
      </c>
      <c r="E38" s="325">
        <f>[1]!Table32[[#This Row],[CLM $ Collected ]]/'[1]1.) CLM Reference'!$B$4</f>
        <v>8.6288322652816206E-5</v>
      </c>
      <c r="F38" s="326">
        <f>[1]!Table32[[#This Row],[Residential Incentive Disbursements]]+[1]!Table32[[#This Row],[C&amp;I Incentive Disbursements]]</f>
        <v>15296</v>
      </c>
      <c r="G38" s="325">
        <f>[1]!Table32[[#This Row],[Incentive Disbursements]]/'[1]1.) CLM Reference'!$B$5</f>
        <v>1.2281374608121197E-4</v>
      </c>
      <c r="H38" s="337">
        <v>0</v>
      </c>
      <c r="I38" s="325">
        <f>[1]!Table32[[#This Row],[Residential CLM $ Collected]]/'[1]1.) CLM Reference'!$B$4</f>
        <v>0</v>
      </c>
      <c r="J38" s="337">
        <v>0</v>
      </c>
      <c r="K38" s="325">
        <f>[1]!Table32[[#This Row],[Residential Incentive Disbursements]]/'[1]1.) CLM Reference'!$B$5</f>
        <v>0</v>
      </c>
      <c r="L38" s="337">
        <v>8015.3589180000008</v>
      </c>
      <c r="M38" s="325">
        <f>[1]!Table32[[#This Row],[C&amp;I CLM $ Collected]]/'[1]1.) CLM Reference'!$B$4</f>
        <v>8.6288322652816206E-5</v>
      </c>
      <c r="N38" s="337">
        <v>15296</v>
      </c>
      <c r="O38" s="325">
        <f>[1]!Table32[[#This Row],[C&amp;I Incentive Disbursements]]/'[1]1.) CLM Reference'!$B$5</f>
        <v>1.2281374608121197E-4</v>
      </c>
      <c r="P38" s="318">
        <f>VLOOKUP('3.) Large Load'!$B38,'Population and Diversity Data'!$B$2:$K$823,10,FALSE)</f>
        <v>5</v>
      </c>
      <c r="Q38" s="338" t="str">
        <f>VLOOKUP('3.) Large Load'!$B38,'ES Energy Burden'!$B$2:$E$914,4,FALSE)</f>
        <v>No</v>
      </c>
    </row>
    <row r="39" spans="1:17" x14ac:dyDescent="0.2">
      <c r="A39" s="329" t="s">
        <v>2751</v>
      </c>
      <c r="B39" s="330">
        <v>9009343300</v>
      </c>
      <c r="C39" s="319" t="s">
        <v>944</v>
      </c>
      <c r="D39" s="331">
        <f>[1]!Table32[[#This Row],[Residential CLM $ Collected]]+[1]!Table32[[#This Row],[C&amp;I CLM $ Collected]]</f>
        <v>487082.38072200003</v>
      </c>
      <c r="E39" s="177">
        <f>[1]!Table32[[#This Row],[CLM $ Collected ]]/'[1]1.) CLM Reference'!$B$4</f>
        <v>5.2436231560206974E-3</v>
      </c>
      <c r="F39" s="332">
        <f>[1]!Table32[[#This Row],[Residential Incentive Disbursements]]+[1]!Table32[[#This Row],[C&amp;I Incentive Disbursements]]</f>
        <v>1344507.2080000001</v>
      </c>
      <c r="G39" s="177">
        <f>[1]!Table32[[#This Row],[Incentive Disbursements]]/'[1]1.) CLM Reference'!$B$5</f>
        <v>1.079523841838855E-2</v>
      </c>
      <c r="H39" s="333">
        <v>0</v>
      </c>
      <c r="I39" s="177">
        <f>[1]!Table32[[#This Row],[Residential CLM $ Collected]]/'[1]1.) CLM Reference'!$B$4</f>
        <v>0</v>
      </c>
      <c r="J39" s="333">
        <v>0</v>
      </c>
      <c r="K39" s="177">
        <f>[1]!Table32[[#This Row],[Residential Incentive Disbursements]]/'[1]1.) CLM Reference'!$B$5</f>
        <v>0</v>
      </c>
      <c r="L39" s="333">
        <v>487082.38072200003</v>
      </c>
      <c r="M39" s="177">
        <f>[1]!Table32[[#This Row],[C&amp;I CLM $ Collected]]/'[1]1.) CLM Reference'!$B$4</f>
        <v>5.2436231560206974E-3</v>
      </c>
      <c r="N39" s="333">
        <v>1344507.2080000001</v>
      </c>
      <c r="O39" s="177">
        <f>[1]!Table32[[#This Row],[C&amp;I Incentive Disbursements]]/'[1]1.) CLM Reference'!$B$5</f>
        <v>1.079523841838855E-2</v>
      </c>
      <c r="P39" s="319">
        <f>VLOOKUP('3.) Large Load'!$B39,'Population and Diversity Data'!$B$2:$K$823,10,FALSE)</f>
        <v>3</v>
      </c>
      <c r="Q39" s="334" t="str">
        <f>VLOOKUP('3.) Large Load'!$B39,'ES Energy Burden'!$B$2:$E$914,4,FALSE)</f>
        <v>No</v>
      </c>
    </row>
    <row r="40" spans="1:17" x14ac:dyDescent="0.2">
      <c r="A40" s="335" t="s">
        <v>2752</v>
      </c>
      <c r="B40" s="336">
        <v>9007600100</v>
      </c>
      <c r="C40" s="318" t="s">
        <v>944</v>
      </c>
      <c r="D40" s="324">
        <f>[1]!Table32[[#This Row],[Residential CLM $ Collected]]+[1]!Table32[[#This Row],[C&amp;I CLM $ Collected]]</f>
        <v>47721.569342999996</v>
      </c>
      <c r="E40" s="325">
        <f>[1]!Table32[[#This Row],[CLM $ Collected ]]/'[1]1.) CLM Reference'!$B$4</f>
        <v>5.1374045942224715E-4</v>
      </c>
      <c r="F40" s="326">
        <f>[1]!Table32[[#This Row],[Residential Incentive Disbursements]]+[1]!Table32[[#This Row],[C&amp;I Incentive Disbursements]]</f>
        <v>71355.199999999997</v>
      </c>
      <c r="G40" s="325">
        <f>[1]!Table32[[#This Row],[Incentive Disbursements]]/'[1]1.) CLM Reference'!$B$5</f>
        <v>5.7292098681839022E-4</v>
      </c>
      <c r="H40" s="337">
        <v>0</v>
      </c>
      <c r="I40" s="325">
        <f>[1]!Table32[[#This Row],[Residential CLM $ Collected]]/'[1]1.) CLM Reference'!$B$4</f>
        <v>0</v>
      </c>
      <c r="J40" s="337">
        <v>0</v>
      </c>
      <c r="K40" s="325">
        <f>[1]!Table32[[#This Row],[Residential Incentive Disbursements]]/'[1]1.) CLM Reference'!$B$5</f>
        <v>0</v>
      </c>
      <c r="L40" s="337">
        <v>47721.569342999996</v>
      </c>
      <c r="M40" s="325">
        <f>[1]!Table32[[#This Row],[C&amp;I CLM $ Collected]]/'[1]1.) CLM Reference'!$B$4</f>
        <v>5.1374045942224715E-4</v>
      </c>
      <c r="N40" s="337">
        <v>71355.199999999997</v>
      </c>
      <c r="O40" s="325">
        <f>[1]!Table32[[#This Row],[C&amp;I Incentive Disbursements]]/'[1]1.) CLM Reference'!$B$5</f>
        <v>5.7292098681839022E-4</v>
      </c>
      <c r="P40" s="318">
        <f>VLOOKUP('3.) Large Load'!$B40,'Population and Diversity Data'!$B$2:$K$823,10,FALSE)</f>
        <v>1</v>
      </c>
      <c r="Q40" s="338" t="str">
        <f>VLOOKUP('3.) Large Load'!$B40,'ES Energy Burden'!$B$2:$E$914,4,FALSE)</f>
        <v>No</v>
      </c>
    </row>
    <row r="41" spans="1:17" x14ac:dyDescent="0.2">
      <c r="A41" s="329" t="s">
        <v>2753</v>
      </c>
      <c r="B41" s="330">
        <v>9007610100</v>
      </c>
      <c r="C41" s="319" t="s">
        <v>944</v>
      </c>
      <c r="D41" s="331">
        <f>[1]!Table32[[#This Row],[Residential CLM $ Collected]]+[1]!Table32[[#This Row],[C&amp;I CLM $ Collected]]</f>
        <v>13.418222999999999</v>
      </c>
      <c r="E41" s="177">
        <f>[1]!Table32[[#This Row],[CLM $ Collected ]]/'[1]1.) CLM Reference'!$B$4</f>
        <v>1.4445216583518178E-7</v>
      </c>
      <c r="F41" s="332">
        <f>[1]!Table32[[#This Row],[Residential Incentive Disbursements]]+[1]!Table32[[#This Row],[C&amp;I Incentive Disbursements]]</f>
        <v>0</v>
      </c>
      <c r="G41" s="177">
        <f>[1]!Table32[[#This Row],[Incentive Disbursements]]/'[1]1.) CLM Reference'!$B$5</f>
        <v>0</v>
      </c>
      <c r="H41" s="333">
        <v>0</v>
      </c>
      <c r="I41" s="177">
        <f>[1]!Table32[[#This Row],[Residential CLM $ Collected]]/'[1]1.) CLM Reference'!$B$4</f>
        <v>0</v>
      </c>
      <c r="J41" s="333">
        <v>0</v>
      </c>
      <c r="K41" s="177">
        <f>[1]!Table32[[#This Row],[Residential Incentive Disbursements]]/'[1]1.) CLM Reference'!$B$5</f>
        <v>0</v>
      </c>
      <c r="L41" s="333">
        <v>13.418222999999999</v>
      </c>
      <c r="M41" s="177">
        <f>[1]!Table32[[#This Row],[C&amp;I CLM $ Collected]]/'[1]1.) CLM Reference'!$B$4</f>
        <v>1.4445216583518178E-7</v>
      </c>
      <c r="N41" s="333">
        <v>0</v>
      </c>
      <c r="O41" s="177">
        <f>[1]!Table32[[#This Row],[C&amp;I Incentive Disbursements]]/'[1]1.) CLM Reference'!$B$5</f>
        <v>0</v>
      </c>
      <c r="P41" s="319">
        <f>VLOOKUP('3.) Large Load'!$B41,'Population and Diversity Data'!$B$2:$K$823,10,FALSE)</f>
        <v>1</v>
      </c>
      <c r="Q41" s="334" t="str">
        <f>VLOOKUP('3.) Large Load'!$B41,'ES Energy Burden'!$B$2:$E$914,4,FALSE)</f>
        <v>No</v>
      </c>
    </row>
    <row r="42" spans="1:17" x14ac:dyDescent="0.2">
      <c r="A42" s="335" t="s">
        <v>2753</v>
      </c>
      <c r="B42" s="336">
        <v>9007610200</v>
      </c>
      <c r="C42" s="318" t="s">
        <v>944</v>
      </c>
      <c r="D42" s="324">
        <f>[1]!Table32[[#This Row],[Residential CLM $ Collected]]+[1]!Table32[[#This Row],[C&amp;I CLM $ Collected]]</f>
        <v>52176.771485999998</v>
      </c>
      <c r="E42" s="325">
        <f>[1]!Table32[[#This Row],[CLM $ Collected ]]/'[1]1.) CLM Reference'!$B$4</f>
        <v>5.6170236904246236E-4</v>
      </c>
      <c r="F42" s="326">
        <f>[1]!Table32[[#This Row],[Residential Incentive Disbursements]]+[1]!Table32[[#This Row],[C&amp;I Incentive Disbursements]]</f>
        <v>58806.11</v>
      </c>
      <c r="G42" s="325">
        <f>[1]!Table32[[#This Row],[Incentive Disbursements]]/'[1]1.) CLM Reference'!$B$5</f>
        <v>4.7216256940140042E-4</v>
      </c>
      <c r="H42" s="337">
        <v>0</v>
      </c>
      <c r="I42" s="325">
        <f>[1]!Table32[[#This Row],[Residential CLM $ Collected]]/'[1]1.) CLM Reference'!$B$4</f>
        <v>0</v>
      </c>
      <c r="J42" s="337">
        <v>0</v>
      </c>
      <c r="K42" s="325">
        <f>[1]!Table32[[#This Row],[Residential Incentive Disbursements]]/'[1]1.) CLM Reference'!$B$5</f>
        <v>0</v>
      </c>
      <c r="L42" s="337">
        <v>52176.771485999998</v>
      </c>
      <c r="M42" s="325">
        <f>[1]!Table32[[#This Row],[C&amp;I CLM $ Collected]]/'[1]1.) CLM Reference'!$B$4</f>
        <v>5.6170236904246236E-4</v>
      </c>
      <c r="N42" s="337">
        <v>58806.11</v>
      </c>
      <c r="O42" s="325">
        <f>[1]!Table32[[#This Row],[C&amp;I Incentive Disbursements]]/'[1]1.) CLM Reference'!$B$5</f>
        <v>4.7216256940140042E-4</v>
      </c>
      <c r="P42" s="318">
        <f>VLOOKUP('3.) Large Load'!$B42,'Population and Diversity Data'!$B$2:$K$823,10,FALSE)</f>
        <v>2</v>
      </c>
      <c r="Q42" s="338" t="str">
        <f>VLOOKUP('3.) Large Load'!$B42,'ES Energy Burden'!$B$2:$E$914,4,FALSE)</f>
        <v>No</v>
      </c>
    </row>
    <row r="43" spans="1:17" x14ac:dyDescent="0.2">
      <c r="A43" s="329" t="s">
        <v>2754</v>
      </c>
      <c r="B43" s="330">
        <v>9011714101</v>
      </c>
      <c r="C43" s="319" t="s">
        <v>944</v>
      </c>
      <c r="D43" s="331">
        <f>[1]!Table32[[#This Row],[Residential CLM $ Collected]]+[1]!Table32[[#This Row],[C&amp;I CLM $ Collected]]</f>
        <v>54242.182847999997</v>
      </c>
      <c r="E43" s="177">
        <f>[1]!Table32[[#This Row],[CLM $ Collected ]]/'[1]1.) CLM Reference'!$B$4</f>
        <v>5.8393729125097633E-4</v>
      </c>
      <c r="F43" s="332">
        <f>[1]!Table32[[#This Row],[Residential Incentive Disbursements]]+[1]!Table32[[#This Row],[C&amp;I Incentive Disbursements]]</f>
        <v>31642.3</v>
      </c>
      <c r="G43" s="177">
        <f>[1]!Table32[[#This Row],[Incentive Disbursements]]/'[1]1.) CLM Reference'!$B$5</f>
        <v>2.5406049932175296E-4</v>
      </c>
      <c r="H43" s="333">
        <v>0</v>
      </c>
      <c r="I43" s="177">
        <f>[1]!Table32[[#This Row],[Residential CLM $ Collected]]/'[1]1.) CLM Reference'!$B$4</f>
        <v>0</v>
      </c>
      <c r="J43" s="333">
        <v>0</v>
      </c>
      <c r="K43" s="177">
        <f>[1]!Table32[[#This Row],[Residential Incentive Disbursements]]/'[1]1.) CLM Reference'!$B$5</f>
        <v>0</v>
      </c>
      <c r="L43" s="333">
        <v>54242.182847999997</v>
      </c>
      <c r="M43" s="177">
        <f>[1]!Table32[[#This Row],[C&amp;I CLM $ Collected]]/'[1]1.) CLM Reference'!$B$4</f>
        <v>5.8393729125097633E-4</v>
      </c>
      <c r="N43" s="333">
        <v>31642.3</v>
      </c>
      <c r="O43" s="177">
        <f>[1]!Table32[[#This Row],[C&amp;I Incentive Disbursements]]/'[1]1.) CLM Reference'!$B$5</f>
        <v>2.5406049932175296E-4</v>
      </c>
      <c r="P43" s="319">
        <f>VLOOKUP('3.) Large Load'!$B43,'Population and Diversity Data'!$B$2:$K$823,10,FALSE)</f>
        <v>1</v>
      </c>
      <c r="Q43" s="334" t="str">
        <f>VLOOKUP('3.) Large Load'!$B43,'ES Energy Burden'!$B$2:$E$914,4,FALSE)</f>
        <v>No</v>
      </c>
    </row>
    <row r="44" spans="1:17" x14ac:dyDescent="0.2">
      <c r="A44" s="335" t="s">
        <v>2755</v>
      </c>
      <c r="B44" s="336">
        <v>9005293100</v>
      </c>
      <c r="C44" s="318" t="s">
        <v>944</v>
      </c>
      <c r="D44" s="324">
        <f>[1]!Table32[[#This Row],[Residential CLM $ Collected]]+[1]!Table32[[#This Row],[C&amp;I CLM $ Collected]]</f>
        <v>2097.5038140000001</v>
      </c>
      <c r="E44" s="325">
        <f>[1]!Table32[[#This Row],[CLM $ Collected ]]/'[1]1.) CLM Reference'!$B$4</f>
        <v>2.2580409401442676E-5</v>
      </c>
      <c r="F44" s="326">
        <f>[1]!Table32[[#This Row],[Residential Incentive Disbursements]]+[1]!Table32[[#This Row],[C&amp;I Incentive Disbursements]]</f>
        <v>3649</v>
      </c>
      <c r="G44" s="325">
        <f>[1]!Table32[[#This Row],[Incentive Disbursements]]/'[1]1.) CLM Reference'!$B$5</f>
        <v>2.9298336784148959E-5</v>
      </c>
      <c r="H44" s="337">
        <v>0</v>
      </c>
      <c r="I44" s="325">
        <f>[1]!Table32[[#This Row],[Residential CLM $ Collected]]/'[1]1.) CLM Reference'!$B$4</f>
        <v>0</v>
      </c>
      <c r="J44" s="337">
        <v>0</v>
      </c>
      <c r="K44" s="325">
        <f>[1]!Table32[[#This Row],[Residential Incentive Disbursements]]/'[1]1.) CLM Reference'!$B$5</f>
        <v>0</v>
      </c>
      <c r="L44" s="337">
        <v>2097.5038140000001</v>
      </c>
      <c r="M44" s="325">
        <f>[1]!Table32[[#This Row],[C&amp;I CLM $ Collected]]/'[1]1.) CLM Reference'!$B$4</f>
        <v>2.2580409401442676E-5</v>
      </c>
      <c r="N44" s="337">
        <v>3649</v>
      </c>
      <c r="O44" s="325">
        <f>[1]!Table32[[#This Row],[C&amp;I Incentive Disbursements]]/'[1]1.) CLM Reference'!$B$5</f>
        <v>2.9298336784148959E-5</v>
      </c>
      <c r="P44" s="318">
        <f>VLOOKUP('3.) Large Load'!$B44,'Population and Diversity Data'!$B$2:$K$823,10,FALSE)</f>
        <v>1</v>
      </c>
      <c r="Q44" s="338" t="str">
        <f>VLOOKUP('3.) Large Load'!$B44,'ES Energy Burden'!$B$2:$E$914,4,FALSE)</f>
        <v>No</v>
      </c>
    </row>
    <row r="45" spans="1:17" x14ac:dyDescent="0.2">
      <c r="A45" s="329" t="s">
        <v>2756</v>
      </c>
      <c r="B45" s="330">
        <v>9013860100</v>
      </c>
      <c r="C45" s="319" t="s">
        <v>944</v>
      </c>
      <c r="D45" s="331">
        <f>[1]!Table32[[#This Row],[Residential CLM $ Collected]]+[1]!Table32[[#This Row],[C&amp;I CLM $ Collected]]</f>
        <v>17673.047279999999</v>
      </c>
      <c r="E45" s="177">
        <f>[1]!Table32[[#This Row],[CLM $ Collected ]]/'[1]1.) CLM Reference'!$B$4</f>
        <v>1.9025693316496295E-4</v>
      </c>
      <c r="F45" s="332">
        <f>[1]!Table32[[#This Row],[Residential Incentive Disbursements]]+[1]!Table32[[#This Row],[C&amp;I Incentive Disbursements]]</f>
        <v>38479.46</v>
      </c>
      <c r="G45" s="177">
        <f>[1]!Table32[[#This Row],[Incentive Disbursements]]/'[1]1.) CLM Reference'!$B$5</f>
        <v>3.089570233905696E-4</v>
      </c>
      <c r="H45" s="333">
        <v>0</v>
      </c>
      <c r="I45" s="177">
        <f>[1]!Table32[[#This Row],[Residential CLM $ Collected]]/'[1]1.) CLM Reference'!$B$4</f>
        <v>0</v>
      </c>
      <c r="J45" s="333">
        <v>0</v>
      </c>
      <c r="K45" s="177">
        <f>[1]!Table32[[#This Row],[Residential Incentive Disbursements]]/'[1]1.) CLM Reference'!$B$5</f>
        <v>0</v>
      </c>
      <c r="L45" s="333">
        <v>17673.047279999999</v>
      </c>
      <c r="M45" s="177">
        <f>[1]!Table32[[#This Row],[C&amp;I CLM $ Collected]]/'[1]1.) CLM Reference'!$B$4</f>
        <v>1.9025693316496295E-4</v>
      </c>
      <c r="N45" s="333">
        <v>38479.46</v>
      </c>
      <c r="O45" s="177">
        <f>[1]!Table32[[#This Row],[C&amp;I Incentive Disbursements]]/'[1]1.) CLM Reference'!$B$5</f>
        <v>3.089570233905696E-4</v>
      </c>
      <c r="P45" s="319">
        <f>VLOOKUP('3.) Large Load'!$B45,'Population and Diversity Data'!$B$2:$K$823,10,FALSE)</f>
        <v>1</v>
      </c>
      <c r="Q45" s="334" t="str">
        <f>VLOOKUP('3.) Large Load'!$B45,'ES Energy Burden'!$B$2:$E$914,4,FALSE)</f>
        <v>No</v>
      </c>
    </row>
    <row r="46" spans="1:17" x14ac:dyDescent="0.2">
      <c r="A46" s="335" t="s">
        <v>2757</v>
      </c>
      <c r="B46" s="336">
        <v>9005262100</v>
      </c>
      <c r="C46" s="318" t="s">
        <v>944</v>
      </c>
      <c r="D46" s="324">
        <f>[1]!Table32[[#This Row],[Residential CLM $ Collected]]+[1]!Table32[[#This Row],[C&amp;I CLM $ Collected]]</f>
        <v>0</v>
      </c>
      <c r="E46" s="325">
        <f>[1]!Table32[[#This Row],[CLM $ Collected ]]/'[1]1.) CLM Reference'!$B$4</f>
        <v>0</v>
      </c>
      <c r="F46" s="326">
        <f>[1]!Table32[[#This Row],[Residential Incentive Disbursements]]+[1]!Table32[[#This Row],[C&amp;I Incentive Disbursements]]</f>
        <v>1056</v>
      </c>
      <c r="G46" s="325">
        <f>[1]!Table32[[#This Row],[Incentive Disbursements]]/'[1]1.) CLM Reference'!$B$5</f>
        <v>8.4787732650209106E-6</v>
      </c>
      <c r="H46" s="337">
        <v>0</v>
      </c>
      <c r="I46" s="325">
        <f>[1]!Table32[[#This Row],[Residential CLM $ Collected]]/'[1]1.) CLM Reference'!$B$4</f>
        <v>0</v>
      </c>
      <c r="J46" s="337">
        <v>0</v>
      </c>
      <c r="K46" s="325">
        <f>[1]!Table32[[#This Row],[Residential Incentive Disbursements]]/'[1]1.) CLM Reference'!$B$5</f>
        <v>0</v>
      </c>
      <c r="L46" s="337">
        <v>0</v>
      </c>
      <c r="M46" s="325">
        <f>[1]!Table32[[#This Row],[C&amp;I CLM $ Collected]]/'[1]1.) CLM Reference'!$B$4</f>
        <v>0</v>
      </c>
      <c r="N46" s="337">
        <v>1056</v>
      </c>
      <c r="O46" s="325">
        <f>[1]!Table32[[#This Row],[C&amp;I Incentive Disbursements]]/'[1]1.) CLM Reference'!$B$5</f>
        <v>8.4787732650209106E-6</v>
      </c>
      <c r="P46" s="318">
        <f>VLOOKUP('3.) Large Load'!$B46,'Population and Diversity Data'!$B$2:$K$823,10,FALSE)</f>
        <v>1</v>
      </c>
      <c r="Q46" s="338" t="str">
        <f>VLOOKUP('3.) Large Load'!$B46,'ES Energy Burden'!$B$2:$E$914,4,FALSE)</f>
        <v>No</v>
      </c>
    </row>
    <row r="47" spans="1:17" x14ac:dyDescent="0.2">
      <c r="A47" s="329" t="s">
        <v>2757</v>
      </c>
      <c r="B47" s="330">
        <v>9005263200</v>
      </c>
      <c r="C47" s="319" t="s">
        <v>944</v>
      </c>
      <c r="D47" s="331">
        <f>[1]!Table32[[#This Row],[Residential CLM $ Collected]]+[1]!Table32[[#This Row],[C&amp;I CLM $ Collected]]</f>
        <v>6632.2599209999998</v>
      </c>
      <c r="E47" s="177">
        <f>[1]!Table32[[#This Row],[CLM $ Collected ]]/'[1]1.) CLM Reference'!$B$4</f>
        <v>7.1398747059899195E-5</v>
      </c>
      <c r="F47" s="332">
        <f>[1]!Table32[[#This Row],[Residential Incentive Disbursements]]+[1]!Table32[[#This Row],[C&amp;I Incentive Disbursements]]</f>
        <v>338</v>
      </c>
      <c r="G47" s="177">
        <f>[1]!Table32[[#This Row],[Incentive Disbursements]]/'[1]1.) CLM Reference'!$B$5</f>
        <v>2.7138497761146475E-6</v>
      </c>
      <c r="H47" s="333">
        <v>0</v>
      </c>
      <c r="I47" s="177">
        <f>[1]!Table32[[#This Row],[Residential CLM $ Collected]]/'[1]1.) CLM Reference'!$B$4</f>
        <v>0</v>
      </c>
      <c r="J47" s="333">
        <v>0</v>
      </c>
      <c r="K47" s="177">
        <f>[1]!Table32[[#This Row],[Residential Incentive Disbursements]]/'[1]1.) CLM Reference'!$B$5</f>
        <v>0</v>
      </c>
      <c r="L47" s="333">
        <v>6632.2599209999998</v>
      </c>
      <c r="M47" s="177">
        <f>[1]!Table32[[#This Row],[C&amp;I CLM $ Collected]]/'[1]1.) CLM Reference'!$B$4</f>
        <v>7.1398747059899195E-5</v>
      </c>
      <c r="N47" s="333">
        <v>338</v>
      </c>
      <c r="O47" s="177">
        <f>[1]!Table32[[#This Row],[C&amp;I Incentive Disbursements]]/'[1]1.) CLM Reference'!$B$5</f>
        <v>2.7138497761146475E-6</v>
      </c>
      <c r="P47" s="319">
        <f>VLOOKUP('3.) Large Load'!$B47,'Population and Diversity Data'!$B$2:$K$823,10,FALSE)</f>
        <v>3</v>
      </c>
      <c r="Q47" s="334" t="str">
        <f>VLOOKUP('3.) Large Load'!$B47,'ES Energy Burden'!$B$2:$E$914,4,FALSE)</f>
        <v>No</v>
      </c>
    </row>
    <row r="48" spans="1:17" x14ac:dyDescent="0.2">
      <c r="A48" s="335" t="s">
        <v>2758</v>
      </c>
      <c r="B48" s="336">
        <v>9013850200</v>
      </c>
      <c r="C48" s="318" t="s">
        <v>944</v>
      </c>
      <c r="D48" s="324">
        <f>[1]!Table32[[#This Row],[Residential CLM $ Collected]]+[1]!Table32[[#This Row],[C&amp;I CLM $ Collected]]</f>
        <v>12979.510719</v>
      </c>
      <c r="E48" s="325">
        <f>[1]!Table32[[#This Row],[CLM $ Collected ]]/'[1]1.) CLM Reference'!$B$4</f>
        <v>1.3972926480954355E-4</v>
      </c>
      <c r="F48" s="326">
        <f>[1]!Table32[[#This Row],[Residential Incentive Disbursements]]+[1]!Table32[[#This Row],[C&amp;I Incentive Disbursements]]</f>
        <v>925.54999999999905</v>
      </c>
      <c r="G48" s="325">
        <f>[1]!Table32[[#This Row],[Incentive Disbursements]]/'[1]1.) CLM Reference'!$B$5</f>
        <v>7.4313717759849387E-6</v>
      </c>
      <c r="H48" s="337">
        <v>0</v>
      </c>
      <c r="I48" s="325">
        <f>[1]!Table32[[#This Row],[Residential CLM $ Collected]]/'[1]1.) CLM Reference'!$B$4</f>
        <v>0</v>
      </c>
      <c r="J48" s="337">
        <v>0</v>
      </c>
      <c r="K48" s="325">
        <f>[1]!Table32[[#This Row],[Residential Incentive Disbursements]]/'[1]1.) CLM Reference'!$B$5</f>
        <v>0</v>
      </c>
      <c r="L48" s="337">
        <v>12979.510719</v>
      </c>
      <c r="M48" s="325">
        <f>[1]!Table32[[#This Row],[C&amp;I CLM $ Collected]]/'[1]1.) CLM Reference'!$B$4</f>
        <v>1.3972926480954355E-4</v>
      </c>
      <c r="N48" s="337">
        <v>925.54999999999905</v>
      </c>
      <c r="O48" s="325">
        <f>[1]!Table32[[#This Row],[C&amp;I Incentive Disbursements]]/'[1]1.) CLM Reference'!$B$5</f>
        <v>7.4313717759849387E-6</v>
      </c>
      <c r="P48" s="318">
        <f>VLOOKUP('3.) Large Load'!$B48,'Population and Diversity Data'!$B$2:$K$823,10,FALSE)</f>
        <v>1</v>
      </c>
      <c r="Q48" s="338" t="str">
        <f>VLOOKUP('3.) Large Load'!$B48,'ES Energy Burden'!$B$2:$E$914,4,FALSE)</f>
        <v>No</v>
      </c>
    </row>
    <row r="49" spans="1:17" x14ac:dyDescent="0.2">
      <c r="A49" s="329" t="s">
        <v>2759</v>
      </c>
      <c r="B49" s="330">
        <v>9007570200</v>
      </c>
      <c r="C49" s="319" t="s">
        <v>944</v>
      </c>
      <c r="D49" s="331">
        <f>[1]!Table32[[#This Row],[Residential CLM $ Collected]]+[1]!Table32[[#This Row],[C&amp;I CLM $ Collected]]</f>
        <v>242571.476574</v>
      </c>
      <c r="E49" s="177">
        <f>[1]!Table32[[#This Row],[CLM $ Collected ]]/'[1]1.) CLM Reference'!$B$4</f>
        <v>2.6113722480951736E-3</v>
      </c>
      <c r="F49" s="332">
        <f>[1]!Table32[[#This Row],[Residential Incentive Disbursements]]+[1]!Table32[[#This Row],[C&amp;I Incentive Disbursements]]</f>
        <v>116153.57</v>
      </c>
      <c r="G49" s="177">
        <f>[1]!Table32[[#This Row],[Incentive Disbursements]]/'[1]1.) CLM Reference'!$B$5</f>
        <v>9.3261343177342322E-4</v>
      </c>
      <c r="H49" s="333">
        <v>0</v>
      </c>
      <c r="I49" s="177">
        <f>[1]!Table32[[#This Row],[Residential CLM $ Collected]]/'[1]1.) CLM Reference'!$B$4</f>
        <v>0</v>
      </c>
      <c r="J49" s="333">
        <v>0</v>
      </c>
      <c r="K49" s="177">
        <f>[1]!Table32[[#This Row],[Residential Incentive Disbursements]]/'[1]1.) CLM Reference'!$B$5</f>
        <v>0</v>
      </c>
      <c r="L49" s="333">
        <v>242571.476574</v>
      </c>
      <c r="M49" s="177">
        <f>[1]!Table32[[#This Row],[C&amp;I CLM $ Collected]]/'[1]1.) CLM Reference'!$B$4</f>
        <v>2.6113722480951736E-3</v>
      </c>
      <c r="N49" s="333">
        <v>116153.57</v>
      </c>
      <c r="O49" s="177">
        <f>[1]!Table32[[#This Row],[C&amp;I Incentive Disbursements]]/'[1]1.) CLM Reference'!$B$5</f>
        <v>9.3261343177342322E-4</v>
      </c>
      <c r="P49" s="319">
        <f>VLOOKUP('3.) Large Load'!$B49,'Population and Diversity Data'!$B$2:$K$823,10,FALSE)</f>
        <v>2</v>
      </c>
      <c r="Q49" s="334" t="str">
        <f>VLOOKUP('3.) Large Load'!$B49,'ES Energy Burden'!$B$2:$E$914,4,FALSE)</f>
        <v>No</v>
      </c>
    </row>
    <row r="50" spans="1:17" x14ac:dyDescent="0.2">
      <c r="A50" s="335" t="s">
        <v>2760</v>
      </c>
      <c r="B50" s="336">
        <v>9001210400</v>
      </c>
      <c r="C50" s="318" t="s">
        <v>944</v>
      </c>
      <c r="D50" s="324">
        <f>[1]!Table32[[#This Row],[Residential CLM $ Collected]]+[1]!Table32[[#This Row],[C&amp;I CLM $ Collected]]</f>
        <v>1161497.5121820001</v>
      </c>
      <c r="E50" s="325">
        <f>[1]!Table32[[#This Row],[CLM $ Collected ]]/'[1]1.) CLM Reference'!$B$4</f>
        <v>1.2503953112633869E-2</v>
      </c>
      <c r="F50" s="326">
        <f>[1]!Table32[[#This Row],[Residential Incentive Disbursements]]+[1]!Table32[[#This Row],[C&amp;I Incentive Disbursements]]</f>
        <v>458958.35</v>
      </c>
      <c r="G50" s="325">
        <f>[1]!Table32[[#This Row],[Incentive Disbursements]]/'[1]1.) CLM Reference'!$B$5</f>
        <v>3.6850414656610887E-3</v>
      </c>
      <c r="H50" s="337">
        <v>0</v>
      </c>
      <c r="I50" s="325">
        <f>[1]!Table32[[#This Row],[Residential CLM $ Collected]]/'[1]1.) CLM Reference'!$B$4</f>
        <v>0</v>
      </c>
      <c r="J50" s="337">
        <v>0</v>
      </c>
      <c r="K50" s="325">
        <f>[1]!Table32[[#This Row],[Residential Incentive Disbursements]]/'[1]1.) CLM Reference'!$B$5</f>
        <v>0</v>
      </c>
      <c r="L50" s="337">
        <v>1161497.5121820001</v>
      </c>
      <c r="M50" s="325">
        <f>[1]!Table32[[#This Row],[C&amp;I CLM $ Collected]]/'[1]1.) CLM Reference'!$B$4</f>
        <v>1.2503953112633869E-2</v>
      </c>
      <c r="N50" s="337">
        <v>458958.35</v>
      </c>
      <c r="O50" s="325">
        <f>[1]!Table32[[#This Row],[C&amp;I Incentive Disbursements]]/'[1]1.) CLM Reference'!$B$5</f>
        <v>3.6850414656610887E-3</v>
      </c>
      <c r="P50" s="318">
        <f>VLOOKUP('3.) Large Load'!$B50,'Population and Diversity Data'!$B$2:$K$823,10,FALSE)</f>
        <v>5</v>
      </c>
      <c r="Q50" s="338" t="str">
        <f>VLOOKUP('3.) Large Load'!$B50,'ES Energy Burden'!$B$2:$E$914,4,FALSE)</f>
        <v>No</v>
      </c>
    </row>
    <row r="51" spans="1:17" x14ac:dyDescent="0.2">
      <c r="A51" s="329" t="s">
        <v>2760</v>
      </c>
      <c r="B51" s="330">
        <v>9001210701</v>
      </c>
      <c r="C51" s="319" t="s">
        <v>944</v>
      </c>
      <c r="D51" s="331">
        <f>[1]!Table32[[#This Row],[Residential CLM $ Collected]]+[1]!Table32[[#This Row],[C&amp;I CLM $ Collected]]</f>
        <v>54.310935000000001</v>
      </c>
      <c r="E51" s="177">
        <f>[1]!Table32[[#This Row],[CLM $ Collected ]]/'[1]1.) CLM Reference'!$B$4</f>
        <v>5.8467743376181632E-7</v>
      </c>
      <c r="F51" s="332">
        <f>[1]!Table32[[#This Row],[Residential Incentive Disbursements]]+[1]!Table32[[#This Row],[C&amp;I Incentive Disbursements]]</f>
        <v>0</v>
      </c>
      <c r="G51" s="177">
        <f>[1]!Table32[[#This Row],[Incentive Disbursements]]/'[1]1.) CLM Reference'!$B$5</f>
        <v>0</v>
      </c>
      <c r="H51" s="333">
        <v>0</v>
      </c>
      <c r="I51" s="177">
        <f>[1]!Table32[[#This Row],[Residential CLM $ Collected]]/'[1]1.) CLM Reference'!$B$4</f>
        <v>0</v>
      </c>
      <c r="J51" s="333">
        <v>0</v>
      </c>
      <c r="K51" s="177">
        <f>[1]!Table32[[#This Row],[Residential Incentive Disbursements]]/'[1]1.) CLM Reference'!$B$5</f>
        <v>0</v>
      </c>
      <c r="L51" s="333">
        <v>54.310935000000001</v>
      </c>
      <c r="M51" s="177">
        <f>[1]!Table32[[#This Row],[C&amp;I CLM $ Collected]]/'[1]1.) CLM Reference'!$B$4</f>
        <v>5.8467743376181632E-7</v>
      </c>
      <c r="N51" s="333">
        <v>0</v>
      </c>
      <c r="O51" s="177">
        <f>[1]!Table32[[#This Row],[C&amp;I Incentive Disbursements]]/'[1]1.) CLM Reference'!$B$5</f>
        <v>0</v>
      </c>
      <c r="P51" s="319">
        <f>VLOOKUP('3.) Large Load'!$B51,'Population and Diversity Data'!$B$2:$K$823,10,FALSE)</f>
        <v>5</v>
      </c>
      <c r="Q51" s="334" t="str">
        <f>VLOOKUP('3.) Large Load'!$B51,'ES Energy Burden'!$B$2:$E$914,4,FALSE)</f>
        <v>No</v>
      </c>
    </row>
    <row r="52" spans="1:17" x14ac:dyDescent="0.2">
      <c r="A52" s="335" t="s">
        <v>2760</v>
      </c>
      <c r="B52" s="336">
        <v>9001210800</v>
      </c>
      <c r="C52" s="318" t="s">
        <v>944</v>
      </c>
      <c r="D52" s="324">
        <f>[1]!Table32[[#This Row],[Residential CLM $ Collected]]+[1]!Table32[[#This Row],[C&amp;I CLM $ Collected]]</f>
        <v>5.3395650000000003</v>
      </c>
      <c r="E52" s="325">
        <f>[1]!Table32[[#This Row],[CLM $ Collected ]]/'[1]1.) CLM Reference'!$B$4</f>
        <v>5.7482405000105646E-8</v>
      </c>
      <c r="F52" s="326">
        <f>[1]!Table32[[#This Row],[Residential Incentive Disbursements]]+[1]!Table32[[#This Row],[C&amp;I Incentive Disbursements]]</f>
        <v>0</v>
      </c>
      <c r="G52" s="325">
        <f>[1]!Table32[[#This Row],[Incentive Disbursements]]/'[1]1.) CLM Reference'!$B$5</f>
        <v>0</v>
      </c>
      <c r="H52" s="337">
        <v>0</v>
      </c>
      <c r="I52" s="325">
        <f>[1]!Table32[[#This Row],[Residential CLM $ Collected]]/'[1]1.) CLM Reference'!$B$4</f>
        <v>0</v>
      </c>
      <c r="J52" s="337">
        <v>0</v>
      </c>
      <c r="K52" s="325">
        <f>[1]!Table32[[#This Row],[Residential Incentive Disbursements]]/'[1]1.) CLM Reference'!$B$5</f>
        <v>0</v>
      </c>
      <c r="L52" s="337">
        <v>5.3395650000000003</v>
      </c>
      <c r="M52" s="325">
        <f>[1]!Table32[[#This Row],[C&amp;I CLM $ Collected]]/'[1]1.) CLM Reference'!$B$4</f>
        <v>5.7482405000105646E-8</v>
      </c>
      <c r="N52" s="337">
        <v>0</v>
      </c>
      <c r="O52" s="325">
        <f>[1]!Table32[[#This Row],[C&amp;I Incentive Disbursements]]/'[1]1.) CLM Reference'!$B$5</f>
        <v>0</v>
      </c>
      <c r="P52" s="318">
        <f>VLOOKUP('3.) Large Load'!$B52,'Population and Diversity Data'!$B$2:$K$823,10,FALSE)</f>
        <v>4</v>
      </c>
      <c r="Q52" s="338" t="str">
        <f>VLOOKUP('3.) Large Load'!$B52,'ES Energy Burden'!$B$2:$E$914,4,FALSE)</f>
        <v>No</v>
      </c>
    </row>
    <row r="53" spans="1:17" x14ac:dyDescent="0.2">
      <c r="A53" s="329" t="s">
        <v>2760</v>
      </c>
      <c r="B53" s="330">
        <v>9001211000</v>
      </c>
      <c r="C53" s="319" t="s">
        <v>944</v>
      </c>
      <c r="D53" s="331">
        <f>[1]!Table32[[#This Row],[Residential CLM $ Collected]]+[1]!Table32[[#This Row],[C&amp;I CLM $ Collected]]</f>
        <v>4.2470189999999999</v>
      </c>
      <c r="E53" s="177">
        <f>[1]!Table32[[#This Row],[CLM $ Collected ]]/'[1]1.) CLM Reference'!$B$4</f>
        <v>4.5720740584887281E-8</v>
      </c>
      <c r="F53" s="332">
        <f>[1]!Table32[[#This Row],[Residential Incentive Disbursements]]+[1]!Table32[[#This Row],[C&amp;I Incentive Disbursements]]</f>
        <v>0</v>
      </c>
      <c r="G53" s="177">
        <f>[1]!Table32[[#This Row],[Incentive Disbursements]]/'[1]1.) CLM Reference'!$B$5</f>
        <v>0</v>
      </c>
      <c r="H53" s="333">
        <v>0</v>
      </c>
      <c r="I53" s="177">
        <f>[1]!Table32[[#This Row],[Residential CLM $ Collected]]/'[1]1.) CLM Reference'!$B$4</f>
        <v>0</v>
      </c>
      <c r="J53" s="333">
        <v>0</v>
      </c>
      <c r="K53" s="177">
        <f>[1]!Table32[[#This Row],[Residential Incentive Disbursements]]/'[1]1.) CLM Reference'!$B$5</f>
        <v>0</v>
      </c>
      <c r="L53" s="333">
        <v>4.2470189999999999</v>
      </c>
      <c r="M53" s="177">
        <f>[1]!Table32[[#This Row],[C&amp;I CLM $ Collected]]/'[1]1.) CLM Reference'!$B$4</f>
        <v>4.5720740584887281E-8</v>
      </c>
      <c r="N53" s="333">
        <v>0</v>
      </c>
      <c r="O53" s="177">
        <f>[1]!Table32[[#This Row],[C&amp;I Incentive Disbursements]]/'[1]1.) CLM Reference'!$B$5</f>
        <v>0</v>
      </c>
      <c r="P53" s="319">
        <f>VLOOKUP('3.) Large Load'!$B53,'Population and Diversity Data'!$B$2:$K$823,10,FALSE)</f>
        <v>5</v>
      </c>
      <c r="Q53" s="334" t="str">
        <f>VLOOKUP('3.) Large Load'!$B53,'ES Energy Burden'!$B$2:$E$914,4,FALSE)</f>
        <v>No</v>
      </c>
    </row>
    <row r="54" spans="1:17" x14ac:dyDescent="0.2">
      <c r="A54" s="335" t="s">
        <v>2761</v>
      </c>
      <c r="B54" s="336">
        <v>9001030500</v>
      </c>
      <c r="C54" s="318" t="s">
        <v>944</v>
      </c>
      <c r="D54" s="324">
        <f>[1]!Table32[[#This Row],[Residential CLM $ Collected]]+[1]!Table32[[#This Row],[C&amp;I CLM $ Collected]]</f>
        <v>165791.88969000001</v>
      </c>
      <c r="E54" s="325">
        <f>[1]!Table32[[#This Row],[CLM $ Collected ]]/'[1]1.) CLM Reference'!$B$4</f>
        <v>1.7848114123329185E-3</v>
      </c>
      <c r="F54" s="326">
        <f>[1]!Table32[[#This Row],[Residential Incentive Disbursements]]+[1]!Table32[[#This Row],[C&amp;I Incentive Disbursements]]</f>
        <v>64980.98</v>
      </c>
      <c r="G54" s="325">
        <f>[1]!Table32[[#This Row],[Incentive Disbursements]]/'[1]1.) CLM Reference'!$B$5</f>
        <v>5.2174147344588877E-4</v>
      </c>
      <c r="H54" s="337">
        <v>0</v>
      </c>
      <c r="I54" s="325">
        <f>[1]!Table32[[#This Row],[Residential CLM $ Collected]]/'[1]1.) CLM Reference'!$B$4</f>
        <v>0</v>
      </c>
      <c r="J54" s="337">
        <v>0</v>
      </c>
      <c r="K54" s="325">
        <f>[1]!Table32[[#This Row],[Residential Incentive Disbursements]]/'[1]1.) CLM Reference'!$B$5</f>
        <v>0</v>
      </c>
      <c r="L54" s="337">
        <v>165791.88969000001</v>
      </c>
      <c r="M54" s="325">
        <f>[1]!Table32[[#This Row],[C&amp;I CLM $ Collected]]/'[1]1.) CLM Reference'!$B$4</f>
        <v>1.7848114123329185E-3</v>
      </c>
      <c r="N54" s="337">
        <v>64980.98</v>
      </c>
      <c r="O54" s="325">
        <f>[1]!Table32[[#This Row],[C&amp;I Incentive Disbursements]]/'[1]1.) CLM Reference'!$B$5</f>
        <v>5.2174147344588877E-4</v>
      </c>
      <c r="P54" s="318">
        <f>VLOOKUP('3.) Large Load'!$B54,'Population and Diversity Data'!$B$2:$K$823,10,FALSE)</f>
        <v>3</v>
      </c>
      <c r="Q54" s="338" t="str">
        <f>VLOOKUP('3.) Large Load'!$B54,'ES Energy Burden'!$B$2:$E$914,4,FALSE)</f>
        <v>No</v>
      </c>
    </row>
    <row r="55" spans="1:17" x14ac:dyDescent="0.2">
      <c r="A55" s="329" t="s">
        <v>2762</v>
      </c>
      <c r="B55" s="330">
        <v>9007620100</v>
      </c>
      <c r="C55" s="319" t="s">
        <v>944</v>
      </c>
      <c r="D55" s="331">
        <f>[1]!Table32[[#This Row],[Residential CLM $ Collected]]+[1]!Table32[[#This Row],[C&amp;I CLM $ Collected]]</f>
        <v>73347.518328000006</v>
      </c>
      <c r="E55" s="177">
        <f>[1]!Table32[[#This Row],[CLM $ Collected ]]/'[1]1.) CLM Reference'!$B$4</f>
        <v>7.8961334009095647E-4</v>
      </c>
      <c r="F55" s="332">
        <f>[1]!Table32[[#This Row],[Residential Incentive Disbursements]]+[1]!Table32[[#This Row],[C&amp;I Incentive Disbursements]]</f>
        <v>47371.6</v>
      </c>
      <c r="G55" s="177">
        <f>[1]!Table32[[#This Row],[Incentive Disbursements]]/'[1]1.) CLM Reference'!$B$5</f>
        <v>3.8035327234968235E-4</v>
      </c>
      <c r="H55" s="333">
        <v>0</v>
      </c>
      <c r="I55" s="177">
        <f>[1]!Table32[[#This Row],[Residential CLM $ Collected]]/'[1]1.) CLM Reference'!$B$4</f>
        <v>0</v>
      </c>
      <c r="J55" s="333">
        <v>0</v>
      </c>
      <c r="K55" s="177">
        <f>[1]!Table32[[#This Row],[Residential Incentive Disbursements]]/'[1]1.) CLM Reference'!$B$5</f>
        <v>0</v>
      </c>
      <c r="L55" s="333">
        <v>73347.518328000006</v>
      </c>
      <c r="M55" s="177">
        <f>[1]!Table32[[#This Row],[C&amp;I CLM $ Collected]]/'[1]1.) CLM Reference'!$B$4</f>
        <v>7.8961334009095647E-4</v>
      </c>
      <c r="N55" s="333">
        <v>47371.6</v>
      </c>
      <c r="O55" s="177">
        <f>[1]!Table32[[#This Row],[C&amp;I Incentive Disbursements]]/'[1]1.) CLM Reference'!$B$5</f>
        <v>3.8035327234968235E-4</v>
      </c>
      <c r="P55" s="319">
        <f>VLOOKUP('3.) Large Load'!$B55,'Population and Diversity Data'!$B$2:$K$823,10,FALSE)</f>
        <v>1</v>
      </c>
      <c r="Q55" s="334" t="str">
        <f>VLOOKUP('3.) Large Load'!$B55,'ES Energy Burden'!$B$2:$E$914,4,FALSE)</f>
        <v>No</v>
      </c>
    </row>
    <row r="56" spans="1:17" x14ac:dyDescent="0.2">
      <c r="A56" s="335" t="s">
        <v>2763</v>
      </c>
      <c r="B56" s="336">
        <v>9007585100</v>
      </c>
      <c r="C56" s="318" t="s">
        <v>944</v>
      </c>
      <c r="D56" s="324">
        <f>[1]!Table32[[#This Row],[Residential CLM $ Collected]]+[1]!Table32[[#This Row],[C&amp;I CLM $ Collected]]</f>
        <v>49833.245343000002</v>
      </c>
      <c r="E56" s="325">
        <f>[1]!Table32[[#This Row],[CLM $ Collected ]]/'[1]1.) CLM Reference'!$B$4</f>
        <v>5.3647343768190004E-4</v>
      </c>
      <c r="F56" s="326">
        <f>[1]!Table32[[#This Row],[Residential Incentive Disbursements]]+[1]!Table32[[#This Row],[C&amp;I Incentive Disbursements]]</f>
        <v>285186.19199999998</v>
      </c>
      <c r="G56" s="325">
        <f>[1]!Table32[[#This Row],[Incentive Disbursements]]/'[1]1.) CLM Reference'!$B$5</f>
        <v>2.2898002464798485E-3</v>
      </c>
      <c r="H56" s="337">
        <v>0</v>
      </c>
      <c r="I56" s="325">
        <f>[1]!Table32[[#This Row],[Residential CLM $ Collected]]/'[1]1.) CLM Reference'!$B$4</f>
        <v>0</v>
      </c>
      <c r="J56" s="337">
        <v>0</v>
      </c>
      <c r="K56" s="325">
        <f>[1]!Table32[[#This Row],[Residential Incentive Disbursements]]/'[1]1.) CLM Reference'!$B$5</f>
        <v>0</v>
      </c>
      <c r="L56" s="337">
        <v>49833.245343000002</v>
      </c>
      <c r="M56" s="325">
        <f>[1]!Table32[[#This Row],[C&amp;I CLM $ Collected]]/'[1]1.) CLM Reference'!$B$4</f>
        <v>5.3647343768190004E-4</v>
      </c>
      <c r="N56" s="337">
        <v>285186.19199999998</v>
      </c>
      <c r="O56" s="325">
        <f>[1]!Table32[[#This Row],[C&amp;I Incentive Disbursements]]/'[1]1.) CLM Reference'!$B$5</f>
        <v>2.2898002464798485E-3</v>
      </c>
      <c r="P56" s="318">
        <f>VLOOKUP('3.) Large Load'!$B56,'Population and Diversity Data'!$B$2:$K$823,10,FALSE)</f>
        <v>1</v>
      </c>
      <c r="Q56" s="338" t="str">
        <f>VLOOKUP('3.) Large Load'!$B56,'ES Energy Burden'!$B$2:$E$914,4,FALSE)</f>
        <v>No</v>
      </c>
    </row>
    <row r="57" spans="1:17" x14ac:dyDescent="0.2">
      <c r="A57" s="329" t="s">
        <v>2764</v>
      </c>
      <c r="B57" s="330">
        <v>9003470100</v>
      </c>
      <c r="C57" s="319" t="s">
        <v>944</v>
      </c>
      <c r="D57" s="331">
        <f>[1]!Table32[[#This Row],[Residential CLM $ Collected]]+[1]!Table32[[#This Row],[C&amp;I CLM $ Collected]]</f>
        <v>211506.55974</v>
      </c>
      <c r="E57" s="177">
        <f>[1]!Table32[[#This Row],[CLM $ Collected ]]/'[1]1.) CLM Reference'!$B$4</f>
        <v>2.2769468537518914E-3</v>
      </c>
      <c r="F57" s="332">
        <f>[1]!Table32[[#This Row],[Residential Incentive Disbursements]]+[1]!Table32[[#This Row],[C&amp;I Incentive Disbursements]]</f>
        <v>42011.19</v>
      </c>
      <c r="G57" s="177">
        <f>[1]!Table32[[#This Row],[Incentive Disbursements]]/'[1]1.) CLM Reference'!$B$5</f>
        <v>3.3731378276866841E-4</v>
      </c>
      <c r="H57" s="333">
        <v>0</v>
      </c>
      <c r="I57" s="177">
        <f>[1]!Table32[[#This Row],[Residential CLM $ Collected]]/'[1]1.) CLM Reference'!$B$4</f>
        <v>0</v>
      </c>
      <c r="J57" s="333">
        <v>0</v>
      </c>
      <c r="K57" s="177">
        <f>[1]!Table32[[#This Row],[Residential Incentive Disbursements]]/'[1]1.) CLM Reference'!$B$5</f>
        <v>0</v>
      </c>
      <c r="L57" s="333">
        <v>211506.55974</v>
      </c>
      <c r="M57" s="177">
        <f>[1]!Table32[[#This Row],[C&amp;I CLM $ Collected]]/'[1]1.) CLM Reference'!$B$4</f>
        <v>2.2769468537518914E-3</v>
      </c>
      <c r="N57" s="333">
        <v>42011.19</v>
      </c>
      <c r="O57" s="177">
        <f>[1]!Table32[[#This Row],[C&amp;I Incentive Disbursements]]/'[1]1.) CLM Reference'!$B$5</f>
        <v>3.3731378276866841E-4</v>
      </c>
      <c r="P57" s="319">
        <f>VLOOKUP('3.) Large Load'!$B57,'Population and Diversity Data'!$B$2:$K$823,10,FALSE)</f>
        <v>3</v>
      </c>
      <c r="Q57" s="334" t="str">
        <f>VLOOKUP('3.) Large Load'!$B57,'ES Energy Burden'!$B$2:$E$914,4,FALSE)</f>
        <v>No</v>
      </c>
    </row>
    <row r="58" spans="1:17" x14ac:dyDescent="0.2">
      <c r="A58" s="335" t="s">
        <v>2765</v>
      </c>
      <c r="B58" s="336">
        <v>9007595101</v>
      </c>
      <c r="C58" s="318" t="s">
        <v>944</v>
      </c>
      <c r="D58" s="324">
        <f>[1]!Table32[[#This Row],[Residential CLM $ Collected]]+[1]!Table32[[#This Row],[C&amp;I CLM $ Collected]]</f>
        <v>11138.772603000001</v>
      </c>
      <c r="E58" s="325">
        <f>[1]!Table32[[#This Row],[CLM $ Collected ]]/'[1]1.) CLM Reference'!$B$4</f>
        <v>1.1991303373397028E-4</v>
      </c>
      <c r="F58" s="326">
        <f>[1]!Table32[[#This Row],[Residential Incentive Disbursements]]+[1]!Table32[[#This Row],[C&amp;I Incentive Disbursements]]</f>
        <v>21309.24</v>
      </c>
      <c r="G58" s="325">
        <f>[1]!Table32[[#This Row],[Incentive Disbursements]]/'[1]1.) CLM Reference'!$B$5</f>
        <v>1.7109490000938844E-4</v>
      </c>
      <c r="H58" s="337">
        <v>0</v>
      </c>
      <c r="I58" s="325">
        <f>[1]!Table32[[#This Row],[Residential CLM $ Collected]]/'[1]1.) CLM Reference'!$B$4</f>
        <v>0</v>
      </c>
      <c r="J58" s="337">
        <v>0</v>
      </c>
      <c r="K58" s="325">
        <f>[1]!Table32[[#This Row],[Residential Incentive Disbursements]]/'[1]1.) CLM Reference'!$B$5</f>
        <v>0</v>
      </c>
      <c r="L58" s="337">
        <v>11138.772603000001</v>
      </c>
      <c r="M58" s="325">
        <f>[1]!Table32[[#This Row],[C&amp;I CLM $ Collected]]/'[1]1.) CLM Reference'!$B$4</f>
        <v>1.1991303373397028E-4</v>
      </c>
      <c r="N58" s="337">
        <v>21309.24</v>
      </c>
      <c r="O58" s="325">
        <f>[1]!Table32[[#This Row],[C&amp;I Incentive Disbursements]]/'[1]1.) CLM Reference'!$B$5</f>
        <v>1.7109490000938844E-4</v>
      </c>
      <c r="P58" s="318">
        <f>VLOOKUP('3.) Large Load'!$B58,'Population and Diversity Data'!$B$2:$K$823,10,FALSE)</f>
        <v>1</v>
      </c>
      <c r="Q58" s="338" t="str">
        <f>VLOOKUP('3.) Large Load'!$B58,'ES Energy Burden'!$B$2:$E$914,4,FALSE)</f>
        <v>No</v>
      </c>
    </row>
    <row r="59" spans="1:17" x14ac:dyDescent="0.2">
      <c r="A59" s="329" t="s">
        <v>2765</v>
      </c>
      <c r="B59" s="330">
        <v>9007595102</v>
      </c>
      <c r="C59" s="319" t="s">
        <v>944</v>
      </c>
      <c r="D59" s="331">
        <f>[1]!Table32[[#This Row],[Residential CLM $ Collected]]+[1]!Table32[[#This Row],[C&amp;I CLM $ Collected]]</f>
        <v>5.0526629999999999</v>
      </c>
      <c r="E59" s="177">
        <f>[1]!Table32[[#This Row],[CLM $ Collected ]]/'[1]1.) CLM Reference'!$B$4</f>
        <v>5.4393798164279068E-8</v>
      </c>
      <c r="F59" s="332">
        <f>[1]!Table32[[#This Row],[Residential Incentive Disbursements]]+[1]!Table32[[#This Row],[C&amp;I Incentive Disbursements]]</f>
        <v>0</v>
      </c>
      <c r="G59" s="177">
        <f>[1]!Table32[[#This Row],[Incentive Disbursements]]/'[1]1.) CLM Reference'!$B$5</f>
        <v>0</v>
      </c>
      <c r="H59" s="333">
        <v>0</v>
      </c>
      <c r="I59" s="177">
        <f>[1]!Table32[[#This Row],[Residential CLM $ Collected]]/'[1]1.) CLM Reference'!$B$4</f>
        <v>0</v>
      </c>
      <c r="J59" s="333">
        <v>0</v>
      </c>
      <c r="K59" s="177">
        <f>[1]!Table32[[#This Row],[Residential Incentive Disbursements]]/'[1]1.) CLM Reference'!$B$5</f>
        <v>0</v>
      </c>
      <c r="L59" s="333">
        <v>5.0526629999999999</v>
      </c>
      <c r="M59" s="177">
        <f>[1]!Table32[[#This Row],[C&amp;I CLM $ Collected]]/'[1]1.) CLM Reference'!$B$4</f>
        <v>5.4393798164279068E-8</v>
      </c>
      <c r="N59" s="333">
        <v>0</v>
      </c>
      <c r="O59" s="177">
        <f>[1]!Table32[[#This Row],[C&amp;I Incentive Disbursements]]/'[1]1.) CLM Reference'!$B$5</f>
        <v>0</v>
      </c>
      <c r="P59" s="319">
        <f>VLOOKUP('3.) Large Load'!$B59,'Population and Diversity Data'!$B$2:$K$823,10,FALSE)</f>
        <v>1</v>
      </c>
      <c r="Q59" s="334" t="str">
        <f>VLOOKUP('3.) Large Load'!$B59,'ES Energy Burden'!$B$2:$E$914,4,FALSE)</f>
        <v>No</v>
      </c>
    </row>
    <row r="60" spans="1:17" x14ac:dyDescent="0.2">
      <c r="A60" s="335" t="s">
        <v>2766</v>
      </c>
      <c r="B60" s="336">
        <v>9007550100</v>
      </c>
      <c r="C60" s="318" t="s">
        <v>944</v>
      </c>
      <c r="D60" s="324">
        <f>[1]!Table32[[#This Row],[Residential CLM $ Collected]]+[1]!Table32[[#This Row],[C&amp;I CLM $ Collected]]</f>
        <v>39063.102204000003</v>
      </c>
      <c r="E60" s="325">
        <f>[1]!Table32[[#This Row],[CLM $ Collected ]]/'[1]1.) CLM Reference'!$B$4</f>
        <v>4.2052883735863266E-4</v>
      </c>
      <c r="F60" s="326">
        <f>[1]!Table32[[#This Row],[Residential Incentive Disbursements]]+[1]!Table32[[#This Row],[C&amp;I Incentive Disbursements]]</f>
        <v>29826.75</v>
      </c>
      <c r="G60" s="325">
        <f>[1]!Table32[[#This Row],[Incentive Disbursements]]/'[1]1.) CLM Reference'!$B$5</f>
        <v>2.3948319174475611E-4</v>
      </c>
      <c r="H60" s="337">
        <v>0</v>
      </c>
      <c r="I60" s="325">
        <f>[1]!Table32[[#This Row],[Residential CLM $ Collected]]/'[1]1.) CLM Reference'!$B$4</f>
        <v>0</v>
      </c>
      <c r="J60" s="337">
        <v>0</v>
      </c>
      <c r="K60" s="325">
        <f>[1]!Table32[[#This Row],[Residential Incentive Disbursements]]/'[1]1.) CLM Reference'!$B$5</f>
        <v>0</v>
      </c>
      <c r="L60" s="337">
        <v>39063.102204000003</v>
      </c>
      <c r="M60" s="325">
        <f>[1]!Table32[[#This Row],[C&amp;I CLM $ Collected]]/'[1]1.) CLM Reference'!$B$4</f>
        <v>4.2052883735863266E-4</v>
      </c>
      <c r="N60" s="337">
        <v>29826.75</v>
      </c>
      <c r="O60" s="325">
        <f>[1]!Table32[[#This Row],[C&amp;I Incentive Disbursements]]/'[1]1.) CLM Reference'!$B$5</f>
        <v>2.3948319174475611E-4</v>
      </c>
      <c r="P60" s="318">
        <f>VLOOKUP('3.) Large Load'!$B60,'Population and Diversity Data'!$B$2:$K$823,10,FALSE)</f>
        <v>3</v>
      </c>
      <c r="Q60" s="338" t="str">
        <f>VLOOKUP('3.) Large Load'!$B60,'ES Energy Burden'!$B$2:$E$914,4,FALSE)</f>
        <v>No</v>
      </c>
    </row>
    <row r="61" spans="1:17" x14ac:dyDescent="0.2">
      <c r="A61" s="329" t="s">
        <v>2767</v>
      </c>
      <c r="B61" s="330">
        <v>9003510100</v>
      </c>
      <c r="C61" s="319" t="s">
        <v>944</v>
      </c>
      <c r="D61" s="331">
        <f>[1]!Table32[[#This Row],[Residential CLM $ Collected]]+[1]!Table32[[#This Row],[C&amp;I CLM $ Collected]]</f>
        <v>0</v>
      </c>
      <c r="E61" s="177">
        <f>[1]!Table32[[#This Row],[CLM $ Collected ]]/'[1]1.) CLM Reference'!$B$4</f>
        <v>0</v>
      </c>
      <c r="F61" s="332">
        <f>[1]!Table32[[#This Row],[Residential Incentive Disbursements]]+[1]!Table32[[#This Row],[C&amp;I Incentive Disbursements]]</f>
        <v>900</v>
      </c>
      <c r="G61" s="177">
        <f>[1]!Table32[[#This Row],[Incentive Disbursements]]/'[1]1.) CLM Reference'!$B$5</f>
        <v>7.2262272145064581E-6</v>
      </c>
      <c r="H61" s="333">
        <v>0</v>
      </c>
      <c r="I61" s="177">
        <f>[1]!Table32[[#This Row],[Residential CLM $ Collected]]/'[1]1.) CLM Reference'!$B$4</f>
        <v>0</v>
      </c>
      <c r="J61" s="333">
        <v>0</v>
      </c>
      <c r="K61" s="177">
        <f>[1]!Table32[[#This Row],[Residential Incentive Disbursements]]/'[1]1.) CLM Reference'!$B$5</f>
        <v>0</v>
      </c>
      <c r="L61" s="333">
        <v>0</v>
      </c>
      <c r="M61" s="177">
        <f>[1]!Table32[[#This Row],[C&amp;I CLM $ Collected]]/'[1]1.) CLM Reference'!$B$4</f>
        <v>0</v>
      </c>
      <c r="N61" s="333">
        <v>900</v>
      </c>
      <c r="O61" s="177">
        <f>[1]!Table32[[#This Row],[C&amp;I Incentive Disbursements]]/'[1]1.) CLM Reference'!$B$5</f>
        <v>7.2262272145064581E-6</v>
      </c>
      <c r="P61" s="319">
        <f>VLOOKUP('3.) Large Load'!$B61,'Population and Diversity Data'!$B$2:$K$823,10,FALSE)</f>
        <v>4</v>
      </c>
      <c r="Q61" s="334" t="str">
        <f>VLOOKUP('3.) Large Load'!$B61,'ES Energy Burden'!$B$2:$E$914,4,FALSE)</f>
        <v>No</v>
      </c>
    </row>
    <row r="62" spans="1:17" x14ac:dyDescent="0.2">
      <c r="A62" s="335" t="s">
        <v>2767</v>
      </c>
      <c r="B62" s="336">
        <v>9003510200</v>
      </c>
      <c r="C62" s="318" t="s">
        <v>944</v>
      </c>
      <c r="D62" s="324">
        <f>[1]!Table32[[#This Row],[Residential CLM $ Collected]]+[1]!Table32[[#This Row],[C&amp;I CLM $ Collected]]</f>
        <v>21.53697</v>
      </c>
      <c r="E62" s="325">
        <f>[1]!Table32[[#This Row],[CLM $ Collected ]]/'[1]1.) CLM Reference'!$B$4</f>
        <v>2.3185349967930445E-7</v>
      </c>
      <c r="F62" s="326">
        <f>[1]!Table32[[#This Row],[Residential Incentive Disbursements]]+[1]!Table32[[#This Row],[C&amp;I Incentive Disbursements]]</f>
        <v>0</v>
      </c>
      <c r="G62" s="325">
        <f>[1]!Table32[[#This Row],[Incentive Disbursements]]/'[1]1.) CLM Reference'!$B$5</f>
        <v>0</v>
      </c>
      <c r="H62" s="337">
        <v>0</v>
      </c>
      <c r="I62" s="325">
        <f>[1]!Table32[[#This Row],[Residential CLM $ Collected]]/'[1]1.) CLM Reference'!$B$4</f>
        <v>0</v>
      </c>
      <c r="J62" s="337">
        <v>0</v>
      </c>
      <c r="K62" s="325">
        <f>[1]!Table32[[#This Row],[Residential Incentive Disbursements]]/'[1]1.) CLM Reference'!$B$5</f>
        <v>0</v>
      </c>
      <c r="L62" s="337">
        <v>21.53697</v>
      </c>
      <c r="M62" s="325">
        <f>[1]!Table32[[#This Row],[C&amp;I CLM $ Collected]]/'[1]1.) CLM Reference'!$B$4</f>
        <v>2.3185349967930445E-7</v>
      </c>
      <c r="N62" s="337">
        <v>0</v>
      </c>
      <c r="O62" s="325">
        <f>[1]!Table32[[#This Row],[C&amp;I Incentive Disbursements]]/'[1]1.) CLM Reference'!$B$5</f>
        <v>0</v>
      </c>
      <c r="P62" s="318">
        <f>VLOOKUP('3.) Large Load'!$B62,'Population and Diversity Data'!$B$2:$K$823,10,FALSE)</f>
        <v>5</v>
      </c>
      <c r="Q62" s="338" t="str">
        <f>VLOOKUP('3.) Large Load'!$B62,'ES Energy Burden'!$B$2:$E$914,4,FALSE)</f>
        <v>No</v>
      </c>
    </row>
    <row r="63" spans="1:17" x14ac:dyDescent="0.2">
      <c r="A63" s="329" t="s">
        <v>2767</v>
      </c>
      <c r="B63" s="330">
        <v>9003510300</v>
      </c>
      <c r="C63" s="319" t="s">
        <v>936</v>
      </c>
      <c r="D63" s="331">
        <f>[1]!Table32[[#This Row],[Residential CLM $ Collected]]+[1]!Table32[[#This Row],[C&amp;I CLM $ Collected]]</f>
        <v>3.5746830000000003</v>
      </c>
      <c r="E63" s="177">
        <f>[1]!Table32[[#This Row],[CLM $ Collected ]]/'[1]1.) CLM Reference'!$B$4</f>
        <v>3.8482793252445218E-8</v>
      </c>
      <c r="F63" s="332">
        <f>[1]!Table32[[#This Row],[Residential Incentive Disbursements]]+[1]!Table32[[#This Row],[C&amp;I Incentive Disbursements]]</f>
        <v>0</v>
      </c>
      <c r="G63" s="177">
        <f>[1]!Table32[[#This Row],[Incentive Disbursements]]/'[1]1.) CLM Reference'!$B$5</f>
        <v>0</v>
      </c>
      <c r="H63" s="333">
        <v>0</v>
      </c>
      <c r="I63" s="177">
        <f>[1]!Table32[[#This Row],[Residential CLM $ Collected]]/'[1]1.) CLM Reference'!$B$4</f>
        <v>0</v>
      </c>
      <c r="J63" s="333">
        <v>0</v>
      </c>
      <c r="K63" s="177">
        <f>[1]!Table32[[#This Row],[Residential Incentive Disbursements]]/'[1]1.) CLM Reference'!$B$5</f>
        <v>0</v>
      </c>
      <c r="L63" s="333">
        <v>3.5746830000000003</v>
      </c>
      <c r="M63" s="177">
        <f>[1]!Table32[[#This Row],[C&amp;I CLM $ Collected]]/'[1]1.) CLM Reference'!$B$4</f>
        <v>3.8482793252445218E-8</v>
      </c>
      <c r="N63" s="333">
        <v>0</v>
      </c>
      <c r="O63" s="177">
        <f>[1]!Table32[[#This Row],[C&amp;I Incentive Disbursements]]/'[1]1.) CLM Reference'!$B$5</f>
        <v>0</v>
      </c>
      <c r="P63" s="319">
        <f>VLOOKUP('3.) Large Load'!$B63,'Population and Diversity Data'!$B$2:$K$823,10,FALSE)</f>
        <v>4</v>
      </c>
      <c r="Q63" s="334" t="str">
        <f>VLOOKUP('3.) Large Load'!$B63,'ES Energy Burden'!$B$2:$E$914,4,FALSE)</f>
        <v>No</v>
      </c>
    </row>
    <row r="64" spans="1:17" x14ac:dyDescent="0.2">
      <c r="A64" s="335" t="s">
        <v>2767</v>
      </c>
      <c r="B64" s="336">
        <v>9003510600</v>
      </c>
      <c r="C64" s="318" t="s">
        <v>944</v>
      </c>
      <c r="D64" s="324">
        <f>[1]!Table32[[#This Row],[Residential CLM $ Collected]]+[1]!Table32[[#This Row],[C&amp;I CLM $ Collected]]</f>
        <v>1.712235</v>
      </c>
      <c r="E64" s="325">
        <f>[1]!Table32[[#This Row],[CLM $ Collected ]]/'[1]1.) CLM Reference'!$B$4</f>
        <v>1.8432847193611444E-8</v>
      </c>
      <c r="F64" s="326">
        <f>[1]!Table32[[#This Row],[Residential Incentive Disbursements]]+[1]!Table32[[#This Row],[C&amp;I Incentive Disbursements]]</f>
        <v>0</v>
      </c>
      <c r="G64" s="325">
        <f>[1]!Table32[[#This Row],[Incentive Disbursements]]/'[1]1.) CLM Reference'!$B$5</f>
        <v>0</v>
      </c>
      <c r="H64" s="337">
        <v>0</v>
      </c>
      <c r="I64" s="325">
        <f>[1]!Table32[[#This Row],[Residential CLM $ Collected]]/'[1]1.) CLM Reference'!$B$4</f>
        <v>0</v>
      </c>
      <c r="J64" s="337">
        <v>0</v>
      </c>
      <c r="K64" s="325">
        <f>[1]!Table32[[#This Row],[Residential Incentive Disbursements]]/'[1]1.) CLM Reference'!$B$5</f>
        <v>0</v>
      </c>
      <c r="L64" s="337">
        <v>1.712235</v>
      </c>
      <c r="M64" s="325">
        <f>[1]!Table32[[#This Row],[C&amp;I CLM $ Collected]]/'[1]1.) CLM Reference'!$B$4</f>
        <v>1.8432847193611444E-8</v>
      </c>
      <c r="N64" s="337">
        <v>0</v>
      </c>
      <c r="O64" s="325">
        <f>[1]!Table32[[#This Row],[C&amp;I Incentive Disbursements]]/'[1]1.) CLM Reference'!$B$5</f>
        <v>0</v>
      </c>
      <c r="P64" s="318">
        <f>VLOOKUP('3.) Large Load'!$B64,'Population and Diversity Data'!$B$2:$K$823,10,FALSE)</f>
        <v>5</v>
      </c>
      <c r="Q64" s="338" t="str">
        <f>VLOOKUP('3.) Large Load'!$B64,'ES Energy Burden'!$B$2:$E$914,4,FALSE)</f>
        <v>No</v>
      </c>
    </row>
    <row r="65" spans="1:17" x14ac:dyDescent="0.2">
      <c r="A65" s="329" t="s">
        <v>2767</v>
      </c>
      <c r="B65" s="330">
        <v>9003510700</v>
      </c>
      <c r="C65" s="319" t="s">
        <v>944</v>
      </c>
      <c r="D65" s="331">
        <f>[1]!Table32[[#This Row],[Residential CLM $ Collected]]+[1]!Table32[[#This Row],[C&amp;I CLM $ Collected]]</f>
        <v>6.6417329999999994</v>
      </c>
      <c r="E65" s="177">
        <f>[1]!Table32[[#This Row],[CLM $ Collected ]]/'[1]1.) CLM Reference'!$B$4</f>
        <v>7.1500728281904349E-8</v>
      </c>
      <c r="F65" s="332">
        <f>[1]!Table32[[#This Row],[Residential Incentive Disbursements]]+[1]!Table32[[#This Row],[C&amp;I Incentive Disbursements]]</f>
        <v>0</v>
      </c>
      <c r="G65" s="177">
        <f>[1]!Table32[[#This Row],[Incentive Disbursements]]/'[1]1.) CLM Reference'!$B$5</f>
        <v>0</v>
      </c>
      <c r="H65" s="333">
        <v>0</v>
      </c>
      <c r="I65" s="177">
        <f>[1]!Table32[[#This Row],[Residential CLM $ Collected]]/'[1]1.) CLM Reference'!$B$4</f>
        <v>0</v>
      </c>
      <c r="J65" s="333">
        <v>0</v>
      </c>
      <c r="K65" s="177">
        <f>[1]!Table32[[#This Row],[Residential Incentive Disbursements]]/'[1]1.) CLM Reference'!$B$5</f>
        <v>0</v>
      </c>
      <c r="L65" s="333">
        <v>6.6417329999999994</v>
      </c>
      <c r="M65" s="177">
        <f>[1]!Table32[[#This Row],[C&amp;I CLM $ Collected]]/'[1]1.) CLM Reference'!$B$4</f>
        <v>7.1500728281904349E-8</v>
      </c>
      <c r="N65" s="333">
        <v>0</v>
      </c>
      <c r="O65" s="177">
        <f>[1]!Table32[[#This Row],[C&amp;I Incentive Disbursements]]/'[1]1.) CLM Reference'!$B$5</f>
        <v>0</v>
      </c>
      <c r="P65" s="319">
        <f>VLOOKUP('3.) Large Load'!$B65,'Population and Diversity Data'!$B$2:$K$823,10,FALSE)</f>
        <v>5</v>
      </c>
      <c r="Q65" s="334" t="str">
        <f>VLOOKUP('3.) Large Load'!$B65,'ES Energy Burden'!$B$2:$E$914,4,FALSE)</f>
        <v>No</v>
      </c>
    </row>
    <row r="66" spans="1:17" x14ac:dyDescent="0.2">
      <c r="A66" s="335" t="s">
        <v>2767</v>
      </c>
      <c r="B66" s="336">
        <v>9003511100</v>
      </c>
      <c r="C66" s="318" t="s">
        <v>944</v>
      </c>
      <c r="D66" s="324">
        <f>[1]!Table32[[#This Row],[Residential CLM $ Collected]]+[1]!Table32[[#This Row],[C&amp;I CLM $ Collected]]</f>
        <v>781168.11120599997</v>
      </c>
      <c r="E66" s="325">
        <f>[1]!Table32[[#This Row],[CLM $ Collected ]]/'[1]1.) CLM Reference'!$B$4</f>
        <v>8.4095655248153829E-3</v>
      </c>
      <c r="F66" s="326">
        <f>[1]!Table32[[#This Row],[Residential Incentive Disbursements]]+[1]!Table32[[#This Row],[C&amp;I Incentive Disbursements]]</f>
        <v>1136847.5819999999</v>
      </c>
      <c r="G66" s="325">
        <f>[1]!Table32[[#This Row],[Incentive Disbursements]]/'[1]1.) CLM Reference'!$B$5</f>
        <v>9.1279099286602911E-3</v>
      </c>
      <c r="H66" s="337">
        <v>0</v>
      </c>
      <c r="I66" s="325">
        <f>[1]!Table32[[#This Row],[Residential CLM $ Collected]]/'[1]1.) CLM Reference'!$B$4</f>
        <v>0</v>
      </c>
      <c r="J66" s="337">
        <v>0</v>
      </c>
      <c r="K66" s="325">
        <f>[1]!Table32[[#This Row],[Residential Incentive Disbursements]]/'[1]1.) CLM Reference'!$B$5</f>
        <v>0</v>
      </c>
      <c r="L66" s="337">
        <v>781168.11120599997</v>
      </c>
      <c r="M66" s="325">
        <f>[1]!Table32[[#This Row],[C&amp;I CLM $ Collected]]/'[1]1.) CLM Reference'!$B$4</f>
        <v>8.4095655248153829E-3</v>
      </c>
      <c r="N66" s="337">
        <v>1136847.5819999999</v>
      </c>
      <c r="O66" s="325">
        <f>[1]!Table32[[#This Row],[C&amp;I Incentive Disbursements]]/'[1]1.) CLM Reference'!$B$5</f>
        <v>9.1279099286602911E-3</v>
      </c>
      <c r="P66" s="318">
        <f>VLOOKUP('3.) Large Load'!$B66,'Population and Diversity Data'!$B$2:$K$823,10,FALSE)</f>
        <v>4</v>
      </c>
      <c r="Q66" s="338" t="str">
        <f>VLOOKUP('3.) Large Load'!$B66,'ES Energy Burden'!$B$2:$E$914,4,FALSE)</f>
        <v>No</v>
      </c>
    </row>
    <row r="67" spans="1:17" x14ac:dyDescent="0.2">
      <c r="A67" s="329" t="s">
        <v>2768</v>
      </c>
      <c r="B67" s="330">
        <v>9011695202</v>
      </c>
      <c r="C67" s="319" t="s">
        <v>944</v>
      </c>
      <c r="D67" s="331">
        <f>[1]!Table32[[#This Row],[Residential CLM $ Collected]]+[1]!Table32[[#This Row],[C&amp;I CLM $ Collected]]</f>
        <v>0</v>
      </c>
      <c r="E67" s="177">
        <f>[1]!Table32[[#This Row],[CLM $ Collected ]]/'[1]1.) CLM Reference'!$B$4</f>
        <v>0</v>
      </c>
      <c r="F67" s="332">
        <f>[1]!Table32[[#This Row],[Residential Incentive Disbursements]]+[1]!Table32[[#This Row],[C&amp;I Incentive Disbursements]]</f>
        <v>18778.54</v>
      </c>
      <c r="G67" s="177">
        <f>[1]!Table32[[#This Row],[Incentive Disbursements]]/'[1]1.) CLM Reference'!$B$5</f>
        <v>1.5077555199633123E-4</v>
      </c>
      <c r="H67" s="333">
        <v>0</v>
      </c>
      <c r="I67" s="177">
        <f>[1]!Table32[[#This Row],[Residential CLM $ Collected]]/'[1]1.) CLM Reference'!$B$4</f>
        <v>0</v>
      </c>
      <c r="J67" s="333">
        <v>0</v>
      </c>
      <c r="K67" s="177">
        <f>[1]!Table32[[#This Row],[Residential Incentive Disbursements]]/'[1]1.) CLM Reference'!$B$5</f>
        <v>0</v>
      </c>
      <c r="L67" s="333">
        <v>0</v>
      </c>
      <c r="M67" s="177">
        <f>[1]!Table32[[#This Row],[C&amp;I CLM $ Collected]]/'[1]1.) CLM Reference'!$B$4</f>
        <v>0</v>
      </c>
      <c r="N67" s="333">
        <v>18778.54</v>
      </c>
      <c r="O67" s="177">
        <f>[1]!Table32[[#This Row],[C&amp;I Incentive Disbursements]]/'[1]1.) CLM Reference'!$B$5</f>
        <v>1.5077555199633123E-4</v>
      </c>
      <c r="P67" s="319">
        <f>VLOOKUP('3.) Large Load'!$B67,'Population and Diversity Data'!$B$2:$K$823,10,FALSE)</f>
        <v>3</v>
      </c>
      <c r="Q67" s="334" t="str">
        <f>VLOOKUP('3.) Large Load'!$B67,'ES Energy Burden'!$B$2:$E$914,4,FALSE)</f>
        <v>No</v>
      </c>
    </row>
    <row r="68" spans="1:17" x14ac:dyDescent="0.2">
      <c r="A68" s="335" t="s">
        <v>2768</v>
      </c>
      <c r="B68" s="336">
        <v>9011716102</v>
      </c>
      <c r="C68" s="318" t="s">
        <v>944</v>
      </c>
      <c r="D68" s="324">
        <f>[1]!Table32[[#This Row],[Residential CLM $ Collected]]+[1]!Table32[[#This Row],[C&amp;I CLM $ Collected]]</f>
        <v>133471.921023</v>
      </c>
      <c r="E68" s="325">
        <f>[1]!Table32[[#This Row],[CLM $ Collected ]]/'[1]1.) CLM Reference'!$B$4</f>
        <v>1.4368749177856624E-3</v>
      </c>
      <c r="F68" s="326">
        <f>[1]!Table32[[#This Row],[Residential Incentive Disbursements]]+[1]!Table32[[#This Row],[C&amp;I Incentive Disbursements]]</f>
        <v>69972.23</v>
      </c>
      <c r="G68" s="325">
        <f>[1]!Table32[[#This Row],[Incentive Disbursements]]/'[1]1.) CLM Reference'!$B$5</f>
        <v>5.6181692520633909E-4</v>
      </c>
      <c r="H68" s="337">
        <v>0</v>
      </c>
      <c r="I68" s="325">
        <f>[1]!Table32[[#This Row],[Residential CLM $ Collected]]/'[1]1.) CLM Reference'!$B$4</f>
        <v>0</v>
      </c>
      <c r="J68" s="337">
        <v>0</v>
      </c>
      <c r="K68" s="325">
        <f>[1]!Table32[[#This Row],[Residential Incentive Disbursements]]/'[1]1.) CLM Reference'!$B$5</f>
        <v>0</v>
      </c>
      <c r="L68" s="337">
        <v>133471.921023</v>
      </c>
      <c r="M68" s="325">
        <f>[1]!Table32[[#This Row],[C&amp;I CLM $ Collected]]/'[1]1.) CLM Reference'!$B$4</f>
        <v>1.4368749177856624E-3</v>
      </c>
      <c r="N68" s="337">
        <v>69972.23</v>
      </c>
      <c r="O68" s="325">
        <f>[1]!Table32[[#This Row],[C&amp;I Incentive Disbursements]]/'[1]1.) CLM Reference'!$B$5</f>
        <v>5.6181692520633909E-4</v>
      </c>
      <c r="P68" s="318">
        <f>VLOOKUP('3.) Large Load'!$B68,'Population and Diversity Data'!$B$2:$K$823,10,FALSE)</f>
        <v>4</v>
      </c>
      <c r="Q68" s="338" t="str">
        <f>VLOOKUP('3.) Large Load'!$B68,'ES Energy Burden'!$B$2:$E$914,4,FALSE)</f>
        <v>No</v>
      </c>
    </row>
    <row r="69" spans="1:17" x14ac:dyDescent="0.2">
      <c r="A69" s="329" t="s">
        <v>2769</v>
      </c>
      <c r="B69" s="330">
        <v>9003484100</v>
      </c>
      <c r="C69" s="319" t="s">
        <v>936</v>
      </c>
      <c r="D69" s="331">
        <f>[1]!Table32[[#This Row],[Residential CLM $ Collected]]+[1]!Table32[[#This Row],[C&amp;I CLM $ Collected]]</f>
        <v>168782.690412</v>
      </c>
      <c r="E69" s="177">
        <f>[1]!Table32[[#This Row],[CLM $ Collected ]]/'[1]1.) CLM Reference'!$B$4</f>
        <v>1.8170084954991709E-3</v>
      </c>
      <c r="F69" s="332">
        <f>[1]!Table32[[#This Row],[Residential Incentive Disbursements]]+[1]!Table32[[#This Row],[C&amp;I Incentive Disbursements]]</f>
        <v>652262.01</v>
      </c>
      <c r="G69" s="177">
        <f>[1]!Table32[[#This Row],[Incentive Disbursements]]/'[1]1.) CLM Reference'!$B$5</f>
        <v>5.2371038751674263E-3</v>
      </c>
      <c r="H69" s="333">
        <v>0</v>
      </c>
      <c r="I69" s="177">
        <f>[1]!Table32[[#This Row],[Residential CLM $ Collected]]/'[1]1.) CLM Reference'!$B$4</f>
        <v>0</v>
      </c>
      <c r="J69" s="333">
        <v>0</v>
      </c>
      <c r="K69" s="177">
        <f>[1]!Table32[[#This Row],[Residential Incentive Disbursements]]/'[1]1.) CLM Reference'!$B$5</f>
        <v>0</v>
      </c>
      <c r="L69" s="333">
        <v>168782.690412</v>
      </c>
      <c r="M69" s="177">
        <f>[1]!Table32[[#This Row],[C&amp;I CLM $ Collected]]/'[1]1.) CLM Reference'!$B$4</f>
        <v>1.8170084954991709E-3</v>
      </c>
      <c r="N69" s="333">
        <v>652262.01</v>
      </c>
      <c r="O69" s="177">
        <f>[1]!Table32[[#This Row],[C&amp;I Incentive Disbursements]]/'[1]1.) CLM Reference'!$B$5</f>
        <v>5.2371038751674263E-3</v>
      </c>
      <c r="P69" s="319">
        <f>VLOOKUP('3.) Large Load'!$B69,'Population and Diversity Data'!$B$2:$K$823,10,FALSE)</f>
        <v>4</v>
      </c>
      <c r="Q69" s="334" t="str">
        <f>VLOOKUP('3.) Large Load'!$B69,'ES Energy Burden'!$B$2:$E$914,4,FALSE)</f>
        <v>No</v>
      </c>
    </row>
    <row r="70" spans="1:17" x14ac:dyDescent="0.2">
      <c r="A70" s="335" t="s">
        <v>2770</v>
      </c>
      <c r="B70" s="336">
        <v>9015902200</v>
      </c>
      <c r="C70" s="318" t="s">
        <v>944</v>
      </c>
      <c r="D70" s="324">
        <f>[1]!Table32[[#This Row],[Residential CLM $ Collected]]+[1]!Table32[[#This Row],[C&amp;I CLM $ Collected]]</f>
        <v>18362.140481999999</v>
      </c>
      <c r="E70" s="325">
        <f>[1]!Table32[[#This Row],[CLM $ Collected ]]/'[1]1.) CLM Reference'!$B$4</f>
        <v>1.9767527801518644E-4</v>
      </c>
      <c r="F70" s="326">
        <f>[1]!Table32[[#This Row],[Residential Incentive Disbursements]]+[1]!Table32[[#This Row],[C&amp;I Incentive Disbursements]]</f>
        <v>2774</v>
      </c>
      <c r="G70" s="325">
        <f>[1]!Table32[[#This Row],[Incentive Disbursements]]/'[1]1.) CLM Reference'!$B$5</f>
        <v>2.2272838103378794E-5</v>
      </c>
      <c r="H70" s="337">
        <v>0</v>
      </c>
      <c r="I70" s="325">
        <f>[1]!Table32[[#This Row],[Residential CLM $ Collected]]/'[1]1.) CLM Reference'!$B$4</f>
        <v>0</v>
      </c>
      <c r="J70" s="337">
        <v>0</v>
      </c>
      <c r="K70" s="325">
        <f>[1]!Table32[[#This Row],[Residential Incentive Disbursements]]/'[1]1.) CLM Reference'!$B$5</f>
        <v>0</v>
      </c>
      <c r="L70" s="337">
        <v>18362.140481999999</v>
      </c>
      <c r="M70" s="325">
        <f>[1]!Table32[[#This Row],[C&amp;I CLM $ Collected]]/'[1]1.) CLM Reference'!$B$4</f>
        <v>1.9767527801518644E-4</v>
      </c>
      <c r="N70" s="337">
        <v>2774</v>
      </c>
      <c r="O70" s="325">
        <f>[1]!Table32[[#This Row],[C&amp;I Incentive Disbursements]]/'[1]1.) CLM Reference'!$B$5</f>
        <v>2.2272838103378794E-5</v>
      </c>
      <c r="P70" s="318">
        <f>VLOOKUP('3.) Large Load'!$B70,'Population and Diversity Data'!$B$2:$K$823,10,FALSE)</f>
        <v>2</v>
      </c>
      <c r="Q70" s="338" t="str">
        <f>VLOOKUP('3.) Large Load'!$B70,'ES Energy Burden'!$B$2:$E$914,4,FALSE)</f>
        <v>No</v>
      </c>
    </row>
    <row r="71" spans="1:17" x14ac:dyDescent="0.2">
      <c r="A71" s="329" t="s">
        <v>2771</v>
      </c>
      <c r="B71" s="330">
        <v>9013535100</v>
      </c>
      <c r="C71" s="319" t="s">
        <v>944</v>
      </c>
      <c r="D71" s="331">
        <f>[1]!Table32[[#This Row],[Residential CLM $ Collected]]+[1]!Table32[[#This Row],[C&amp;I CLM $ Collected]]</f>
        <v>127186.36429800001</v>
      </c>
      <c r="E71" s="177">
        <f>[1]!Table32[[#This Row],[CLM $ Collected ]]/'[1]1.) CLM Reference'!$B$4</f>
        <v>1.3692085596988918E-3</v>
      </c>
      <c r="F71" s="332">
        <f>[1]!Table32[[#This Row],[Residential Incentive Disbursements]]+[1]!Table32[[#This Row],[C&amp;I Incentive Disbursements]]</f>
        <v>161410.9172</v>
      </c>
      <c r="G71" s="177">
        <f>[1]!Table32[[#This Row],[Incentive Disbursements]]/'[1]1.) CLM Reference'!$B$5</f>
        <v>1.2959910695434316E-3</v>
      </c>
      <c r="H71" s="333">
        <v>0</v>
      </c>
      <c r="I71" s="177">
        <f>[1]!Table32[[#This Row],[Residential CLM $ Collected]]/'[1]1.) CLM Reference'!$B$4</f>
        <v>0</v>
      </c>
      <c r="J71" s="333">
        <v>0</v>
      </c>
      <c r="K71" s="177">
        <f>[1]!Table32[[#This Row],[Residential Incentive Disbursements]]/'[1]1.) CLM Reference'!$B$5</f>
        <v>0</v>
      </c>
      <c r="L71" s="333">
        <v>127186.36429800001</v>
      </c>
      <c r="M71" s="177">
        <f>[1]!Table32[[#This Row],[C&amp;I CLM $ Collected]]/'[1]1.) CLM Reference'!$B$4</f>
        <v>1.3692085596988918E-3</v>
      </c>
      <c r="N71" s="333">
        <v>161410.9172</v>
      </c>
      <c r="O71" s="177">
        <f>[1]!Table32[[#This Row],[C&amp;I Incentive Disbursements]]/'[1]1.) CLM Reference'!$B$5</f>
        <v>1.2959910695434316E-3</v>
      </c>
      <c r="P71" s="319">
        <f>VLOOKUP('3.) Large Load'!$B71,'Population and Diversity Data'!$B$2:$K$823,10,FALSE)</f>
        <v>4</v>
      </c>
      <c r="Q71" s="334" t="str">
        <f>VLOOKUP('3.) Large Load'!$B71,'ES Energy Burden'!$B$2:$E$914,4,FALSE)</f>
        <v>No</v>
      </c>
    </row>
    <row r="72" spans="1:17" x14ac:dyDescent="0.2">
      <c r="A72" s="335" t="s">
        <v>2771</v>
      </c>
      <c r="B72" s="336">
        <v>9013535200</v>
      </c>
      <c r="C72" s="318" t="s">
        <v>944</v>
      </c>
      <c r="D72" s="324">
        <f>[1]!Table32[[#This Row],[Residential CLM $ Collected]]+[1]!Table32[[#This Row],[C&amp;I CLM $ Collected]]</f>
        <v>586.78704000000005</v>
      </c>
      <c r="E72" s="325">
        <f>[1]!Table32[[#This Row],[CLM $ Collected ]]/'[1]1.) CLM Reference'!$B$4</f>
        <v>6.3169809304865085E-6</v>
      </c>
      <c r="F72" s="326">
        <f>[1]!Table32[[#This Row],[Residential Incentive Disbursements]]+[1]!Table32[[#This Row],[C&amp;I Incentive Disbursements]]</f>
        <v>0</v>
      </c>
      <c r="G72" s="325">
        <f>[1]!Table32[[#This Row],[Incentive Disbursements]]/'[1]1.) CLM Reference'!$B$5</f>
        <v>0</v>
      </c>
      <c r="H72" s="337">
        <v>0</v>
      </c>
      <c r="I72" s="325">
        <f>[1]!Table32[[#This Row],[Residential CLM $ Collected]]/'[1]1.) CLM Reference'!$B$4</f>
        <v>0</v>
      </c>
      <c r="J72" s="337">
        <v>0</v>
      </c>
      <c r="K72" s="325">
        <f>[1]!Table32[[#This Row],[Residential Incentive Disbursements]]/'[1]1.) CLM Reference'!$B$5</f>
        <v>0</v>
      </c>
      <c r="L72" s="337">
        <v>586.78704000000005</v>
      </c>
      <c r="M72" s="325">
        <f>[1]!Table32[[#This Row],[C&amp;I CLM $ Collected]]/'[1]1.) CLM Reference'!$B$4</f>
        <v>6.3169809304865085E-6</v>
      </c>
      <c r="N72" s="337">
        <v>0</v>
      </c>
      <c r="O72" s="325">
        <f>[1]!Table32[[#This Row],[C&amp;I Incentive Disbursements]]/'[1]1.) CLM Reference'!$B$5</f>
        <v>0</v>
      </c>
      <c r="P72" s="318">
        <f>VLOOKUP('3.) Large Load'!$B72,'Population and Diversity Data'!$B$2:$K$823,10,FALSE)</f>
        <v>5</v>
      </c>
      <c r="Q72" s="338" t="str">
        <f>VLOOKUP('3.) Large Load'!$B72,'ES Energy Burden'!$B$2:$E$914,4,FALSE)</f>
        <v>No</v>
      </c>
    </row>
    <row r="73" spans="1:17" x14ac:dyDescent="0.2">
      <c r="A73" s="329" t="s">
        <v>2772</v>
      </c>
      <c r="B73" s="330">
        <v>9003524300</v>
      </c>
      <c r="C73" s="319" t="s">
        <v>944</v>
      </c>
      <c r="D73" s="331">
        <f>[1]!Table32[[#This Row],[Residential CLM $ Collected]]+[1]!Table32[[#This Row],[C&amp;I CLM $ Collected]]</f>
        <v>461332.55865899997</v>
      </c>
      <c r="E73" s="177">
        <f>[1]!Table32[[#This Row],[CLM $ Collected ]]/'[1]1.) CLM Reference'!$B$4</f>
        <v>4.9664167355527328E-3</v>
      </c>
      <c r="F73" s="332">
        <f>[1]!Table32[[#This Row],[Residential Incentive Disbursements]]+[1]!Table32[[#This Row],[C&amp;I Incentive Disbursements]]</f>
        <v>908424.77</v>
      </c>
      <c r="G73" s="177">
        <f>[1]!Table32[[#This Row],[Incentive Disbursements]]/'[1]1.) CLM Reference'!$B$5</f>
        <v>7.2938708836730775E-3</v>
      </c>
      <c r="H73" s="333">
        <v>0</v>
      </c>
      <c r="I73" s="177">
        <f>[1]!Table32[[#This Row],[Residential CLM $ Collected]]/'[1]1.) CLM Reference'!$B$4</f>
        <v>0</v>
      </c>
      <c r="J73" s="333">
        <v>0</v>
      </c>
      <c r="K73" s="177">
        <f>[1]!Table32[[#This Row],[Residential Incentive Disbursements]]/'[1]1.) CLM Reference'!$B$5</f>
        <v>0</v>
      </c>
      <c r="L73" s="333">
        <v>461332.55865899997</v>
      </c>
      <c r="M73" s="177">
        <f>[1]!Table32[[#This Row],[C&amp;I CLM $ Collected]]/'[1]1.) CLM Reference'!$B$4</f>
        <v>4.9664167355527328E-3</v>
      </c>
      <c r="N73" s="333">
        <v>908424.77</v>
      </c>
      <c r="O73" s="177">
        <f>[1]!Table32[[#This Row],[C&amp;I Incentive Disbursements]]/'[1]1.) CLM Reference'!$B$5</f>
        <v>7.2938708836730775E-3</v>
      </c>
      <c r="P73" s="319">
        <f>VLOOKUP('3.) Large Load'!$B73,'Population and Diversity Data'!$B$2:$K$823,10,FALSE)</f>
        <v>4</v>
      </c>
      <c r="Q73" s="334" t="str">
        <f>VLOOKUP('3.) Large Load'!$B73,'ES Energy Burden'!$B$2:$E$914,4,FALSE)</f>
        <v>No</v>
      </c>
    </row>
    <row r="74" spans="1:17" x14ac:dyDescent="0.2">
      <c r="A74" s="335" t="s">
        <v>2773</v>
      </c>
      <c r="B74" s="336">
        <v>9007630100</v>
      </c>
      <c r="C74" s="318" t="s">
        <v>944</v>
      </c>
      <c r="D74" s="324">
        <f>[1]!Table32[[#This Row],[Residential CLM $ Collected]]+[1]!Table32[[#This Row],[C&amp;I CLM $ Collected]]</f>
        <v>56203.541037000003</v>
      </c>
      <c r="E74" s="325">
        <f>[1]!Table32[[#This Row],[CLM $ Collected ]]/'[1]1.) CLM Reference'!$B$4</f>
        <v>6.0505204231597355E-4</v>
      </c>
      <c r="F74" s="326">
        <f>[1]!Table32[[#This Row],[Residential Incentive Disbursements]]+[1]!Table32[[#This Row],[C&amp;I Incentive Disbursements]]</f>
        <v>14972.76</v>
      </c>
      <c r="G74" s="325">
        <f>[1]!Table32[[#This Row],[Incentive Disbursements]]/'[1]1.) CLM Reference'!$B$5</f>
        <v>1.2021840643141524E-4</v>
      </c>
      <c r="H74" s="337">
        <v>0</v>
      </c>
      <c r="I74" s="325">
        <f>[1]!Table32[[#This Row],[Residential CLM $ Collected]]/'[1]1.) CLM Reference'!$B$4</f>
        <v>0</v>
      </c>
      <c r="J74" s="337">
        <v>0</v>
      </c>
      <c r="K74" s="325">
        <f>[1]!Table32[[#This Row],[Residential Incentive Disbursements]]/'[1]1.) CLM Reference'!$B$5</f>
        <v>0</v>
      </c>
      <c r="L74" s="337">
        <v>56203.541037000003</v>
      </c>
      <c r="M74" s="325">
        <f>[1]!Table32[[#This Row],[C&amp;I CLM $ Collected]]/'[1]1.) CLM Reference'!$B$4</f>
        <v>6.0505204231597355E-4</v>
      </c>
      <c r="N74" s="337">
        <v>14972.76</v>
      </c>
      <c r="O74" s="325">
        <f>[1]!Table32[[#This Row],[C&amp;I Incentive Disbursements]]/'[1]1.) CLM Reference'!$B$5</f>
        <v>1.2021840643141524E-4</v>
      </c>
      <c r="P74" s="318">
        <f>VLOOKUP('3.) Large Load'!$B74,'Population and Diversity Data'!$B$2:$K$823,10,FALSE)</f>
        <v>2</v>
      </c>
      <c r="Q74" s="338" t="str">
        <f>VLOOKUP('3.) Large Load'!$B74,'ES Energy Burden'!$B$2:$E$914,4,FALSE)</f>
        <v>No</v>
      </c>
    </row>
    <row r="75" spans="1:17" x14ac:dyDescent="0.2">
      <c r="A75" s="329" t="s">
        <v>2774</v>
      </c>
      <c r="B75" s="330">
        <v>9003406002</v>
      </c>
      <c r="C75" s="319" t="s">
        <v>944</v>
      </c>
      <c r="D75" s="331">
        <f>[1]!Table32[[#This Row],[Residential CLM $ Collected]]+[1]!Table32[[#This Row],[C&amp;I CLM $ Collected]]</f>
        <v>0</v>
      </c>
      <c r="E75" s="177">
        <f>[1]!Table32[[#This Row],[CLM $ Collected ]]/'[1]1.) CLM Reference'!$B$4</f>
        <v>0</v>
      </c>
      <c r="F75" s="332">
        <f>[1]!Table32[[#This Row],[Residential Incentive Disbursements]]+[1]!Table32[[#This Row],[C&amp;I Incentive Disbursements]]</f>
        <v>8361.2000000000007</v>
      </c>
      <c r="G75" s="177">
        <f>[1]!Table32[[#This Row],[Incentive Disbursements]]/'[1]1.) CLM Reference'!$B$5</f>
        <v>6.7133256651034893E-5</v>
      </c>
      <c r="H75" s="333">
        <v>0</v>
      </c>
      <c r="I75" s="177">
        <f>[1]!Table32[[#This Row],[Residential CLM $ Collected]]/'[1]1.) CLM Reference'!$B$4</f>
        <v>0</v>
      </c>
      <c r="J75" s="333">
        <v>0</v>
      </c>
      <c r="K75" s="177">
        <f>[1]!Table32[[#This Row],[Residential Incentive Disbursements]]/'[1]1.) CLM Reference'!$B$5</f>
        <v>0</v>
      </c>
      <c r="L75" s="333">
        <v>0</v>
      </c>
      <c r="M75" s="177">
        <f>[1]!Table32[[#This Row],[C&amp;I CLM $ Collected]]/'[1]1.) CLM Reference'!$B$4</f>
        <v>0</v>
      </c>
      <c r="N75" s="333">
        <v>8361.2000000000007</v>
      </c>
      <c r="O75" s="177">
        <f>[1]!Table32[[#This Row],[C&amp;I Incentive Disbursements]]/'[1]1.) CLM Reference'!$B$5</f>
        <v>6.7133256651034893E-5</v>
      </c>
      <c r="P75" s="319">
        <f>VLOOKUP('3.) Large Load'!$B75,'Population and Diversity Data'!$B$2:$K$823,10,FALSE)</f>
        <v>2</v>
      </c>
      <c r="Q75" s="334" t="str">
        <f>VLOOKUP('3.) Large Load'!$B75,'ES Energy Burden'!$B$2:$E$914,4,FALSE)</f>
        <v>No</v>
      </c>
    </row>
    <row r="76" spans="1:17" x14ac:dyDescent="0.2">
      <c r="A76" s="335" t="s">
        <v>2774</v>
      </c>
      <c r="B76" s="336">
        <v>9003420600</v>
      </c>
      <c r="C76" s="318" t="s">
        <v>944</v>
      </c>
      <c r="D76" s="324">
        <f>[1]!Table32[[#This Row],[Residential CLM $ Collected]]+[1]!Table32[[#This Row],[C&amp;I CLM $ Collected]]</f>
        <v>957105.92449500004</v>
      </c>
      <c r="E76" s="325">
        <f>[1]!Table32[[#This Row],[CLM $ Collected ]]/'[1]1.) CLM Reference'!$B$4</f>
        <v>1.0303601581743481E-2</v>
      </c>
      <c r="F76" s="326">
        <f>[1]!Table32[[#This Row],[Residential Incentive Disbursements]]+[1]!Table32[[#This Row],[C&amp;I Incentive Disbursements]]</f>
        <v>1098315.6200000001</v>
      </c>
      <c r="G76" s="325">
        <f>[1]!Table32[[#This Row],[Incentive Disbursements]]/'[1]1.) CLM Reference'!$B$5</f>
        <v>8.818531359290593E-3</v>
      </c>
      <c r="H76" s="337">
        <v>0</v>
      </c>
      <c r="I76" s="325">
        <f>[1]!Table32[[#This Row],[Residential CLM $ Collected]]/'[1]1.) CLM Reference'!$B$4</f>
        <v>0</v>
      </c>
      <c r="J76" s="337">
        <v>0</v>
      </c>
      <c r="K76" s="325">
        <f>[1]!Table32[[#This Row],[Residential Incentive Disbursements]]/'[1]1.) CLM Reference'!$B$5</f>
        <v>0</v>
      </c>
      <c r="L76" s="337">
        <v>957105.92449500004</v>
      </c>
      <c r="M76" s="325">
        <f>[1]!Table32[[#This Row],[C&amp;I CLM $ Collected]]/'[1]1.) CLM Reference'!$B$4</f>
        <v>1.0303601581743481E-2</v>
      </c>
      <c r="N76" s="337">
        <v>1098315.6200000001</v>
      </c>
      <c r="O76" s="325">
        <f>[1]!Table32[[#This Row],[C&amp;I Incentive Disbursements]]/'[1]1.) CLM Reference'!$B$5</f>
        <v>8.818531359290593E-3</v>
      </c>
      <c r="P76" s="318">
        <f>VLOOKUP('3.) Large Load'!$B76,'Population and Diversity Data'!$B$2:$K$823,10,FALSE)</f>
        <v>3</v>
      </c>
      <c r="Q76" s="338" t="str">
        <f>VLOOKUP('3.) Large Load'!$B76,'ES Energy Burden'!$B$2:$E$914,4,FALSE)</f>
        <v>No</v>
      </c>
    </row>
    <row r="77" spans="1:17" x14ac:dyDescent="0.2">
      <c r="A77" s="329" t="s">
        <v>2774</v>
      </c>
      <c r="B77" s="330">
        <v>9003460203</v>
      </c>
      <c r="C77" s="319" t="s">
        <v>944</v>
      </c>
      <c r="D77" s="331">
        <f>[1]!Table32[[#This Row],[Residential CLM $ Collected]]+[1]!Table32[[#This Row],[C&amp;I CLM $ Collected]]</f>
        <v>2.1145740000000002</v>
      </c>
      <c r="E77" s="177">
        <f>[1]!Table32[[#This Row],[CLM $ Collected ]]/'[1]1.) CLM Reference'!$B$4</f>
        <v>2.2764176308499548E-8</v>
      </c>
      <c r="F77" s="332">
        <f>[1]!Table32[[#This Row],[Residential Incentive Disbursements]]+[1]!Table32[[#This Row],[C&amp;I Incentive Disbursements]]</f>
        <v>0</v>
      </c>
      <c r="G77" s="177">
        <f>[1]!Table32[[#This Row],[Incentive Disbursements]]/'[1]1.) CLM Reference'!$B$5</f>
        <v>0</v>
      </c>
      <c r="H77" s="333">
        <v>0</v>
      </c>
      <c r="I77" s="177">
        <f>[1]!Table32[[#This Row],[Residential CLM $ Collected]]/'[1]1.) CLM Reference'!$B$4</f>
        <v>0</v>
      </c>
      <c r="J77" s="333">
        <v>0</v>
      </c>
      <c r="K77" s="177">
        <f>[1]!Table32[[#This Row],[Residential Incentive Disbursements]]/'[1]1.) CLM Reference'!$B$5</f>
        <v>0</v>
      </c>
      <c r="L77" s="333">
        <v>2.1145740000000002</v>
      </c>
      <c r="M77" s="177">
        <f>[1]!Table32[[#This Row],[C&amp;I CLM $ Collected]]/'[1]1.) CLM Reference'!$B$4</f>
        <v>2.2764176308499548E-8</v>
      </c>
      <c r="N77" s="333">
        <v>0</v>
      </c>
      <c r="O77" s="177">
        <f>[1]!Table32[[#This Row],[C&amp;I Incentive Disbursements]]/'[1]1.) CLM Reference'!$B$5</f>
        <v>0</v>
      </c>
      <c r="P77" s="319">
        <f>VLOOKUP('3.) Large Load'!$B77,'Population and Diversity Data'!$B$2:$K$823,10,FALSE)</f>
        <v>5</v>
      </c>
      <c r="Q77" s="334" t="str">
        <f>VLOOKUP('3.) Large Load'!$B77,'ES Energy Burden'!$B$2:$E$914,4,FALSE)</f>
        <v>No</v>
      </c>
    </row>
    <row r="78" spans="1:17" x14ac:dyDescent="0.2">
      <c r="A78" s="335" t="s">
        <v>2774</v>
      </c>
      <c r="B78" s="336">
        <v>9003460204</v>
      </c>
      <c r="C78" s="318" t="s">
        <v>944</v>
      </c>
      <c r="D78" s="324">
        <f>[1]!Table32[[#This Row],[Residential CLM $ Collected]]+[1]!Table32[[#This Row],[C&amp;I CLM $ Collected]]</f>
        <v>2.3328899999999999</v>
      </c>
      <c r="E78" s="325">
        <f>[1]!Table32[[#This Row],[CLM $ Collected ]]/'[1]1.) CLM Reference'!$B$4</f>
        <v>2.5114429321620104E-8</v>
      </c>
      <c r="F78" s="326">
        <f>[1]!Table32[[#This Row],[Residential Incentive Disbursements]]+[1]!Table32[[#This Row],[C&amp;I Incentive Disbursements]]</f>
        <v>0</v>
      </c>
      <c r="G78" s="325">
        <f>[1]!Table32[[#This Row],[Incentive Disbursements]]/'[1]1.) CLM Reference'!$B$5</f>
        <v>0</v>
      </c>
      <c r="H78" s="337">
        <v>0</v>
      </c>
      <c r="I78" s="325">
        <f>[1]!Table32[[#This Row],[Residential CLM $ Collected]]/'[1]1.) CLM Reference'!$B$4</f>
        <v>0</v>
      </c>
      <c r="J78" s="337">
        <v>0</v>
      </c>
      <c r="K78" s="325">
        <f>[1]!Table32[[#This Row],[Residential Incentive Disbursements]]/'[1]1.) CLM Reference'!$B$5</f>
        <v>0</v>
      </c>
      <c r="L78" s="337">
        <v>2.3328899999999999</v>
      </c>
      <c r="M78" s="325">
        <f>[1]!Table32[[#This Row],[C&amp;I CLM $ Collected]]/'[1]1.) CLM Reference'!$B$4</f>
        <v>2.5114429321620104E-8</v>
      </c>
      <c r="N78" s="337">
        <v>0</v>
      </c>
      <c r="O78" s="325">
        <f>[1]!Table32[[#This Row],[C&amp;I Incentive Disbursements]]/'[1]1.) CLM Reference'!$B$5</f>
        <v>0</v>
      </c>
      <c r="P78" s="318">
        <f>VLOOKUP('3.) Large Load'!$B78,'Population and Diversity Data'!$B$2:$K$823,10,FALSE)</f>
        <v>4</v>
      </c>
      <c r="Q78" s="338" t="str">
        <f>VLOOKUP('3.) Large Load'!$B78,'ES Energy Burden'!$B$2:$E$914,4,FALSE)</f>
        <v>No</v>
      </c>
    </row>
    <row r="79" spans="1:17" x14ac:dyDescent="0.2">
      <c r="A79" s="329" t="s">
        <v>2775</v>
      </c>
      <c r="B79" s="330">
        <v>9011712100</v>
      </c>
      <c r="C79" s="319" t="s">
        <v>944</v>
      </c>
      <c r="D79" s="331">
        <f>[1]!Table32[[#This Row],[Residential CLM $ Collected]]+[1]!Table32[[#This Row],[C&amp;I CLM $ Collected]]</f>
        <v>22711.010174999999</v>
      </c>
      <c r="E79" s="177">
        <f>[1]!Table32[[#This Row],[CLM $ Collected ]]/'[1]1.) CLM Reference'!$B$4</f>
        <v>2.4449247922646696E-4</v>
      </c>
      <c r="F79" s="332">
        <f>[1]!Table32[[#This Row],[Residential Incentive Disbursements]]+[1]!Table32[[#This Row],[C&amp;I Incentive Disbursements]]</f>
        <v>7139.8</v>
      </c>
      <c r="G79" s="177">
        <f>[1]!Table32[[#This Row],[Incentive Disbursements]]/'[1]1.) CLM Reference'!$B$5</f>
        <v>5.7326463406814678E-5</v>
      </c>
      <c r="H79" s="333">
        <v>0</v>
      </c>
      <c r="I79" s="177">
        <f>[1]!Table32[[#This Row],[Residential CLM $ Collected]]/'[1]1.) CLM Reference'!$B$4</f>
        <v>0</v>
      </c>
      <c r="J79" s="333">
        <v>0</v>
      </c>
      <c r="K79" s="177">
        <f>[1]!Table32[[#This Row],[Residential Incentive Disbursements]]/'[1]1.) CLM Reference'!$B$5</f>
        <v>0</v>
      </c>
      <c r="L79" s="333">
        <v>22711.010174999999</v>
      </c>
      <c r="M79" s="177">
        <f>[1]!Table32[[#This Row],[C&amp;I CLM $ Collected]]/'[1]1.) CLM Reference'!$B$4</f>
        <v>2.4449247922646696E-4</v>
      </c>
      <c r="N79" s="333">
        <v>7139.8</v>
      </c>
      <c r="O79" s="177">
        <f>[1]!Table32[[#This Row],[C&amp;I Incentive Disbursements]]/'[1]1.) CLM Reference'!$B$5</f>
        <v>5.7326463406814678E-5</v>
      </c>
      <c r="P79" s="319">
        <f>VLOOKUP('3.) Large Load'!$B79,'Population and Diversity Data'!$B$2:$K$823,10,FALSE)</f>
        <v>1</v>
      </c>
      <c r="Q79" s="334" t="str">
        <f>VLOOKUP('3.) Large Load'!$B79,'ES Energy Burden'!$B$2:$E$914,4,FALSE)</f>
        <v>No</v>
      </c>
    </row>
    <row r="80" spans="1:17" x14ac:dyDescent="0.2">
      <c r="A80" s="335" t="s">
        <v>2776</v>
      </c>
      <c r="B80" s="336">
        <v>9003510700</v>
      </c>
      <c r="C80" s="318" t="s">
        <v>944</v>
      </c>
      <c r="D80" s="324">
        <f>[1]!Table32[[#This Row],[Residential CLM $ Collected]]+[1]!Table32[[#This Row],[C&amp;I CLM $ Collected]]</f>
        <v>0</v>
      </c>
      <c r="E80" s="325">
        <f>[1]!Table32[[#This Row],[CLM $ Collected ]]/'[1]1.) CLM Reference'!$B$4</f>
        <v>0</v>
      </c>
      <c r="F80" s="326">
        <f>[1]!Table32[[#This Row],[Residential Incentive Disbursements]]+[1]!Table32[[#This Row],[C&amp;I Incentive Disbursements]]</f>
        <v>771.6</v>
      </c>
      <c r="G80" s="325">
        <f>[1]!Table32[[#This Row],[Incentive Disbursements]]/'[1]1.) CLM Reference'!$B$5</f>
        <v>6.1952854652368701E-6</v>
      </c>
      <c r="H80" s="337">
        <v>0</v>
      </c>
      <c r="I80" s="325">
        <f>[1]!Table32[[#This Row],[Residential CLM $ Collected]]/'[1]1.) CLM Reference'!$B$4</f>
        <v>0</v>
      </c>
      <c r="J80" s="337">
        <v>0</v>
      </c>
      <c r="K80" s="325">
        <f>[1]!Table32[[#This Row],[Residential Incentive Disbursements]]/'[1]1.) CLM Reference'!$B$5</f>
        <v>0</v>
      </c>
      <c r="L80" s="337">
        <v>0</v>
      </c>
      <c r="M80" s="325">
        <f>[1]!Table32[[#This Row],[C&amp;I CLM $ Collected]]/'[1]1.) CLM Reference'!$B$4</f>
        <v>0</v>
      </c>
      <c r="N80" s="337">
        <v>771.6</v>
      </c>
      <c r="O80" s="325">
        <f>[1]!Table32[[#This Row],[C&amp;I Incentive Disbursements]]/'[1]1.) CLM Reference'!$B$5</f>
        <v>6.1952854652368701E-6</v>
      </c>
      <c r="P80" s="318">
        <f>VLOOKUP('3.) Large Load'!$B80,'Population and Diversity Data'!$B$2:$K$823,10,FALSE)</f>
        <v>5</v>
      </c>
      <c r="Q80" s="338" t="str">
        <f>VLOOKUP('3.) Large Load'!$B80,'ES Energy Burden'!$B$2:$E$914,4,FALSE)</f>
        <v>No</v>
      </c>
    </row>
    <row r="81" spans="1:17" x14ac:dyDescent="0.2">
      <c r="A81" s="329" t="s">
        <v>2776</v>
      </c>
      <c r="B81" s="330">
        <v>9003520301</v>
      </c>
      <c r="C81" s="319" t="s">
        <v>944</v>
      </c>
      <c r="D81" s="331">
        <f>[1]!Table32[[#This Row],[Residential CLM $ Collected]]+[1]!Table32[[#This Row],[C&amp;I CLM $ Collected]]</f>
        <v>22.788423000000002</v>
      </c>
      <c r="E81" s="177">
        <f>[1]!Table32[[#This Row],[CLM $ Collected ]]/'[1]1.) CLM Reference'!$B$4</f>
        <v>2.4532585710628537E-7</v>
      </c>
      <c r="F81" s="332">
        <f>[1]!Table32[[#This Row],[Residential Incentive Disbursements]]+[1]!Table32[[#This Row],[C&amp;I Incentive Disbursements]]</f>
        <v>0</v>
      </c>
      <c r="G81" s="177">
        <f>[1]!Table32[[#This Row],[Incentive Disbursements]]/'[1]1.) CLM Reference'!$B$5</f>
        <v>0</v>
      </c>
      <c r="H81" s="333">
        <v>0</v>
      </c>
      <c r="I81" s="177">
        <f>[1]!Table32[[#This Row],[Residential CLM $ Collected]]/'[1]1.) CLM Reference'!$B$4</f>
        <v>0</v>
      </c>
      <c r="J81" s="333">
        <v>0</v>
      </c>
      <c r="K81" s="177">
        <f>[1]!Table32[[#This Row],[Residential Incentive Disbursements]]/'[1]1.) CLM Reference'!$B$5</f>
        <v>0</v>
      </c>
      <c r="L81" s="333">
        <v>22.788423000000002</v>
      </c>
      <c r="M81" s="177">
        <f>[1]!Table32[[#This Row],[C&amp;I CLM $ Collected]]/'[1]1.) CLM Reference'!$B$4</f>
        <v>2.4532585710628537E-7</v>
      </c>
      <c r="N81" s="333">
        <v>0</v>
      </c>
      <c r="O81" s="177">
        <f>[1]!Table32[[#This Row],[C&amp;I Incentive Disbursements]]/'[1]1.) CLM Reference'!$B$5</f>
        <v>0</v>
      </c>
      <c r="P81" s="319">
        <f>VLOOKUP('3.) Large Load'!$B81,'Population and Diversity Data'!$B$2:$K$823,10,FALSE)</f>
        <v>4</v>
      </c>
      <c r="Q81" s="334" t="str">
        <f>VLOOKUP('3.) Large Load'!$B81,'ES Energy Burden'!$B$2:$E$914,4,FALSE)</f>
        <v>No</v>
      </c>
    </row>
    <row r="82" spans="1:17" x14ac:dyDescent="0.2">
      <c r="A82" s="335" t="s">
        <v>2776</v>
      </c>
      <c r="B82" s="336">
        <v>9003520400</v>
      </c>
      <c r="C82" s="318" t="s">
        <v>944</v>
      </c>
      <c r="D82" s="324">
        <f>[1]!Table32[[#This Row],[Residential CLM $ Collected]]+[1]!Table32[[#This Row],[C&amp;I CLM $ Collected]]</f>
        <v>249771.459042</v>
      </c>
      <c r="E82" s="325">
        <f>[1]!Table32[[#This Row],[CLM $ Collected ]]/'[1]1.) CLM Reference'!$B$4</f>
        <v>2.688882739721221E-3</v>
      </c>
      <c r="F82" s="326">
        <f>[1]!Table32[[#This Row],[Residential Incentive Disbursements]]+[1]!Table32[[#This Row],[C&amp;I Incentive Disbursements]]</f>
        <v>822018.73</v>
      </c>
      <c r="G82" s="325">
        <f>[1]!Table32[[#This Row],[Incentive Disbursements]]/'[1]1.) CLM Reference'!$B$5</f>
        <v>6.6001045750667068E-3</v>
      </c>
      <c r="H82" s="337">
        <v>0</v>
      </c>
      <c r="I82" s="325">
        <f>[1]!Table32[[#This Row],[Residential CLM $ Collected]]/'[1]1.) CLM Reference'!$B$4</f>
        <v>0</v>
      </c>
      <c r="J82" s="337">
        <v>0</v>
      </c>
      <c r="K82" s="325">
        <f>[1]!Table32[[#This Row],[Residential Incentive Disbursements]]/'[1]1.) CLM Reference'!$B$5</f>
        <v>0</v>
      </c>
      <c r="L82" s="337">
        <v>249771.459042</v>
      </c>
      <c r="M82" s="325">
        <f>[1]!Table32[[#This Row],[C&amp;I CLM $ Collected]]/'[1]1.) CLM Reference'!$B$4</f>
        <v>2.688882739721221E-3</v>
      </c>
      <c r="N82" s="337">
        <v>822018.73</v>
      </c>
      <c r="O82" s="325">
        <f>[1]!Table32[[#This Row],[C&amp;I Incentive Disbursements]]/'[1]1.) CLM Reference'!$B$5</f>
        <v>6.6001045750667068E-3</v>
      </c>
      <c r="P82" s="318">
        <f>VLOOKUP('3.) Large Load'!$B82,'Population and Diversity Data'!$B$2:$K$823,10,FALSE)</f>
        <v>3</v>
      </c>
      <c r="Q82" s="338" t="str">
        <f>VLOOKUP('3.) Large Load'!$B82,'ES Energy Burden'!$B$2:$E$914,4,FALSE)</f>
        <v>No</v>
      </c>
    </row>
    <row r="83" spans="1:17" x14ac:dyDescent="0.2">
      <c r="A83" s="329" t="s">
        <v>2777</v>
      </c>
      <c r="B83" s="330">
        <v>9005296100</v>
      </c>
      <c r="C83" s="319" t="s">
        <v>944</v>
      </c>
      <c r="D83" s="331">
        <f>[1]!Table32[[#This Row],[Residential CLM $ Collected]]+[1]!Table32[[#This Row],[C&amp;I CLM $ Collected]]</f>
        <v>1223.31825</v>
      </c>
      <c r="E83" s="177">
        <f>[1]!Table32[[#This Row],[CLM $ Collected ]]/'[1]1.) CLM Reference'!$B$4</f>
        <v>1.3169476369427188E-5</v>
      </c>
      <c r="F83" s="332">
        <f>[1]!Table32[[#This Row],[Residential Incentive Disbursements]]+[1]!Table32[[#This Row],[C&amp;I Incentive Disbursements]]</f>
        <v>2550</v>
      </c>
      <c r="G83" s="177">
        <f>[1]!Table32[[#This Row],[Incentive Disbursements]]/'[1]1.) CLM Reference'!$B$5</f>
        <v>2.0474310441101632E-5</v>
      </c>
      <c r="H83" s="333">
        <v>0</v>
      </c>
      <c r="I83" s="177">
        <f>[1]!Table32[[#This Row],[Residential CLM $ Collected]]/'[1]1.) CLM Reference'!$B$4</f>
        <v>0</v>
      </c>
      <c r="J83" s="333">
        <v>0</v>
      </c>
      <c r="K83" s="177">
        <f>[1]!Table32[[#This Row],[Residential Incentive Disbursements]]/'[1]1.) CLM Reference'!$B$5</f>
        <v>0</v>
      </c>
      <c r="L83" s="333">
        <v>1223.31825</v>
      </c>
      <c r="M83" s="177">
        <f>[1]!Table32[[#This Row],[C&amp;I CLM $ Collected]]/'[1]1.) CLM Reference'!$B$4</f>
        <v>1.3169476369427188E-5</v>
      </c>
      <c r="N83" s="333">
        <v>2550</v>
      </c>
      <c r="O83" s="177">
        <f>[1]!Table32[[#This Row],[C&amp;I Incentive Disbursements]]/'[1]1.) CLM Reference'!$B$5</f>
        <v>2.0474310441101632E-5</v>
      </c>
      <c r="P83" s="319">
        <f>VLOOKUP('3.) Large Load'!$B83,'Population and Diversity Data'!$B$2:$K$823,10,FALSE)</f>
        <v>3</v>
      </c>
      <c r="Q83" s="334" t="str">
        <f>VLOOKUP('3.) Large Load'!$B83,'ES Energy Burden'!$B$2:$E$914,4,FALSE)</f>
        <v>No</v>
      </c>
    </row>
    <row r="84" spans="1:17" x14ac:dyDescent="0.2">
      <c r="A84" s="335" t="s">
        <v>2778</v>
      </c>
      <c r="B84" s="336">
        <v>9003468101</v>
      </c>
      <c r="C84" s="318" t="s">
        <v>944</v>
      </c>
      <c r="D84" s="324">
        <f>[1]!Table32[[#This Row],[Residential CLM $ Collected]]+[1]!Table32[[#This Row],[C&amp;I CLM $ Collected]]</f>
        <v>42222.563628000004</v>
      </c>
      <c r="E84" s="325">
        <f>[1]!Table32[[#This Row],[CLM $ Collected ]]/'[1]1.) CLM Reference'!$B$4</f>
        <v>4.5454161576971645E-4</v>
      </c>
      <c r="F84" s="326">
        <f>[1]!Table32[[#This Row],[Residential Incentive Disbursements]]+[1]!Table32[[#This Row],[C&amp;I Incentive Disbursements]]</f>
        <v>25029.4</v>
      </c>
      <c r="G84" s="325">
        <f>[1]!Table32[[#This Row],[Incentive Disbursements]]/'[1]1.) CLM Reference'!$B$5</f>
        <v>2.0096459049196439E-4</v>
      </c>
      <c r="H84" s="337">
        <v>1885.4774400000001</v>
      </c>
      <c r="I84" s="325">
        <f>[1]!Table32[[#This Row],[Residential CLM $ Collected]]/'[1]1.) CLM Reference'!$B$4</f>
        <v>2.0297866553669145E-5</v>
      </c>
      <c r="J84" s="337">
        <v>0</v>
      </c>
      <c r="K84" s="325">
        <f>[1]!Table32[[#This Row],[Residential Incentive Disbursements]]/'[1]1.) CLM Reference'!$B$5</f>
        <v>0</v>
      </c>
      <c r="L84" s="337">
        <v>40337.086188000001</v>
      </c>
      <c r="M84" s="325">
        <f>[1]!Table32[[#This Row],[C&amp;I CLM $ Collected]]/'[1]1.) CLM Reference'!$B$4</f>
        <v>4.3424374921604728E-4</v>
      </c>
      <c r="N84" s="337">
        <v>25029.4</v>
      </c>
      <c r="O84" s="325">
        <f>[1]!Table32[[#This Row],[C&amp;I Incentive Disbursements]]/'[1]1.) CLM Reference'!$B$5</f>
        <v>2.0096459049196439E-4</v>
      </c>
      <c r="P84" s="318">
        <f>VLOOKUP('3.) Large Load'!$B84,'Population and Diversity Data'!$B$2:$K$823,10,FALSE)</f>
        <v>1</v>
      </c>
      <c r="Q84" s="338" t="str">
        <f>VLOOKUP('3.) Large Load'!$B84,'ES Energy Burden'!$B$2:$E$914,4,FALSE)</f>
        <v>No</v>
      </c>
    </row>
    <row r="85" spans="1:17" x14ac:dyDescent="0.2">
      <c r="A85" s="329" t="s">
        <v>2779</v>
      </c>
      <c r="B85" s="330">
        <v>9001010101</v>
      </c>
      <c r="C85" s="319" t="s">
        <v>944</v>
      </c>
      <c r="D85" s="331">
        <f>[1]!Table32[[#This Row],[Residential CLM $ Collected]]+[1]!Table32[[#This Row],[C&amp;I CLM $ Collected]]</f>
        <v>0</v>
      </c>
      <c r="E85" s="177">
        <f>[1]!Table32[[#This Row],[CLM $ Collected ]]/'[1]1.) CLM Reference'!$B$4</f>
        <v>0</v>
      </c>
      <c r="F85" s="332">
        <f>[1]!Table32[[#This Row],[Residential Incentive Disbursements]]+[1]!Table32[[#This Row],[C&amp;I Incentive Disbursements]]</f>
        <v>20551.900000000001</v>
      </c>
      <c r="G85" s="177">
        <f>[1]!Table32[[#This Row],[Incentive Disbursements]]/'[1]1.) CLM Reference'!$B$5</f>
        <v>1.6501411009979476E-4</v>
      </c>
      <c r="H85" s="333">
        <v>0</v>
      </c>
      <c r="I85" s="177">
        <f>[1]!Table32[[#This Row],[Residential CLM $ Collected]]/'[1]1.) CLM Reference'!$B$4</f>
        <v>0</v>
      </c>
      <c r="J85" s="333">
        <v>0</v>
      </c>
      <c r="K85" s="177">
        <f>[1]!Table32[[#This Row],[Residential Incentive Disbursements]]/'[1]1.) CLM Reference'!$B$5</f>
        <v>0</v>
      </c>
      <c r="L85" s="333">
        <v>0</v>
      </c>
      <c r="M85" s="177">
        <f>[1]!Table32[[#This Row],[C&amp;I CLM $ Collected]]/'[1]1.) CLM Reference'!$B$4</f>
        <v>0</v>
      </c>
      <c r="N85" s="333">
        <v>20551.900000000001</v>
      </c>
      <c r="O85" s="177">
        <f>[1]!Table32[[#This Row],[C&amp;I Incentive Disbursements]]/'[1]1.) CLM Reference'!$B$5</f>
        <v>1.6501411009979476E-4</v>
      </c>
      <c r="P85" s="319">
        <f>VLOOKUP('3.) Large Load'!$B85,'Population and Diversity Data'!$B$2:$K$823,10,FALSE)</f>
        <v>2</v>
      </c>
      <c r="Q85" s="334" t="str">
        <f>VLOOKUP('3.) Large Load'!$B85,'ES Energy Burden'!$B$2:$E$914,4,FALSE)</f>
        <v>No</v>
      </c>
    </row>
    <row r="86" spans="1:17" x14ac:dyDescent="0.2">
      <c r="A86" s="335" t="s">
        <v>2779</v>
      </c>
      <c r="B86" s="336">
        <v>9001010202</v>
      </c>
      <c r="C86" s="318" t="s">
        <v>944</v>
      </c>
      <c r="D86" s="324">
        <f>[1]!Table32[[#This Row],[Residential CLM $ Collected]]+[1]!Table32[[#This Row],[C&amp;I CLM $ Collected]]</f>
        <v>1476376.100934</v>
      </c>
      <c r="E86" s="325">
        <f>[1]!Table32[[#This Row],[CLM $ Collected ]]/'[1]1.) CLM Reference'!$B$4</f>
        <v>1.5893738341300281E-2</v>
      </c>
      <c r="F86" s="326">
        <f>[1]!Table32[[#This Row],[Residential Incentive Disbursements]]+[1]!Table32[[#This Row],[C&amp;I Incentive Disbursements]]</f>
        <v>247574.00080000001</v>
      </c>
      <c r="G86" s="325">
        <f>[1]!Table32[[#This Row],[Incentive Disbursements]]/'[1]1.) CLM Reference'!$B$5</f>
        <v>1.9878066468724483E-3</v>
      </c>
      <c r="H86" s="337">
        <v>3636.0239999999999</v>
      </c>
      <c r="I86" s="325">
        <f>[1]!Table32[[#This Row],[Residential CLM $ Collected]]/'[1]1.) CLM Reference'!$B$4</f>
        <v>3.9143151953034398E-5</v>
      </c>
      <c r="J86" s="337">
        <v>0</v>
      </c>
      <c r="K86" s="325">
        <f>[1]!Table32[[#This Row],[Residential Incentive Disbursements]]/'[1]1.) CLM Reference'!$B$5</f>
        <v>0</v>
      </c>
      <c r="L86" s="337">
        <v>1472740.076934</v>
      </c>
      <c r="M86" s="325">
        <f>[1]!Table32[[#This Row],[C&amp;I CLM $ Collected]]/'[1]1.) CLM Reference'!$B$4</f>
        <v>1.5854595189347245E-2</v>
      </c>
      <c r="N86" s="337">
        <v>247574.00080000001</v>
      </c>
      <c r="O86" s="325">
        <f>[1]!Table32[[#This Row],[C&amp;I Incentive Disbursements]]/'[1]1.) CLM Reference'!$B$5</f>
        <v>1.9878066468724483E-3</v>
      </c>
      <c r="P86" s="318">
        <f>VLOOKUP('3.) Large Load'!$B86,'Population and Diversity Data'!$B$2:$K$823,10,FALSE)</f>
        <v>4</v>
      </c>
      <c r="Q86" s="338" t="str">
        <f>VLOOKUP('3.) Large Load'!$B86,'ES Energy Burden'!$B$2:$E$914,4,FALSE)</f>
        <v>No</v>
      </c>
    </row>
    <row r="87" spans="1:17" x14ac:dyDescent="0.2">
      <c r="A87" s="329" t="s">
        <v>2779</v>
      </c>
      <c r="B87" s="330">
        <v>9001010300</v>
      </c>
      <c r="C87" s="319" t="s">
        <v>944</v>
      </c>
      <c r="D87" s="331">
        <f>[1]!Table32[[#This Row],[Residential CLM $ Collected]]+[1]!Table32[[#This Row],[C&amp;I CLM $ Collected]]</f>
        <v>4.5942959999999999</v>
      </c>
      <c r="E87" s="177">
        <f>[1]!Table32[[#This Row],[CLM $ Collected ]]/'[1]1.) CLM Reference'!$B$4</f>
        <v>4.9459306771687459E-8</v>
      </c>
      <c r="F87" s="332">
        <f>[1]!Table32[[#This Row],[Residential Incentive Disbursements]]+[1]!Table32[[#This Row],[C&amp;I Incentive Disbursements]]</f>
        <v>0</v>
      </c>
      <c r="G87" s="177">
        <f>[1]!Table32[[#This Row],[Incentive Disbursements]]/'[1]1.) CLM Reference'!$B$5</f>
        <v>0</v>
      </c>
      <c r="H87" s="333">
        <v>0</v>
      </c>
      <c r="I87" s="177">
        <f>[1]!Table32[[#This Row],[Residential CLM $ Collected]]/'[1]1.) CLM Reference'!$B$4</f>
        <v>0</v>
      </c>
      <c r="J87" s="333">
        <v>0</v>
      </c>
      <c r="K87" s="177">
        <f>[1]!Table32[[#This Row],[Residential Incentive Disbursements]]/'[1]1.) CLM Reference'!$B$5</f>
        <v>0</v>
      </c>
      <c r="L87" s="333">
        <v>4.5942959999999999</v>
      </c>
      <c r="M87" s="177">
        <f>[1]!Table32[[#This Row],[C&amp;I CLM $ Collected]]/'[1]1.) CLM Reference'!$B$4</f>
        <v>4.9459306771687459E-8</v>
      </c>
      <c r="N87" s="333">
        <v>0</v>
      </c>
      <c r="O87" s="177">
        <f>[1]!Table32[[#This Row],[C&amp;I Incentive Disbursements]]/'[1]1.) CLM Reference'!$B$5</f>
        <v>0</v>
      </c>
      <c r="P87" s="319">
        <f>VLOOKUP('3.) Large Load'!$B87,'Population and Diversity Data'!$B$2:$K$823,10,FALSE)</f>
        <v>2</v>
      </c>
      <c r="Q87" s="334" t="str">
        <f>VLOOKUP('3.) Large Load'!$B87,'ES Energy Burden'!$B$2:$E$914,4,FALSE)</f>
        <v>No</v>
      </c>
    </row>
    <row r="88" spans="1:17" x14ac:dyDescent="0.2">
      <c r="A88" s="335" t="s">
        <v>2779</v>
      </c>
      <c r="B88" s="336">
        <v>9001010500</v>
      </c>
      <c r="C88" s="318" t="s">
        <v>944</v>
      </c>
      <c r="D88" s="324">
        <f>[1]!Table32[[#This Row],[Residential CLM $ Collected]]+[1]!Table32[[#This Row],[C&amp;I CLM $ Collected]]</f>
        <v>19.831980000000001</v>
      </c>
      <c r="E88" s="325">
        <f>[1]!Table32[[#This Row],[CLM $ Collected ]]/'[1]1.) CLM Reference'!$B$4</f>
        <v>2.1349864760780984E-7</v>
      </c>
      <c r="F88" s="326">
        <f>[1]!Table32[[#This Row],[Residential Incentive Disbursements]]+[1]!Table32[[#This Row],[C&amp;I Incentive Disbursements]]</f>
        <v>0</v>
      </c>
      <c r="G88" s="325">
        <f>[1]!Table32[[#This Row],[Incentive Disbursements]]/'[1]1.) CLM Reference'!$B$5</f>
        <v>0</v>
      </c>
      <c r="H88" s="337">
        <v>0</v>
      </c>
      <c r="I88" s="325">
        <f>[1]!Table32[[#This Row],[Residential CLM $ Collected]]/'[1]1.) CLM Reference'!$B$4</f>
        <v>0</v>
      </c>
      <c r="J88" s="337">
        <v>0</v>
      </c>
      <c r="K88" s="325">
        <f>[1]!Table32[[#This Row],[Residential Incentive Disbursements]]/'[1]1.) CLM Reference'!$B$5</f>
        <v>0</v>
      </c>
      <c r="L88" s="337">
        <v>19.831980000000001</v>
      </c>
      <c r="M88" s="325">
        <f>[1]!Table32[[#This Row],[C&amp;I CLM $ Collected]]/'[1]1.) CLM Reference'!$B$4</f>
        <v>2.1349864760780984E-7</v>
      </c>
      <c r="N88" s="337">
        <v>0</v>
      </c>
      <c r="O88" s="325">
        <f>[1]!Table32[[#This Row],[C&amp;I Incentive Disbursements]]/'[1]1.) CLM Reference'!$B$5</f>
        <v>0</v>
      </c>
      <c r="P88" s="318">
        <f>VLOOKUP('3.) Large Load'!$B88,'Population and Diversity Data'!$B$2:$K$823,10,FALSE)</f>
        <v>3</v>
      </c>
      <c r="Q88" s="338" t="str">
        <f>VLOOKUP('3.) Large Load'!$B88,'ES Energy Burden'!$B$2:$E$914,4,FALSE)</f>
        <v>No</v>
      </c>
    </row>
    <row r="89" spans="1:17" x14ac:dyDescent="0.2">
      <c r="A89" s="329" t="s">
        <v>2779</v>
      </c>
      <c r="B89" s="330">
        <v>9001011000</v>
      </c>
      <c r="C89" s="319" t="s">
        <v>944</v>
      </c>
      <c r="D89" s="331">
        <f>[1]!Table32[[#This Row],[Residential CLM $ Collected]]+[1]!Table32[[#This Row],[C&amp;I CLM $ Collected]]</f>
        <v>3.619602</v>
      </c>
      <c r="E89" s="177">
        <f>[1]!Table32[[#This Row],[CLM $ Collected ]]/'[1]1.) CLM Reference'!$B$4</f>
        <v>3.8966363009569579E-8</v>
      </c>
      <c r="F89" s="332">
        <f>[1]!Table32[[#This Row],[Residential Incentive Disbursements]]+[1]!Table32[[#This Row],[C&amp;I Incentive Disbursements]]</f>
        <v>0</v>
      </c>
      <c r="G89" s="177">
        <f>[1]!Table32[[#This Row],[Incentive Disbursements]]/'[1]1.) CLM Reference'!$B$5</f>
        <v>0</v>
      </c>
      <c r="H89" s="333">
        <v>0</v>
      </c>
      <c r="I89" s="177">
        <f>[1]!Table32[[#This Row],[Residential CLM $ Collected]]/'[1]1.) CLM Reference'!$B$4</f>
        <v>0</v>
      </c>
      <c r="J89" s="333">
        <v>0</v>
      </c>
      <c r="K89" s="177">
        <f>[1]!Table32[[#This Row],[Residential Incentive Disbursements]]/'[1]1.) CLM Reference'!$B$5</f>
        <v>0</v>
      </c>
      <c r="L89" s="333">
        <v>3.619602</v>
      </c>
      <c r="M89" s="177">
        <f>[1]!Table32[[#This Row],[C&amp;I CLM $ Collected]]/'[1]1.) CLM Reference'!$B$4</f>
        <v>3.8966363009569579E-8</v>
      </c>
      <c r="N89" s="333">
        <v>0</v>
      </c>
      <c r="O89" s="177">
        <f>[1]!Table32[[#This Row],[C&amp;I Incentive Disbursements]]/'[1]1.) CLM Reference'!$B$5</f>
        <v>0</v>
      </c>
      <c r="P89" s="319">
        <f>VLOOKUP('3.) Large Load'!$B89,'Population and Diversity Data'!$B$2:$K$823,10,FALSE)</f>
        <v>2</v>
      </c>
      <c r="Q89" s="334" t="str">
        <f>VLOOKUP('3.) Large Load'!$B89,'ES Energy Burden'!$B$2:$E$914,4,FALSE)</f>
        <v>No</v>
      </c>
    </row>
    <row r="90" spans="1:17" x14ac:dyDescent="0.2">
      <c r="A90" s="335" t="s">
        <v>2779</v>
      </c>
      <c r="B90" s="336">
        <v>9001011200</v>
      </c>
      <c r="C90" s="318" t="s">
        <v>944</v>
      </c>
      <c r="D90" s="324">
        <f>[1]!Table32[[#This Row],[Residential CLM $ Collected]]+[1]!Table32[[#This Row],[C&amp;I CLM $ Collected]]</f>
        <v>2953.6415999999999</v>
      </c>
      <c r="E90" s="325">
        <f>[1]!Table32[[#This Row],[CLM $ Collected ]]/'[1]1.) CLM Reference'!$B$4</f>
        <v>3.1797051384590323E-5</v>
      </c>
      <c r="F90" s="326">
        <f>[1]!Table32[[#This Row],[Residential Incentive Disbursements]]+[1]!Table32[[#This Row],[C&amp;I Incentive Disbursements]]</f>
        <v>0</v>
      </c>
      <c r="G90" s="325">
        <f>[1]!Table32[[#This Row],[Incentive Disbursements]]/'[1]1.) CLM Reference'!$B$5</f>
        <v>0</v>
      </c>
      <c r="H90" s="337">
        <v>2953.6415999999999</v>
      </c>
      <c r="I90" s="325">
        <f>[1]!Table32[[#This Row],[Residential CLM $ Collected]]/'[1]1.) CLM Reference'!$B$4</f>
        <v>3.1797051384590323E-5</v>
      </c>
      <c r="J90" s="337">
        <v>0</v>
      </c>
      <c r="K90" s="325">
        <f>[1]!Table32[[#This Row],[Residential Incentive Disbursements]]/'[1]1.) CLM Reference'!$B$5</f>
        <v>0</v>
      </c>
      <c r="L90" s="337">
        <v>0</v>
      </c>
      <c r="M90" s="325">
        <f>[1]!Table32[[#This Row],[C&amp;I CLM $ Collected]]/'[1]1.) CLM Reference'!$B$4</f>
        <v>0</v>
      </c>
      <c r="N90" s="337">
        <v>0</v>
      </c>
      <c r="O90" s="325">
        <f>[1]!Table32[[#This Row],[C&amp;I Incentive Disbursements]]/'[1]1.) CLM Reference'!$B$5</f>
        <v>0</v>
      </c>
      <c r="P90" s="318">
        <f>VLOOKUP('3.) Large Load'!$B90,'Population and Diversity Data'!$B$2:$K$823,10,FALSE)</f>
        <v>4</v>
      </c>
      <c r="Q90" s="338" t="str">
        <f>VLOOKUP('3.) Large Load'!$B90,'ES Energy Burden'!$B$2:$E$914,4,FALSE)</f>
        <v>No</v>
      </c>
    </row>
    <row r="91" spans="1:17" x14ac:dyDescent="0.2">
      <c r="A91" s="329" t="s">
        <v>2780</v>
      </c>
      <c r="B91" s="330">
        <v>9011709100</v>
      </c>
      <c r="C91" s="319" t="s">
        <v>944</v>
      </c>
      <c r="D91" s="331">
        <f>[1]!Table32[[#This Row],[Residential CLM $ Collected]]+[1]!Table32[[#This Row],[C&amp;I CLM $ Collected]]</f>
        <v>7919.7394080000004</v>
      </c>
      <c r="E91" s="177">
        <f>[1]!Table32[[#This Row],[CLM $ Collected ]]/'[1]1.) CLM Reference'!$B$4</f>
        <v>8.5258943031118244E-5</v>
      </c>
      <c r="F91" s="332">
        <f>[1]!Table32[[#This Row],[Residential Incentive Disbursements]]+[1]!Table32[[#This Row],[C&amp;I Incentive Disbursements]]</f>
        <v>19690</v>
      </c>
      <c r="G91" s="177">
        <f>[1]!Table32[[#This Row],[Incentive Disbursements]]/'[1]1.) CLM Reference'!$B$5</f>
        <v>1.580937931707024E-4</v>
      </c>
      <c r="H91" s="333">
        <v>0</v>
      </c>
      <c r="I91" s="177">
        <f>[1]!Table32[[#This Row],[Residential CLM $ Collected]]/'[1]1.) CLM Reference'!$B$4</f>
        <v>0</v>
      </c>
      <c r="J91" s="333">
        <v>0</v>
      </c>
      <c r="K91" s="177">
        <f>[1]!Table32[[#This Row],[Residential Incentive Disbursements]]/'[1]1.) CLM Reference'!$B$5</f>
        <v>0</v>
      </c>
      <c r="L91" s="333">
        <v>7919.7394080000004</v>
      </c>
      <c r="M91" s="177">
        <f>[1]!Table32[[#This Row],[C&amp;I CLM $ Collected]]/'[1]1.) CLM Reference'!$B$4</f>
        <v>8.5258943031118244E-5</v>
      </c>
      <c r="N91" s="333">
        <v>19690</v>
      </c>
      <c r="O91" s="177">
        <f>[1]!Table32[[#This Row],[C&amp;I Incentive Disbursements]]/'[1]1.) CLM Reference'!$B$5</f>
        <v>1.580937931707024E-4</v>
      </c>
      <c r="P91" s="319">
        <f>VLOOKUP('3.) Large Load'!$B91,'Population and Diversity Data'!$B$2:$K$823,10,FALSE)</f>
        <v>3</v>
      </c>
      <c r="Q91" s="334" t="str">
        <f>VLOOKUP('3.) Large Load'!$B91,'ES Energy Burden'!$B$2:$E$914,4,FALSE)</f>
        <v>No</v>
      </c>
    </row>
    <row r="92" spans="1:17" x14ac:dyDescent="0.2">
      <c r="A92" s="335" t="s">
        <v>2781</v>
      </c>
      <c r="B92" s="336">
        <v>9011870200</v>
      </c>
      <c r="C92" s="318" t="s">
        <v>936</v>
      </c>
      <c r="D92" s="324">
        <f>[1]!Table32[[#This Row],[Residential CLM $ Collected]]+[1]!Table32[[#This Row],[C&amp;I CLM $ Collected]]</f>
        <v>156411.15014700001</v>
      </c>
      <c r="E92" s="325">
        <f>[1]!Table32[[#This Row],[CLM $ Collected ]]/'[1]1.) CLM Reference'!$B$4</f>
        <v>1.6838242589578341E-3</v>
      </c>
      <c r="F92" s="326">
        <f>[1]!Table32[[#This Row],[Residential Incentive Disbursements]]+[1]!Table32[[#This Row],[C&amp;I Incentive Disbursements]]</f>
        <v>1060578.456</v>
      </c>
      <c r="G92" s="325">
        <f>[1]!Table32[[#This Row],[Incentive Disbursements]]/'[1]1.) CLM Reference'!$B$5</f>
        <v>8.5155343354071551E-3</v>
      </c>
      <c r="H92" s="337">
        <v>0</v>
      </c>
      <c r="I92" s="325">
        <f>[1]!Table32[[#This Row],[Residential CLM $ Collected]]/'[1]1.) CLM Reference'!$B$4</f>
        <v>0</v>
      </c>
      <c r="J92" s="337">
        <v>0</v>
      </c>
      <c r="K92" s="325">
        <f>[1]!Table32[[#This Row],[Residential Incentive Disbursements]]/'[1]1.) CLM Reference'!$B$5</f>
        <v>0</v>
      </c>
      <c r="L92" s="337">
        <v>156411.15014700001</v>
      </c>
      <c r="M92" s="325">
        <f>[1]!Table32[[#This Row],[C&amp;I CLM $ Collected]]/'[1]1.) CLM Reference'!$B$4</f>
        <v>1.6838242589578341E-3</v>
      </c>
      <c r="N92" s="337">
        <v>1060578.456</v>
      </c>
      <c r="O92" s="325">
        <f>[1]!Table32[[#This Row],[C&amp;I Incentive Disbursements]]/'[1]1.) CLM Reference'!$B$5</f>
        <v>8.5155343354071551E-3</v>
      </c>
      <c r="P92" s="318">
        <f>VLOOKUP('3.) Large Load'!$B92,'Population and Diversity Data'!$B$2:$K$823,10,FALSE)</f>
        <v>4</v>
      </c>
      <c r="Q92" s="338" t="e">
        <f>VLOOKUP('3.) Large Load'!$B92,'ES Energy Burden'!$B$2:$E$914,4,FALSE)</f>
        <v>#N/A</v>
      </c>
    </row>
    <row r="93" spans="1:17" x14ac:dyDescent="0.2">
      <c r="A93" s="329" t="s">
        <v>2782</v>
      </c>
      <c r="B93" s="330">
        <v>9009190301</v>
      </c>
      <c r="C93" s="319" t="s">
        <v>944</v>
      </c>
      <c r="D93" s="331">
        <f>[1]!Table32[[#This Row],[Residential CLM $ Collected]]+[1]!Table32[[#This Row],[C&amp;I CLM $ Collected]]</f>
        <v>131115.543699</v>
      </c>
      <c r="E93" s="177">
        <f>[1]!Table32[[#This Row],[CLM $ Collected ]]/'[1]1.) CLM Reference'!$B$4</f>
        <v>1.4115076386774891E-3</v>
      </c>
      <c r="F93" s="332">
        <f>[1]!Table32[[#This Row],[Residential Incentive Disbursements]]+[1]!Table32[[#This Row],[C&amp;I Incentive Disbursements]]</f>
        <v>101372.716</v>
      </c>
      <c r="G93" s="177">
        <f>[1]!Table32[[#This Row],[Incentive Disbursements]]/'[1]1.) CLM Reference'!$B$5</f>
        <v>8.1393586574181581E-4</v>
      </c>
      <c r="H93" s="333">
        <v>0</v>
      </c>
      <c r="I93" s="177">
        <f>[1]!Table32[[#This Row],[Residential CLM $ Collected]]/'[1]1.) CLM Reference'!$B$4</f>
        <v>0</v>
      </c>
      <c r="J93" s="333">
        <v>0</v>
      </c>
      <c r="K93" s="177">
        <f>[1]!Table32[[#This Row],[Residential Incentive Disbursements]]/'[1]1.) CLM Reference'!$B$5</f>
        <v>0</v>
      </c>
      <c r="L93" s="333">
        <v>131115.543699</v>
      </c>
      <c r="M93" s="177">
        <f>[1]!Table32[[#This Row],[C&amp;I CLM $ Collected]]/'[1]1.) CLM Reference'!$B$4</f>
        <v>1.4115076386774891E-3</v>
      </c>
      <c r="N93" s="333">
        <v>101372.716</v>
      </c>
      <c r="O93" s="177">
        <f>[1]!Table32[[#This Row],[C&amp;I Incentive Disbursements]]/'[1]1.) CLM Reference'!$B$5</f>
        <v>8.1393586574181581E-4</v>
      </c>
      <c r="P93" s="319">
        <f>VLOOKUP('3.) Large Load'!$B93,'Population and Diversity Data'!$B$2:$K$823,10,FALSE)</f>
        <v>3</v>
      </c>
      <c r="Q93" s="334" t="str">
        <f>VLOOKUP('3.) Large Load'!$B93,'ES Energy Burden'!$B$2:$E$914,4,FALSE)</f>
        <v>No</v>
      </c>
    </row>
    <row r="94" spans="1:17" x14ac:dyDescent="0.2">
      <c r="A94" s="335" t="s">
        <v>2783</v>
      </c>
      <c r="B94" s="336">
        <v>9007590100</v>
      </c>
      <c r="C94" s="318" t="s">
        <v>944</v>
      </c>
      <c r="D94" s="324">
        <f>[1]!Table32[[#This Row],[Residential CLM $ Collected]]+[1]!Table32[[#This Row],[C&amp;I CLM $ Collected]]</f>
        <v>20316.364761000001</v>
      </c>
      <c r="E94" s="325">
        <f>[1]!Table32[[#This Row],[CLM $ Collected ]]/'[1]1.) CLM Reference'!$B$4</f>
        <v>2.1871322988327262E-4</v>
      </c>
      <c r="F94" s="326">
        <f>[1]!Table32[[#This Row],[Residential Incentive Disbursements]]+[1]!Table32[[#This Row],[C&amp;I Incentive Disbursements]]</f>
        <v>13224</v>
      </c>
      <c r="G94" s="325">
        <f>[1]!Table32[[#This Row],[Incentive Disbursements]]/'[1]1.) CLM Reference'!$B$5</f>
        <v>1.0617736520514822E-4</v>
      </c>
      <c r="H94" s="337">
        <v>0</v>
      </c>
      <c r="I94" s="325">
        <f>[1]!Table32[[#This Row],[Residential CLM $ Collected]]/'[1]1.) CLM Reference'!$B$4</f>
        <v>0</v>
      </c>
      <c r="J94" s="337">
        <v>0</v>
      </c>
      <c r="K94" s="325">
        <f>[1]!Table32[[#This Row],[Residential Incentive Disbursements]]/'[1]1.) CLM Reference'!$B$5</f>
        <v>0</v>
      </c>
      <c r="L94" s="337">
        <v>20316.364761000001</v>
      </c>
      <c r="M94" s="325">
        <f>[1]!Table32[[#This Row],[C&amp;I CLM $ Collected]]/'[1]1.) CLM Reference'!$B$4</f>
        <v>2.1871322988327262E-4</v>
      </c>
      <c r="N94" s="337">
        <v>13224</v>
      </c>
      <c r="O94" s="325">
        <f>[1]!Table32[[#This Row],[C&amp;I Incentive Disbursements]]/'[1]1.) CLM Reference'!$B$5</f>
        <v>1.0617736520514822E-4</v>
      </c>
      <c r="P94" s="318">
        <f>VLOOKUP('3.) Large Load'!$B94,'Population and Diversity Data'!$B$2:$K$823,10,FALSE)</f>
        <v>1</v>
      </c>
      <c r="Q94" s="338" t="str">
        <f>VLOOKUP('3.) Large Load'!$B94,'ES Energy Burden'!$B$2:$E$914,4,FALSE)</f>
        <v>No</v>
      </c>
    </row>
    <row r="95" spans="1:17" x14ac:dyDescent="0.2">
      <c r="A95" s="329" t="s">
        <v>2784</v>
      </c>
      <c r="B95" s="330">
        <v>9015820000</v>
      </c>
      <c r="C95" s="319" t="s">
        <v>944</v>
      </c>
      <c r="D95" s="331">
        <f>[1]!Table32[[#This Row],[Residential CLM $ Collected]]+[1]!Table32[[#This Row],[C&amp;I CLM $ Collected]]</f>
        <v>2451.7476059999999</v>
      </c>
      <c r="E95" s="177">
        <f>[1]!Table32[[#This Row],[CLM $ Collected ]]/'[1]1.) CLM Reference'!$B$4</f>
        <v>2.6393975697670396E-5</v>
      </c>
      <c r="F95" s="332">
        <f>[1]!Table32[[#This Row],[Residential Incentive Disbursements]]+[1]!Table32[[#This Row],[C&amp;I Incentive Disbursements]]</f>
        <v>1436</v>
      </c>
      <c r="G95" s="177">
        <f>[1]!Table32[[#This Row],[Incentive Disbursements]]/'[1]1.) CLM Reference'!$B$5</f>
        <v>1.1529846977812525E-5</v>
      </c>
      <c r="H95" s="333">
        <v>0</v>
      </c>
      <c r="I95" s="177">
        <f>[1]!Table32[[#This Row],[Residential CLM $ Collected]]/'[1]1.) CLM Reference'!$B$4</f>
        <v>0</v>
      </c>
      <c r="J95" s="333">
        <v>0</v>
      </c>
      <c r="K95" s="177">
        <f>[1]!Table32[[#This Row],[Residential Incentive Disbursements]]/'[1]1.) CLM Reference'!$B$5</f>
        <v>0</v>
      </c>
      <c r="L95" s="333">
        <v>2451.7476059999999</v>
      </c>
      <c r="M95" s="177">
        <f>[1]!Table32[[#This Row],[C&amp;I CLM $ Collected]]/'[1]1.) CLM Reference'!$B$4</f>
        <v>2.6393975697670396E-5</v>
      </c>
      <c r="N95" s="333">
        <v>1436</v>
      </c>
      <c r="O95" s="177">
        <f>[1]!Table32[[#This Row],[C&amp;I Incentive Disbursements]]/'[1]1.) CLM Reference'!$B$5</f>
        <v>1.1529846977812525E-5</v>
      </c>
      <c r="P95" s="319">
        <f>VLOOKUP('3.) Large Load'!$B95,'Population and Diversity Data'!$B$2:$K$823,10,FALSE)</f>
        <v>4</v>
      </c>
      <c r="Q95" s="334" t="str">
        <f>VLOOKUP('3.) Large Load'!$B95,'ES Energy Burden'!$B$2:$E$914,4,FALSE)</f>
        <v>No</v>
      </c>
    </row>
    <row r="96" spans="1:17" x14ac:dyDescent="0.2">
      <c r="A96" s="335" t="s">
        <v>979</v>
      </c>
      <c r="B96" s="336">
        <v>9003500400</v>
      </c>
      <c r="C96" s="318" t="s">
        <v>944</v>
      </c>
      <c r="D96" s="324">
        <f>[1]!Table32[[#This Row],[Residential CLM $ Collected]]+[1]!Table32[[#This Row],[C&amp;I CLM $ Collected]]</f>
        <v>4.59816</v>
      </c>
      <c r="E96" s="325">
        <f>[1]!Table32[[#This Row],[CLM $ Collected ]]/'[1]1.) CLM Reference'!$B$4</f>
        <v>4.9500904170149772E-8</v>
      </c>
      <c r="F96" s="326">
        <f>[1]!Table32[[#This Row],[Residential Incentive Disbursements]]+[1]!Table32[[#This Row],[C&amp;I Incentive Disbursements]]</f>
        <v>8</v>
      </c>
      <c r="G96" s="325">
        <f>[1]!Table32[[#This Row],[Incentive Disbursements]]/'[1]1.) CLM Reference'!$B$5</f>
        <v>6.4233130795612964E-8</v>
      </c>
      <c r="H96" s="337">
        <v>0</v>
      </c>
      <c r="I96" s="325">
        <f>[1]!Table32[[#This Row],[Residential CLM $ Collected]]/'[1]1.) CLM Reference'!$B$4</f>
        <v>0</v>
      </c>
      <c r="J96" s="337">
        <v>0</v>
      </c>
      <c r="K96" s="325">
        <f>[1]!Table32[[#This Row],[Residential Incentive Disbursements]]/'[1]1.) CLM Reference'!$B$5</f>
        <v>0</v>
      </c>
      <c r="L96" s="337">
        <v>4.59816</v>
      </c>
      <c r="M96" s="325">
        <f>[1]!Table32[[#This Row],[C&amp;I CLM $ Collected]]/'[1]1.) CLM Reference'!$B$4</f>
        <v>4.9500904170149772E-8</v>
      </c>
      <c r="N96" s="337">
        <v>8</v>
      </c>
      <c r="O96" s="325">
        <f>[1]!Table32[[#This Row],[C&amp;I Incentive Disbursements]]/'[1]1.) CLM Reference'!$B$5</f>
        <v>6.4233130795612964E-8</v>
      </c>
      <c r="P96" s="318">
        <f>VLOOKUP('3.) Large Load'!$B96,'Population and Diversity Data'!$B$2:$K$823,10,FALSE)</f>
        <v>5</v>
      </c>
      <c r="Q96" s="338" t="str">
        <f>VLOOKUP('3.) Large Load'!$B96,'ES Energy Burden'!$B$2:$E$914,4,FALSE)</f>
        <v>Yes</v>
      </c>
    </row>
    <row r="97" spans="1:17" x14ac:dyDescent="0.2">
      <c r="A97" s="329" t="s">
        <v>979</v>
      </c>
      <c r="B97" s="330">
        <v>9003500900</v>
      </c>
      <c r="C97" s="319" t="s">
        <v>944</v>
      </c>
      <c r="D97" s="331">
        <f>[1]!Table32[[#This Row],[Residential CLM $ Collected]]+[1]!Table32[[#This Row],[C&amp;I CLM $ Collected]]</f>
        <v>2610490.4584500003</v>
      </c>
      <c r="E97" s="177">
        <f>[1]!Table32[[#This Row],[CLM $ Collected ]]/'[1]1.) CLM Reference'!$B$4</f>
        <v>2.8102901599949503E-2</v>
      </c>
      <c r="F97" s="332">
        <f>[1]!Table32[[#This Row],[Residential Incentive Disbursements]]+[1]!Table32[[#This Row],[C&amp;I Incentive Disbursements]]</f>
        <v>4342030.4791999999</v>
      </c>
      <c r="G97" s="177">
        <f>[1]!Table32[[#This Row],[Incentive Disbursements]]/'[1]1.) CLM Reference'!$B$5</f>
        <v>3.486277646112395E-2</v>
      </c>
      <c r="H97" s="333">
        <v>4625.2080000000005</v>
      </c>
      <c r="I97" s="177">
        <f>[1]!Table32[[#This Row],[Residential CLM $ Collected]]/'[1]1.) CLM Reference'!$B$4</f>
        <v>4.9792085959385952E-5</v>
      </c>
      <c r="J97" s="333">
        <v>0</v>
      </c>
      <c r="K97" s="177">
        <f>[1]!Table32[[#This Row],[Residential Incentive Disbursements]]/'[1]1.) CLM Reference'!$B$5</f>
        <v>0</v>
      </c>
      <c r="L97" s="333">
        <v>2605865.2504500002</v>
      </c>
      <c r="M97" s="177">
        <f>[1]!Table32[[#This Row],[C&amp;I CLM $ Collected]]/'[1]1.) CLM Reference'!$B$4</f>
        <v>2.8053109513990114E-2</v>
      </c>
      <c r="N97" s="333">
        <v>4342030.4791999999</v>
      </c>
      <c r="O97" s="177">
        <f>[1]!Table32[[#This Row],[C&amp;I Incentive Disbursements]]/'[1]1.) CLM Reference'!$B$5</f>
        <v>3.486277646112395E-2</v>
      </c>
      <c r="P97" s="319">
        <f>VLOOKUP('3.) Large Load'!$B97,'Population and Diversity Data'!$B$2:$K$823,10,FALSE)</f>
        <v>5</v>
      </c>
      <c r="Q97" s="334" t="str">
        <f>VLOOKUP('3.) Large Load'!$B97,'ES Energy Burden'!$B$2:$E$914,4,FALSE)</f>
        <v>Yes</v>
      </c>
    </row>
    <row r="98" spans="1:17" x14ac:dyDescent="0.2">
      <c r="A98" s="335" t="s">
        <v>979</v>
      </c>
      <c r="B98" s="336">
        <v>9003502400</v>
      </c>
      <c r="C98" s="318" t="s">
        <v>936</v>
      </c>
      <c r="D98" s="324">
        <f>[1]!Table32[[#This Row],[Residential CLM $ Collected]]+[1]!Table32[[#This Row],[C&amp;I CLM $ Collected]]</f>
        <v>3.6939839999999999</v>
      </c>
      <c r="E98" s="325">
        <f>[1]!Table32[[#This Row],[CLM $ Collected ]]/'[1]1.) CLM Reference'!$B$4</f>
        <v>3.9767112929969057E-8</v>
      </c>
      <c r="F98" s="326">
        <f>[1]!Table32[[#This Row],[Residential Incentive Disbursements]]+[1]!Table32[[#This Row],[C&amp;I Incentive Disbursements]]</f>
        <v>0</v>
      </c>
      <c r="G98" s="325">
        <f>[1]!Table32[[#This Row],[Incentive Disbursements]]/'[1]1.) CLM Reference'!$B$5</f>
        <v>0</v>
      </c>
      <c r="H98" s="337">
        <v>0</v>
      </c>
      <c r="I98" s="325">
        <f>[1]!Table32[[#This Row],[Residential CLM $ Collected]]/'[1]1.) CLM Reference'!$B$4</f>
        <v>0</v>
      </c>
      <c r="J98" s="337">
        <v>0</v>
      </c>
      <c r="K98" s="325">
        <f>[1]!Table32[[#This Row],[Residential Incentive Disbursements]]/'[1]1.) CLM Reference'!$B$5</f>
        <v>0</v>
      </c>
      <c r="L98" s="337">
        <v>3.6939839999999999</v>
      </c>
      <c r="M98" s="325">
        <f>[1]!Table32[[#This Row],[C&amp;I CLM $ Collected]]/'[1]1.) CLM Reference'!$B$4</f>
        <v>3.9767112929969057E-8</v>
      </c>
      <c r="N98" s="337">
        <v>0</v>
      </c>
      <c r="O98" s="325">
        <f>[1]!Table32[[#This Row],[C&amp;I Incentive Disbursements]]/'[1]1.) CLM Reference'!$B$5</f>
        <v>0</v>
      </c>
      <c r="P98" s="318">
        <f>VLOOKUP('3.) Large Load'!$B98,'Population and Diversity Data'!$B$2:$K$823,10,FALSE)</f>
        <v>5</v>
      </c>
      <c r="Q98" s="338" t="str">
        <f>VLOOKUP('3.) Large Load'!$B98,'ES Energy Burden'!$B$2:$E$914,4,FALSE)</f>
        <v>Yes</v>
      </c>
    </row>
    <row r="99" spans="1:17" x14ac:dyDescent="0.2">
      <c r="A99" s="329" t="s">
        <v>979</v>
      </c>
      <c r="B99" s="330">
        <v>9003503100</v>
      </c>
      <c r="C99" s="319" t="s">
        <v>936</v>
      </c>
      <c r="D99" s="331">
        <f>[1]!Table32[[#This Row],[Residential CLM $ Collected]]+[1]!Table32[[#This Row],[C&amp;I CLM $ Collected]]</f>
        <v>7091.1466290000008</v>
      </c>
      <c r="E99" s="177">
        <f>[1]!Table32[[#This Row],[CLM $ Collected ]]/'[1]1.) CLM Reference'!$B$4</f>
        <v>7.6338833302583999E-5</v>
      </c>
      <c r="F99" s="332">
        <f>[1]!Table32[[#This Row],[Residential Incentive Disbursements]]+[1]!Table32[[#This Row],[C&amp;I Incentive Disbursements]]</f>
        <v>0</v>
      </c>
      <c r="G99" s="177">
        <f>[1]!Table32[[#This Row],[Incentive Disbursements]]/'[1]1.) CLM Reference'!$B$5</f>
        <v>0</v>
      </c>
      <c r="H99" s="333">
        <v>7067.2560000000003</v>
      </c>
      <c r="I99" s="177">
        <f>[1]!Table32[[#This Row],[Residential CLM $ Collected]]/'[1]1.) CLM Reference'!$B$4</f>
        <v>7.6081641787566334E-5</v>
      </c>
      <c r="J99" s="333">
        <v>0</v>
      </c>
      <c r="K99" s="177">
        <f>[1]!Table32[[#This Row],[Residential Incentive Disbursements]]/'[1]1.) CLM Reference'!$B$5</f>
        <v>0</v>
      </c>
      <c r="L99" s="333">
        <v>23.890629000000001</v>
      </c>
      <c r="M99" s="177">
        <f>[1]!Table32[[#This Row],[C&amp;I CLM $ Collected]]/'[1]1.) CLM Reference'!$B$4</f>
        <v>2.5719151501765945E-7</v>
      </c>
      <c r="N99" s="333">
        <v>0</v>
      </c>
      <c r="O99" s="177">
        <f>[1]!Table32[[#This Row],[C&amp;I Incentive Disbursements]]/'[1]1.) CLM Reference'!$B$5</f>
        <v>0</v>
      </c>
      <c r="P99" s="319">
        <f>VLOOKUP('3.) Large Load'!$B99,'Population and Diversity Data'!$B$2:$K$823,10,FALSE)</f>
        <v>5</v>
      </c>
      <c r="Q99" s="334" t="str">
        <f>VLOOKUP('3.) Large Load'!$B99,'ES Energy Burden'!$B$2:$E$914,4,FALSE)</f>
        <v>No</v>
      </c>
    </row>
    <row r="100" spans="1:17" x14ac:dyDescent="0.2">
      <c r="A100" s="335" t="s">
        <v>979</v>
      </c>
      <c r="B100" s="336">
        <v>9003504300</v>
      </c>
      <c r="C100" s="318" t="s">
        <v>944</v>
      </c>
      <c r="D100" s="324">
        <f>[1]!Table32[[#This Row],[Residential CLM $ Collected]]+[1]!Table32[[#This Row],[C&amp;I CLM $ Collected]]</f>
        <v>3.5756489999999999</v>
      </c>
      <c r="E100" s="325">
        <f>[1]!Table32[[#This Row],[CLM $ Collected ]]/'[1]1.) CLM Reference'!$B$4</f>
        <v>3.8493192602060789E-8</v>
      </c>
      <c r="F100" s="326">
        <f>[1]!Table32[[#This Row],[Residential Incentive Disbursements]]+[1]!Table32[[#This Row],[C&amp;I Incentive Disbursements]]</f>
        <v>0</v>
      </c>
      <c r="G100" s="325">
        <f>[1]!Table32[[#This Row],[Incentive Disbursements]]/'[1]1.) CLM Reference'!$B$5</f>
        <v>0</v>
      </c>
      <c r="H100" s="337">
        <v>0</v>
      </c>
      <c r="I100" s="325">
        <f>[1]!Table32[[#This Row],[Residential CLM $ Collected]]/'[1]1.) CLM Reference'!$B$4</f>
        <v>0</v>
      </c>
      <c r="J100" s="337">
        <v>0</v>
      </c>
      <c r="K100" s="325">
        <f>[1]!Table32[[#This Row],[Residential Incentive Disbursements]]/'[1]1.) CLM Reference'!$B$5</f>
        <v>0</v>
      </c>
      <c r="L100" s="337">
        <v>3.5756489999999999</v>
      </c>
      <c r="M100" s="325">
        <f>[1]!Table32[[#This Row],[C&amp;I CLM $ Collected]]/'[1]1.) CLM Reference'!$B$4</f>
        <v>3.8493192602060789E-8</v>
      </c>
      <c r="N100" s="337">
        <v>0</v>
      </c>
      <c r="O100" s="325">
        <f>[1]!Table32[[#This Row],[C&amp;I Incentive Disbursements]]/'[1]1.) CLM Reference'!$B$5</f>
        <v>0</v>
      </c>
      <c r="P100" s="318">
        <f>VLOOKUP('3.) Large Load'!$B100,'Population and Diversity Data'!$B$2:$K$823,10,FALSE)</f>
        <v>5</v>
      </c>
      <c r="Q100" s="338" t="str">
        <f>VLOOKUP('3.) Large Load'!$B100,'ES Energy Burden'!$B$2:$E$914,4,FALSE)</f>
        <v>Yes</v>
      </c>
    </row>
    <row r="101" spans="1:17" x14ac:dyDescent="0.2">
      <c r="A101" s="329" t="s">
        <v>2785</v>
      </c>
      <c r="B101" s="330">
        <v>9003330100</v>
      </c>
      <c r="C101" s="319" t="s">
        <v>944</v>
      </c>
      <c r="D101" s="331">
        <f>[1]!Table32[[#This Row],[Residential CLM $ Collected]]+[1]!Table32[[#This Row],[C&amp;I CLM $ Collected]]</f>
        <v>501.16273200000001</v>
      </c>
      <c r="E101" s="177">
        <f>[1]!Table32[[#This Row],[CLM $ Collected ]]/'[1]1.) CLM Reference'!$B$4</f>
        <v>5.3952033792609328E-6</v>
      </c>
      <c r="F101" s="332">
        <f>[1]!Table32[[#This Row],[Residential Incentive Disbursements]]+[1]!Table32[[#This Row],[C&amp;I Incentive Disbursements]]</f>
        <v>571</v>
      </c>
      <c r="G101" s="177">
        <f>[1]!Table32[[#This Row],[Incentive Disbursements]]/'[1]1.) CLM Reference'!$B$5</f>
        <v>4.5846397105368753E-6</v>
      </c>
      <c r="H101" s="333">
        <v>0</v>
      </c>
      <c r="I101" s="177">
        <f>[1]!Table32[[#This Row],[Residential CLM $ Collected]]/'[1]1.) CLM Reference'!$B$4</f>
        <v>0</v>
      </c>
      <c r="J101" s="333">
        <v>0</v>
      </c>
      <c r="K101" s="177">
        <f>[1]!Table32[[#This Row],[Residential Incentive Disbursements]]/'[1]1.) CLM Reference'!$B$5</f>
        <v>0</v>
      </c>
      <c r="L101" s="333">
        <v>501.16273200000001</v>
      </c>
      <c r="M101" s="177">
        <f>[1]!Table32[[#This Row],[C&amp;I CLM $ Collected]]/'[1]1.) CLM Reference'!$B$4</f>
        <v>5.3952033792609328E-6</v>
      </c>
      <c r="N101" s="333">
        <v>571</v>
      </c>
      <c r="O101" s="177">
        <f>[1]!Table32[[#This Row],[C&amp;I Incentive Disbursements]]/'[1]1.) CLM Reference'!$B$5</f>
        <v>4.5846397105368753E-6</v>
      </c>
      <c r="P101" s="319">
        <f>VLOOKUP('3.) Large Load'!$B101,'Population and Diversity Data'!$B$2:$K$823,10,FALSE)</f>
        <v>3</v>
      </c>
      <c r="Q101" s="334" t="str">
        <f>VLOOKUP('3.) Large Load'!$B101,'ES Energy Burden'!$B$2:$E$914,4,FALSE)</f>
        <v>No</v>
      </c>
    </row>
    <row r="102" spans="1:17" x14ac:dyDescent="0.2">
      <c r="A102" s="335" t="s">
        <v>2786</v>
      </c>
      <c r="B102" s="336">
        <v>9005298300</v>
      </c>
      <c r="C102" s="318" t="s">
        <v>944</v>
      </c>
      <c r="D102" s="324">
        <f>[1]!Table32[[#This Row],[Residential CLM $ Collected]]+[1]!Table32[[#This Row],[C&amp;I CLM $ Collected]]</f>
        <v>11739.868518000001</v>
      </c>
      <c r="E102" s="325">
        <f>[1]!Table32[[#This Row],[CLM $ Collected ]]/'[1]1.) CLM Reference'!$B$4</f>
        <v>1.2638405503063752E-4</v>
      </c>
      <c r="F102" s="326">
        <f>[1]!Table32[[#This Row],[Residential Incentive Disbursements]]+[1]!Table32[[#This Row],[C&amp;I Incentive Disbursements]]</f>
        <v>38427.71</v>
      </c>
      <c r="G102" s="325">
        <f>[1]!Table32[[#This Row],[Incentive Disbursements]]/'[1]1.) CLM Reference'!$B$5</f>
        <v>3.0854151532573549E-4</v>
      </c>
      <c r="H102" s="337">
        <v>0</v>
      </c>
      <c r="I102" s="325">
        <f>[1]!Table32[[#This Row],[Residential CLM $ Collected]]/'[1]1.) CLM Reference'!$B$4</f>
        <v>0</v>
      </c>
      <c r="J102" s="337">
        <v>0</v>
      </c>
      <c r="K102" s="325">
        <f>[1]!Table32[[#This Row],[Residential Incentive Disbursements]]/'[1]1.) CLM Reference'!$B$5</f>
        <v>0</v>
      </c>
      <c r="L102" s="337">
        <v>11739.868518000001</v>
      </c>
      <c r="M102" s="325">
        <f>[1]!Table32[[#This Row],[C&amp;I CLM $ Collected]]/'[1]1.) CLM Reference'!$B$4</f>
        <v>1.2638405503063752E-4</v>
      </c>
      <c r="N102" s="337">
        <v>38427.71</v>
      </c>
      <c r="O102" s="325">
        <f>[1]!Table32[[#This Row],[C&amp;I Incentive Disbursements]]/'[1]1.) CLM Reference'!$B$5</f>
        <v>3.0854151532573549E-4</v>
      </c>
      <c r="P102" s="318">
        <f>VLOOKUP('3.) Large Load'!$B102,'Population and Diversity Data'!$B$2:$K$823,10,FALSE)</f>
        <v>1</v>
      </c>
      <c r="Q102" s="338" t="str">
        <f>VLOOKUP('3.) Large Load'!$B102,'ES Energy Burden'!$B$2:$E$914,4,FALSE)</f>
        <v>No</v>
      </c>
    </row>
    <row r="103" spans="1:17" x14ac:dyDescent="0.2">
      <c r="A103" s="329" t="s">
        <v>2786</v>
      </c>
      <c r="B103" s="330">
        <v>9005298400</v>
      </c>
      <c r="C103" s="319" t="s">
        <v>944</v>
      </c>
      <c r="D103" s="331">
        <f>[1]!Table32[[#This Row],[Residential CLM $ Collected]]+[1]!Table32[[#This Row],[C&amp;I CLM $ Collected]]</f>
        <v>1.808352</v>
      </c>
      <c r="E103" s="177">
        <f>[1]!Table32[[#This Row],[CLM $ Collected ]]/'[1]1.) CLM Reference'!$B$4</f>
        <v>1.9467582480361422E-8</v>
      </c>
      <c r="F103" s="332">
        <f>[1]!Table32[[#This Row],[Residential Incentive Disbursements]]+[1]!Table32[[#This Row],[C&amp;I Incentive Disbursements]]</f>
        <v>0</v>
      </c>
      <c r="G103" s="177">
        <f>[1]!Table32[[#This Row],[Incentive Disbursements]]/'[1]1.) CLM Reference'!$B$5</f>
        <v>0</v>
      </c>
      <c r="H103" s="333">
        <v>0</v>
      </c>
      <c r="I103" s="177">
        <f>[1]!Table32[[#This Row],[Residential CLM $ Collected]]/'[1]1.) CLM Reference'!$B$4</f>
        <v>0</v>
      </c>
      <c r="J103" s="333">
        <v>0</v>
      </c>
      <c r="K103" s="177">
        <f>[1]!Table32[[#This Row],[Residential Incentive Disbursements]]/'[1]1.) CLM Reference'!$B$5</f>
        <v>0</v>
      </c>
      <c r="L103" s="333">
        <v>1.808352</v>
      </c>
      <c r="M103" s="177">
        <f>[1]!Table32[[#This Row],[C&amp;I CLM $ Collected]]/'[1]1.) CLM Reference'!$B$4</f>
        <v>1.9467582480361422E-8</v>
      </c>
      <c r="N103" s="333">
        <v>0</v>
      </c>
      <c r="O103" s="177">
        <f>[1]!Table32[[#This Row],[C&amp;I Incentive Disbursements]]/'[1]1.) CLM Reference'!$B$5</f>
        <v>0</v>
      </c>
      <c r="P103" s="319">
        <f>VLOOKUP('3.) Large Load'!$B103,'Population and Diversity Data'!$B$2:$K$823,10,FALSE)</f>
        <v>1</v>
      </c>
      <c r="Q103" s="334" t="str">
        <f>VLOOKUP('3.) Large Load'!$B103,'ES Energy Burden'!$B$2:$E$914,4,FALSE)</f>
        <v>No</v>
      </c>
    </row>
    <row r="104" spans="1:17" x14ac:dyDescent="0.2">
      <c r="A104" s="335" t="s">
        <v>2787</v>
      </c>
      <c r="B104" s="336">
        <v>9011714104</v>
      </c>
      <c r="C104" s="318" t="s">
        <v>944</v>
      </c>
      <c r="D104" s="324">
        <f>[1]!Table32[[#This Row],[Residential CLM $ Collected]]+[1]!Table32[[#This Row],[C&amp;I CLM $ Collected]]</f>
        <v>0</v>
      </c>
      <c r="E104" s="325">
        <f>[1]!Table32[[#This Row],[CLM $ Collected ]]/'[1]1.) CLM Reference'!$B$4</f>
        <v>0</v>
      </c>
      <c r="F104" s="326">
        <f>[1]!Table32[[#This Row],[Residential Incentive Disbursements]]+[1]!Table32[[#This Row],[C&amp;I Incentive Disbursements]]</f>
        <v>96</v>
      </c>
      <c r="G104" s="325">
        <f>[1]!Table32[[#This Row],[Incentive Disbursements]]/'[1]1.) CLM Reference'!$B$5</f>
        <v>7.7079756954735551E-7</v>
      </c>
      <c r="H104" s="337">
        <v>0</v>
      </c>
      <c r="I104" s="325">
        <f>[1]!Table32[[#This Row],[Residential CLM $ Collected]]/'[1]1.) CLM Reference'!$B$4</f>
        <v>0</v>
      </c>
      <c r="J104" s="337">
        <v>0</v>
      </c>
      <c r="K104" s="325">
        <f>[1]!Table32[[#This Row],[Residential Incentive Disbursements]]/'[1]1.) CLM Reference'!$B$5</f>
        <v>0</v>
      </c>
      <c r="L104" s="337">
        <v>0</v>
      </c>
      <c r="M104" s="325">
        <f>[1]!Table32[[#This Row],[C&amp;I CLM $ Collected]]/'[1]1.) CLM Reference'!$B$4</f>
        <v>0</v>
      </c>
      <c r="N104" s="337">
        <v>96</v>
      </c>
      <c r="O104" s="325">
        <f>[1]!Table32[[#This Row],[C&amp;I Incentive Disbursements]]/'[1]1.) CLM Reference'!$B$5</f>
        <v>7.7079756954735551E-7</v>
      </c>
      <c r="P104" s="318">
        <f>VLOOKUP('3.) Large Load'!$B104,'Population and Diversity Data'!$B$2:$K$823,10,FALSE)</f>
        <v>1</v>
      </c>
      <c r="Q104" s="338" t="str">
        <f>VLOOKUP('3.) Large Load'!$B104,'ES Energy Burden'!$B$2:$E$914,4,FALSE)</f>
        <v>No</v>
      </c>
    </row>
    <row r="105" spans="1:17" x14ac:dyDescent="0.2">
      <c r="A105" s="329" t="s">
        <v>2787</v>
      </c>
      <c r="B105" s="330">
        <v>9013526102</v>
      </c>
      <c r="C105" s="319" t="s">
        <v>944</v>
      </c>
      <c r="D105" s="331">
        <f>[1]!Table32[[#This Row],[Residential CLM $ Collected]]+[1]!Table32[[#This Row],[C&amp;I CLM $ Collected]]</f>
        <v>21152.539191</v>
      </c>
      <c r="E105" s="177">
        <f>[1]!Table32[[#This Row],[CLM $ Collected ]]/'[1]1.) CLM Reference'!$B$4</f>
        <v>2.2771495890726472E-4</v>
      </c>
      <c r="F105" s="332">
        <f>[1]!Table32[[#This Row],[Residential Incentive Disbursements]]+[1]!Table32[[#This Row],[C&amp;I Incentive Disbursements]]</f>
        <v>47546.999999999898</v>
      </c>
      <c r="G105" s="177">
        <f>[1]!Table32[[#This Row],[Incentive Disbursements]]/'[1]1.) CLM Reference'!$B$5</f>
        <v>3.8176158374237534E-4</v>
      </c>
      <c r="H105" s="333">
        <v>0</v>
      </c>
      <c r="I105" s="177">
        <f>[1]!Table32[[#This Row],[Residential CLM $ Collected]]/'[1]1.) CLM Reference'!$B$4</f>
        <v>0</v>
      </c>
      <c r="J105" s="333">
        <v>0</v>
      </c>
      <c r="K105" s="177">
        <f>[1]!Table32[[#This Row],[Residential Incentive Disbursements]]/'[1]1.) CLM Reference'!$B$5</f>
        <v>0</v>
      </c>
      <c r="L105" s="333">
        <v>21152.539191</v>
      </c>
      <c r="M105" s="177">
        <f>[1]!Table32[[#This Row],[C&amp;I CLM $ Collected]]/'[1]1.) CLM Reference'!$B$4</f>
        <v>2.2771495890726472E-4</v>
      </c>
      <c r="N105" s="333">
        <v>47546.999999999898</v>
      </c>
      <c r="O105" s="177">
        <f>[1]!Table32[[#This Row],[C&amp;I Incentive Disbursements]]/'[1]1.) CLM Reference'!$B$5</f>
        <v>3.8176158374237534E-4</v>
      </c>
      <c r="P105" s="319">
        <f>VLOOKUP('3.) Large Load'!$B105,'Population and Diversity Data'!$B$2:$K$823,10,FALSE)</f>
        <v>1</v>
      </c>
      <c r="Q105" s="334" t="str">
        <f>VLOOKUP('3.) Large Load'!$B105,'ES Energy Burden'!$B$2:$E$914,4,FALSE)</f>
        <v>No</v>
      </c>
    </row>
    <row r="106" spans="1:17" x14ac:dyDescent="0.2">
      <c r="A106" s="335" t="s">
        <v>2788</v>
      </c>
      <c r="B106" s="336">
        <v>9005253500</v>
      </c>
      <c r="C106" s="318" t="s">
        <v>944</v>
      </c>
      <c r="D106" s="324">
        <f>[1]!Table32[[#This Row],[Residential CLM $ Collected]]+[1]!Table32[[#This Row],[C&amp;I CLM $ Collected]]</f>
        <v>0</v>
      </c>
      <c r="E106" s="325">
        <f>[1]!Table32[[#This Row],[CLM $ Collected ]]/'[1]1.) CLM Reference'!$B$4</f>
        <v>0</v>
      </c>
      <c r="F106" s="326">
        <f>[1]!Table32[[#This Row],[Residential Incentive Disbursements]]+[1]!Table32[[#This Row],[C&amp;I Incentive Disbursements]]</f>
        <v>3864</v>
      </c>
      <c r="G106" s="325">
        <f>[1]!Table32[[#This Row],[Incentive Disbursements]]/'[1]1.) CLM Reference'!$B$5</f>
        <v>3.1024602174281061E-5</v>
      </c>
      <c r="H106" s="337">
        <v>0</v>
      </c>
      <c r="I106" s="325">
        <f>[1]!Table32[[#This Row],[Residential CLM $ Collected]]/'[1]1.) CLM Reference'!$B$4</f>
        <v>0</v>
      </c>
      <c r="J106" s="337">
        <v>0</v>
      </c>
      <c r="K106" s="325">
        <f>[1]!Table32[[#This Row],[Residential Incentive Disbursements]]/'[1]1.) CLM Reference'!$B$5</f>
        <v>0</v>
      </c>
      <c r="L106" s="337">
        <v>0</v>
      </c>
      <c r="M106" s="325">
        <f>[1]!Table32[[#This Row],[C&amp;I CLM $ Collected]]/'[1]1.) CLM Reference'!$B$4</f>
        <v>0</v>
      </c>
      <c r="N106" s="337">
        <v>3864</v>
      </c>
      <c r="O106" s="325">
        <f>[1]!Table32[[#This Row],[C&amp;I Incentive Disbursements]]/'[1]1.) CLM Reference'!$B$5</f>
        <v>3.1024602174281061E-5</v>
      </c>
      <c r="P106" s="318">
        <f>VLOOKUP('3.) Large Load'!$B106,'Population and Diversity Data'!$B$2:$K$823,10,FALSE)</f>
        <v>4</v>
      </c>
      <c r="Q106" s="338" t="str">
        <f>VLOOKUP('3.) Large Load'!$B106,'ES Energy Burden'!$B$2:$E$914,4,FALSE)</f>
        <v>No</v>
      </c>
    </row>
    <row r="107" spans="1:17" x14ac:dyDescent="0.2">
      <c r="A107" s="329" t="s">
        <v>2788</v>
      </c>
      <c r="B107" s="330">
        <v>9005266100</v>
      </c>
      <c r="C107" s="319" t="s">
        <v>944</v>
      </c>
      <c r="D107" s="331">
        <f>[1]!Table32[[#This Row],[Residential CLM $ Collected]]+[1]!Table32[[#This Row],[C&amp;I CLM $ Collected]]</f>
        <v>16717.213947</v>
      </c>
      <c r="E107" s="177">
        <f>[1]!Table32[[#This Row],[CLM $ Collected ]]/'[1]1.) CLM Reference'!$B$4</f>
        <v>1.7996703150441443E-4</v>
      </c>
      <c r="F107" s="332">
        <f>[1]!Table32[[#This Row],[Residential Incentive Disbursements]]+[1]!Table32[[#This Row],[C&amp;I Incentive Disbursements]]</f>
        <v>250</v>
      </c>
      <c r="G107" s="177">
        <f>[1]!Table32[[#This Row],[Incentive Disbursements]]/'[1]1.) CLM Reference'!$B$5</f>
        <v>2.0072853373629048E-6</v>
      </c>
      <c r="H107" s="333">
        <v>0</v>
      </c>
      <c r="I107" s="177">
        <f>[1]!Table32[[#This Row],[Residential CLM $ Collected]]/'[1]1.) CLM Reference'!$B$4</f>
        <v>0</v>
      </c>
      <c r="J107" s="333">
        <v>0</v>
      </c>
      <c r="K107" s="177">
        <f>[1]!Table32[[#This Row],[Residential Incentive Disbursements]]/'[1]1.) CLM Reference'!$B$5</f>
        <v>0</v>
      </c>
      <c r="L107" s="333">
        <v>16717.213947</v>
      </c>
      <c r="M107" s="177">
        <f>[1]!Table32[[#This Row],[C&amp;I CLM $ Collected]]/'[1]1.) CLM Reference'!$B$4</f>
        <v>1.7996703150441443E-4</v>
      </c>
      <c r="N107" s="333">
        <v>250</v>
      </c>
      <c r="O107" s="177">
        <f>[1]!Table32[[#This Row],[C&amp;I Incentive Disbursements]]/'[1]1.) CLM Reference'!$B$5</f>
        <v>2.0072853373629048E-6</v>
      </c>
      <c r="P107" s="319">
        <f>VLOOKUP('3.) Large Load'!$B107,'Population and Diversity Data'!$B$2:$K$823,10,FALSE)</f>
        <v>2</v>
      </c>
      <c r="Q107" s="334" t="str">
        <f>VLOOKUP('3.) Large Load'!$B107,'ES Energy Burden'!$B$2:$E$914,4,FALSE)</f>
        <v>No</v>
      </c>
    </row>
    <row r="108" spans="1:17" x14ac:dyDescent="0.2">
      <c r="A108" s="335" t="s">
        <v>2789</v>
      </c>
      <c r="B108" s="336">
        <v>9015904100</v>
      </c>
      <c r="C108" s="318" t="s">
        <v>944</v>
      </c>
      <c r="D108" s="324">
        <f>[1]!Table32[[#This Row],[Residential CLM $ Collected]]+[1]!Table32[[#This Row],[C&amp;I CLM $ Collected]]</f>
        <v>1.9943069999999998</v>
      </c>
      <c r="E108" s="325">
        <f>[1]!Table32[[#This Row],[CLM $ Collected ]]/'[1]1.) CLM Reference'!$B$4</f>
        <v>2.1469457281360124E-8</v>
      </c>
      <c r="F108" s="326">
        <f>[1]!Table32[[#This Row],[Residential Incentive Disbursements]]+[1]!Table32[[#This Row],[C&amp;I Incentive Disbursements]]</f>
        <v>62570.38</v>
      </c>
      <c r="G108" s="325">
        <f>[1]!Table32[[#This Row],[Incentive Disbursements]]/'[1]1.) CLM Reference'!$B$5</f>
        <v>5.0238642530890058E-4</v>
      </c>
      <c r="H108" s="337">
        <v>0</v>
      </c>
      <c r="I108" s="325">
        <f>[1]!Table32[[#This Row],[Residential CLM $ Collected]]/'[1]1.) CLM Reference'!$B$4</f>
        <v>0</v>
      </c>
      <c r="J108" s="337">
        <v>0</v>
      </c>
      <c r="K108" s="325">
        <f>[1]!Table32[[#This Row],[Residential Incentive Disbursements]]/'[1]1.) CLM Reference'!$B$5</f>
        <v>0</v>
      </c>
      <c r="L108" s="337">
        <v>1.9943069999999998</v>
      </c>
      <c r="M108" s="325">
        <f>[1]!Table32[[#This Row],[C&amp;I CLM $ Collected]]/'[1]1.) CLM Reference'!$B$4</f>
        <v>2.1469457281360124E-8</v>
      </c>
      <c r="N108" s="337">
        <v>62570.38</v>
      </c>
      <c r="O108" s="325">
        <f>[1]!Table32[[#This Row],[C&amp;I Incentive Disbursements]]/'[1]1.) CLM Reference'!$B$5</f>
        <v>5.0238642530890058E-4</v>
      </c>
      <c r="P108" s="318">
        <f>VLOOKUP('3.) Large Load'!$B108,'Population and Diversity Data'!$B$2:$K$823,10,FALSE)</f>
        <v>2</v>
      </c>
      <c r="Q108" s="338" t="str">
        <f>VLOOKUP('3.) Large Load'!$B108,'ES Energy Burden'!$B$2:$E$914,4,FALSE)</f>
        <v>No</v>
      </c>
    </row>
    <row r="109" spans="1:17" x14ac:dyDescent="0.2">
      <c r="A109" s="329" t="s">
        <v>2789</v>
      </c>
      <c r="B109" s="330">
        <v>9015904400</v>
      </c>
      <c r="C109" s="319" t="s">
        <v>944</v>
      </c>
      <c r="D109" s="331">
        <f>[1]!Table32[[#This Row],[Residential CLM $ Collected]]+[1]!Table32[[#This Row],[C&amp;I CLM $ Collected]]</f>
        <v>399985.65205200005</v>
      </c>
      <c r="E109" s="177">
        <f>[1]!Table32[[#This Row],[CLM $ Collected ]]/'[1]1.) CLM Reference'!$B$4</f>
        <v>4.3059944481403266E-3</v>
      </c>
      <c r="F109" s="332">
        <f>[1]!Table32[[#This Row],[Residential Incentive Disbursements]]+[1]!Table32[[#This Row],[C&amp;I Incentive Disbursements]]</f>
        <v>510977.36200000002</v>
      </c>
      <c r="G109" s="177">
        <f>[1]!Table32[[#This Row],[Incentive Disbursements]]/'[1]1.) CLM Reference'!$B$5</f>
        <v>4.1027094658679089E-3</v>
      </c>
      <c r="H109" s="333">
        <v>0</v>
      </c>
      <c r="I109" s="177">
        <f>[1]!Table32[[#This Row],[Residential CLM $ Collected]]/'[1]1.) CLM Reference'!$B$4</f>
        <v>0</v>
      </c>
      <c r="J109" s="333">
        <v>0</v>
      </c>
      <c r="K109" s="177">
        <f>[1]!Table32[[#This Row],[Residential Incentive Disbursements]]/'[1]1.) CLM Reference'!$B$5</f>
        <v>0</v>
      </c>
      <c r="L109" s="333">
        <v>399985.65205200005</v>
      </c>
      <c r="M109" s="177">
        <f>[1]!Table32[[#This Row],[C&amp;I CLM $ Collected]]/'[1]1.) CLM Reference'!$B$4</f>
        <v>4.3059944481403266E-3</v>
      </c>
      <c r="N109" s="333">
        <v>510977.36200000002</v>
      </c>
      <c r="O109" s="177">
        <f>[1]!Table32[[#This Row],[C&amp;I Incentive Disbursements]]/'[1]1.) CLM Reference'!$B$5</f>
        <v>4.1027094658679089E-3</v>
      </c>
      <c r="P109" s="319">
        <f>VLOOKUP('3.) Large Load'!$B109,'Population and Diversity Data'!$B$2:$K$823,10,FALSE)</f>
        <v>3</v>
      </c>
      <c r="Q109" s="334" t="str">
        <f>VLOOKUP('3.) Large Load'!$B109,'ES Energy Burden'!$B$2:$E$914,4,FALSE)</f>
        <v>No</v>
      </c>
    </row>
    <row r="110" spans="1:17" x14ac:dyDescent="0.2">
      <c r="A110" s="335" t="s">
        <v>2789</v>
      </c>
      <c r="B110" s="336">
        <v>9015904500</v>
      </c>
      <c r="C110" s="318" t="s">
        <v>944</v>
      </c>
      <c r="D110" s="324">
        <f>[1]!Table32[[#This Row],[Residential CLM $ Collected]]+[1]!Table32[[#This Row],[C&amp;I CLM $ Collected]]</f>
        <v>1.4156730000000002</v>
      </c>
      <c r="E110" s="325">
        <f>[1]!Table32[[#This Row],[CLM $ Collected ]]/'[1]1.) CLM Reference'!$B$4</f>
        <v>1.5240246861629097E-8</v>
      </c>
      <c r="F110" s="326">
        <f>[1]!Table32[[#This Row],[Residential Incentive Disbursements]]+[1]!Table32[[#This Row],[C&amp;I Incentive Disbursements]]</f>
        <v>0</v>
      </c>
      <c r="G110" s="325">
        <f>[1]!Table32[[#This Row],[Incentive Disbursements]]/'[1]1.) CLM Reference'!$B$5</f>
        <v>0</v>
      </c>
      <c r="H110" s="337">
        <v>0</v>
      </c>
      <c r="I110" s="325">
        <f>[1]!Table32[[#This Row],[Residential CLM $ Collected]]/'[1]1.) CLM Reference'!$B$4</f>
        <v>0</v>
      </c>
      <c r="J110" s="337">
        <v>0</v>
      </c>
      <c r="K110" s="325">
        <f>[1]!Table32[[#This Row],[Residential Incentive Disbursements]]/'[1]1.) CLM Reference'!$B$5</f>
        <v>0</v>
      </c>
      <c r="L110" s="337">
        <v>1.4156730000000002</v>
      </c>
      <c r="M110" s="325">
        <f>[1]!Table32[[#This Row],[C&amp;I CLM $ Collected]]/'[1]1.) CLM Reference'!$B$4</f>
        <v>1.5240246861629097E-8</v>
      </c>
      <c r="N110" s="337">
        <v>0</v>
      </c>
      <c r="O110" s="325">
        <f>[1]!Table32[[#This Row],[C&amp;I Incentive Disbursements]]/'[1]1.) CLM Reference'!$B$5</f>
        <v>0</v>
      </c>
      <c r="P110" s="318">
        <f>VLOOKUP('3.) Large Load'!$B110,'Population and Diversity Data'!$B$2:$K$823,10,FALSE)</f>
        <v>5</v>
      </c>
      <c r="Q110" s="338" t="str">
        <f>VLOOKUP('3.) Large Load'!$B110,'ES Energy Burden'!$B$2:$E$914,4,FALSE)</f>
        <v>No</v>
      </c>
    </row>
    <row r="111" spans="1:17" x14ac:dyDescent="0.2">
      <c r="A111" s="329" t="s">
        <v>2790</v>
      </c>
      <c r="B111" s="330">
        <v>9007640100</v>
      </c>
      <c r="C111" s="319" t="s">
        <v>944</v>
      </c>
      <c r="D111" s="331">
        <f>[1]!Table32[[#This Row],[Residential CLM $ Collected]]+[1]!Table32[[#This Row],[C&amp;I CLM $ Collected]]</f>
        <v>8530.4991869999994</v>
      </c>
      <c r="E111" s="177">
        <f>[1]!Table32[[#This Row],[CLM $ Collected ]]/'[1]1.) CLM Reference'!$B$4</f>
        <v>9.1833999421339727E-5</v>
      </c>
      <c r="F111" s="332">
        <f>[1]!Table32[[#This Row],[Residential Incentive Disbursements]]+[1]!Table32[[#This Row],[C&amp;I Incentive Disbursements]]</f>
        <v>16954.8</v>
      </c>
      <c r="G111" s="177">
        <f>[1]!Table32[[#This Row],[Incentive Disbursements]]/'[1]1.) CLM Reference'!$B$5</f>
        <v>1.3613248575168233E-4</v>
      </c>
      <c r="H111" s="333">
        <v>0</v>
      </c>
      <c r="I111" s="177">
        <f>[1]!Table32[[#This Row],[Residential CLM $ Collected]]/'[1]1.) CLM Reference'!$B$4</f>
        <v>0</v>
      </c>
      <c r="J111" s="333">
        <v>0</v>
      </c>
      <c r="K111" s="177">
        <f>[1]!Table32[[#This Row],[Residential Incentive Disbursements]]/'[1]1.) CLM Reference'!$B$5</f>
        <v>0</v>
      </c>
      <c r="L111" s="333">
        <v>8530.4991869999994</v>
      </c>
      <c r="M111" s="177">
        <f>[1]!Table32[[#This Row],[C&amp;I CLM $ Collected]]/'[1]1.) CLM Reference'!$B$4</f>
        <v>9.1833999421339727E-5</v>
      </c>
      <c r="N111" s="333">
        <v>16954.8</v>
      </c>
      <c r="O111" s="177">
        <f>[1]!Table32[[#This Row],[C&amp;I Incentive Disbursements]]/'[1]1.) CLM Reference'!$B$5</f>
        <v>1.3613248575168233E-4</v>
      </c>
      <c r="P111" s="319">
        <f>VLOOKUP('3.) Large Load'!$B111,'Population and Diversity Data'!$B$2:$K$823,10,FALSE)</f>
        <v>1</v>
      </c>
      <c r="Q111" s="334" t="str">
        <f>VLOOKUP('3.) Large Load'!$B111,'ES Energy Burden'!$B$2:$E$914,4,FALSE)</f>
        <v>No</v>
      </c>
    </row>
    <row r="112" spans="1:17" x14ac:dyDescent="0.2">
      <c r="A112" s="335" t="s">
        <v>2791</v>
      </c>
      <c r="B112" s="336">
        <v>9011870100</v>
      </c>
      <c r="C112" s="318" t="s">
        <v>944</v>
      </c>
      <c r="D112" s="324">
        <f>[1]!Table32[[#This Row],[Residential CLM $ Collected]]+[1]!Table32[[#This Row],[C&amp;I CLM $ Collected]]</f>
        <v>33481.085211000005</v>
      </c>
      <c r="E112" s="325">
        <f>[1]!Table32[[#This Row],[CLM $ Collected ]]/'[1]1.) CLM Reference'!$B$4</f>
        <v>3.6043634639558648E-4</v>
      </c>
      <c r="F112" s="326">
        <f>[1]!Table32[[#This Row],[Residential Incentive Disbursements]]+[1]!Table32[[#This Row],[C&amp;I Incentive Disbursements]]</f>
        <v>218389.78</v>
      </c>
      <c r="G112" s="325">
        <f>[1]!Table32[[#This Row],[Incentive Disbursements]]/'[1]1.) CLM Reference'!$B$5</f>
        <v>1.7534824128956424E-3</v>
      </c>
      <c r="H112" s="337">
        <v>0</v>
      </c>
      <c r="I112" s="325">
        <f>[1]!Table32[[#This Row],[Residential CLM $ Collected]]/'[1]1.) CLM Reference'!$B$4</f>
        <v>0</v>
      </c>
      <c r="J112" s="337">
        <v>0</v>
      </c>
      <c r="K112" s="325">
        <f>[1]!Table32[[#This Row],[Residential Incentive Disbursements]]/'[1]1.) CLM Reference'!$B$5</f>
        <v>0</v>
      </c>
      <c r="L112" s="337">
        <v>33481.085211000005</v>
      </c>
      <c r="M112" s="325">
        <f>[1]!Table32[[#This Row],[C&amp;I CLM $ Collected]]/'[1]1.) CLM Reference'!$B$4</f>
        <v>3.6043634639558648E-4</v>
      </c>
      <c r="N112" s="337">
        <v>218389.78</v>
      </c>
      <c r="O112" s="325">
        <f>[1]!Table32[[#This Row],[C&amp;I Incentive Disbursements]]/'[1]1.) CLM Reference'!$B$5</f>
        <v>1.7534824128956424E-3</v>
      </c>
      <c r="P112" s="318">
        <f>VLOOKUP('3.) Large Load'!$B112,'Population and Diversity Data'!$B$2:$K$823,10,FALSE)</f>
        <v>1</v>
      </c>
      <c r="Q112" s="338" t="str">
        <f>VLOOKUP('3.) Large Load'!$B112,'ES Energy Burden'!$B$2:$E$914,4,FALSE)</f>
        <v>No</v>
      </c>
    </row>
    <row r="113" spans="1:17" x14ac:dyDescent="0.2">
      <c r="A113" s="329" t="s">
        <v>2792</v>
      </c>
      <c r="B113" s="330">
        <v>9011701100</v>
      </c>
      <c r="C113" s="319" t="s">
        <v>944</v>
      </c>
      <c r="D113" s="331">
        <f>[1]!Table32[[#This Row],[Residential CLM $ Collected]]+[1]!Table32[[#This Row],[C&amp;I CLM $ Collected]]</f>
        <v>0</v>
      </c>
      <c r="E113" s="177">
        <f>[1]!Table32[[#This Row],[CLM $ Collected ]]/'[1]1.) CLM Reference'!$B$4</f>
        <v>0</v>
      </c>
      <c r="F113" s="332">
        <f>[1]!Table32[[#This Row],[Residential Incentive Disbursements]]+[1]!Table32[[#This Row],[C&amp;I Incentive Disbursements]]</f>
        <v>12652</v>
      </c>
      <c r="G113" s="177">
        <f>[1]!Table32[[#This Row],[Incentive Disbursements]]/'[1]1.) CLM Reference'!$B$5</f>
        <v>1.015846963532619E-4</v>
      </c>
      <c r="H113" s="333">
        <v>0</v>
      </c>
      <c r="I113" s="177">
        <f>[1]!Table32[[#This Row],[Residential CLM $ Collected]]/'[1]1.) CLM Reference'!$B$4</f>
        <v>0</v>
      </c>
      <c r="J113" s="333">
        <v>0</v>
      </c>
      <c r="K113" s="177">
        <f>[1]!Table32[[#This Row],[Residential Incentive Disbursements]]/'[1]1.) CLM Reference'!$B$5</f>
        <v>0</v>
      </c>
      <c r="L113" s="333">
        <v>0</v>
      </c>
      <c r="M113" s="177">
        <f>[1]!Table32[[#This Row],[C&amp;I CLM $ Collected]]/'[1]1.) CLM Reference'!$B$4</f>
        <v>0</v>
      </c>
      <c r="N113" s="333">
        <v>12652</v>
      </c>
      <c r="O113" s="177">
        <f>[1]!Table32[[#This Row],[C&amp;I Incentive Disbursements]]/'[1]1.) CLM Reference'!$B$5</f>
        <v>1.015846963532619E-4</v>
      </c>
      <c r="P113" s="319">
        <f>VLOOKUP('3.) Large Load'!$B113,'Population and Diversity Data'!$B$2:$K$823,10,FALSE)</f>
        <v>4</v>
      </c>
      <c r="Q113" s="334" t="str">
        <f>VLOOKUP('3.) Large Load'!$B113,'ES Energy Burden'!$B$2:$E$914,4,FALSE)</f>
        <v>No</v>
      </c>
    </row>
    <row r="114" spans="1:17" x14ac:dyDescent="0.2">
      <c r="A114" s="335" t="s">
        <v>2792</v>
      </c>
      <c r="B114" s="336">
        <v>9011701200</v>
      </c>
      <c r="C114" s="318" t="s">
        <v>944</v>
      </c>
      <c r="D114" s="324">
        <f>[1]!Table32[[#This Row],[Residential CLM $ Collected]]+[1]!Table32[[#This Row],[C&amp;I CLM $ Collected]]</f>
        <v>728835.83352300001</v>
      </c>
      <c r="E114" s="325">
        <f>[1]!Table32[[#This Row],[CLM $ Collected ]]/'[1]1.) CLM Reference'!$B$4</f>
        <v>7.8461890736714803E-3</v>
      </c>
      <c r="F114" s="326">
        <f>[1]!Table32[[#This Row],[Residential Incentive Disbursements]]+[1]!Table32[[#This Row],[C&amp;I Incentive Disbursements]]</f>
        <v>352279.73599999998</v>
      </c>
      <c r="G114" s="325">
        <f>[1]!Table32[[#This Row],[Incentive Disbursements]]/'[1]1.) CLM Reference'!$B$5</f>
        <v>2.8285037948915003E-3</v>
      </c>
      <c r="H114" s="337">
        <v>0</v>
      </c>
      <c r="I114" s="325">
        <f>[1]!Table32[[#This Row],[Residential CLM $ Collected]]/'[1]1.) CLM Reference'!$B$4</f>
        <v>0</v>
      </c>
      <c r="J114" s="337">
        <v>0</v>
      </c>
      <c r="K114" s="325">
        <f>[1]!Table32[[#This Row],[Residential Incentive Disbursements]]/'[1]1.) CLM Reference'!$B$5</f>
        <v>0</v>
      </c>
      <c r="L114" s="337">
        <v>728835.83352300001</v>
      </c>
      <c r="M114" s="325">
        <f>[1]!Table32[[#This Row],[C&amp;I CLM $ Collected]]/'[1]1.) CLM Reference'!$B$4</f>
        <v>7.8461890736714803E-3</v>
      </c>
      <c r="N114" s="337">
        <v>352279.73599999998</v>
      </c>
      <c r="O114" s="325">
        <f>[1]!Table32[[#This Row],[C&amp;I Incentive Disbursements]]/'[1]1.) CLM Reference'!$B$5</f>
        <v>2.8285037948915003E-3</v>
      </c>
      <c r="P114" s="318">
        <f>VLOOKUP('3.) Large Load'!$B114,'Population and Diversity Data'!$B$2:$K$823,10,FALSE)</f>
        <v>3</v>
      </c>
      <c r="Q114" s="338" t="str">
        <f>VLOOKUP('3.) Large Load'!$B114,'ES Energy Burden'!$B$2:$E$914,4,FALSE)</f>
        <v>No</v>
      </c>
    </row>
    <row r="115" spans="1:17" x14ac:dyDescent="0.2">
      <c r="A115" s="329" t="s">
        <v>2793</v>
      </c>
      <c r="B115" s="330">
        <v>9011710100</v>
      </c>
      <c r="C115" s="319" t="s">
        <v>944</v>
      </c>
      <c r="D115" s="331">
        <f>[1]!Table32[[#This Row],[Residential CLM $ Collected]]+[1]!Table32[[#This Row],[C&amp;I CLM $ Collected]]</f>
        <v>53005.786890000003</v>
      </c>
      <c r="E115" s="177">
        <f>[1]!Table32[[#This Row],[CLM $ Collected ]]/'[1]1.) CLM Reference'!$B$4</f>
        <v>5.7062702848645352E-4</v>
      </c>
      <c r="F115" s="332">
        <f>[1]!Table32[[#This Row],[Residential Incentive Disbursements]]+[1]!Table32[[#This Row],[C&amp;I Incentive Disbursements]]</f>
        <v>21477.599999999999</v>
      </c>
      <c r="G115" s="177">
        <f>[1]!Table32[[#This Row],[Incentive Disbursements]]/'[1]1.) CLM Reference'!$B$5</f>
        <v>1.724466862469821E-4</v>
      </c>
      <c r="H115" s="333">
        <v>0</v>
      </c>
      <c r="I115" s="177">
        <f>[1]!Table32[[#This Row],[Residential CLM $ Collected]]/'[1]1.) CLM Reference'!$B$4</f>
        <v>0</v>
      </c>
      <c r="J115" s="333">
        <v>0</v>
      </c>
      <c r="K115" s="177">
        <f>[1]!Table32[[#This Row],[Residential Incentive Disbursements]]/'[1]1.) CLM Reference'!$B$5</f>
        <v>0</v>
      </c>
      <c r="L115" s="333">
        <v>53005.786890000003</v>
      </c>
      <c r="M115" s="177">
        <f>[1]!Table32[[#This Row],[C&amp;I CLM $ Collected]]/'[1]1.) CLM Reference'!$B$4</f>
        <v>5.7062702848645352E-4</v>
      </c>
      <c r="N115" s="333">
        <v>21477.599999999999</v>
      </c>
      <c r="O115" s="177">
        <f>[1]!Table32[[#This Row],[C&amp;I Incentive Disbursements]]/'[1]1.) CLM Reference'!$B$5</f>
        <v>1.724466862469821E-4</v>
      </c>
      <c r="P115" s="319">
        <f>VLOOKUP('3.) Large Load'!$B115,'Population and Diversity Data'!$B$2:$K$823,10,FALSE)</f>
        <v>3</v>
      </c>
      <c r="Q115" s="334" t="str">
        <f>VLOOKUP('3.) Large Load'!$B115,'ES Energy Burden'!$B$2:$E$914,4,FALSE)</f>
        <v>No</v>
      </c>
    </row>
    <row r="116" spans="1:17" x14ac:dyDescent="0.2">
      <c r="A116" s="335" t="s">
        <v>2794</v>
      </c>
      <c r="B116" s="336">
        <v>9005296100</v>
      </c>
      <c r="C116" s="318" t="s">
        <v>944</v>
      </c>
      <c r="D116" s="324">
        <f>[1]!Table32[[#This Row],[Residential CLM $ Collected]]+[1]!Table32[[#This Row],[C&amp;I CLM $ Collected]]</f>
        <v>0</v>
      </c>
      <c r="E116" s="325">
        <f>[1]!Table32[[#This Row],[CLM $ Collected ]]/'[1]1.) CLM Reference'!$B$4</f>
        <v>0</v>
      </c>
      <c r="F116" s="326">
        <f>[1]!Table32[[#This Row],[Residential Incentive Disbursements]]+[1]!Table32[[#This Row],[C&amp;I Incentive Disbursements]]</f>
        <v>275</v>
      </c>
      <c r="G116" s="325">
        <f>[1]!Table32[[#This Row],[Incentive Disbursements]]/'[1]1.) CLM Reference'!$B$5</f>
        <v>2.2080138710991955E-6</v>
      </c>
      <c r="H116" s="337">
        <v>0</v>
      </c>
      <c r="I116" s="325">
        <f>[1]!Table32[[#This Row],[Residential CLM $ Collected]]/'[1]1.) CLM Reference'!$B$4</f>
        <v>0</v>
      </c>
      <c r="J116" s="337">
        <v>0</v>
      </c>
      <c r="K116" s="325">
        <f>[1]!Table32[[#This Row],[Residential Incentive Disbursements]]/'[1]1.) CLM Reference'!$B$5</f>
        <v>0</v>
      </c>
      <c r="L116" s="337">
        <v>0</v>
      </c>
      <c r="M116" s="325">
        <f>[1]!Table32[[#This Row],[C&amp;I CLM $ Collected]]/'[1]1.) CLM Reference'!$B$4</f>
        <v>0</v>
      </c>
      <c r="N116" s="337">
        <v>275</v>
      </c>
      <c r="O116" s="325">
        <f>[1]!Table32[[#This Row],[C&amp;I Incentive Disbursements]]/'[1]1.) CLM Reference'!$B$5</f>
        <v>2.2080138710991955E-6</v>
      </c>
      <c r="P116" s="318">
        <f>VLOOKUP('3.) Large Load'!$B116,'Population and Diversity Data'!$B$2:$K$823,10,FALSE)</f>
        <v>3</v>
      </c>
      <c r="Q116" s="338" t="str">
        <f>VLOOKUP('3.) Large Load'!$B116,'ES Energy Burden'!$B$2:$E$914,4,FALSE)</f>
        <v>No</v>
      </c>
    </row>
    <row r="117" spans="1:17" x14ac:dyDescent="0.2">
      <c r="A117" s="329" t="s">
        <v>2794</v>
      </c>
      <c r="B117" s="330">
        <v>9005300400</v>
      </c>
      <c r="C117" s="319" t="s">
        <v>944</v>
      </c>
      <c r="D117" s="331">
        <f>[1]!Table32[[#This Row],[Residential CLM $ Collected]]+[1]!Table32[[#This Row],[C&amp;I CLM $ Collected]]</f>
        <v>10.025148</v>
      </c>
      <c r="E117" s="177">
        <f>[1]!Table32[[#This Row],[CLM $ Collected ]]/'[1]1.) CLM Reference'!$B$4</f>
        <v>1.079244503104652E-7</v>
      </c>
      <c r="F117" s="332">
        <f>[1]!Table32[[#This Row],[Residential Incentive Disbursements]]+[1]!Table32[[#This Row],[C&amp;I Incentive Disbursements]]</f>
        <v>0</v>
      </c>
      <c r="G117" s="177">
        <f>[1]!Table32[[#This Row],[Incentive Disbursements]]/'[1]1.) CLM Reference'!$B$5</f>
        <v>0</v>
      </c>
      <c r="H117" s="333">
        <v>0</v>
      </c>
      <c r="I117" s="177">
        <f>[1]!Table32[[#This Row],[Residential CLM $ Collected]]/'[1]1.) CLM Reference'!$B$4</f>
        <v>0</v>
      </c>
      <c r="J117" s="333">
        <v>0</v>
      </c>
      <c r="K117" s="177">
        <f>[1]!Table32[[#This Row],[Residential Incentive Disbursements]]/'[1]1.) CLM Reference'!$B$5</f>
        <v>0</v>
      </c>
      <c r="L117" s="333">
        <v>10.025148</v>
      </c>
      <c r="M117" s="177">
        <f>[1]!Table32[[#This Row],[C&amp;I CLM $ Collected]]/'[1]1.) CLM Reference'!$B$4</f>
        <v>1.079244503104652E-7</v>
      </c>
      <c r="N117" s="333">
        <v>0</v>
      </c>
      <c r="O117" s="177">
        <f>[1]!Table32[[#This Row],[C&amp;I Incentive Disbursements]]/'[1]1.) CLM Reference'!$B$5</f>
        <v>0</v>
      </c>
      <c r="P117" s="319">
        <f>VLOOKUP('3.) Large Load'!$B117,'Population and Diversity Data'!$B$2:$K$823,10,FALSE)</f>
        <v>2</v>
      </c>
      <c r="Q117" s="334" t="str">
        <f>VLOOKUP('3.) Large Load'!$B117,'ES Energy Burden'!$B$2:$E$914,4,FALSE)</f>
        <v>No</v>
      </c>
    </row>
    <row r="118" spans="1:17" x14ac:dyDescent="0.2">
      <c r="A118" s="335" t="s">
        <v>2794</v>
      </c>
      <c r="B118" s="336">
        <v>9005300500</v>
      </c>
      <c r="C118" s="318" t="s">
        <v>944</v>
      </c>
      <c r="D118" s="324">
        <f>[1]!Table32[[#This Row],[Residential CLM $ Collected]]+[1]!Table32[[#This Row],[C&amp;I CLM $ Collected]]</f>
        <v>38146.408293</v>
      </c>
      <c r="E118" s="325">
        <f>[1]!Table32[[#This Row],[CLM $ Collected ]]/'[1]1.) CLM Reference'!$B$4</f>
        <v>4.106602861464585E-4</v>
      </c>
      <c r="F118" s="326">
        <f>[1]!Table32[[#This Row],[Residential Incentive Disbursements]]+[1]!Table32[[#This Row],[C&amp;I Incentive Disbursements]]</f>
        <v>20950</v>
      </c>
      <c r="G118" s="325">
        <f>[1]!Table32[[#This Row],[Incentive Disbursements]]/'[1]1.) CLM Reference'!$B$5</f>
        <v>1.6821051127101144E-4</v>
      </c>
      <c r="H118" s="337">
        <v>0</v>
      </c>
      <c r="I118" s="325">
        <f>[1]!Table32[[#This Row],[Residential CLM $ Collected]]/'[1]1.) CLM Reference'!$B$4</f>
        <v>0</v>
      </c>
      <c r="J118" s="337">
        <v>0</v>
      </c>
      <c r="K118" s="325">
        <f>[1]!Table32[[#This Row],[Residential Incentive Disbursements]]/'[1]1.) CLM Reference'!$B$5</f>
        <v>0</v>
      </c>
      <c r="L118" s="337">
        <v>38146.408293</v>
      </c>
      <c r="M118" s="325">
        <f>[1]!Table32[[#This Row],[C&amp;I CLM $ Collected]]/'[1]1.) CLM Reference'!$B$4</f>
        <v>4.106602861464585E-4</v>
      </c>
      <c r="N118" s="337">
        <v>20950</v>
      </c>
      <c r="O118" s="325">
        <f>[1]!Table32[[#This Row],[C&amp;I Incentive Disbursements]]/'[1]1.) CLM Reference'!$B$5</f>
        <v>1.6821051127101144E-4</v>
      </c>
      <c r="P118" s="318">
        <f>VLOOKUP('3.) Large Load'!$B118,'Population and Diversity Data'!$B$2:$K$823,10,FALSE)</f>
        <v>1</v>
      </c>
      <c r="Q118" s="338" t="str">
        <f>VLOOKUP('3.) Large Load'!$B118,'ES Energy Burden'!$B$2:$E$914,4,FALSE)</f>
        <v>No</v>
      </c>
    </row>
    <row r="119" spans="1:17" x14ac:dyDescent="0.2">
      <c r="A119" s="329" t="s">
        <v>2795</v>
      </c>
      <c r="B119" s="330">
        <v>9011650100</v>
      </c>
      <c r="C119" s="319" t="s">
        <v>944</v>
      </c>
      <c r="D119" s="331">
        <f>[1]!Table32[[#This Row],[Residential CLM $ Collected]]+[1]!Table32[[#This Row],[C&amp;I CLM $ Collected]]</f>
        <v>561.80048399999998</v>
      </c>
      <c r="E119" s="177">
        <f>[1]!Table32[[#This Row],[CLM $ Collected ]]/'[1]1.) CLM Reference'!$B$4</f>
        <v>6.0479913533299751E-6</v>
      </c>
      <c r="F119" s="332">
        <f>[1]!Table32[[#This Row],[Residential Incentive Disbursements]]+[1]!Table32[[#This Row],[C&amp;I Incentive Disbursements]]</f>
        <v>96</v>
      </c>
      <c r="G119" s="177">
        <f>[1]!Table32[[#This Row],[Incentive Disbursements]]/'[1]1.) CLM Reference'!$B$5</f>
        <v>7.7079756954735551E-7</v>
      </c>
      <c r="H119" s="333">
        <v>0</v>
      </c>
      <c r="I119" s="177">
        <f>[1]!Table32[[#This Row],[Residential CLM $ Collected]]/'[1]1.) CLM Reference'!$B$4</f>
        <v>0</v>
      </c>
      <c r="J119" s="333">
        <v>0</v>
      </c>
      <c r="K119" s="177">
        <f>[1]!Table32[[#This Row],[Residential Incentive Disbursements]]/'[1]1.) CLM Reference'!$B$5</f>
        <v>0</v>
      </c>
      <c r="L119" s="333">
        <v>561.80048399999998</v>
      </c>
      <c r="M119" s="177">
        <f>[1]!Table32[[#This Row],[C&amp;I CLM $ Collected]]/'[1]1.) CLM Reference'!$B$4</f>
        <v>6.0479913533299751E-6</v>
      </c>
      <c r="N119" s="333">
        <v>96</v>
      </c>
      <c r="O119" s="177">
        <f>[1]!Table32[[#This Row],[C&amp;I Incentive Disbursements]]/'[1]1.) CLM Reference'!$B$5</f>
        <v>7.7079756954735551E-7</v>
      </c>
      <c r="P119" s="319">
        <f>VLOOKUP('3.) Large Load'!$B119,'Population and Diversity Data'!$B$2:$K$823,10,FALSE)</f>
        <v>1</v>
      </c>
      <c r="Q119" s="334" t="str">
        <f>VLOOKUP('3.) Large Load'!$B119,'ES Energy Burden'!$B$2:$E$914,4,FALSE)</f>
        <v>No</v>
      </c>
    </row>
    <row r="120" spans="1:17" x14ac:dyDescent="0.2">
      <c r="A120" s="335" t="s">
        <v>2796</v>
      </c>
      <c r="B120" s="336">
        <v>9009194202</v>
      </c>
      <c r="C120" s="318" t="s">
        <v>944</v>
      </c>
      <c r="D120" s="324">
        <f>[1]!Table32[[#This Row],[Residential CLM $ Collected]]+[1]!Table32[[#This Row],[C&amp;I CLM $ Collected]]</f>
        <v>54019.742510999997</v>
      </c>
      <c r="E120" s="325">
        <f>[1]!Table32[[#This Row],[CLM $ Collected ]]/'[1]1.) CLM Reference'!$B$4</f>
        <v>5.8154263821467208E-4</v>
      </c>
      <c r="F120" s="326">
        <f>[1]!Table32[[#This Row],[Residential Incentive Disbursements]]+[1]!Table32[[#This Row],[C&amp;I Incentive Disbursements]]</f>
        <v>12539.32</v>
      </c>
      <c r="G120" s="325">
        <f>[1]!Table32[[#This Row],[Incentive Disbursements]]/'[1]1.) CLM Reference'!$B$5</f>
        <v>1.0067997270600568E-4</v>
      </c>
      <c r="H120" s="337">
        <v>1652.5555200000001</v>
      </c>
      <c r="I120" s="325">
        <f>[1]!Table32[[#This Row],[Residential CLM $ Collected]]/'[1]1.) CLM Reference'!$B$4</f>
        <v>1.7790375374361054E-5</v>
      </c>
      <c r="J120" s="337">
        <v>0</v>
      </c>
      <c r="K120" s="325">
        <f>[1]!Table32[[#This Row],[Residential Incentive Disbursements]]/'[1]1.) CLM Reference'!$B$5</f>
        <v>0</v>
      </c>
      <c r="L120" s="337">
        <v>52367.186990999995</v>
      </c>
      <c r="M120" s="325">
        <f>[1]!Table32[[#This Row],[C&amp;I CLM $ Collected]]/'[1]1.) CLM Reference'!$B$4</f>
        <v>5.6375226284031098E-4</v>
      </c>
      <c r="N120" s="337">
        <v>12539.32</v>
      </c>
      <c r="O120" s="325">
        <f>[1]!Table32[[#This Row],[C&amp;I Incentive Disbursements]]/'[1]1.) CLM Reference'!$B$5</f>
        <v>1.0067997270600568E-4</v>
      </c>
      <c r="P120" s="318">
        <f>VLOOKUP('3.) Large Load'!$B120,'Population and Diversity Data'!$B$2:$K$823,10,FALSE)</f>
        <v>3</v>
      </c>
      <c r="Q120" s="338" t="str">
        <f>VLOOKUP('3.) Large Load'!$B120,'ES Energy Burden'!$B$2:$E$914,4,FALSE)</f>
        <v>No</v>
      </c>
    </row>
    <row r="121" spans="1:17" x14ac:dyDescent="0.2">
      <c r="A121" s="329" t="s">
        <v>2797</v>
      </c>
      <c r="B121" s="330">
        <v>9003514102</v>
      </c>
      <c r="C121" s="319" t="s">
        <v>944</v>
      </c>
      <c r="D121" s="331">
        <f>[1]!Table32[[#This Row],[Residential CLM $ Collected]]+[1]!Table32[[#This Row],[C&amp;I CLM $ Collected]]</f>
        <v>1.100757</v>
      </c>
      <c r="E121" s="177">
        <f>[1]!Table32[[#This Row],[CLM $ Collected ]]/'[1]1.) CLM Reference'!$B$4</f>
        <v>1.185005888695077E-8</v>
      </c>
      <c r="F121" s="332">
        <f>[1]!Table32[[#This Row],[Residential Incentive Disbursements]]+[1]!Table32[[#This Row],[C&amp;I Incentive Disbursements]]</f>
        <v>0</v>
      </c>
      <c r="G121" s="177">
        <f>[1]!Table32[[#This Row],[Incentive Disbursements]]/'[1]1.) CLM Reference'!$B$5</f>
        <v>0</v>
      </c>
      <c r="H121" s="333">
        <v>0</v>
      </c>
      <c r="I121" s="177">
        <f>[1]!Table32[[#This Row],[Residential CLM $ Collected]]/'[1]1.) CLM Reference'!$B$4</f>
        <v>0</v>
      </c>
      <c r="J121" s="333">
        <v>0</v>
      </c>
      <c r="K121" s="177">
        <f>[1]!Table32[[#This Row],[Residential Incentive Disbursements]]/'[1]1.) CLM Reference'!$B$5</f>
        <v>0</v>
      </c>
      <c r="L121" s="333">
        <v>1.100757</v>
      </c>
      <c r="M121" s="177">
        <f>[1]!Table32[[#This Row],[C&amp;I CLM $ Collected]]/'[1]1.) CLM Reference'!$B$4</f>
        <v>1.185005888695077E-8</v>
      </c>
      <c r="N121" s="333">
        <v>0</v>
      </c>
      <c r="O121" s="177">
        <f>[1]!Table32[[#This Row],[C&amp;I Incentive Disbursements]]/'[1]1.) CLM Reference'!$B$5</f>
        <v>0</v>
      </c>
      <c r="P121" s="319">
        <f>VLOOKUP('3.) Large Load'!$B121,'Population and Diversity Data'!$B$2:$K$823,10,FALSE)</f>
        <v>5</v>
      </c>
      <c r="Q121" s="334" t="str">
        <f>VLOOKUP('3.) Large Load'!$B121,'ES Energy Burden'!$B$2:$E$914,4,FALSE)</f>
        <v>No</v>
      </c>
    </row>
    <row r="122" spans="1:17" x14ac:dyDescent="0.2">
      <c r="A122" s="335" t="s">
        <v>2797</v>
      </c>
      <c r="B122" s="336">
        <v>9003514600</v>
      </c>
      <c r="C122" s="318" t="s">
        <v>944</v>
      </c>
      <c r="D122" s="324">
        <f>[1]!Table32[[#This Row],[Residential CLM $ Collected]]+[1]!Table32[[#This Row],[C&amp;I CLM $ Collected]]</f>
        <v>799000.40600099997</v>
      </c>
      <c r="E122" s="325">
        <f>[1]!Table32[[#This Row],[CLM $ Collected ]]/'[1]1.) CLM Reference'!$B$4</f>
        <v>8.6015368167628482E-3</v>
      </c>
      <c r="F122" s="326">
        <f>[1]!Table32[[#This Row],[Residential Incentive Disbursements]]+[1]!Table32[[#This Row],[C&amp;I Incentive Disbursements]]</f>
        <v>948135.86399999994</v>
      </c>
      <c r="G122" s="325">
        <f>[1]!Table32[[#This Row],[Incentive Disbursements]]/'[1]1.) CLM Reference'!$B$5</f>
        <v>7.6127168705404369E-3</v>
      </c>
      <c r="H122" s="337">
        <v>0</v>
      </c>
      <c r="I122" s="325">
        <f>[1]!Table32[[#This Row],[Residential CLM $ Collected]]/'[1]1.) CLM Reference'!$B$4</f>
        <v>0</v>
      </c>
      <c r="J122" s="337">
        <v>0</v>
      </c>
      <c r="K122" s="325">
        <f>[1]!Table32[[#This Row],[Residential Incentive Disbursements]]/'[1]1.) CLM Reference'!$B$5</f>
        <v>0</v>
      </c>
      <c r="L122" s="337">
        <v>799000.40600099997</v>
      </c>
      <c r="M122" s="325">
        <f>[1]!Table32[[#This Row],[C&amp;I CLM $ Collected]]/'[1]1.) CLM Reference'!$B$4</f>
        <v>8.6015368167628482E-3</v>
      </c>
      <c r="N122" s="337">
        <v>948135.86399999994</v>
      </c>
      <c r="O122" s="325">
        <f>[1]!Table32[[#This Row],[C&amp;I Incentive Disbursements]]/'[1]1.) CLM Reference'!$B$5</f>
        <v>7.6127168705404369E-3</v>
      </c>
      <c r="P122" s="318">
        <f>VLOOKUP('3.) Large Load'!$B122,'Population and Diversity Data'!$B$2:$K$823,10,FALSE)</f>
        <v>5</v>
      </c>
      <c r="Q122" s="338" t="str">
        <f>VLOOKUP('3.) Large Load'!$B122,'ES Energy Burden'!$B$2:$E$914,4,FALSE)</f>
        <v>No</v>
      </c>
    </row>
    <row r="123" spans="1:17" x14ac:dyDescent="0.2">
      <c r="A123" s="329" t="s">
        <v>2797</v>
      </c>
      <c r="B123" s="330">
        <v>9003514700</v>
      </c>
      <c r="C123" s="319" t="s">
        <v>944</v>
      </c>
      <c r="D123" s="331">
        <f>[1]!Table32[[#This Row],[Residential CLM $ Collected]]+[1]!Table32[[#This Row],[C&amp;I CLM $ Collected]]</f>
        <v>1.0031909999999999</v>
      </c>
      <c r="E123" s="177">
        <f>[1]!Table32[[#This Row],[CLM $ Collected ]]/'[1]1.) CLM Reference'!$B$4</f>
        <v>1.0799724575777423E-8</v>
      </c>
      <c r="F123" s="332">
        <f>[1]!Table32[[#This Row],[Residential Incentive Disbursements]]+[1]!Table32[[#This Row],[C&amp;I Incentive Disbursements]]</f>
        <v>0</v>
      </c>
      <c r="G123" s="177">
        <f>[1]!Table32[[#This Row],[Incentive Disbursements]]/'[1]1.) CLM Reference'!$B$5</f>
        <v>0</v>
      </c>
      <c r="H123" s="333">
        <v>0</v>
      </c>
      <c r="I123" s="177">
        <f>[1]!Table32[[#This Row],[Residential CLM $ Collected]]/'[1]1.) CLM Reference'!$B$4</f>
        <v>0</v>
      </c>
      <c r="J123" s="333">
        <v>0</v>
      </c>
      <c r="K123" s="177">
        <f>[1]!Table32[[#This Row],[Residential Incentive Disbursements]]/'[1]1.) CLM Reference'!$B$5</f>
        <v>0</v>
      </c>
      <c r="L123" s="333">
        <v>1.0031909999999999</v>
      </c>
      <c r="M123" s="177">
        <f>[1]!Table32[[#This Row],[C&amp;I CLM $ Collected]]/'[1]1.) CLM Reference'!$B$4</f>
        <v>1.0799724575777423E-8</v>
      </c>
      <c r="N123" s="333">
        <v>0</v>
      </c>
      <c r="O123" s="177">
        <f>[1]!Table32[[#This Row],[C&amp;I Incentive Disbursements]]/'[1]1.) CLM Reference'!$B$5</f>
        <v>0</v>
      </c>
      <c r="P123" s="319">
        <f>VLOOKUP('3.) Large Load'!$B123,'Population and Diversity Data'!$B$2:$K$823,10,FALSE)</f>
        <v>5</v>
      </c>
      <c r="Q123" s="334" t="str">
        <f>VLOOKUP('3.) Large Load'!$B123,'ES Energy Burden'!$B$2:$E$914,4,FALSE)</f>
        <v>No</v>
      </c>
    </row>
    <row r="124" spans="1:17" x14ac:dyDescent="0.2">
      <c r="A124" s="335" t="s">
        <v>2797</v>
      </c>
      <c r="B124" s="336">
        <v>9003515101</v>
      </c>
      <c r="C124" s="318" t="s">
        <v>944</v>
      </c>
      <c r="D124" s="324">
        <f>[1]!Table32[[#This Row],[Residential CLM $ Collected]]+[1]!Table32[[#This Row],[C&amp;I CLM $ Collected]]</f>
        <v>2.124717</v>
      </c>
      <c r="E124" s="325">
        <f>[1]!Table32[[#This Row],[CLM $ Collected ]]/'[1]1.) CLM Reference'!$B$4</f>
        <v>2.2873369479463113E-8</v>
      </c>
      <c r="F124" s="326">
        <f>[1]!Table32[[#This Row],[Residential Incentive Disbursements]]+[1]!Table32[[#This Row],[C&amp;I Incentive Disbursements]]</f>
        <v>0</v>
      </c>
      <c r="G124" s="325">
        <f>[1]!Table32[[#This Row],[Incentive Disbursements]]/'[1]1.) CLM Reference'!$B$5</f>
        <v>0</v>
      </c>
      <c r="H124" s="337">
        <v>0</v>
      </c>
      <c r="I124" s="325">
        <f>[1]!Table32[[#This Row],[Residential CLM $ Collected]]/'[1]1.) CLM Reference'!$B$4</f>
        <v>0</v>
      </c>
      <c r="J124" s="337">
        <v>0</v>
      </c>
      <c r="K124" s="325">
        <f>[1]!Table32[[#This Row],[Residential Incentive Disbursements]]/'[1]1.) CLM Reference'!$B$5</f>
        <v>0</v>
      </c>
      <c r="L124" s="337">
        <v>2.124717</v>
      </c>
      <c r="M124" s="325">
        <f>[1]!Table32[[#This Row],[C&amp;I CLM $ Collected]]/'[1]1.) CLM Reference'!$B$4</f>
        <v>2.2873369479463113E-8</v>
      </c>
      <c r="N124" s="337">
        <v>0</v>
      </c>
      <c r="O124" s="325">
        <f>[1]!Table32[[#This Row],[C&amp;I Incentive Disbursements]]/'[1]1.) CLM Reference'!$B$5</f>
        <v>0</v>
      </c>
      <c r="P124" s="318">
        <f>VLOOKUP('3.) Large Load'!$B124,'Population and Diversity Data'!$B$2:$K$823,10,FALSE)</f>
        <v>3</v>
      </c>
      <c r="Q124" s="338" t="str">
        <f>VLOOKUP('3.) Large Load'!$B124,'ES Energy Burden'!$B$2:$E$914,4,FALSE)</f>
        <v>No</v>
      </c>
    </row>
    <row r="125" spans="1:17" x14ac:dyDescent="0.2">
      <c r="A125" s="329" t="s">
        <v>2797</v>
      </c>
      <c r="B125" s="330">
        <v>9003515200</v>
      </c>
      <c r="C125" s="319" t="s">
        <v>944</v>
      </c>
      <c r="D125" s="331">
        <f>[1]!Table32[[#This Row],[Residential CLM $ Collected]]+[1]!Table32[[#This Row],[C&amp;I CLM $ Collected]]</f>
        <v>6.9580979999999997</v>
      </c>
      <c r="E125" s="177">
        <f>[1]!Table32[[#This Row],[CLM $ Collected ]]/'[1]1.) CLM Reference'!$B$4</f>
        <v>7.490651528100605E-8</v>
      </c>
      <c r="F125" s="332">
        <f>[1]!Table32[[#This Row],[Residential Incentive Disbursements]]+[1]!Table32[[#This Row],[C&amp;I Incentive Disbursements]]</f>
        <v>0</v>
      </c>
      <c r="G125" s="177">
        <f>[1]!Table32[[#This Row],[Incentive Disbursements]]/'[1]1.) CLM Reference'!$B$5</f>
        <v>0</v>
      </c>
      <c r="H125" s="333">
        <v>0</v>
      </c>
      <c r="I125" s="177">
        <f>[1]!Table32[[#This Row],[Residential CLM $ Collected]]/'[1]1.) CLM Reference'!$B$4</f>
        <v>0</v>
      </c>
      <c r="J125" s="333">
        <v>0</v>
      </c>
      <c r="K125" s="177">
        <f>[1]!Table32[[#This Row],[Residential Incentive Disbursements]]/'[1]1.) CLM Reference'!$B$5</f>
        <v>0</v>
      </c>
      <c r="L125" s="333">
        <v>6.9580979999999997</v>
      </c>
      <c r="M125" s="177">
        <f>[1]!Table32[[#This Row],[C&amp;I CLM $ Collected]]/'[1]1.) CLM Reference'!$B$4</f>
        <v>7.490651528100605E-8</v>
      </c>
      <c r="N125" s="333">
        <v>0</v>
      </c>
      <c r="O125" s="177">
        <f>[1]!Table32[[#This Row],[C&amp;I Incentive Disbursements]]/'[1]1.) CLM Reference'!$B$5</f>
        <v>0</v>
      </c>
      <c r="P125" s="319">
        <f>VLOOKUP('3.) Large Load'!$B125,'Population and Diversity Data'!$B$2:$K$823,10,FALSE)</f>
        <v>4</v>
      </c>
      <c r="Q125" s="334" t="str">
        <f>VLOOKUP('3.) Large Load'!$B125,'ES Energy Burden'!$B$2:$E$914,4,FALSE)</f>
        <v>No</v>
      </c>
    </row>
    <row r="126" spans="1:17" x14ac:dyDescent="0.2">
      <c r="A126" s="335" t="s">
        <v>2798</v>
      </c>
      <c r="B126" s="336">
        <v>9013840100</v>
      </c>
      <c r="C126" s="318" t="s">
        <v>944</v>
      </c>
      <c r="D126" s="324">
        <f>[1]!Table32[[#This Row],[Residential CLM $ Collected]]+[1]!Table32[[#This Row],[C&amp;I CLM $ Collected]]</f>
        <v>0</v>
      </c>
      <c r="E126" s="325">
        <f>[1]!Table32[[#This Row],[CLM $ Collected ]]/'[1]1.) CLM Reference'!$B$4</f>
        <v>0</v>
      </c>
      <c r="F126" s="326">
        <f>[1]!Table32[[#This Row],[Residential Incentive Disbursements]]+[1]!Table32[[#This Row],[C&amp;I Incentive Disbursements]]</f>
        <v>402654.56</v>
      </c>
      <c r="G126" s="325">
        <f>[1]!Table32[[#This Row],[Incentive Disbursements]]/'[1]1.) CLM Reference'!$B$5</f>
        <v>3.2329703772412482E-3</v>
      </c>
      <c r="H126" s="337">
        <v>0</v>
      </c>
      <c r="I126" s="325">
        <f>[1]!Table32[[#This Row],[Residential CLM $ Collected]]/'[1]1.) CLM Reference'!$B$4</f>
        <v>0</v>
      </c>
      <c r="J126" s="337">
        <v>0</v>
      </c>
      <c r="K126" s="325">
        <f>[1]!Table32[[#This Row],[Residential Incentive Disbursements]]/'[1]1.) CLM Reference'!$B$5</f>
        <v>0</v>
      </c>
      <c r="L126" s="337">
        <v>0</v>
      </c>
      <c r="M126" s="325">
        <f>[1]!Table32[[#This Row],[C&amp;I CLM $ Collected]]/'[1]1.) CLM Reference'!$B$4</f>
        <v>0</v>
      </c>
      <c r="N126" s="337">
        <v>402654.56</v>
      </c>
      <c r="O126" s="325">
        <f>[1]!Table32[[#This Row],[C&amp;I Incentive Disbursements]]/'[1]1.) CLM Reference'!$B$5</f>
        <v>3.2329703772412482E-3</v>
      </c>
      <c r="P126" s="318">
        <f>VLOOKUP('3.) Large Load'!$B126,'Population and Diversity Data'!$B$2:$K$823,10,FALSE)</f>
        <v>4</v>
      </c>
      <c r="Q126" s="338" t="str">
        <f>VLOOKUP('3.) Large Load'!$B126,'ES Energy Burden'!$B$2:$E$914,4,FALSE)</f>
        <v>No</v>
      </c>
    </row>
    <row r="127" spans="1:17" x14ac:dyDescent="0.2">
      <c r="A127" s="329" t="s">
        <v>2798</v>
      </c>
      <c r="B127" s="330">
        <v>9013881100</v>
      </c>
      <c r="C127" s="319" t="s">
        <v>944</v>
      </c>
      <c r="D127" s="331">
        <f>[1]!Table32[[#This Row],[Residential CLM $ Collected]]+[1]!Table32[[#This Row],[C&amp;I CLM $ Collected]]</f>
        <v>125147.55367800001</v>
      </c>
      <c r="E127" s="177">
        <f>[1]!Table32[[#This Row],[CLM $ Collected ]]/'[1]1.) CLM Reference'!$B$4</f>
        <v>1.3472600043807422E-3</v>
      </c>
      <c r="F127" s="332">
        <f>[1]!Table32[[#This Row],[Residential Incentive Disbursements]]+[1]!Table32[[#This Row],[C&amp;I Incentive Disbursements]]</f>
        <v>1020141.6516</v>
      </c>
      <c r="G127" s="177">
        <f>[1]!Table32[[#This Row],[Incentive Disbursements]]/'[1]1.) CLM Reference'!$B$5</f>
        <v>8.1908615171594288E-3</v>
      </c>
      <c r="H127" s="333">
        <v>0</v>
      </c>
      <c r="I127" s="177">
        <f>[1]!Table32[[#This Row],[Residential CLM $ Collected]]/'[1]1.) CLM Reference'!$B$4</f>
        <v>0</v>
      </c>
      <c r="J127" s="333">
        <v>0</v>
      </c>
      <c r="K127" s="177">
        <f>[1]!Table32[[#This Row],[Residential Incentive Disbursements]]/'[1]1.) CLM Reference'!$B$5</f>
        <v>0</v>
      </c>
      <c r="L127" s="333">
        <v>125147.55367800001</v>
      </c>
      <c r="M127" s="177">
        <f>[1]!Table32[[#This Row],[C&amp;I CLM $ Collected]]/'[1]1.) CLM Reference'!$B$4</f>
        <v>1.3472600043807422E-3</v>
      </c>
      <c r="N127" s="333">
        <v>1020141.6516</v>
      </c>
      <c r="O127" s="177">
        <f>[1]!Table32[[#This Row],[C&amp;I Incentive Disbursements]]/'[1]1.) CLM Reference'!$B$5</f>
        <v>8.1908615171594288E-3</v>
      </c>
      <c r="P127" s="319">
        <f>VLOOKUP('3.) Large Load'!$B127,'Population and Diversity Data'!$B$2:$K$823,10,FALSE)</f>
        <v>4</v>
      </c>
      <c r="Q127" s="334" t="str">
        <f>VLOOKUP('3.) Large Load'!$B127,'ES Energy Burden'!$B$2:$E$914,4,FALSE)</f>
        <v>No</v>
      </c>
    </row>
    <row r="128" spans="1:17" x14ac:dyDescent="0.2">
      <c r="A128" s="335" t="s">
        <v>2798</v>
      </c>
      <c r="B128" s="336">
        <v>9013881300</v>
      </c>
      <c r="C128" s="318" t="s">
        <v>944</v>
      </c>
      <c r="D128" s="324">
        <f>[1]!Table32[[#This Row],[Residential CLM $ Collected]]+[1]!Table32[[#This Row],[C&amp;I CLM $ Collected]]</f>
        <v>191.26365300000001</v>
      </c>
      <c r="E128" s="325">
        <f>[1]!Table32[[#This Row],[CLM $ Collected ]]/'[1]1.) CLM Reference'!$B$4</f>
        <v>2.0590244268111111E-6</v>
      </c>
      <c r="F128" s="326">
        <f>[1]!Table32[[#This Row],[Residential Incentive Disbursements]]+[1]!Table32[[#This Row],[C&amp;I Incentive Disbursements]]</f>
        <v>0</v>
      </c>
      <c r="G128" s="325">
        <f>[1]!Table32[[#This Row],[Incentive Disbursements]]/'[1]1.) CLM Reference'!$B$5</f>
        <v>0</v>
      </c>
      <c r="H128" s="337">
        <v>0</v>
      </c>
      <c r="I128" s="325">
        <f>[1]!Table32[[#This Row],[Residential CLM $ Collected]]/'[1]1.) CLM Reference'!$B$4</f>
        <v>0</v>
      </c>
      <c r="J128" s="337">
        <v>0</v>
      </c>
      <c r="K128" s="325">
        <f>[1]!Table32[[#This Row],[Residential Incentive Disbursements]]/'[1]1.) CLM Reference'!$B$5</f>
        <v>0</v>
      </c>
      <c r="L128" s="337">
        <v>191.26365300000001</v>
      </c>
      <c r="M128" s="325">
        <f>[1]!Table32[[#This Row],[C&amp;I CLM $ Collected]]/'[1]1.) CLM Reference'!$B$4</f>
        <v>2.0590244268111111E-6</v>
      </c>
      <c r="N128" s="337">
        <v>0</v>
      </c>
      <c r="O128" s="325">
        <f>[1]!Table32[[#This Row],[C&amp;I Incentive Disbursements]]/'[1]1.) CLM Reference'!$B$5</f>
        <v>0</v>
      </c>
      <c r="P128" s="318">
        <f>VLOOKUP('3.) Large Load'!$B128,'Population and Diversity Data'!$B$2:$K$823,10,FALSE)</f>
        <v>4</v>
      </c>
      <c r="Q128" s="338" t="str">
        <f>VLOOKUP('3.) Large Load'!$B128,'ES Energy Burden'!$B$2:$E$914,4,FALSE)</f>
        <v>No</v>
      </c>
    </row>
    <row r="129" spans="1:17" x14ac:dyDescent="0.2">
      <c r="A129" s="329" t="s">
        <v>2799</v>
      </c>
      <c r="B129" s="330">
        <v>9003524100</v>
      </c>
      <c r="C129" s="319" t="s">
        <v>944</v>
      </c>
      <c r="D129" s="331">
        <f>[1]!Table32[[#This Row],[Residential CLM $ Collected]]+[1]!Table32[[#This Row],[C&amp;I CLM $ Collected]]</f>
        <v>25989.189135000001</v>
      </c>
      <c r="E129" s="177">
        <f>[1]!Table32[[#This Row],[CLM $ Collected ]]/'[1]1.) CLM Reference'!$B$4</f>
        <v>2.7978329610790678E-4</v>
      </c>
      <c r="F129" s="332">
        <f>[1]!Table32[[#This Row],[Residential Incentive Disbursements]]+[1]!Table32[[#This Row],[C&amp;I Incentive Disbursements]]</f>
        <v>2172</v>
      </c>
      <c r="G129" s="177">
        <f>[1]!Table32[[#This Row],[Incentive Disbursements]]/'[1]1.) CLM Reference'!$B$5</f>
        <v>1.7439295011008918E-5</v>
      </c>
      <c r="H129" s="333">
        <v>0</v>
      </c>
      <c r="I129" s="177">
        <f>[1]!Table32[[#This Row],[Residential CLM $ Collected]]/'[1]1.) CLM Reference'!$B$4</f>
        <v>0</v>
      </c>
      <c r="J129" s="333">
        <v>0</v>
      </c>
      <c r="K129" s="177">
        <f>[1]!Table32[[#This Row],[Residential Incentive Disbursements]]/'[1]1.) CLM Reference'!$B$5</f>
        <v>0</v>
      </c>
      <c r="L129" s="333">
        <v>25989.189135000001</v>
      </c>
      <c r="M129" s="177">
        <f>[1]!Table32[[#This Row],[C&amp;I CLM $ Collected]]/'[1]1.) CLM Reference'!$B$4</f>
        <v>2.7978329610790678E-4</v>
      </c>
      <c r="N129" s="333">
        <v>2172</v>
      </c>
      <c r="O129" s="177">
        <f>[1]!Table32[[#This Row],[C&amp;I Incentive Disbursements]]/'[1]1.) CLM Reference'!$B$5</f>
        <v>1.7439295011008918E-5</v>
      </c>
      <c r="P129" s="319">
        <f>VLOOKUP('3.) Large Load'!$B129,'Population and Diversity Data'!$B$2:$K$823,10,FALSE)</f>
        <v>1</v>
      </c>
      <c r="Q129" s="334" t="str">
        <f>VLOOKUP('3.) Large Load'!$B129,'ES Energy Burden'!$B$2:$E$914,4,FALSE)</f>
        <v>No</v>
      </c>
    </row>
    <row r="130" spans="1:17" x14ac:dyDescent="0.2">
      <c r="A130" s="335" t="s">
        <v>991</v>
      </c>
      <c r="B130" s="336">
        <v>9003430301</v>
      </c>
      <c r="C130" s="318" t="s">
        <v>944</v>
      </c>
      <c r="D130" s="324">
        <f>[1]!Table32[[#This Row],[Residential CLM $ Collected]]+[1]!Table32[[#This Row],[C&amp;I CLM $ Collected]]</f>
        <v>0</v>
      </c>
      <c r="E130" s="325">
        <f>[1]!Table32[[#This Row],[CLM $ Collected ]]/'[1]1.) CLM Reference'!$B$4</f>
        <v>0</v>
      </c>
      <c r="F130" s="326">
        <f>[1]!Table32[[#This Row],[Residential Incentive Disbursements]]+[1]!Table32[[#This Row],[C&amp;I Incentive Disbursements]]</f>
        <v>14055</v>
      </c>
      <c r="G130" s="325">
        <f>[1]!Table32[[#This Row],[Incentive Disbursements]]/'[1]1.) CLM Reference'!$B$5</f>
        <v>1.1284958166654252E-4</v>
      </c>
      <c r="H130" s="337">
        <v>0</v>
      </c>
      <c r="I130" s="325">
        <f>[1]!Table32[[#This Row],[Residential CLM $ Collected]]/'[1]1.) CLM Reference'!$B$4</f>
        <v>0</v>
      </c>
      <c r="J130" s="337">
        <v>0</v>
      </c>
      <c r="K130" s="325">
        <f>[1]!Table32[[#This Row],[Residential Incentive Disbursements]]/'[1]1.) CLM Reference'!$B$5</f>
        <v>0</v>
      </c>
      <c r="L130" s="337">
        <v>0</v>
      </c>
      <c r="M130" s="325">
        <f>[1]!Table32[[#This Row],[C&amp;I CLM $ Collected]]/'[1]1.) CLM Reference'!$B$4</f>
        <v>0</v>
      </c>
      <c r="N130" s="337">
        <v>14055</v>
      </c>
      <c r="O130" s="325">
        <f>[1]!Table32[[#This Row],[C&amp;I Incentive Disbursements]]/'[1]1.) CLM Reference'!$B$5</f>
        <v>1.1284958166654252E-4</v>
      </c>
      <c r="P130" s="318">
        <f>VLOOKUP('3.) Large Load'!$B130,'Population and Diversity Data'!$B$2:$K$823,10,FALSE)</f>
        <v>1</v>
      </c>
      <c r="Q130" s="338" t="str">
        <f>VLOOKUP('3.) Large Load'!$B130,'ES Energy Burden'!$B$2:$E$914,4,FALSE)</f>
        <v>No</v>
      </c>
    </row>
    <row r="131" spans="1:17" x14ac:dyDescent="0.2">
      <c r="A131" s="329" t="s">
        <v>991</v>
      </c>
      <c r="B131" s="330">
        <v>9009170300</v>
      </c>
      <c r="C131" s="319" t="s">
        <v>944</v>
      </c>
      <c r="D131" s="331">
        <f>[1]!Table32[[#This Row],[Residential CLM $ Collected]]+[1]!Table32[[#This Row],[C&amp;I CLM $ Collected]]</f>
        <v>688105.53606900002</v>
      </c>
      <c r="E131" s="177">
        <f>[1]!Table32[[#This Row],[CLM $ Collected ]]/'[1]1.) CLM Reference'!$B$4</f>
        <v>7.407712258795063E-3</v>
      </c>
      <c r="F131" s="332">
        <f>[1]!Table32[[#This Row],[Residential Incentive Disbursements]]+[1]!Table32[[#This Row],[C&amp;I Incentive Disbursements]]</f>
        <v>1607698.2860000001</v>
      </c>
      <c r="G131" s="177">
        <f>[1]!Table32[[#This Row],[Incentive Disbursements]]/'[1]1.) CLM Reference'!$B$5</f>
        <v>1.2908436785565096E-2</v>
      </c>
      <c r="H131" s="333">
        <v>0</v>
      </c>
      <c r="I131" s="177">
        <f>[1]!Table32[[#This Row],[Residential CLM $ Collected]]/'[1]1.) CLM Reference'!$B$4</f>
        <v>0</v>
      </c>
      <c r="J131" s="333">
        <v>0</v>
      </c>
      <c r="K131" s="177">
        <f>[1]!Table32[[#This Row],[Residential Incentive Disbursements]]/'[1]1.) CLM Reference'!$B$5</f>
        <v>0</v>
      </c>
      <c r="L131" s="333">
        <v>688105.53606900002</v>
      </c>
      <c r="M131" s="177">
        <f>[1]!Table32[[#This Row],[C&amp;I CLM $ Collected]]/'[1]1.) CLM Reference'!$B$4</f>
        <v>7.407712258795063E-3</v>
      </c>
      <c r="N131" s="333">
        <v>1607698.2860000001</v>
      </c>
      <c r="O131" s="177">
        <f>[1]!Table32[[#This Row],[C&amp;I Incentive Disbursements]]/'[1]1.) CLM Reference'!$B$5</f>
        <v>1.2908436785565096E-2</v>
      </c>
      <c r="P131" s="319">
        <f>VLOOKUP('3.) Large Load'!$B131,'Population and Diversity Data'!$B$2:$K$823,10,FALSE)</f>
        <v>4</v>
      </c>
      <c r="Q131" s="334" t="str">
        <f>VLOOKUP('3.) Large Load'!$B131,'ES Energy Burden'!$B$2:$E$914,4,FALSE)</f>
        <v>No</v>
      </c>
    </row>
    <row r="132" spans="1:17" x14ac:dyDescent="0.2">
      <c r="A132" s="335" t="s">
        <v>991</v>
      </c>
      <c r="B132" s="336">
        <v>9009170700</v>
      </c>
      <c r="C132" s="318" t="s">
        <v>944</v>
      </c>
      <c r="D132" s="324">
        <f>[1]!Table32[[#This Row],[Residential CLM $ Collected]]+[1]!Table32[[#This Row],[C&amp;I CLM $ Collected]]</f>
        <v>3905.4380190000002</v>
      </c>
      <c r="E132" s="325">
        <f>[1]!Table32[[#This Row],[CLM $ Collected ]]/'[1]1.) CLM Reference'!$B$4</f>
        <v>4.2043494163095362E-5</v>
      </c>
      <c r="F132" s="326">
        <f>[1]!Table32[[#This Row],[Residential Incentive Disbursements]]+[1]!Table32[[#This Row],[C&amp;I Incentive Disbursements]]</f>
        <v>0</v>
      </c>
      <c r="G132" s="325">
        <f>[1]!Table32[[#This Row],[Incentive Disbursements]]/'[1]1.) CLM Reference'!$B$5</f>
        <v>0</v>
      </c>
      <c r="H132" s="337">
        <v>0</v>
      </c>
      <c r="I132" s="325">
        <f>[1]!Table32[[#This Row],[Residential CLM $ Collected]]/'[1]1.) CLM Reference'!$B$4</f>
        <v>0</v>
      </c>
      <c r="J132" s="337">
        <v>0</v>
      </c>
      <c r="K132" s="325">
        <f>[1]!Table32[[#This Row],[Residential Incentive Disbursements]]/'[1]1.) CLM Reference'!$B$5</f>
        <v>0</v>
      </c>
      <c r="L132" s="337">
        <v>3905.4380190000002</v>
      </c>
      <c r="M132" s="325">
        <f>[1]!Table32[[#This Row],[C&amp;I CLM $ Collected]]/'[1]1.) CLM Reference'!$B$4</f>
        <v>4.2043494163095362E-5</v>
      </c>
      <c r="N132" s="337">
        <v>0</v>
      </c>
      <c r="O132" s="325">
        <f>[1]!Table32[[#This Row],[C&amp;I Incentive Disbursements]]/'[1]1.) CLM Reference'!$B$5</f>
        <v>0</v>
      </c>
      <c r="P132" s="318">
        <f>VLOOKUP('3.) Large Load'!$B132,'Population and Diversity Data'!$B$2:$K$823,10,FALSE)</f>
        <v>4</v>
      </c>
      <c r="Q132" s="338" t="str">
        <f>VLOOKUP('3.) Large Load'!$B132,'ES Energy Burden'!$B$2:$E$914,4,FALSE)</f>
        <v>No</v>
      </c>
    </row>
    <row r="133" spans="1:17" x14ac:dyDescent="0.2">
      <c r="A133" s="329" t="s">
        <v>991</v>
      </c>
      <c r="B133" s="330">
        <v>9009171000</v>
      </c>
      <c r="C133" s="319" t="s">
        <v>944</v>
      </c>
      <c r="D133" s="331">
        <f>[1]!Table32[[#This Row],[Residential CLM $ Collected]]+[1]!Table32[[#This Row],[C&amp;I CLM $ Collected]]</f>
        <v>19.044689999999999</v>
      </c>
      <c r="E133" s="177">
        <f>[1]!Table32[[#This Row],[CLM $ Collected ]]/'[1]1.) CLM Reference'!$B$4</f>
        <v>2.05023177671114E-7</v>
      </c>
      <c r="F133" s="332">
        <f>[1]!Table32[[#This Row],[Residential Incentive Disbursements]]+[1]!Table32[[#This Row],[C&amp;I Incentive Disbursements]]</f>
        <v>0</v>
      </c>
      <c r="G133" s="177">
        <f>[1]!Table32[[#This Row],[Incentive Disbursements]]/'[1]1.) CLM Reference'!$B$5</f>
        <v>0</v>
      </c>
      <c r="H133" s="333">
        <v>0</v>
      </c>
      <c r="I133" s="177">
        <f>[1]!Table32[[#This Row],[Residential CLM $ Collected]]/'[1]1.) CLM Reference'!$B$4</f>
        <v>0</v>
      </c>
      <c r="J133" s="333">
        <v>0</v>
      </c>
      <c r="K133" s="177">
        <f>[1]!Table32[[#This Row],[Residential Incentive Disbursements]]/'[1]1.) CLM Reference'!$B$5</f>
        <v>0</v>
      </c>
      <c r="L133" s="333">
        <v>19.044689999999999</v>
      </c>
      <c r="M133" s="177">
        <f>[1]!Table32[[#This Row],[C&amp;I CLM $ Collected]]/'[1]1.) CLM Reference'!$B$4</f>
        <v>2.05023177671114E-7</v>
      </c>
      <c r="N133" s="333">
        <v>0</v>
      </c>
      <c r="O133" s="177">
        <f>[1]!Table32[[#This Row],[C&amp;I Incentive Disbursements]]/'[1]1.) CLM Reference'!$B$5</f>
        <v>0</v>
      </c>
      <c r="P133" s="319">
        <f>VLOOKUP('3.) Large Load'!$B133,'Population and Diversity Data'!$B$2:$K$823,10,FALSE)</f>
        <v>5</v>
      </c>
      <c r="Q133" s="334" t="str">
        <f>VLOOKUP('3.) Large Load'!$B133,'ES Energy Burden'!$B$2:$E$914,4,FALSE)</f>
        <v>No</v>
      </c>
    </row>
    <row r="134" spans="1:17" x14ac:dyDescent="0.2">
      <c r="A134" s="335" t="s">
        <v>2800</v>
      </c>
      <c r="B134" s="336">
        <v>9009344100</v>
      </c>
      <c r="C134" s="318" t="s">
        <v>944</v>
      </c>
      <c r="D134" s="324">
        <f>[1]!Table32[[#This Row],[Residential CLM $ Collected]]+[1]!Table32[[#This Row],[C&amp;I CLM $ Collected]]</f>
        <v>50270.740464000002</v>
      </c>
      <c r="E134" s="325">
        <f>[1]!Table32[[#This Row],[CLM $ Collected ]]/'[1]1.) CLM Reference'!$B$4</f>
        <v>5.4118323552702267E-4</v>
      </c>
      <c r="F134" s="326">
        <f>[1]!Table32[[#This Row],[Residential Incentive Disbursements]]+[1]!Table32[[#This Row],[C&amp;I Incentive Disbursements]]</f>
        <v>20919.3</v>
      </c>
      <c r="G134" s="325">
        <f>[1]!Table32[[#This Row],[Incentive Disbursements]]/'[1]1.) CLM Reference'!$B$5</f>
        <v>1.6796401663158326E-4</v>
      </c>
      <c r="H134" s="337">
        <v>0</v>
      </c>
      <c r="I134" s="325">
        <f>[1]!Table32[[#This Row],[Residential CLM $ Collected]]/'[1]1.) CLM Reference'!$B$4</f>
        <v>0</v>
      </c>
      <c r="J134" s="337">
        <v>0</v>
      </c>
      <c r="K134" s="325">
        <f>[1]!Table32[[#This Row],[Residential Incentive Disbursements]]/'[1]1.) CLM Reference'!$B$5</f>
        <v>0</v>
      </c>
      <c r="L134" s="337">
        <v>50270.740464000002</v>
      </c>
      <c r="M134" s="325">
        <f>[1]!Table32[[#This Row],[C&amp;I CLM $ Collected]]/'[1]1.) CLM Reference'!$B$4</f>
        <v>5.4118323552702267E-4</v>
      </c>
      <c r="N134" s="337">
        <v>20919.3</v>
      </c>
      <c r="O134" s="325">
        <f>[1]!Table32[[#This Row],[C&amp;I Incentive Disbursements]]/'[1]1.) CLM Reference'!$B$5</f>
        <v>1.6796401663158326E-4</v>
      </c>
      <c r="P134" s="318">
        <f>VLOOKUP('3.) Large Load'!$B134,'Population and Diversity Data'!$B$2:$K$823,10,FALSE)</f>
        <v>2</v>
      </c>
      <c r="Q134" s="338" t="str">
        <f>VLOOKUP('3.) Large Load'!$B134,'ES Energy Burden'!$B$2:$E$914,4,FALSE)</f>
        <v>No</v>
      </c>
    </row>
    <row r="135" spans="1:17" x14ac:dyDescent="0.2">
      <c r="A135" s="329" t="s">
        <v>2801</v>
      </c>
      <c r="B135" s="330">
        <v>9007580100</v>
      </c>
      <c r="C135" s="319" t="s">
        <v>944</v>
      </c>
      <c r="D135" s="331">
        <f>[1]!Table32[[#This Row],[Residential CLM $ Collected]]+[1]!Table32[[#This Row],[C&amp;I CLM $ Collected]]</f>
        <v>67159.356620999999</v>
      </c>
      <c r="E135" s="177">
        <f>[1]!Table32[[#This Row],[CLM $ Collected ]]/'[1]1.) CLM Reference'!$B$4</f>
        <v>7.229954756304771E-4</v>
      </c>
      <c r="F135" s="332">
        <f>[1]!Table32[[#This Row],[Residential Incentive Disbursements]]+[1]!Table32[[#This Row],[C&amp;I Incentive Disbursements]]</f>
        <v>8139.134</v>
      </c>
      <c r="G135" s="177">
        <f>[1]!Table32[[#This Row],[Incentive Disbursements]]/'[1]1.) CLM Reference'!$B$5</f>
        <v>6.5350257348127566E-5</v>
      </c>
      <c r="H135" s="333">
        <v>0</v>
      </c>
      <c r="I135" s="177">
        <f>[1]!Table32[[#This Row],[Residential CLM $ Collected]]/'[1]1.) CLM Reference'!$B$4</f>
        <v>0</v>
      </c>
      <c r="J135" s="333">
        <v>0</v>
      </c>
      <c r="K135" s="177">
        <f>[1]!Table32[[#This Row],[Residential Incentive Disbursements]]/'[1]1.) CLM Reference'!$B$5</f>
        <v>0</v>
      </c>
      <c r="L135" s="333">
        <v>67159.356620999999</v>
      </c>
      <c r="M135" s="177">
        <f>[1]!Table32[[#This Row],[C&amp;I CLM $ Collected]]/'[1]1.) CLM Reference'!$B$4</f>
        <v>7.229954756304771E-4</v>
      </c>
      <c r="N135" s="333">
        <v>8139.134</v>
      </c>
      <c r="O135" s="177">
        <f>[1]!Table32[[#This Row],[C&amp;I Incentive Disbursements]]/'[1]1.) CLM Reference'!$B$5</f>
        <v>6.5350257348127566E-5</v>
      </c>
      <c r="P135" s="319">
        <f>VLOOKUP('3.) Large Load'!$B135,'Population and Diversity Data'!$B$2:$K$823,10,FALSE)</f>
        <v>1</v>
      </c>
      <c r="Q135" s="334" t="str">
        <f>VLOOKUP('3.) Large Load'!$B135,'ES Energy Burden'!$B$2:$E$914,4,FALSE)</f>
        <v>No</v>
      </c>
    </row>
    <row r="136" spans="1:17" x14ac:dyDescent="0.2">
      <c r="A136" s="335" t="s">
        <v>2802</v>
      </c>
      <c r="B136" s="336">
        <v>9007541200</v>
      </c>
      <c r="C136" s="318" t="s">
        <v>944</v>
      </c>
      <c r="D136" s="324">
        <f>[1]!Table32[[#This Row],[Residential CLM $ Collected]]+[1]!Table32[[#This Row],[C&amp;I CLM $ Collected]]</f>
        <v>814958.04593700008</v>
      </c>
      <c r="E136" s="325">
        <f>[1]!Table32[[#This Row],[CLM $ Collected ]]/'[1]1.) CLM Reference'!$B$4</f>
        <v>8.7733267512700632E-3</v>
      </c>
      <c r="F136" s="326">
        <f>[1]!Table32[[#This Row],[Residential Incentive Disbursements]]+[1]!Table32[[#This Row],[C&amp;I Incentive Disbursements]]</f>
        <v>1137138.034</v>
      </c>
      <c r="G136" s="325">
        <f>[1]!Table32[[#This Row],[Incentive Disbursements]]/'[1]1.) CLM Reference'!$B$5</f>
        <v>9.130242008823522E-3</v>
      </c>
      <c r="H136" s="337">
        <v>0</v>
      </c>
      <c r="I136" s="325">
        <f>[1]!Table32[[#This Row],[Residential CLM $ Collected]]/'[1]1.) CLM Reference'!$B$4</f>
        <v>0</v>
      </c>
      <c r="J136" s="337">
        <v>0</v>
      </c>
      <c r="K136" s="325">
        <f>[1]!Table32[[#This Row],[Residential Incentive Disbursements]]/'[1]1.) CLM Reference'!$B$5</f>
        <v>0</v>
      </c>
      <c r="L136" s="337">
        <v>814958.04593700008</v>
      </c>
      <c r="M136" s="325">
        <f>[1]!Table32[[#This Row],[C&amp;I CLM $ Collected]]/'[1]1.) CLM Reference'!$B$4</f>
        <v>8.7733267512700632E-3</v>
      </c>
      <c r="N136" s="337">
        <v>1137138.034</v>
      </c>
      <c r="O136" s="325">
        <f>[1]!Table32[[#This Row],[C&amp;I Incentive Disbursements]]/'[1]1.) CLM Reference'!$B$5</f>
        <v>9.130242008823522E-3</v>
      </c>
      <c r="P136" s="318">
        <f>VLOOKUP('3.) Large Load'!$B136,'Population and Diversity Data'!$B$2:$K$823,10,FALSE)</f>
        <v>4</v>
      </c>
      <c r="Q136" s="338" t="str">
        <f>VLOOKUP('3.) Large Load'!$B136,'ES Energy Burden'!$B$2:$E$914,4,FALSE)</f>
        <v>No</v>
      </c>
    </row>
    <row r="137" spans="1:17" x14ac:dyDescent="0.2">
      <c r="A137" s="329" t="s">
        <v>2802</v>
      </c>
      <c r="B137" s="330">
        <v>9007541401</v>
      </c>
      <c r="C137" s="319" t="s">
        <v>944</v>
      </c>
      <c r="D137" s="331">
        <f>[1]!Table32[[#This Row],[Residential CLM $ Collected]]+[1]!Table32[[#This Row],[C&amp;I CLM $ Collected]]</f>
        <v>1.034586</v>
      </c>
      <c r="E137" s="177">
        <f>[1]!Table32[[#This Row],[CLM $ Collected ]]/'[1]1.) CLM Reference'!$B$4</f>
        <v>1.1137703438283699E-8</v>
      </c>
      <c r="F137" s="332">
        <f>[1]!Table32[[#This Row],[Residential Incentive Disbursements]]+[1]!Table32[[#This Row],[C&amp;I Incentive Disbursements]]</f>
        <v>0</v>
      </c>
      <c r="G137" s="177">
        <f>[1]!Table32[[#This Row],[Incentive Disbursements]]/'[1]1.) CLM Reference'!$B$5</f>
        <v>0</v>
      </c>
      <c r="H137" s="333">
        <v>0</v>
      </c>
      <c r="I137" s="177">
        <f>[1]!Table32[[#This Row],[Residential CLM $ Collected]]/'[1]1.) CLM Reference'!$B$4</f>
        <v>0</v>
      </c>
      <c r="J137" s="333">
        <v>0</v>
      </c>
      <c r="K137" s="177">
        <f>[1]!Table32[[#This Row],[Residential Incentive Disbursements]]/'[1]1.) CLM Reference'!$B$5</f>
        <v>0</v>
      </c>
      <c r="L137" s="333">
        <v>1.034586</v>
      </c>
      <c r="M137" s="177">
        <f>[1]!Table32[[#This Row],[C&amp;I CLM $ Collected]]/'[1]1.) CLM Reference'!$B$4</f>
        <v>1.1137703438283699E-8</v>
      </c>
      <c r="N137" s="333">
        <v>0</v>
      </c>
      <c r="O137" s="177">
        <f>[1]!Table32[[#This Row],[C&amp;I Incentive Disbursements]]/'[1]1.) CLM Reference'!$B$5</f>
        <v>0</v>
      </c>
      <c r="P137" s="319">
        <f>VLOOKUP('3.) Large Load'!$B137,'Population and Diversity Data'!$B$2:$K$823,10,FALSE)</f>
        <v>2</v>
      </c>
      <c r="Q137" s="334" t="str">
        <f>VLOOKUP('3.) Large Load'!$B137,'ES Energy Burden'!$B$2:$E$914,4,FALSE)</f>
        <v>No</v>
      </c>
    </row>
    <row r="138" spans="1:17" x14ac:dyDescent="0.2">
      <c r="A138" s="335" t="s">
        <v>2802</v>
      </c>
      <c r="B138" s="336">
        <v>9007541402</v>
      </c>
      <c r="C138" s="318" t="s">
        <v>944</v>
      </c>
      <c r="D138" s="324">
        <f>[1]!Table32[[#This Row],[Residential CLM $ Collected]]+[1]!Table32[[#This Row],[C&amp;I CLM $ Collected]]</f>
        <v>7270.6086599999999</v>
      </c>
      <c r="E138" s="325">
        <f>[1]!Table32[[#This Row],[CLM $ Collected ]]/'[1]1.) CLM Reference'!$B$4</f>
        <v>7.8270808875141585E-5</v>
      </c>
      <c r="F138" s="326">
        <f>[1]!Table32[[#This Row],[Residential Incentive Disbursements]]+[1]!Table32[[#This Row],[C&amp;I Incentive Disbursements]]</f>
        <v>436016.11</v>
      </c>
      <c r="G138" s="325">
        <f>[1]!Table32[[#This Row],[Incentive Disbursements]]/'[1]1.) CLM Reference'!$B$5</f>
        <v>3.5008349778280459E-3</v>
      </c>
      <c r="H138" s="337">
        <v>0</v>
      </c>
      <c r="I138" s="325">
        <f>[1]!Table32[[#This Row],[Residential CLM $ Collected]]/'[1]1.) CLM Reference'!$B$4</f>
        <v>0</v>
      </c>
      <c r="J138" s="337">
        <v>0</v>
      </c>
      <c r="K138" s="325">
        <f>[1]!Table32[[#This Row],[Residential Incentive Disbursements]]/'[1]1.) CLM Reference'!$B$5</f>
        <v>0</v>
      </c>
      <c r="L138" s="337">
        <v>7270.6086599999999</v>
      </c>
      <c r="M138" s="325">
        <f>[1]!Table32[[#This Row],[C&amp;I CLM $ Collected]]/'[1]1.) CLM Reference'!$B$4</f>
        <v>7.8270808875141585E-5</v>
      </c>
      <c r="N138" s="337">
        <v>436016.11</v>
      </c>
      <c r="O138" s="325">
        <f>[1]!Table32[[#This Row],[C&amp;I Incentive Disbursements]]/'[1]1.) CLM Reference'!$B$5</f>
        <v>3.5008349778280459E-3</v>
      </c>
      <c r="P138" s="318">
        <f>VLOOKUP('3.) Large Load'!$B138,'Population and Diversity Data'!$B$2:$K$823,10,FALSE)</f>
        <v>2</v>
      </c>
      <c r="Q138" s="338" t="str">
        <f>VLOOKUP('3.) Large Load'!$B138,'ES Energy Burden'!$B$2:$E$914,4,FALSE)</f>
        <v>No</v>
      </c>
    </row>
    <row r="139" spans="1:17" x14ac:dyDescent="0.2">
      <c r="A139" s="329" t="s">
        <v>2803</v>
      </c>
      <c r="B139" s="330">
        <v>9001100200</v>
      </c>
      <c r="C139" s="319" t="s">
        <v>944</v>
      </c>
      <c r="D139" s="331">
        <f>[1]!Table32[[#This Row],[Residential CLM $ Collected]]+[1]!Table32[[#This Row],[C&amp;I CLM $ Collected]]</f>
        <v>110850.161037</v>
      </c>
      <c r="E139" s="177">
        <f>[1]!Table32[[#This Row],[CLM $ Collected ]]/'[1]1.) CLM Reference'!$B$4</f>
        <v>1.1933432500692031E-3</v>
      </c>
      <c r="F139" s="332">
        <f>[1]!Table32[[#This Row],[Residential Incentive Disbursements]]+[1]!Table32[[#This Row],[C&amp;I Incentive Disbursements]]</f>
        <v>33098.75</v>
      </c>
      <c r="G139" s="177">
        <f>[1]!Table32[[#This Row],[Incentive Disbursements]]/'[1]1.) CLM Reference'!$B$5</f>
        <v>2.6575454224016178E-4</v>
      </c>
      <c r="H139" s="333">
        <v>0</v>
      </c>
      <c r="I139" s="177">
        <f>[1]!Table32[[#This Row],[Residential CLM $ Collected]]/'[1]1.) CLM Reference'!$B$4</f>
        <v>0</v>
      </c>
      <c r="J139" s="333">
        <v>0</v>
      </c>
      <c r="K139" s="177">
        <f>[1]!Table32[[#This Row],[Residential Incentive Disbursements]]/'[1]1.) CLM Reference'!$B$5</f>
        <v>0</v>
      </c>
      <c r="L139" s="333">
        <v>110850.161037</v>
      </c>
      <c r="M139" s="177">
        <f>[1]!Table32[[#This Row],[C&amp;I CLM $ Collected]]/'[1]1.) CLM Reference'!$B$4</f>
        <v>1.1933432500692031E-3</v>
      </c>
      <c r="N139" s="333">
        <v>33098.75</v>
      </c>
      <c r="O139" s="177">
        <f>[1]!Table32[[#This Row],[C&amp;I Incentive Disbursements]]/'[1]1.) CLM Reference'!$B$5</f>
        <v>2.6575454224016178E-4</v>
      </c>
      <c r="P139" s="319">
        <f>VLOOKUP('3.) Large Load'!$B139,'Population and Diversity Data'!$B$2:$K$823,10,FALSE)</f>
        <v>4</v>
      </c>
      <c r="Q139" s="334" t="str">
        <f>VLOOKUP('3.) Large Load'!$B139,'ES Energy Burden'!$B$2:$E$914,4,FALSE)</f>
        <v>No</v>
      </c>
    </row>
    <row r="140" spans="1:17" x14ac:dyDescent="0.2">
      <c r="A140" s="335" t="s">
        <v>2804</v>
      </c>
      <c r="B140" s="336">
        <v>9011693600</v>
      </c>
      <c r="C140" s="318" t="s">
        <v>944</v>
      </c>
      <c r="D140" s="324">
        <f>[1]!Table32[[#This Row],[Residential CLM $ Collected]]+[1]!Table32[[#This Row],[C&amp;I CLM $ Collected]]</f>
        <v>0</v>
      </c>
      <c r="E140" s="325">
        <f>[1]!Table32[[#This Row],[CLM $ Collected ]]/'[1]1.) CLM Reference'!$B$4</f>
        <v>0</v>
      </c>
      <c r="F140" s="326">
        <f>[1]!Table32[[#This Row],[Residential Incentive Disbursements]]+[1]!Table32[[#This Row],[C&amp;I Incentive Disbursements]]</f>
        <v>15027.52</v>
      </c>
      <c r="G140" s="325">
        <f>[1]!Table32[[#This Row],[Incentive Disbursements]]/'[1]1.) CLM Reference'!$B$5</f>
        <v>1.206580822117112E-4</v>
      </c>
      <c r="H140" s="337">
        <v>0</v>
      </c>
      <c r="I140" s="325">
        <f>[1]!Table32[[#This Row],[Residential CLM $ Collected]]/'[1]1.) CLM Reference'!$B$4</f>
        <v>0</v>
      </c>
      <c r="J140" s="337">
        <v>0</v>
      </c>
      <c r="K140" s="325">
        <f>[1]!Table32[[#This Row],[Residential Incentive Disbursements]]/'[1]1.) CLM Reference'!$B$5</f>
        <v>0</v>
      </c>
      <c r="L140" s="337">
        <v>0</v>
      </c>
      <c r="M140" s="325">
        <f>[1]!Table32[[#This Row],[C&amp;I CLM $ Collected]]/'[1]1.) CLM Reference'!$B$4</f>
        <v>0</v>
      </c>
      <c r="N140" s="337">
        <v>15027.52</v>
      </c>
      <c r="O140" s="325">
        <f>[1]!Table32[[#This Row],[C&amp;I Incentive Disbursements]]/'[1]1.) CLM Reference'!$B$5</f>
        <v>1.206580822117112E-4</v>
      </c>
      <c r="P140" s="318">
        <f>VLOOKUP('3.) Large Load'!$B140,'Population and Diversity Data'!$B$2:$K$823,10,FALSE)</f>
        <v>2</v>
      </c>
      <c r="Q140" s="338" t="str">
        <f>VLOOKUP('3.) Large Load'!$B140,'ES Energy Burden'!$B$2:$E$914,4,FALSE)</f>
        <v>No</v>
      </c>
    </row>
    <row r="141" spans="1:17" x14ac:dyDescent="0.2">
      <c r="A141" s="329" t="s">
        <v>2804</v>
      </c>
      <c r="B141" s="330">
        <v>9011695202</v>
      </c>
      <c r="C141" s="319" t="s">
        <v>944</v>
      </c>
      <c r="D141" s="331">
        <f>[1]!Table32[[#This Row],[Residential CLM $ Collected]]+[1]!Table32[[#This Row],[C&amp;I CLM $ Collected]]</f>
        <v>103754.79781800001</v>
      </c>
      <c r="E141" s="177">
        <f>[1]!Table32[[#This Row],[CLM $ Collected ]]/'[1]1.) CLM Reference'!$B$4</f>
        <v>1.1169590236055473E-3</v>
      </c>
      <c r="F141" s="332">
        <f>[1]!Table32[[#This Row],[Residential Incentive Disbursements]]+[1]!Table32[[#This Row],[C&amp;I Incentive Disbursements]]</f>
        <v>24080.400000000001</v>
      </c>
      <c r="G141" s="177">
        <f>[1]!Table32[[#This Row],[Incentive Disbursements]]/'[1]1.) CLM Reference'!$B$5</f>
        <v>1.9334493535133479E-4</v>
      </c>
      <c r="H141" s="333">
        <v>0</v>
      </c>
      <c r="I141" s="177">
        <f>[1]!Table32[[#This Row],[Residential CLM $ Collected]]/'[1]1.) CLM Reference'!$B$4</f>
        <v>0</v>
      </c>
      <c r="J141" s="333">
        <v>0</v>
      </c>
      <c r="K141" s="177">
        <f>[1]!Table32[[#This Row],[Residential Incentive Disbursements]]/'[1]1.) CLM Reference'!$B$5</f>
        <v>0</v>
      </c>
      <c r="L141" s="333">
        <v>103754.79781800001</v>
      </c>
      <c r="M141" s="177">
        <f>[1]!Table32[[#This Row],[C&amp;I CLM $ Collected]]/'[1]1.) CLM Reference'!$B$4</f>
        <v>1.1169590236055473E-3</v>
      </c>
      <c r="N141" s="333">
        <v>24080.400000000001</v>
      </c>
      <c r="O141" s="177">
        <f>[1]!Table32[[#This Row],[C&amp;I Incentive Disbursements]]/'[1]1.) CLM Reference'!$B$5</f>
        <v>1.9334493535133479E-4</v>
      </c>
      <c r="P141" s="319">
        <f>VLOOKUP('3.) Large Load'!$B141,'Population and Diversity Data'!$B$2:$K$823,10,FALSE)</f>
        <v>3</v>
      </c>
      <c r="Q141" s="334" t="str">
        <f>VLOOKUP('3.) Large Load'!$B141,'ES Energy Burden'!$B$2:$E$914,4,FALSE)</f>
        <v>No</v>
      </c>
    </row>
    <row r="142" spans="1:17" x14ac:dyDescent="0.2">
      <c r="A142" s="335" t="s">
        <v>2804</v>
      </c>
      <c r="B142" s="336">
        <v>9011870501</v>
      </c>
      <c r="C142" s="318" t="s">
        <v>936</v>
      </c>
      <c r="D142" s="324">
        <f>[1]!Table32[[#This Row],[Residential CLM $ Collected]]+[1]!Table32[[#This Row],[C&amp;I CLM $ Collected]]</f>
        <v>1493.97696</v>
      </c>
      <c r="E142" s="325">
        <f>[1]!Table32[[#This Row],[CLM $ Collected ]]/'[1]1.) CLM Reference'!$B$4</f>
        <v>1.6083218141467822E-5</v>
      </c>
      <c r="F142" s="326">
        <f>[1]!Table32[[#This Row],[Residential Incentive Disbursements]]+[1]!Table32[[#This Row],[C&amp;I Incentive Disbursements]]</f>
        <v>0</v>
      </c>
      <c r="G142" s="325">
        <f>[1]!Table32[[#This Row],[Incentive Disbursements]]/'[1]1.) CLM Reference'!$B$5</f>
        <v>0</v>
      </c>
      <c r="H142" s="337">
        <v>0</v>
      </c>
      <c r="I142" s="325">
        <f>[1]!Table32[[#This Row],[Residential CLM $ Collected]]/'[1]1.) CLM Reference'!$B$4</f>
        <v>0</v>
      </c>
      <c r="J142" s="337">
        <v>0</v>
      </c>
      <c r="K142" s="325">
        <f>[1]!Table32[[#This Row],[Residential Incentive Disbursements]]/'[1]1.) CLM Reference'!$B$5</f>
        <v>0</v>
      </c>
      <c r="L142" s="337">
        <v>1493.97696</v>
      </c>
      <c r="M142" s="325">
        <f>[1]!Table32[[#This Row],[C&amp;I CLM $ Collected]]/'[1]1.) CLM Reference'!$B$4</f>
        <v>1.6083218141467822E-5</v>
      </c>
      <c r="N142" s="337">
        <v>0</v>
      </c>
      <c r="O142" s="325">
        <f>[1]!Table32[[#This Row],[C&amp;I Incentive Disbursements]]/'[1]1.) CLM Reference'!$B$5</f>
        <v>0</v>
      </c>
      <c r="P142" s="318">
        <f>VLOOKUP('3.) Large Load'!$B142,'Population and Diversity Data'!$B$2:$K$823,10,FALSE)</f>
        <v>5</v>
      </c>
      <c r="Q142" s="338" t="str">
        <f>VLOOKUP('3.) Large Load'!$B142,'ES Energy Burden'!$B$2:$E$914,4,FALSE)</f>
        <v>No</v>
      </c>
    </row>
    <row r="143" spans="1:17" x14ac:dyDescent="0.2">
      <c r="A143" s="329" t="s">
        <v>2805</v>
      </c>
      <c r="B143" s="330">
        <v>9005303100</v>
      </c>
      <c r="C143" s="319" t="s">
        <v>944</v>
      </c>
      <c r="D143" s="331">
        <f>[1]!Table32[[#This Row],[Residential CLM $ Collected]]+[1]!Table32[[#This Row],[C&amp;I CLM $ Collected]]</f>
        <v>19546.184552999999</v>
      </c>
      <c r="E143" s="177">
        <f>[1]!Table32[[#This Row],[CLM $ Collected ]]/'[1]1.) CLM Reference'!$B$4</f>
        <v>2.104219532269679E-4</v>
      </c>
      <c r="F143" s="332">
        <f>[1]!Table32[[#This Row],[Residential Incentive Disbursements]]+[1]!Table32[[#This Row],[C&amp;I Incentive Disbursements]]</f>
        <v>3261</v>
      </c>
      <c r="G143" s="177">
        <f>[1]!Table32[[#This Row],[Incentive Disbursements]]/'[1]1.) CLM Reference'!$B$5</f>
        <v>2.6183029940561732E-5</v>
      </c>
      <c r="H143" s="333">
        <v>0</v>
      </c>
      <c r="I143" s="177">
        <f>[1]!Table32[[#This Row],[Residential CLM $ Collected]]/'[1]1.) CLM Reference'!$B$4</f>
        <v>0</v>
      </c>
      <c r="J143" s="333">
        <v>0</v>
      </c>
      <c r="K143" s="177">
        <f>[1]!Table32[[#This Row],[Residential Incentive Disbursements]]/'[1]1.) CLM Reference'!$B$5</f>
        <v>0</v>
      </c>
      <c r="L143" s="333">
        <v>19546.184552999999</v>
      </c>
      <c r="M143" s="177">
        <f>[1]!Table32[[#This Row],[C&amp;I CLM $ Collected]]/'[1]1.) CLM Reference'!$B$4</f>
        <v>2.104219532269679E-4</v>
      </c>
      <c r="N143" s="333">
        <v>3261</v>
      </c>
      <c r="O143" s="177">
        <f>[1]!Table32[[#This Row],[C&amp;I Incentive Disbursements]]/'[1]1.) CLM Reference'!$B$5</f>
        <v>2.6183029940561732E-5</v>
      </c>
      <c r="P143" s="319">
        <f>VLOOKUP('3.) Large Load'!$B143,'Population and Diversity Data'!$B$2:$K$823,10,FALSE)</f>
        <v>1</v>
      </c>
      <c r="Q143" s="334" t="str">
        <f>VLOOKUP('3.) Large Load'!$B143,'ES Energy Burden'!$B$2:$E$914,4,FALSE)</f>
        <v>No</v>
      </c>
    </row>
    <row r="144" spans="1:17" x14ac:dyDescent="0.2">
      <c r="A144" s="335" t="s">
        <v>2806</v>
      </c>
      <c r="B144" s="336">
        <v>9009345100</v>
      </c>
      <c r="C144" s="318" t="s">
        <v>944</v>
      </c>
      <c r="D144" s="324">
        <f>[1]!Table32[[#This Row],[Residential CLM $ Collected]]+[1]!Table32[[#This Row],[C&amp;I CLM $ Collected]]</f>
        <v>0.708561</v>
      </c>
      <c r="E144" s="325">
        <f>[1]!Table32[[#This Row],[CLM $ Collected ]]/'[1]1.) CLM Reference'!$B$4</f>
        <v>7.6279229430262305E-9</v>
      </c>
      <c r="F144" s="326">
        <f>[1]!Table32[[#This Row],[Residential Incentive Disbursements]]+[1]!Table32[[#This Row],[C&amp;I Incentive Disbursements]]</f>
        <v>0</v>
      </c>
      <c r="G144" s="325">
        <f>[1]!Table32[[#This Row],[Incentive Disbursements]]/'[1]1.) CLM Reference'!$B$5</f>
        <v>0</v>
      </c>
      <c r="H144" s="337">
        <v>0</v>
      </c>
      <c r="I144" s="325">
        <f>[1]!Table32[[#This Row],[Residential CLM $ Collected]]/'[1]1.) CLM Reference'!$B$4</f>
        <v>0</v>
      </c>
      <c r="J144" s="337">
        <v>0</v>
      </c>
      <c r="K144" s="325">
        <f>[1]!Table32[[#This Row],[Residential Incentive Disbursements]]/'[1]1.) CLM Reference'!$B$5</f>
        <v>0</v>
      </c>
      <c r="L144" s="337">
        <v>0.708561</v>
      </c>
      <c r="M144" s="325">
        <f>[1]!Table32[[#This Row],[C&amp;I CLM $ Collected]]/'[1]1.) CLM Reference'!$B$4</f>
        <v>7.6279229430262305E-9</v>
      </c>
      <c r="N144" s="337">
        <v>0</v>
      </c>
      <c r="O144" s="325">
        <f>[1]!Table32[[#This Row],[C&amp;I Incentive Disbursements]]/'[1]1.) CLM Reference'!$B$5</f>
        <v>0</v>
      </c>
      <c r="P144" s="318">
        <f>VLOOKUP('3.) Large Load'!$B144,'Population and Diversity Data'!$B$2:$K$823,10,FALSE)</f>
        <v>2</v>
      </c>
      <c r="Q144" s="338" t="str">
        <f>VLOOKUP('3.) Large Load'!$B144,'ES Energy Burden'!$B$2:$E$914,4,FALSE)</f>
        <v>No</v>
      </c>
    </row>
    <row r="145" spans="1:17" x14ac:dyDescent="0.2">
      <c r="A145" s="329" t="s">
        <v>2806</v>
      </c>
      <c r="B145" s="330">
        <v>9009345201</v>
      </c>
      <c r="C145" s="319" t="s">
        <v>944</v>
      </c>
      <c r="D145" s="331">
        <f>[1]!Table32[[#This Row],[Residential CLM $ Collected]]+[1]!Table32[[#This Row],[C&amp;I CLM $ Collected]]</f>
        <v>2.7743519999999999</v>
      </c>
      <c r="E145" s="177">
        <f>[1]!Table32[[#This Row],[CLM $ Collected ]]/'[1]1.) CLM Reference'!$B$4</f>
        <v>2.9866932095939104E-8</v>
      </c>
      <c r="F145" s="332">
        <f>[1]!Table32[[#This Row],[Residential Incentive Disbursements]]+[1]!Table32[[#This Row],[C&amp;I Incentive Disbursements]]</f>
        <v>0</v>
      </c>
      <c r="G145" s="177">
        <f>[1]!Table32[[#This Row],[Incentive Disbursements]]/'[1]1.) CLM Reference'!$B$5</f>
        <v>0</v>
      </c>
      <c r="H145" s="333">
        <v>0</v>
      </c>
      <c r="I145" s="177">
        <f>[1]!Table32[[#This Row],[Residential CLM $ Collected]]/'[1]1.) CLM Reference'!$B$4</f>
        <v>0</v>
      </c>
      <c r="J145" s="333">
        <v>0</v>
      </c>
      <c r="K145" s="177">
        <f>[1]!Table32[[#This Row],[Residential Incentive Disbursements]]/'[1]1.) CLM Reference'!$B$5</f>
        <v>0</v>
      </c>
      <c r="L145" s="333">
        <v>2.7743519999999999</v>
      </c>
      <c r="M145" s="177">
        <f>[1]!Table32[[#This Row],[C&amp;I CLM $ Collected]]/'[1]1.) CLM Reference'!$B$4</f>
        <v>2.9866932095939104E-8</v>
      </c>
      <c r="N145" s="333">
        <v>0</v>
      </c>
      <c r="O145" s="177">
        <f>[1]!Table32[[#This Row],[C&amp;I Incentive Disbursements]]/'[1]1.) CLM Reference'!$B$5</f>
        <v>0</v>
      </c>
      <c r="P145" s="319">
        <f>VLOOKUP('3.) Large Load'!$B145,'Population and Diversity Data'!$B$2:$K$823,10,FALSE)</f>
        <v>4</v>
      </c>
      <c r="Q145" s="334" t="str">
        <f>VLOOKUP('3.) Large Load'!$B145,'ES Energy Burden'!$B$2:$E$914,4,FALSE)</f>
        <v>No</v>
      </c>
    </row>
    <row r="146" spans="1:17" x14ac:dyDescent="0.2">
      <c r="A146" s="335" t="s">
        <v>2806</v>
      </c>
      <c r="B146" s="336">
        <v>9009345300</v>
      </c>
      <c r="C146" s="318" t="s">
        <v>944</v>
      </c>
      <c r="D146" s="324">
        <f>[1]!Table32[[#This Row],[Residential CLM $ Collected]]+[1]!Table32[[#This Row],[C&amp;I CLM $ Collected]]</f>
        <v>4.6768890000000001</v>
      </c>
      <c r="E146" s="325">
        <f>[1]!Table32[[#This Row],[CLM $ Collected ]]/'[1]1.) CLM Reference'!$B$4</f>
        <v>5.0348451163819352E-8</v>
      </c>
      <c r="F146" s="326">
        <f>[1]!Table32[[#This Row],[Residential Incentive Disbursements]]+[1]!Table32[[#This Row],[C&amp;I Incentive Disbursements]]</f>
        <v>0</v>
      </c>
      <c r="G146" s="325">
        <f>[1]!Table32[[#This Row],[Incentive Disbursements]]/'[1]1.) CLM Reference'!$B$5</f>
        <v>0</v>
      </c>
      <c r="H146" s="337">
        <v>0</v>
      </c>
      <c r="I146" s="325">
        <f>[1]!Table32[[#This Row],[Residential CLM $ Collected]]/'[1]1.) CLM Reference'!$B$4</f>
        <v>0</v>
      </c>
      <c r="J146" s="337">
        <v>0</v>
      </c>
      <c r="K146" s="325">
        <f>[1]!Table32[[#This Row],[Residential Incentive Disbursements]]/'[1]1.) CLM Reference'!$B$5</f>
        <v>0</v>
      </c>
      <c r="L146" s="337">
        <v>4.6768890000000001</v>
      </c>
      <c r="M146" s="325">
        <f>[1]!Table32[[#This Row],[C&amp;I CLM $ Collected]]/'[1]1.) CLM Reference'!$B$4</f>
        <v>5.0348451163819352E-8</v>
      </c>
      <c r="N146" s="337">
        <v>0</v>
      </c>
      <c r="O146" s="325">
        <f>[1]!Table32[[#This Row],[C&amp;I Incentive Disbursements]]/'[1]1.) CLM Reference'!$B$5</f>
        <v>0</v>
      </c>
      <c r="P146" s="318">
        <f>VLOOKUP('3.) Large Load'!$B146,'Population and Diversity Data'!$B$2:$K$823,10,FALSE)</f>
        <v>4</v>
      </c>
      <c r="Q146" s="338" t="str">
        <f>VLOOKUP('3.) Large Load'!$B146,'ES Energy Burden'!$B$2:$E$914,4,FALSE)</f>
        <v>No</v>
      </c>
    </row>
    <row r="147" spans="1:17" x14ac:dyDescent="0.2">
      <c r="A147" s="329" t="s">
        <v>2806</v>
      </c>
      <c r="B147" s="330">
        <v>9009345400</v>
      </c>
      <c r="C147" s="319" t="s">
        <v>944</v>
      </c>
      <c r="D147" s="331">
        <f>[1]!Table32[[#This Row],[Residential CLM $ Collected]]+[1]!Table32[[#This Row],[C&amp;I CLM $ Collected]]</f>
        <v>266956.95018300001</v>
      </c>
      <c r="E147" s="177">
        <f>[1]!Table32[[#This Row],[CLM $ Collected ]]/'[1]1.) CLM Reference'!$B$4</f>
        <v>2.8738909495459337E-3</v>
      </c>
      <c r="F147" s="332">
        <f>[1]!Table32[[#This Row],[Residential Incentive Disbursements]]+[1]!Table32[[#This Row],[C&amp;I Incentive Disbursements]]</f>
        <v>273631.64</v>
      </c>
      <c r="G147" s="177">
        <f>[1]!Table32[[#This Row],[Incentive Disbursements]]/'[1]1.) CLM Reference'!$B$5</f>
        <v>2.19702711524226E-3</v>
      </c>
      <c r="H147" s="333">
        <v>0</v>
      </c>
      <c r="I147" s="177">
        <f>[1]!Table32[[#This Row],[Residential CLM $ Collected]]/'[1]1.) CLM Reference'!$B$4</f>
        <v>0</v>
      </c>
      <c r="J147" s="333">
        <v>0</v>
      </c>
      <c r="K147" s="177">
        <f>[1]!Table32[[#This Row],[Residential Incentive Disbursements]]/'[1]1.) CLM Reference'!$B$5</f>
        <v>0</v>
      </c>
      <c r="L147" s="333">
        <v>266956.95018300001</v>
      </c>
      <c r="M147" s="177">
        <f>[1]!Table32[[#This Row],[C&amp;I CLM $ Collected]]/'[1]1.) CLM Reference'!$B$4</f>
        <v>2.8738909495459337E-3</v>
      </c>
      <c r="N147" s="333">
        <v>273631.64</v>
      </c>
      <c r="O147" s="177">
        <f>[1]!Table32[[#This Row],[C&amp;I Incentive Disbursements]]/'[1]1.) CLM Reference'!$B$5</f>
        <v>2.19702711524226E-3</v>
      </c>
      <c r="P147" s="319">
        <f>VLOOKUP('3.) Large Load'!$B147,'Population and Diversity Data'!$B$2:$K$823,10,FALSE)</f>
        <v>4</v>
      </c>
      <c r="Q147" s="334" t="str">
        <f>VLOOKUP('3.) Large Load'!$B147,'ES Energy Burden'!$B$2:$E$914,4,FALSE)</f>
        <v>No</v>
      </c>
    </row>
    <row r="148" spans="1:17" x14ac:dyDescent="0.2">
      <c r="A148" s="335" t="s">
        <v>985</v>
      </c>
      <c r="B148" s="336">
        <v>9003415300</v>
      </c>
      <c r="C148" s="318" t="s">
        <v>944</v>
      </c>
      <c r="D148" s="324">
        <f>[1]!Table32[[#This Row],[Residential CLM $ Collected]]+[1]!Table32[[#This Row],[C&amp;I CLM $ Collected]]</f>
        <v>33.101922000000002</v>
      </c>
      <c r="E148" s="325">
        <f>[1]!Table32[[#This Row],[CLM $ Collected ]]/'[1]1.) CLM Reference'!$B$4</f>
        <v>3.5635451327700047E-7</v>
      </c>
      <c r="F148" s="326">
        <f>[1]!Table32[[#This Row],[Residential Incentive Disbursements]]+[1]!Table32[[#This Row],[C&amp;I Incentive Disbursements]]</f>
        <v>0</v>
      </c>
      <c r="G148" s="325">
        <f>[1]!Table32[[#This Row],[Incentive Disbursements]]/'[1]1.) CLM Reference'!$B$5</f>
        <v>0</v>
      </c>
      <c r="H148" s="337">
        <v>0</v>
      </c>
      <c r="I148" s="325">
        <f>[1]!Table32[[#This Row],[Residential CLM $ Collected]]/'[1]1.) CLM Reference'!$B$4</f>
        <v>0</v>
      </c>
      <c r="J148" s="337">
        <v>0</v>
      </c>
      <c r="K148" s="325">
        <f>[1]!Table32[[#This Row],[Residential Incentive Disbursements]]/'[1]1.) CLM Reference'!$B$5</f>
        <v>0</v>
      </c>
      <c r="L148" s="337">
        <v>33.101922000000002</v>
      </c>
      <c r="M148" s="325">
        <f>[1]!Table32[[#This Row],[C&amp;I CLM $ Collected]]/'[1]1.) CLM Reference'!$B$4</f>
        <v>3.5635451327700047E-7</v>
      </c>
      <c r="N148" s="337">
        <v>0</v>
      </c>
      <c r="O148" s="325">
        <f>[1]!Table32[[#This Row],[C&amp;I Incentive Disbursements]]/'[1]1.) CLM Reference'!$B$5</f>
        <v>0</v>
      </c>
      <c r="P148" s="318">
        <f>VLOOKUP('3.) Large Load'!$B148,'Population and Diversity Data'!$B$2:$K$823,10,FALSE)</f>
        <v>5</v>
      </c>
      <c r="Q148" s="338" t="str">
        <f>VLOOKUP('3.) Large Load'!$B148,'ES Energy Burden'!$B$2:$E$914,4,FALSE)</f>
        <v>Yes</v>
      </c>
    </row>
    <row r="149" spans="1:17" x14ac:dyDescent="0.2">
      <c r="A149" s="329" t="s">
        <v>985</v>
      </c>
      <c r="B149" s="330">
        <v>9003416000</v>
      </c>
      <c r="C149" s="319" t="s">
        <v>944</v>
      </c>
      <c r="D149" s="331">
        <f>[1]!Table32[[#This Row],[Residential CLM $ Collected]]+[1]!Table32[[#This Row],[C&amp;I CLM $ Collected]]</f>
        <v>795403.88125800004</v>
      </c>
      <c r="E149" s="177">
        <f>[1]!Table32[[#This Row],[CLM $ Collected ]]/'[1]1.) CLM Reference'!$B$4</f>
        <v>8.5628188890159215E-3</v>
      </c>
      <c r="F149" s="332">
        <f>[1]!Table32[[#This Row],[Residential Incentive Disbursements]]+[1]!Table32[[#This Row],[C&amp;I Incentive Disbursements]]</f>
        <v>839894.66200000001</v>
      </c>
      <c r="G149" s="177">
        <f>[1]!Table32[[#This Row],[Incentive Disbursements]]/'[1]1.) CLM Reference'!$B$5</f>
        <v>6.7436329598478924E-3</v>
      </c>
      <c r="H149" s="333">
        <v>0</v>
      </c>
      <c r="I149" s="177">
        <f>[1]!Table32[[#This Row],[Residential CLM $ Collected]]/'[1]1.) CLM Reference'!$B$4</f>
        <v>0</v>
      </c>
      <c r="J149" s="333">
        <v>0</v>
      </c>
      <c r="K149" s="177">
        <f>[1]!Table32[[#This Row],[Residential Incentive Disbursements]]/'[1]1.) CLM Reference'!$B$5</f>
        <v>0</v>
      </c>
      <c r="L149" s="333">
        <v>795403.88125800004</v>
      </c>
      <c r="M149" s="177">
        <f>[1]!Table32[[#This Row],[C&amp;I CLM $ Collected]]/'[1]1.) CLM Reference'!$B$4</f>
        <v>8.5628188890159215E-3</v>
      </c>
      <c r="N149" s="333">
        <v>839894.66200000001</v>
      </c>
      <c r="O149" s="177">
        <f>[1]!Table32[[#This Row],[C&amp;I Incentive Disbursements]]/'[1]1.) CLM Reference'!$B$5</f>
        <v>6.7436329598478924E-3</v>
      </c>
      <c r="P149" s="319">
        <f>VLOOKUP('3.) Large Load'!$B149,'Population and Diversity Data'!$B$2:$K$823,10,FALSE)</f>
        <v>3</v>
      </c>
      <c r="Q149" s="334" t="str">
        <f>VLOOKUP('3.) Large Load'!$B149,'ES Energy Burden'!$B$2:$E$914,4,FALSE)</f>
        <v>Yes</v>
      </c>
    </row>
    <row r="150" spans="1:17" x14ac:dyDescent="0.2">
      <c r="A150" s="335" t="s">
        <v>985</v>
      </c>
      <c r="B150" s="336">
        <v>9003416100</v>
      </c>
      <c r="C150" s="318" t="s">
        <v>944</v>
      </c>
      <c r="D150" s="324">
        <f>[1]!Table32[[#This Row],[Residential CLM $ Collected]]+[1]!Table32[[#This Row],[C&amp;I CLM $ Collected]]</f>
        <v>6.1162289999999997</v>
      </c>
      <c r="E150" s="325">
        <f>[1]!Table32[[#This Row],[CLM $ Collected ]]/'[1]1.) CLM Reference'!$B$4</f>
        <v>6.5843482091030092E-8</v>
      </c>
      <c r="F150" s="326">
        <f>[1]!Table32[[#This Row],[Residential Incentive Disbursements]]+[1]!Table32[[#This Row],[C&amp;I Incentive Disbursements]]</f>
        <v>0</v>
      </c>
      <c r="G150" s="325">
        <f>[1]!Table32[[#This Row],[Incentive Disbursements]]/'[1]1.) CLM Reference'!$B$5</f>
        <v>0</v>
      </c>
      <c r="H150" s="337">
        <v>0</v>
      </c>
      <c r="I150" s="325">
        <f>[1]!Table32[[#This Row],[Residential CLM $ Collected]]/'[1]1.) CLM Reference'!$B$4</f>
        <v>0</v>
      </c>
      <c r="J150" s="337">
        <v>0</v>
      </c>
      <c r="K150" s="325">
        <f>[1]!Table32[[#This Row],[Residential Incentive Disbursements]]/'[1]1.) CLM Reference'!$B$5</f>
        <v>0</v>
      </c>
      <c r="L150" s="337">
        <v>6.1162289999999997</v>
      </c>
      <c r="M150" s="325">
        <f>[1]!Table32[[#This Row],[C&amp;I CLM $ Collected]]/'[1]1.) CLM Reference'!$B$4</f>
        <v>6.5843482091030092E-8</v>
      </c>
      <c r="N150" s="337">
        <v>0</v>
      </c>
      <c r="O150" s="325">
        <f>[1]!Table32[[#This Row],[C&amp;I Incentive Disbursements]]/'[1]1.) CLM Reference'!$B$5</f>
        <v>0</v>
      </c>
      <c r="P150" s="318">
        <f>VLOOKUP('3.) Large Load'!$B150,'Population and Diversity Data'!$B$2:$K$823,10,FALSE)</f>
        <v>5</v>
      </c>
      <c r="Q150" s="338" t="str">
        <f>VLOOKUP('3.) Large Load'!$B150,'ES Energy Burden'!$B$2:$E$914,4,FALSE)</f>
        <v>Yes</v>
      </c>
    </row>
    <row r="151" spans="1:17" x14ac:dyDescent="0.2">
      <c r="A151" s="329" t="s">
        <v>2807</v>
      </c>
      <c r="B151" s="330">
        <v>9001035100</v>
      </c>
      <c r="C151" s="319" t="s">
        <v>944</v>
      </c>
      <c r="D151" s="331">
        <f>[1]!Table32[[#This Row],[Residential CLM $ Collected]]+[1]!Table32[[#This Row],[C&amp;I CLM $ Collected]]</f>
        <v>114037.97649300001</v>
      </c>
      <c r="E151" s="177">
        <f>[1]!Table32[[#This Row],[CLM $ Collected ]]/'[1]1.) CLM Reference'!$B$4</f>
        <v>1.2276612701902034E-3</v>
      </c>
      <c r="F151" s="332">
        <f>[1]!Table32[[#This Row],[Residential Incentive Disbursements]]+[1]!Table32[[#This Row],[C&amp;I Incentive Disbursements]]</f>
        <v>63087.56</v>
      </c>
      <c r="G151" s="177">
        <f>[1]!Table32[[#This Row],[Incentive Disbursements]]/'[1]1.) CLM Reference'!$B$5</f>
        <v>5.0653893663200997E-4</v>
      </c>
      <c r="H151" s="333">
        <v>0</v>
      </c>
      <c r="I151" s="177">
        <f>[1]!Table32[[#This Row],[Residential CLM $ Collected]]/'[1]1.) CLM Reference'!$B$4</f>
        <v>0</v>
      </c>
      <c r="J151" s="333">
        <v>0</v>
      </c>
      <c r="K151" s="177">
        <f>[1]!Table32[[#This Row],[Residential Incentive Disbursements]]/'[1]1.) CLM Reference'!$B$5</f>
        <v>0</v>
      </c>
      <c r="L151" s="333">
        <v>114037.97649300001</v>
      </c>
      <c r="M151" s="177">
        <f>[1]!Table32[[#This Row],[C&amp;I CLM $ Collected]]/'[1]1.) CLM Reference'!$B$4</f>
        <v>1.2276612701902034E-3</v>
      </c>
      <c r="N151" s="333">
        <v>63087.56</v>
      </c>
      <c r="O151" s="177">
        <f>[1]!Table32[[#This Row],[C&amp;I Incentive Disbursements]]/'[1]1.) CLM Reference'!$B$5</f>
        <v>5.0653893663200997E-4</v>
      </c>
      <c r="P151" s="319">
        <f>VLOOKUP('3.) Large Load'!$B151,'Population and Diversity Data'!$B$2:$K$823,10,FALSE)</f>
        <v>2</v>
      </c>
      <c r="Q151" s="334" t="str">
        <f>VLOOKUP('3.) Large Load'!$B151,'ES Energy Burden'!$B$2:$E$914,4,FALSE)</f>
        <v>No</v>
      </c>
    </row>
    <row r="152" spans="1:17" x14ac:dyDescent="0.2">
      <c r="A152" s="335" t="s">
        <v>2808</v>
      </c>
      <c r="B152" s="336">
        <v>9001220200</v>
      </c>
      <c r="C152" s="318" t="s">
        <v>944</v>
      </c>
      <c r="D152" s="324">
        <f>[1]!Table32[[#This Row],[Residential CLM $ Collected]]+[1]!Table32[[#This Row],[C&amp;I CLM $ Collected]]</f>
        <v>117.007233</v>
      </c>
      <c r="E152" s="325">
        <f>[1]!Table32[[#This Row],[CLM $ Collected ]]/'[1]1.) CLM Reference'!$B$4</f>
        <v>1.2596264218616546E-6</v>
      </c>
      <c r="F152" s="326">
        <f>[1]!Table32[[#This Row],[Residential Incentive Disbursements]]+[1]!Table32[[#This Row],[C&amp;I Incentive Disbursements]]</f>
        <v>0</v>
      </c>
      <c r="G152" s="325">
        <f>[1]!Table32[[#This Row],[Incentive Disbursements]]/'[1]1.) CLM Reference'!$B$5</f>
        <v>0</v>
      </c>
      <c r="H152" s="337">
        <v>0</v>
      </c>
      <c r="I152" s="325">
        <f>[1]!Table32[[#This Row],[Residential CLM $ Collected]]/'[1]1.) CLM Reference'!$B$4</f>
        <v>0</v>
      </c>
      <c r="J152" s="337">
        <v>0</v>
      </c>
      <c r="K152" s="325">
        <f>[1]!Table32[[#This Row],[Residential Incentive Disbursements]]/'[1]1.) CLM Reference'!$B$5</f>
        <v>0</v>
      </c>
      <c r="L152" s="337">
        <v>117.007233</v>
      </c>
      <c r="M152" s="325">
        <f>[1]!Table32[[#This Row],[C&amp;I CLM $ Collected]]/'[1]1.) CLM Reference'!$B$4</f>
        <v>1.2596264218616546E-6</v>
      </c>
      <c r="N152" s="337">
        <v>0</v>
      </c>
      <c r="O152" s="325">
        <f>[1]!Table32[[#This Row],[C&amp;I Incentive Disbursements]]/'[1]1.) CLM Reference'!$B$5</f>
        <v>0</v>
      </c>
      <c r="P152" s="318">
        <f>VLOOKUP('3.) Large Load'!$B152,'Population and Diversity Data'!$B$2:$K$823,10,FALSE)</f>
        <v>3</v>
      </c>
      <c r="Q152" s="338" t="str">
        <f>VLOOKUP('3.) Large Load'!$B152,'ES Energy Burden'!$B$2:$E$914,4,FALSE)</f>
        <v>No</v>
      </c>
    </row>
    <row r="153" spans="1:17" x14ac:dyDescent="0.2">
      <c r="A153" s="329" t="s">
        <v>2808</v>
      </c>
      <c r="B153" s="330">
        <v>9001220300</v>
      </c>
      <c r="C153" s="319" t="s">
        <v>944</v>
      </c>
      <c r="D153" s="331">
        <f>[1]!Table32[[#This Row],[Residential CLM $ Collected]]+[1]!Table32[[#This Row],[C&amp;I CLM $ Collected]]</f>
        <v>20355.041469</v>
      </c>
      <c r="E153" s="177">
        <f>[1]!Table32[[#This Row],[CLM $ Collected ]]/'[1]1.) CLM Reference'!$B$4</f>
        <v>2.1912959904318109E-4</v>
      </c>
      <c r="F153" s="332">
        <f>[1]!Table32[[#This Row],[Residential Incentive Disbursements]]+[1]!Table32[[#This Row],[C&amp;I Incentive Disbursements]]</f>
        <v>44711.75</v>
      </c>
      <c r="G153" s="177">
        <f>[1]!Table32[[#This Row],[Incentive Disbursements]]/'[1]1.) CLM Reference'!$B$5</f>
        <v>3.5899696073134348E-4</v>
      </c>
      <c r="H153" s="333">
        <v>0</v>
      </c>
      <c r="I153" s="177">
        <f>[1]!Table32[[#This Row],[Residential CLM $ Collected]]/'[1]1.) CLM Reference'!$B$4</f>
        <v>0</v>
      </c>
      <c r="J153" s="333">
        <v>0</v>
      </c>
      <c r="K153" s="177">
        <f>[1]!Table32[[#This Row],[Residential Incentive Disbursements]]/'[1]1.) CLM Reference'!$B$5</f>
        <v>0</v>
      </c>
      <c r="L153" s="333">
        <v>20355.041469</v>
      </c>
      <c r="M153" s="177">
        <f>[1]!Table32[[#This Row],[C&amp;I CLM $ Collected]]/'[1]1.) CLM Reference'!$B$4</f>
        <v>2.1912959904318109E-4</v>
      </c>
      <c r="N153" s="333">
        <v>44711.75</v>
      </c>
      <c r="O153" s="177">
        <f>[1]!Table32[[#This Row],[C&amp;I Incentive Disbursements]]/'[1]1.) CLM Reference'!$B$5</f>
        <v>3.5899696073134348E-4</v>
      </c>
      <c r="P153" s="319">
        <f>VLOOKUP('3.) Large Load'!$B153,'Population and Diversity Data'!$B$2:$K$823,10,FALSE)</f>
        <v>2</v>
      </c>
      <c r="Q153" s="334" t="str">
        <f>VLOOKUP('3.) Large Load'!$B153,'ES Energy Burden'!$B$2:$E$914,4,FALSE)</f>
        <v>No</v>
      </c>
    </row>
    <row r="154" spans="1:17" x14ac:dyDescent="0.2">
      <c r="A154" s="335" t="s">
        <v>2809</v>
      </c>
      <c r="B154" s="336">
        <v>9005306100</v>
      </c>
      <c r="C154" s="318" t="s">
        <v>944</v>
      </c>
      <c r="D154" s="324">
        <f>[1]!Table32[[#This Row],[Residential CLM $ Collected]]+[1]!Table32[[#This Row],[C&amp;I CLM $ Collected]]</f>
        <v>45899.135961</v>
      </c>
      <c r="E154" s="325">
        <f>[1]!Table32[[#This Row],[CLM $ Collected ]]/'[1]1.) CLM Reference'!$B$4</f>
        <v>4.9412128562253954E-4</v>
      </c>
      <c r="F154" s="326">
        <f>[1]!Table32[[#This Row],[Residential Incentive Disbursements]]+[1]!Table32[[#This Row],[C&amp;I Incentive Disbursements]]</f>
        <v>69634.759999999995</v>
      </c>
      <c r="G154" s="325">
        <f>[1]!Table32[[#This Row],[Incentive Disbursements]]/'[1]1.) CLM Reference'!$B$5</f>
        <v>5.5910733087513966E-4</v>
      </c>
      <c r="H154" s="337">
        <v>0</v>
      </c>
      <c r="I154" s="325">
        <f>[1]!Table32[[#This Row],[Residential CLM $ Collected]]/'[1]1.) CLM Reference'!$B$4</f>
        <v>0</v>
      </c>
      <c r="J154" s="337">
        <v>0</v>
      </c>
      <c r="K154" s="325">
        <f>[1]!Table32[[#This Row],[Residential Incentive Disbursements]]/'[1]1.) CLM Reference'!$B$5</f>
        <v>0</v>
      </c>
      <c r="L154" s="337">
        <v>45899.135961</v>
      </c>
      <c r="M154" s="325">
        <f>[1]!Table32[[#This Row],[C&amp;I CLM $ Collected]]/'[1]1.) CLM Reference'!$B$4</f>
        <v>4.9412128562253954E-4</v>
      </c>
      <c r="N154" s="337">
        <v>69634.759999999995</v>
      </c>
      <c r="O154" s="325">
        <f>[1]!Table32[[#This Row],[C&amp;I Incentive Disbursements]]/'[1]1.) CLM Reference'!$B$5</f>
        <v>5.5910733087513966E-4</v>
      </c>
      <c r="P154" s="318">
        <f>VLOOKUP('3.) Large Load'!$B154,'Population and Diversity Data'!$B$2:$K$823,10,FALSE)</f>
        <v>1</v>
      </c>
      <c r="Q154" s="338" t="str">
        <f>VLOOKUP('3.) Large Load'!$B154,'ES Energy Burden'!$B$2:$E$914,4,FALSE)</f>
        <v>No</v>
      </c>
    </row>
    <row r="155" spans="1:17" x14ac:dyDescent="0.2">
      <c r="A155" s="329" t="s">
        <v>2810</v>
      </c>
      <c r="B155" s="330">
        <v>9011690500</v>
      </c>
      <c r="C155" s="319" t="s">
        <v>944</v>
      </c>
      <c r="D155" s="331">
        <f>[1]!Table32[[#This Row],[Residential CLM $ Collected]]+[1]!Table32[[#This Row],[C&amp;I CLM $ Collected]]</f>
        <v>421164.79633200006</v>
      </c>
      <c r="E155" s="177">
        <f>[1]!Table32[[#This Row],[CLM $ Collected ]]/'[1]1.) CLM Reference'!$B$4</f>
        <v>4.5339958207350293E-3</v>
      </c>
      <c r="F155" s="332">
        <f>[1]!Table32[[#This Row],[Residential Incentive Disbursements]]+[1]!Table32[[#This Row],[C&amp;I Incentive Disbursements]]</f>
        <v>613983.53</v>
      </c>
      <c r="G155" s="177">
        <f>[1]!Table32[[#This Row],[Incentive Disbursements]]/'[1]1.) CLM Reference'!$B$5</f>
        <v>4.9297605486052689E-3</v>
      </c>
      <c r="H155" s="333">
        <v>0</v>
      </c>
      <c r="I155" s="177">
        <f>[1]!Table32[[#This Row],[Residential CLM $ Collected]]/'[1]1.) CLM Reference'!$B$4</f>
        <v>0</v>
      </c>
      <c r="J155" s="333">
        <v>0</v>
      </c>
      <c r="K155" s="177">
        <f>[1]!Table32[[#This Row],[Residential Incentive Disbursements]]/'[1]1.) CLM Reference'!$B$5</f>
        <v>0</v>
      </c>
      <c r="L155" s="333">
        <v>421164.79633200006</v>
      </c>
      <c r="M155" s="177">
        <f>[1]!Table32[[#This Row],[C&amp;I CLM $ Collected]]/'[1]1.) CLM Reference'!$B$4</f>
        <v>4.5339958207350293E-3</v>
      </c>
      <c r="N155" s="333">
        <v>613983.53</v>
      </c>
      <c r="O155" s="177">
        <f>[1]!Table32[[#This Row],[C&amp;I Incentive Disbursements]]/'[1]1.) CLM Reference'!$B$5</f>
        <v>4.9297605486052689E-3</v>
      </c>
      <c r="P155" s="319">
        <f>VLOOKUP('3.) Large Load'!$B155,'Population and Diversity Data'!$B$2:$K$823,10,FALSE)</f>
        <v>5</v>
      </c>
      <c r="Q155" s="334" t="str">
        <f>VLOOKUP('3.) Large Load'!$B155,'ES Energy Burden'!$B$2:$E$914,4,FALSE)</f>
        <v>No</v>
      </c>
    </row>
    <row r="156" spans="1:17" x14ac:dyDescent="0.2">
      <c r="A156" s="335" t="s">
        <v>2811</v>
      </c>
      <c r="B156" s="336">
        <v>9005253100</v>
      </c>
      <c r="C156" s="318" t="s">
        <v>944</v>
      </c>
      <c r="D156" s="324">
        <f>[1]!Table32[[#This Row],[Residential CLM $ Collected]]+[1]!Table32[[#This Row],[C&amp;I CLM $ Collected]]</f>
        <v>0</v>
      </c>
      <c r="E156" s="325">
        <f>[1]!Table32[[#This Row],[CLM $ Collected ]]/'[1]1.) CLM Reference'!$B$4</f>
        <v>0</v>
      </c>
      <c r="F156" s="326">
        <f>[1]!Table32[[#This Row],[Residential Incentive Disbursements]]+[1]!Table32[[#This Row],[C&amp;I Incentive Disbursements]]</f>
        <v>32118</v>
      </c>
      <c r="G156" s="325">
        <f>[1]!Table32[[#This Row],[Incentive Disbursements]]/'[1]1.) CLM Reference'!$B$5</f>
        <v>2.5787996186168712E-4</v>
      </c>
      <c r="H156" s="337">
        <v>0</v>
      </c>
      <c r="I156" s="325">
        <f>[1]!Table32[[#This Row],[Residential CLM $ Collected]]/'[1]1.) CLM Reference'!$B$4</f>
        <v>0</v>
      </c>
      <c r="J156" s="337">
        <v>0</v>
      </c>
      <c r="K156" s="325">
        <f>[1]!Table32[[#This Row],[Residential Incentive Disbursements]]/'[1]1.) CLM Reference'!$B$5</f>
        <v>0</v>
      </c>
      <c r="L156" s="337">
        <v>0</v>
      </c>
      <c r="M156" s="325">
        <f>[1]!Table32[[#This Row],[C&amp;I CLM $ Collected]]/'[1]1.) CLM Reference'!$B$4</f>
        <v>0</v>
      </c>
      <c r="N156" s="337">
        <v>32118</v>
      </c>
      <c r="O156" s="325">
        <f>[1]!Table32[[#This Row],[C&amp;I Incentive Disbursements]]/'[1]1.) CLM Reference'!$B$5</f>
        <v>2.5787996186168712E-4</v>
      </c>
      <c r="P156" s="318">
        <f>VLOOKUP('3.) Large Load'!$B156,'Population and Diversity Data'!$B$2:$K$823,10,FALSE)</f>
        <v>4</v>
      </c>
      <c r="Q156" s="338" t="str">
        <f>VLOOKUP('3.) Large Load'!$B156,'ES Energy Burden'!$B$2:$E$914,4,FALSE)</f>
        <v>No</v>
      </c>
    </row>
    <row r="157" spans="1:17" x14ac:dyDescent="0.2">
      <c r="A157" s="329" t="s">
        <v>2811</v>
      </c>
      <c r="B157" s="330">
        <v>9005253200</v>
      </c>
      <c r="C157" s="319" t="s">
        <v>944</v>
      </c>
      <c r="D157" s="331">
        <f>[1]!Table32[[#This Row],[Residential CLM $ Collected]]+[1]!Table32[[#This Row],[C&amp;I CLM $ Collected]]</f>
        <v>0.51922500000000005</v>
      </c>
      <c r="E157" s="177">
        <f>[1]!Table32[[#This Row],[CLM $ Collected ]]/'[1]1.) CLM Reference'!$B$4</f>
        <v>5.589650418373005E-9</v>
      </c>
      <c r="F157" s="332">
        <f>[1]!Table32[[#This Row],[Residential Incentive Disbursements]]+[1]!Table32[[#This Row],[C&amp;I Incentive Disbursements]]</f>
        <v>0</v>
      </c>
      <c r="G157" s="177">
        <f>[1]!Table32[[#This Row],[Incentive Disbursements]]/'[1]1.) CLM Reference'!$B$5</f>
        <v>0</v>
      </c>
      <c r="H157" s="333">
        <v>0</v>
      </c>
      <c r="I157" s="177">
        <f>[1]!Table32[[#This Row],[Residential CLM $ Collected]]/'[1]1.) CLM Reference'!$B$4</f>
        <v>0</v>
      </c>
      <c r="J157" s="333">
        <v>0</v>
      </c>
      <c r="K157" s="177">
        <f>[1]!Table32[[#This Row],[Residential Incentive Disbursements]]/'[1]1.) CLM Reference'!$B$5</f>
        <v>0</v>
      </c>
      <c r="L157" s="333">
        <v>0.51922500000000005</v>
      </c>
      <c r="M157" s="177">
        <f>[1]!Table32[[#This Row],[C&amp;I CLM $ Collected]]/'[1]1.) CLM Reference'!$B$4</f>
        <v>5.589650418373005E-9</v>
      </c>
      <c r="N157" s="333">
        <v>0</v>
      </c>
      <c r="O157" s="177">
        <f>[1]!Table32[[#This Row],[C&amp;I Incentive Disbursements]]/'[1]1.) CLM Reference'!$B$5</f>
        <v>0</v>
      </c>
      <c r="P157" s="319">
        <f>VLOOKUP('3.) Large Load'!$B157,'Population and Diversity Data'!$B$2:$K$823,10,FALSE)</f>
        <v>4</v>
      </c>
      <c r="Q157" s="334" t="str">
        <f>VLOOKUP('3.) Large Load'!$B157,'ES Energy Burden'!$B$2:$E$914,4,FALSE)</f>
        <v>No</v>
      </c>
    </row>
    <row r="158" spans="1:17" x14ac:dyDescent="0.2">
      <c r="A158" s="335" t="s">
        <v>2811</v>
      </c>
      <c r="B158" s="336">
        <v>9005253400</v>
      </c>
      <c r="C158" s="318" t="s">
        <v>944</v>
      </c>
      <c r="D158" s="324">
        <f>[1]!Table32[[#This Row],[Residential CLM $ Collected]]+[1]!Table32[[#This Row],[C&amp;I CLM $ Collected]]</f>
        <v>160436.76001500001</v>
      </c>
      <c r="E158" s="325">
        <f>[1]!Table32[[#This Row],[CLM $ Collected ]]/'[1]1.) CLM Reference'!$B$4</f>
        <v>1.7271614478121318E-3</v>
      </c>
      <c r="F158" s="326">
        <f>[1]!Table32[[#This Row],[Residential Incentive Disbursements]]+[1]!Table32[[#This Row],[C&amp;I Incentive Disbursements]]</f>
        <v>92234.91</v>
      </c>
      <c r="G158" s="325">
        <f>[1]!Table32[[#This Row],[Incentive Disbursements]]/'[1]1.) CLM Reference'!$B$5</f>
        <v>7.4056712974394868E-4</v>
      </c>
      <c r="H158" s="337">
        <v>0</v>
      </c>
      <c r="I158" s="325">
        <f>[1]!Table32[[#This Row],[Residential CLM $ Collected]]/'[1]1.) CLM Reference'!$B$4</f>
        <v>0</v>
      </c>
      <c r="J158" s="337">
        <v>0</v>
      </c>
      <c r="K158" s="325">
        <f>[1]!Table32[[#This Row],[Residential Incentive Disbursements]]/'[1]1.) CLM Reference'!$B$5</f>
        <v>0</v>
      </c>
      <c r="L158" s="337">
        <v>160436.76001500001</v>
      </c>
      <c r="M158" s="325">
        <f>[1]!Table32[[#This Row],[C&amp;I CLM $ Collected]]/'[1]1.) CLM Reference'!$B$4</f>
        <v>1.7271614478121318E-3</v>
      </c>
      <c r="N158" s="337">
        <v>92234.91</v>
      </c>
      <c r="O158" s="325">
        <f>[1]!Table32[[#This Row],[C&amp;I Incentive Disbursements]]/'[1]1.) CLM Reference'!$B$5</f>
        <v>7.4056712974394868E-4</v>
      </c>
      <c r="P158" s="318">
        <f>VLOOKUP('3.) Large Load'!$B158,'Population and Diversity Data'!$B$2:$K$823,10,FALSE)</f>
        <v>2</v>
      </c>
      <c r="Q158" s="338" t="str">
        <f>VLOOKUP('3.) Large Load'!$B158,'ES Energy Burden'!$B$2:$E$914,4,FALSE)</f>
        <v>No</v>
      </c>
    </row>
    <row r="159" spans="1:17" x14ac:dyDescent="0.2">
      <c r="A159" s="329" t="s">
        <v>2811</v>
      </c>
      <c r="B159" s="330">
        <v>9005253500</v>
      </c>
      <c r="C159" s="319" t="s">
        <v>944</v>
      </c>
      <c r="D159" s="331">
        <f>[1]!Table32[[#This Row],[Residential CLM $ Collected]]+[1]!Table32[[#This Row],[C&amp;I CLM $ Collected]]</f>
        <v>7.2517620000000003</v>
      </c>
      <c r="E159" s="177">
        <f>[1]!Table32[[#This Row],[CLM $ Collected ]]/'[1]1.) CLM Reference'!$B$4</f>
        <v>7.8067917564141662E-8</v>
      </c>
      <c r="F159" s="332">
        <f>[1]!Table32[[#This Row],[Residential Incentive Disbursements]]+[1]!Table32[[#This Row],[C&amp;I Incentive Disbursements]]</f>
        <v>0</v>
      </c>
      <c r="G159" s="177">
        <f>[1]!Table32[[#This Row],[Incentive Disbursements]]/'[1]1.) CLM Reference'!$B$5</f>
        <v>0</v>
      </c>
      <c r="H159" s="333">
        <v>0</v>
      </c>
      <c r="I159" s="177">
        <f>[1]!Table32[[#This Row],[Residential CLM $ Collected]]/'[1]1.) CLM Reference'!$B$4</f>
        <v>0</v>
      </c>
      <c r="J159" s="333">
        <v>0</v>
      </c>
      <c r="K159" s="177">
        <f>[1]!Table32[[#This Row],[Residential Incentive Disbursements]]/'[1]1.) CLM Reference'!$B$5</f>
        <v>0</v>
      </c>
      <c r="L159" s="333">
        <v>7.2517620000000003</v>
      </c>
      <c r="M159" s="177">
        <f>[1]!Table32[[#This Row],[C&amp;I CLM $ Collected]]/'[1]1.) CLM Reference'!$B$4</f>
        <v>7.8067917564141662E-8</v>
      </c>
      <c r="N159" s="333">
        <v>0</v>
      </c>
      <c r="O159" s="177">
        <f>[1]!Table32[[#This Row],[C&amp;I Incentive Disbursements]]/'[1]1.) CLM Reference'!$B$5</f>
        <v>0</v>
      </c>
      <c r="P159" s="319">
        <f>VLOOKUP('3.) Large Load'!$B159,'Population and Diversity Data'!$B$2:$K$823,10,FALSE)</f>
        <v>4</v>
      </c>
      <c r="Q159" s="334" t="str">
        <f>VLOOKUP('3.) Large Load'!$B159,'ES Energy Burden'!$B$2:$E$914,4,FALSE)</f>
        <v>No</v>
      </c>
    </row>
    <row r="160" spans="1:17" x14ac:dyDescent="0.2">
      <c r="A160" s="335" t="s">
        <v>2812</v>
      </c>
      <c r="B160" s="336">
        <v>9003494201</v>
      </c>
      <c r="C160" s="318" t="s">
        <v>944</v>
      </c>
      <c r="D160" s="324">
        <f>[1]!Table32[[#This Row],[Residential CLM $ Collected]]+[1]!Table32[[#This Row],[C&amp;I CLM $ Collected]]</f>
        <v>570514.47681899997</v>
      </c>
      <c r="E160" s="325">
        <f>[1]!Table32[[#This Row],[CLM $ Collected ]]/'[1]1.) CLM Reference'!$B$4</f>
        <v>6.1418007300094932E-3</v>
      </c>
      <c r="F160" s="326">
        <f>[1]!Table32[[#This Row],[Residential Incentive Disbursements]]+[1]!Table32[[#This Row],[C&amp;I Incentive Disbursements]]</f>
        <v>356588.11359999998</v>
      </c>
      <c r="G160" s="325">
        <f>[1]!Table32[[#This Row],[Incentive Disbursements]]/'[1]1.) CLM Reference'!$B$5</f>
        <v>2.8630963676287112E-3</v>
      </c>
      <c r="H160" s="337">
        <v>0</v>
      </c>
      <c r="I160" s="325">
        <f>[1]!Table32[[#This Row],[Residential CLM $ Collected]]/'[1]1.) CLM Reference'!$B$4</f>
        <v>0</v>
      </c>
      <c r="J160" s="337">
        <v>0</v>
      </c>
      <c r="K160" s="325">
        <f>[1]!Table32[[#This Row],[Residential Incentive Disbursements]]/'[1]1.) CLM Reference'!$B$5</f>
        <v>0</v>
      </c>
      <c r="L160" s="337">
        <v>570514.47681899997</v>
      </c>
      <c r="M160" s="325">
        <f>[1]!Table32[[#This Row],[C&amp;I CLM $ Collected]]/'[1]1.) CLM Reference'!$B$4</f>
        <v>6.1418007300094932E-3</v>
      </c>
      <c r="N160" s="337">
        <v>356588.11359999998</v>
      </c>
      <c r="O160" s="325">
        <f>[1]!Table32[[#This Row],[C&amp;I Incentive Disbursements]]/'[1]1.) CLM Reference'!$B$5</f>
        <v>2.8630963676287112E-3</v>
      </c>
      <c r="P160" s="318">
        <f>VLOOKUP('3.) Large Load'!$B160,'Population and Diversity Data'!$B$2:$K$823,10,FALSE)</f>
        <v>4</v>
      </c>
      <c r="Q160" s="338" t="str">
        <f>VLOOKUP('3.) Large Load'!$B160,'ES Energy Burden'!$B$2:$E$914,4,FALSE)</f>
        <v>No</v>
      </c>
    </row>
    <row r="161" spans="1:17" x14ac:dyDescent="0.2">
      <c r="A161" s="329" t="s">
        <v>2812</v>
      </c>
      <c r="B161" s="330">
        <v>9003494400</v>
      </c>
      <c r="C161" s="319" t="s">
        <v>944</v>
      </c>
      <c r="D161" s="331">
        <f>[1]!Table32[[#This Row],[Residential CLM $ Collected]]+[1]!Table32[[#This Row],[C&amp;I CLM $ Collected]]</f>
        <v>2027.9706510000001</v>
      </c>
      <c r="E161" s="177">
        <f>[1]!Table32[[#This Row],[CLM $ Collected ]]/'[1]1.) CLM Reference'!$B$4</f>
        <v>2.1831859016438587E-5</v>
      </c>
      <c r="F161" s="332">
        <f>[1]!Table32[[#This Row],[Residential Incentive Disbursements]]+[1]!Table32[[#This Row],[C&amp;I Incentive Disbursements]]</f>
        <v>0</v>
      </c>
      <c r="G161" s="177">
        <f>[1]!Table32[[#This Row],[Incentive Disbursements]]/'[1]1.) CLM Reference'!$B$5</f>
        <v>0</v>
      </c>
      <c r="H161" s="333">
        <v>0</v>
      </c>
      <c r="I161" s="177">
        <f>[1]!Table32[[#This Row],[Residential CLM $ Collected]]/'[1]1.) CLM Reference'!$B$4</f>
        <v>0</v>
      </c>
      <c r="J161" s="333">
        <v>0</v>
      </c>
      <c r="K161" s="177">
        <f>[1]!Table32[[#This Row],[Residential Incentive Disbursements]]/'[1]1.) CLM Reference'!$B$5</f>
        <v>0</v>
      </c>
      <c r="L161" s="333">
        <v>2027.9706510000001</v>
      </c>
      <c r="M161" s="177">
        <f>[1]!Table32[[#This Row],[C&amp;I CLM $ Collected]]/'[1]1.) CLM Reference'!$B$4</f>
        <v>2.1831859016438587E-5</v>
      </c>
      <c r="N161" s="333">
        <v>0</v>
      </c>
      <c r="O161" s="177">
        <f>[1]!Table32[[#This Row],[C&amp;I Incentive Disbursements]]/'[1]1.) CLM Reference'!$B$5</f>
        <v>0</v>
      </c>
      <c r="P161" s="319">
        <f>VLOOKUP('3.) Large Load'!$B161,'Population and Diversity Data'!$B$2:$K$823,10,FALSE)</f>
        <v>4</v>
      </c>
      <c r="Q161" s="334" t="str">
        <f>VLOOKUP('3.) Large Load'!$B161,'ES Energy Burden'!$B$2:$E$914,4,FALSE)</f>
        <v>No</v>
      </c>
    </row>
    <row r="162" spans="1:17" x14ac:dyDescent="0.2">
      <c r="A162" s="335" t="s">
        <v>2813</v>
      </c>
      <c r="B162" s="336">
        <v>9001100100</v>
      </c>
      <c r="C162" s="318" t="s">
        <v>944</v>
      </c>
      <c r="D162" s="324">
        <f>[1]!Table32[[#This Row],[Residential CLM $ Collected]]+[1]!Table32[[#This Row],[C&amp;I CLM $ Collected]]</f>
        <v>0</v>
      </c>
      <c r="E162" s="325">
        <f>[1]!Table32[[#This Row],[CLM $ Collected ]]/'[1]1.) CLM Reference'!$B$4</f>
        <v>0</v>
      </c>
      <c r="F162" s="326">
        <f>[1]!Table32[[#This Row],[Residential Incentive Disbursements]]+[1]!Table32[[#This Row],[C&amp;I Incentive Disbursements]]</f>
        <v>17030</v>
      </c>
      <c r="G162" s="325">
        <f>[1]!Table32[[#This Row],[Incentive Disbursements]]/'[1]1.) CLM Reference'!$B$5</f>
        <v>1.3673627718116109E-4</v>
      </c>
      <c r="H162" s="337">
        <v>0</v>
      </c>
      <c r="I162" s="325">
        <f>[1]!Table32[[#This Row],[Residential CLM $ Collected]]/'[1]1.) CLM Reference'!$B$4</f>
        <v>0</v>
      </c>
      <c r="J162" s="337">
        <v>0</v>
      </c>
      <c r="K162" s="325">
        <f>[1]!Table32[[#This Row],[Residential Incentive Disbursements]]/'[1]1.) CLM Reference'!$B$5</f>
        <v>0</v>
      </c>
      <c r="L162" s="337">
        <v>0</v>
      </c>
      <c r="M162" s="325">
        <f>[1]!Table32[[#This Row],[C&amp;I CLM $ Collected]]/'[1]1.) CLM Reference'!$B$4</f>
        <v>0</v>
      </c>
      <c r="N162" s="337">
        <v>17030</v>
      </c>
      <c r="O162" s="325">
        <f>[1]!Table32[[#This Row],[C&amp;I Incentive Disbursements]]/'[1]1.) CLM Reference'!$B$5</f>
        <v>1.3673627718116109E-4</v>
      </c>
      <c r="P162" s="318">
        <f>VLOOKUP('3.) Large Load'!$B162,'Population and Diversity Data'!$B$2:$K$823,10,FALSE)</f>
        <v>3</v>
      </c>
      <c r="Q162" s="338" t="str">
        <f>VLOOKUP('3.) Large Load'!$B162,'ES Energy Burden'!$B$2:$E$914,4,FALSE)</f>
        <v>No</v>
      </c>
    </row>
    <row r="163" spans="1:17" x14ac:dyDescent="0.2">
      <c r="A163" s="329" t="s">
        <v>2813</v>
      </c>
      <c r="B163" s="330">
        <v>9001230100</v>
      </c>
      <c r="C163" s="319" t="s">
        <v>944</v>
      </c>
      <c r="D163" s="331">
        <f>[1]!Table32[[#This Row],[Residential CLM $ Collected]]+[1]!Table32[[#This Row],[C&amp;I CLM $ Collected]]</f>
        <v>202018.35801</v>
      </c>
      <c r="E163" s="177">
        <f>[1]!Table32[[#This Row],[CLM $ Collected ]]/'[1]1.) CLM Reference'!$B$4</f>
        <v>2.174802829928497E-3</v>
      </c>
      <c r="F163" s="332">
        <f>[1]!Table32[[#This Row],[Residential Incentive Disbursements]]+[1]!Table32[[#This Row],[C&amp;I Incentive Disbursements]]</f>
        <v>433351.03200000001</v>
      </c>
      <c r="G163" s="177">
        <f>[1]!Table32[[#This Row],[Incentive Disbursements]]/'[1]1.) CLM Reference'!$B$5</f>
        <v>3.479436689858732E-3</v>
      </c>
      <c r="H163" s="333">
        <v>0</v>
      </c>
      <c r="I163" s="177">
        <f>[1]!Table32[[#This Row],[Residential CLM $ Collected]]/'[1]1.) CLM Reference'!$B$4</f>
        <v>0</v>
      </c>
      <c r="J163" s="333">
        <v>0</v>
      </c>
      <c r="K163" s="177">
        <f>[1]!Table32[[#This Row],[Residential Incentive Disbursements]]/'[1]1.) CLM Reference'!$B$5</f>
        <v>0</v>
      </c>
      <c r="L163" s="333">
        <v>202018.35801</v>
      </c>
      <c r="M163" s="177">
        <f>[1]!Table32[[#This Row],[C&amp;I CLM $ Collected]]/'[1]1.) CLM Reference'!$B$4</f>
        <v>2.174802829928497E-3</v>
      </c>
      <c r="N163" s="333">
        <v>433351.03200000001</v>
      </c>
      <c r="O163" s="177">
        <f>[1]!Table32[[#This Row],[C&amp;I Incentive Disbursements]]/'[1]1.) CLM Reference'!$B$5</f>
        <v>3.479436689858732E-3</v>
      </c>
      <c r="P163" s="319">
        <f>VLOOKUP('3.) Large Load'!$B163,'Population and Diversity Data'!$B$2:$K$823,10,FALSE)</f>
        <v>2</v>
      </c>
      <c r="Q163" s="334" t="str">
        <f>VLOOKUP('3.) Large Load'!$B163,'ES Energy Burden'!$B$2:$E$914,4,FALSE)</f>
        <v>No</v>
      </c>
    </row>
    <row r="164" spans="1:17" x14ac:dyDescent="0.2">
      <c r="A164" s="335" t="s">
        <v>2813</v>
      </c>
      <c r="B164" s="336">
        <v>9001230200</v>
      </c>
      <c r="C164" s="318" t="s">
        <v>944</v>
      </c>
      <c r="D164" s="324">
        <f>[1]!Table32[[#This Row],[Residential CLM $ Collected]]+[1]!Table32[[#This Row],[C&amp;I CLM $ Collected]]</f>
        <v>17.725617</v>
      </c>
      <c r="E164" s="325">
        <f>[1]!Table32[[#This Row],[CLM $ Collected ]]/'[1]1.) CLM Reference'!$B$4</f>
        <v>1.9082286577104268E-7</v>
      </c>
      <c r="F164" s="326">
        <f>[1]!Table32[[#This Row],[Residential Incentive Disbursements]]+[1]!Table32[[#This Row],[C&amp;I Incentive Disbursements]]</f>
        <v>0</v>
      </c>
      <c r="G164" s="325">
        <f>[1]!Table32[[#This Row],[Incentive Disbursements]]/'[1]1.) CLM Reference'!$B$5</f>
        <v>0</v>
      </c>
      <c r="H164" s="337">
        <v>0</v>
      </c>
      <c r="I164" s="325">
        <f>[1]!Table32[[#This Row],[Residential CLM $ Collected]]/'[1]1.) CLM Reference'!$B$4</f>
        <v>0</v>
      </c>
      <c r="J164" s="337">
        <v>0</v>
      </c>
      <c r="K164" s="325">
        <f>[1]!Table32[[#This Row],[Residential Incentive Disbursements]]/'[1]1.) CLM Reference'!$B$5</f>
        <v>0</v>
      </c>
      <c r="L164" s="337">
        <v>17.725617</v>
      </c>
      <c r="M164" s="325">
        <f>[1]!Table32[[#This Row],[C&amp;I CLM $ Collected]]/'[1]1.) CLM Reference'!$B$4</f>
        <v>1.9082286577104268E-7</v>
      </c>
      <c r="N164" s="337">
        <v>0</v>
      </c>
      <c r="O164" s="325">
        <f>[1]!Table32[[#This Row],[C&amp;I Incentive Disbursements]]/'[1]1.) CLM Reference'!$B$5</f>
        <v>0</v>
      </c>
      <c r="P164" s="318">
        <f>VLOOKUP('3.) Large Load'!$B164,'Population and Diversity Data'!$B$2:$K$823,10,FALSE)</f>
        <v>2</v>
      </c>
      <c r="Q164" s="338" t="str">
        <f>VLOOKUP('3.) Large Load'!$B164,'ES Energy Burden'!$B$2:$E$914,4,FALSE)</f>
        <v>No</v>
      </c>
    </row>
    <row r="165" spans="1:17" x14ac:dyDescent="0.2">
      <c r="A165" s="329" t="s">
        <v>2814</v>
      </c>
      <c r="B165" s="330">
        <v>9005425600</v>
      </c>
      <c r="C165" s="319" t="s">
        <v>944</v>
      </c>
      <c r="D165" s="331">
        <f>[1]!Table32[[#This Row],[Residential CLM $ Collected]]+[1]!Table32[[#This Row],[C&amp;I CLM $ Collected]]</f>
        <v>562.93988100000001</v>
      </c>
      <c r="E165" s="177">
        <f>[1]!Table32[[#This Row],[CLM $ Collected ]]/'[1]1.) CLM Reference'!$B$4</f>
        <v>6.0602573862015494E-6</v>
      </c>
      <c r="F165" s="332">
        <f>[1]!Table32[[#This Row],[Residential Incentive Disbursements]]+[1]!Table32[[#This Row],[C&amp;I Incentive Disbursements]]</f>
        <v>1806</v>
      </c>
      <c r="G165" s="177">
        <f>[1]!Table32[[#This Row],[Incentive Disbursements]]/'[1]1.) CLM Reference'!$B$5</f>
        <v>1.4500629277109625E-5</v>
      </c>
      <c r="H165" s="333">
        <v>0</v>
      </c>
      <c r="I165" s="177">
        <f>[1]!Table32[[#This Row],[Residential CLM $ Collected]]/'[1]1.) CLM Reference'!$B$4</f>
        <v>0</v>
      </c>
      <c r="J165" s="333">
        <v>0</v>
      </c>
      <c r="K165" s="177">
        <f>[1]!Table32[[#This Row],[Residential Incentive Disbursements]]/'[1]1.) CLM Reference'!$B$5</f>
        <v>0</v>
      </c>
      <c r="L165" s="333">
        <v>562.93988100000001</v>
      </c>
      <c r="M165" s="177">
        <f>[1]!Table32[[#This Row],[C&amp;I CLM $ Collected]]/'[1]1.) CLM Reference'!$B$4</f>
        <v>6.0602573862015494E-6</v>
      </c>
      <c r="N165" s="333">
        <v>1806</v>
      </c>
      <c r="O165" s="177">
        <f>[1]!Table32[[#This Row],[C&amp;I Incentive Disbursements]]/'[1]1.) CLM Reference'!$B$5</f>
        <v>1.4500629277109625E-5</v>
      </c>
      <c r="P165" s="319">
        <f>VLOOKUP('3.) Large Load'!$B165,'Population and Diversity Data'!$B$2:$K$823,10,FALSE)</f>
        <v>1</v>
      </c>
      <c r="Q165" s="334" t="str">
        <f>VLOOKUP('3.) Large Load'!$B165,'ES Energy Burden'!$B$2:$E$914,4,FALSE)</f>
        <v>No</v>
      </c>
    </row>
    <row r="166" spans="1:17" x14ac:dyDescent="0.2">
      <c r="A166" s="335" t="s">
        <v>2815</v>
      </c>
      <c r="B166" s="336">
        <v>9005260200</v>
      </c>
      <c r="C166" s="318" t="s">
        <v>944</v>
      </c>
      <c r="D166" s="324">
        <f>[1]!Table32[[#This Row],[Residential CLM $ Collected]]+[1]!Table32[[#This Row],[C&amp;I CLM $ Collected]]</f>
        <v>286761.10310399998</v>
      </c>
      <c r="E166" s="325">
        <f>[1]!Table32[[#This Row],[CLM $ Collected ]]/'[1]1.) CLM Reference'!$B$4</f>
        <v>3.0870900282890419E-3</v>
      </c>
      <c r="F166" s="326">
        <f>[1]!Table32[[#This Row],[Residential Incentive Disbursements]]+[1]!Table32[[#This Row],[C&amp;I Incentive Disbursements]]</f>
        <v>26230.629999999997</v>
      </c>
      <c r="G166" s="325">
        <f>[1]!Table32[[#This Row],[Incentive Disbursements]]/'[1]1.) CLM Reference'!$B$5</f>
        <v>2.1060943595516612E-4</v>
      </c>
      <c r="H166" s="337">
        <v>0</v>
      </c>
      <c r="I166" s="325">
        <f>[1]!Table32[[#This Row],[Residential CLM $ Collected]]/'[1]1.) CLM Reference'!$B$4</f>
        <v>0</v>
      </c>
      <c r="J166" s="337">
        <v>0</v>
      </c>
      <c r="K166" s="325">
        <f>[1]!Table32[[#This Row],[Residential Incentive Disbursements]]/'[1]1.) CLM Reference'!$B$5</f>
        <v>0</v>
      </c>
      <c r="L166" s="337">
        <v>286761.10310399998</v>
      </c>
      <c r="M166" s="325">
        <f>[1]!Table32[[#This Row],[C&amp;I CLM $ Collected]]/'[1]1.) CLM Reference'!$B$4</f>
        <v>3.0870900282890419E-3</v>
      </c>
      <c r="N166" s="337">
        <v>26230.629999999997</v>
      </c>
      <c r="O166" s="325">
        <f>[1]!Table32[[#This Row],[C&amp;I Incentive Disbursements]]/'[1]1.) CLM Reference'!$B$5</f>
        <v>2.1060943595516612E-4</v>
      </c>
      <c r="P166" s="318">
        <f>VLOOKUP('3.) Large Load'!$B166,'Population and Diversity Data'!$B$2:$K$823,10,FALSE)</f>
        <v>1</v>
      </c>
      <c r="Q166" s="338" t="str">
        <f>VLOOKUP('3.) Large Load'!$B166,'ES Energy Burden'!$B$2:$E$914,4,FALSE)</f>
        <v>No</v>
      </c>
    </row>
    <row r="167" spans="1:17" x14ac:dyDescent="0.2">
      <c r="A167" s="329" t="s">
        <v>2816</v>
      </c>
      <c r="B167" s="330">
        <v>9011707100</v>
      </c>
      <c r="C167" s="319" t="s">
        <v>944</v>
      </c>
      <c r="D167" s="331">
        <f>[1]!Table32[[#This Row],[Residential CLM $ Collected]]+[1]!Table32[[#This Row],[C&amp;I CLM $ Collected]]</f>
        <v>34809.488805000001</v>
      </c>
      <c r="E167" s="177">
        <f>[1]!Table32[[#This Row],[CLM $ Collected ]]/'[1]1.) CLM Reference'!$B$4</f>
        <v>3.7473710561359463E-4</v>
      </c>
      <c r="F167" s="332">
        <f>[1]!Table32[[#This Row],[Residential Incentive Disbursements]]+[1]!Table32[[#This Row],[C&amp;I Incentive Disbursements]]</f>
        <v>24981.15</v>
      </c>
      <c r="G167" s="177">
        <f>[1]!Table32[[#This Row],[Incentive Disbursements]]/'[1]1.) CLM Reference'!$B$5</f>
        <v>2.0057718442185335E-4</v>
      </c>
      <c r="H167" s="333">
        <v>0</v>
      </c>
      <c r="I167" s="177">
        <f>[1]!Table32[[#This Row],[Residential CLM $ Collected]]/'[1]1.) CLM Reference'!$B$4</f>
        <v>0</v>
      </c>
      <c r="J167" s="333">
        <v>0</v>
      </c>
      <c r="K167" s="177">
        <f>[1]!Table32[[#This Row],[Residential Incentive Disbursements]]/'[1]1.) CLM Reference'!$B$5</f>
        <v>0</v>
      </c>
      <c r="L167" s="333">
        <v>34809.488805000001</v>
      </c>
      <c r="M167" s="177">
        <f>[1]!Table32[[#This Row],[C&amp;I CLM $ Collected]]/'[1]1.) CLM Reference'!$B$4</f>
        <v>3.7473710561359463E-4</v>
      </c>
      <c r="N167" s="333">
        <v>24981.15</v>
      </c>
      <c r="O167" s="177">
        <f>[1]!Table32[[#This Row],[C&amp;I Incentive Disbursements]]/'[1]1.) CLM Reference'!$B$5</f>
        <v>2.0057718442185335E-4</v>
      </c>
      <c r="P167" s="319">
        <f>VLOOKUP('3.) Large Load'!$B167,'Population and Diversity Data'!$B$2:$K$823,10,FALSE)</f>
        <v>3</v>
      </c>
      <c r="Q167" s="334" t="str">
        <f>VLOOKUP('3.) Large Load'!$B167,'ES Energy Burden'!$B$2:$E$914,4,FALSE)</f>
        <v>No</v>
      </c>
    </row>
    <row r="168" spans="1:17" x14ac:dyDescent="0.2">
      <c r="A168" s="335" t="s">
        <v>2817</v>
      </c>
      <c r="B168" s="336">
        <v>9001043000</v>
      </c>
      <c r="C168" s="318" t="s">
        <v>944</v>
      </c>
      <c r="D168" s="324">
        <f>[1]!Table32[[#This Row],[Residential CLM $ Collected]]+[1]!Table32[[#This Row],[C&amp;I CLM $ Collected]]</f>
        <v>0.66992099999999999</v>
      </c>
      <c r="E168" s="325">
        <f>[1]!Table32[[#This Row],[CLM $ Collected ]]/'[1]1.) CLM Reference'!$B$4</f>
        <v>7.2119489584031233E-9</v>
      </c>
      <c r="F168" s="326">
        <f>[1]!Table32[[#This Row],[Residential Incentive Disbursements]]+[1]!Table32[[#This Row],[C&amp;I Incentive Disbursements]]</f>
        <v>0</v>
      </c>
      <c r="G168" s="325">
        <f>[1]!Table32[[#This Row],[Incentive Disbursements]]/'[1]1.) CLM Reference'!$B$5</f>
        <v>0</v>
      </c>
      <c r="H168" s="337">
        <v>0</v>
      </c>
      <c r="I168" s="325">
        <f>[1]!Table32[[#This Row],[Residential CLM $ Collected]]/'[1]1.) CLM Reference'!$B$4</f>
        <v>0</v>
      </c>
      <c r="J168" s="337">
        <v>0</v>
      </c>
      <c r="K168" s="325">
        <f>[1]!Table32[[#This Row],[Residential Incentive Disbursements]]/'[1]1.) CLM Reference'!$B$5</f>
        <v>0</v>
      </c>
      <c r="L168" s="337">
        <v>0.66992099999999999</v>
      </c>
      <c r="M168" s="325">
        <f>[1]!Table32[[#This Row],[C&amp;I CLM $ Collected]]/'[1]1.) CLM Reference'!$B$4</f>
        <v>7.2119489584031233E-9</v>
      </c>
      <c r="N168" s="337">
        <v>0</v>
      </c>
      <c r="O168" s="325">
        <f>[1]!Table32[[#This Row],[C&amp;I Incentive Disbursements]]/'[1]1.) CLM Reference'!$B$5</f>
        <v>0</v>
      </c>
      <c r="P168" s="318">
        <f>VLOOKUP('3.) Large Load'!$B168,'Population and Diversity Data'!$B$2:$K$823,10,FALSE)</f>
        <v>3</v>
      </c>
      <c r="Q168" s="338" t="str">
        <f>VLOOKUP('3.) Large Load'!$B168,'ES Energy Burden'!$B$2:$E$914,4,FALSE)</f>
        <v>No</v>
      </c>
    </row>
    <row r="169" spans="1:17" x14ac:dyDescent="0.2">
      <c r="A169" s="329" t="s">
        <v>2817</v>
      </c>
      <c r="B169" s="330">
        <v>9001043200</v>
      </c>
      <c r="C169" s="319" t="s">
        <v>944</v>
      </c>
      <c r="D169" s="331">
        <f>[1]!Table32[[#This Row],[Residential CLM $ Collected]]+[1]!Table32[[#This Row],[C&amp;I CLM $ Collected]]</f>
        <v>785284.53038700006</v>
      </c>
      <c r="E169" s="177">
        <f>[1]!Table32[[#This Row],[CLM $ Collected ]]/'[1]1.) CLM Reference'!$B$4</f>
        <v>8.4538803097299695E-3</v>
      </c>
      <c r="F169" s="332">
        <f>[1]!Table32[[#This Row],[Residential Incentive Disbursements]]+[1]!Table32[[#This Row],[C&amp;I Incentive Disbursements]]</f>
        <v>879791.03599999996</v>
      </c>
      <c r="G169" s="177">
        <f>[1]!Table32[[#This Row],[Incentive Disbursements]]/'[1]1.) CLM Reference'!$B$5</f>
        <v>7.0639665860244786E-3</v>
      </c>
      <c r="H169" s="333">
        <v>0</v>
      </c>
      <c r="I169" s="177">
        <f>[1]!Table32[[#This Row],[Residential CLM $ Collected]]/'[1]1.) CLM Reference'!$B$4</f>
        <v>0</v>
      </c>
      <c r="J169" s="333">
        <v>0</v>
      </c>
      <c r="K169" s="177">
        <f>[1]!Table32[[#This Row],[Residential Incentive Disbursements]]/'[1]1.) CLM Reference'!$B$5</f>
        <v>0</v>
      </c>
      <c r="L169" s="333">
        <v>785284.53038700006</v>
      </c>
      <c r="M169" s="177">
        <f>[1]!Table32[[#This Row],[C&amp;I CLM $ Collected]]/'[1]1.) CLM Reference'!$B$4</f>
        <v>8.4538803097299695E-3</v>
      </c>
      <c r="N169" s="333">
        <v>879791.03599999996</v>
      </c>
      <c r="O169" s="177">
        <f>[1]!Table32[[#This Row],[C&amp;I Incentive Disbursements]]/'[1]1.) CLM Reference'!$B$5</f>
        <v>7.0639665860244786E-3</v>
      </c>
      <c r="P169" s="319">
        <f>VLOOKUP('3.) Large Load'!$B169,'Population and Diversity Data'!$B$2:$K$823,10,FALSE)</f>
        <v>3</v>
      </c>
      <c r="Q169" s="334" t="str">
        <f>VLOOKUP('3.) Large Load'!$B169,'ES Energy Burden'!$B$2:$E$914,4,FALSE)</f>
        <v>No</v>
      </c>
    </row>
    <row r="170" spans="1:17" x14ac:dyDescent="0.2">
      <c r="A170" s="335" t="s">
        <v>2817</v>
      </c>
      <c r="B170" s="336">
        <v>9001043500</v>
      </c>
      <c r="C170" s="318" t="s">
        <v>944</v>
      </c>
      <c r="D170" s="324">
        <f>[1]!Table32[[#This Row],[Residential CLM $ Collected]]+[1]!Table32[[#This Row],[C&amp;I CLM $ Collected]]</f>
        <v>5.7505980000000001</v>
      </c>
      <c r="E170" s="325">
        <f>[1]!Table32[[#This Row],[CLM $ Collected ]]/'[1]1.) CLM Reference'!$B$4</f>
        <v>6.1907328261533941E-8</v>
      </c>
      <c r="F170" s="326">
        <f>[1]!Table32[[#This Row],[Residential Incentive Disbursements]]+[1]!Table32[[#This Row],[C&amp;I Incentive Disbursements]]</f>
        <v>0</v>
      </c>
      <c r="G170" s="325">
        <f>[1]!Table32[[#This Row],[Incentive Disbursements]]/'[1]1.) CLM Reference'!$B$5</f>
        <v>0</v>
      </c>
      <c r="H170" s="337">
        <v>0</v>
      </c>
      <c r="I170" s="325">
        <f>[1]!Table32[[#This Row],[Residential CLM $ Collected]]/'[1]1.) CLM Reference'!$B$4</f>
        <v>0</v>
      </c>
      <c r="J170" s="337">
        <v>0</v>
      </c>
      <c r="K170" s="325">
        <f>[1]!Table32[[#This Row],[Residential Incentive Disbursements]]/'[1]1.) CLM Reference'!$B$5</f>
        <v>0</v>
      </c>
      <c r="L170" s="337">
        <v>5.7505980000000001</v>
      </c>
      <c r="M170" s="325">
        <f>[1]!Table32[[#This Row],[C&amp;I CLM $ Collected]]/'[1]1.) CLM Reference'!$B$4</f>
        <v>6.1907328261533941E-8</v>
      </c>
      <c r="N170" s="337">
        <v>0</v>
      </c>
      <c r="O170" s="325">
        <f>[1]!Table32[[#This Row],[C&amp;I Incentive Disbursements]]/'[1]1.) CLM Reference'!$B$5</f>
        <v>0</v>
      </c>
      <c r="P170" s="318">
        <f>VLOOKUP('3.) Large Load'!$B170,'Population and Diversity Data'!$B$2:$K$823,10,FALSE)</f>
        <v>1</v>
      </c>
      <c r="Q170" s="338" t="str">
        <f>VLOOKUP('3.) Large Load'!$B170,'ES Energy Burden'!$B$2:$E$914,4,FALSE)</f>
        <v>No</v>
      </c>
    </row>
    <row r="171" spans="1:17" x14ac:dyDescent="0.2">
      <c r="A171" s="329" t="s">
        <v>2818</v>
      </c>
      <c r="B171" s="330">
        <v>9011660101</v>
      </c>
      <c r="C171" s="319" t="s">
        <v>944</v>
      </c>
      <c r="D171" s="331">
        <f>[1]!Table32[[#This Row],[Residential CLM $ Collected]]+[1]!Table32[[#This Row],[C&amp;I CLM $ Collected]]</f>
        <v>25400.838141</v>
      </c>
      <c r="E171" s="177">
        <f>[1]!Table32[[#This Row],[CLM $ Collected ]]/'[1]1.) CLM Reference'!$B$4</f>
        <v>2.7344947863039263E-4</v>
      </c>
      <c r="F171" s="332">
        <f>[1]!Table32[[#This Row],[Residential Incentive Disbursements]]+[1]!Table32[[#This Row],[C&amp;I Incentive Disbursements]]</f>
        <v>188909</v>
      </c>
      <c r="G171" s="177">
        <f>[1]!Table32[[#This Row],[Incentive Disbursements]]/'[1]1.) CLM Reference'!$B$5</f>
        <v>1.516777063183556E-3</v>
      </c>
      <c r="H171" s="333">
        <v>0</v>
      </c>
      <c r="I171" s="177">
        <f>[1]!Table32[[#This Row],[Residential CLM $ Collected]]/'[1]1.) CLM Reference'!$B$4</f>
        <v>0</v>
      </c>
      <c r="J171" s="333">
        <v>0</v>
      </c>
      <c r="K171" s="177">
        <f>[1]!Table32[[#This Row],[Residential Incentive Disbursements]]/'[1]1.) CLM Reference'!$B$5</f>
        <v>0</v>
      </c>
      <c r="L171" s="333">
        <v>25400.838141</v>
      </c>
      <c r="M171" s="177">
        <f>[1]!Table32[[#This Row],[C&amp;I CLM $ Collected]]/'[1]1.) CLM Reference'!$B$4</f>
        <v>2.7344947863039263E-4</v>
      </c>
      <c r="N171" s="333">
        <v>188909</v>
      </c>
      <c r="O171" s="177">
        <f>[1]!Table32[[#This Row],[C&amp;I Incentive Disbursements]]/'[1]1.) CLM Reference'!$B$5</f>
        <v>1.516777063183556E-3</v>
      </c>
      <c r="P171" s="319">
        <f>VLOOKUP('3.) Large Load'!$B171,'Population and Diversity Data'!$B$2:$K$823,10,FALSE)</f>
        <v>2</v>
      </c>
      <c r="Q171" s="334" t="str">
        <f>VLOOKUP('3.) Large Load'!$B171,'ES Energy Burden'!$B$2:$E$914,4,FALSE)</f>
        <v>No</v>
      </c>
    </row>
    <row r="172" spans="1:17" x14ac:dyDescent="0.2">
      <c r="A172" s="335" t="s">
        <v>2818</v>
      </c>
      <c r="B172" s="336">
        <v>9011660102</v>
      </c>
      <c r="C172" s="318" t="s">
        <v>944</v>
      </c>
      <c r="D172" s="324">
        <f>[1]!Table32[[#This Row],[Residential CLM $ Collected]]+[1]!Table32[[#This Row],[C&amp;I CLM $ Collected]]</f>
        <v>7.3739610000000004</v>
      </c>
      <c r="E172" s="325">
        <f>[1]!Table32[[#This Row],[CLM $ Collected ]]/'[1]1.) CLM Reference'!$B$4</f>
        <v>7.9383435290512243E-8</v>
      </c>
      <c r="F172" s="326">
        <f>[1]!Table32[[#This Row],[Residential Incentive Disbursements]]+[1]!Table32[[#This Row],[C&amp;I Incentive Disbursements]]</f>
        <v>0</v>
      </c>
      <c r="G172" s="325">
        <f>[1]!Table32[[#This Row],[Incentive Disbursements]]/'[1]1.) CLM Reference'!$B$5</f>
        <v>0</v>
      </c>
      <c r="H172" s="337">
        <v>0</v>
      </c>
      <c r="I172" s="325">
        <f>[1]!Table32[[#This Row],[Residential CLM $ Collected]]/'[1]1.) CLM Reference'!$B$4</f>
        <v>0</v>
      </c>
      <c r="J172" s="337">
        <v>0</v>
      </c>
      <c r="K172" s="325">
        <f>[1]!Table32[[#This Row],[Residential Incentive Disbursements]]/'[1]1.) CLM Reference'!$B$5</f>
        <v>0</v>
      </c>
      <c r="L172" s="337">
        <v>7.3739610000000004</v>
      </c>
      <c r="M172" s="325">
        <f>[1]!Table32[[#This Row],[C&amp;I CLM $ Collected]]/'[1]1.) CLM Reference'!$B$4</f>
        <v>7.9383435290512243E-8</v>
      </c>
      <c r="N172" s="337">
        <v>0</v>
      </c>
      <c r="O172" s="325">
        <f>[1]!Table32[[#This Row],[C&amp;I Incentive Disbursements]]/'[1]1.) CLM Reference'!$B$5</f>
        <v>0</v>
      </c>
      <c r="P172" s="318">
        <f>VLOOKUP('3.) Large Load'!$B172,'Population and Diversity Data'!$B$2:$K$823,10,FALSE)</f>
        <v>1</v>
      </c>
      <c r="Q172" s="338" t="str">
        <f>VLOOKUP('3.) Large Load'!$B172,'ES Energy Burden'!$B$2:$E$914,4,FALSE)</f>
        <v>No</v>
      </c>
    </row>
    <row r="173" spans="1:17" x14ac:dyDescent="0.2">
      <c r="A173" s="329" t="s">
        <v>2819</v>
      </c>
      <c r="B173" s="330">
        <v>9007670100</v>
      </c>
      <c r="C173" s="319" t="s">
        <v>944</v>
      </c>
      <c r="D173" s="331">
        <f>[1]!Table32[[#This Row],[Residential CLM $ Collected]]+[1]!Table32[[#This Row],[C&amp;I CLM $ Collected]]</f>
        <v>582.96506099999999</v>
      </c>
      <c r="E173" s="177">
        <f>[1]!Table32[[#This Row],[CLM $ Collected ]]/'[1]1.) CLM Reference'!$B$4</f>
        <v>6.2758359037324747E-6</v>
      </c>
      <c r="F173" s="332">
        <f>[1]!Table32[[#This Row],[Residential Incentive Disbursements]]+[1]!Table32[[#This Row],[C&amp;I Incentive Disbursements]]</f>
        <v>0</v>
      </c>
      <c r="G173" s="177">
        <f>[1]!Table32[[#This Row],[Incentive Disbursements]]/'[1]1.) CLM Reference'!$B$5</f>
        <v>0</v>
      </c>
      <c r="H173" s="333">
        <v>0</v>
      </c>
      <c r="I173" s="177">
        <f>[1]!Table32[[#This Row],[Residential CLM $ Collected]]/'[1]1.) CLM Reference'!$B$4</f>
        <v>0</v>
      </c>
      <c r="J173" s="333">
        <v>0</v>
      </c>
      <c r="K173" s="177">
        <f>[1]!Table32[[#This Row],[Residential Incentive Disbursements]]/'[1]1.) CLM Reference'!$B$5</f>
        <v>0</v>
      </c>
      <c r="L173" s="333">
        <v>582.96506099999999</v>
      </c>
      <c r="M173" s="177">
        <f>[1]!Table32[[#This Row],[C&amp;I CLM $ Collected]]/'[1]1.) CLM Reference'!$B$4</f>
        <v>6.2758359037324747E-6</v>
      </c>
      <c r="N173" s="333">
        <v>0</v>
      </c>
      <c r="O173" s="177">
        <f>[1]!Table32[[#This Row],[C&amp;I Incentive Disbursements]]/'[1]1.) CLM Reference'!$B$5</f>
        <v>0</v>
      </c>
      <c r="P173" s="319">
        <f>VLOOKUP('3.) Large Load'!$B173,'Population and Diversity Data'!$B$2:$K$823,10,FALSE)</f>
        <v>2</v>
      </c>
      <c r="Q173" s="334" t="str">
        <f>VLOOKUP('3.) Large Load'!$B173,'ES Energy Burden'!$B$2:$E$914,4,FALSE)</f>
        <v>No</v>
      </c>
    </row>
    <row r="174" spans="1:17" x14ac:dyDescent="0.2">
      <c r="A174" s="335" t="s">
        <v>2819</v>
      </c>
      <c r="B174" s="336">
        <v>9007670200</v>
      </c>
      <c r="C174" s="318" t="s">
        <v>944</v>
      </c>
      <c r="D174" s="324">
        <f>[1]!Table32[[#This Row],[Residential CLM $ Collected]]+[1]!Table32[[#This Row],[C&amp;I CLM $ Collected]]</f>
        <v>73566.386880000005</v>
      </c>
      <c r="E174" s="325">
        <f>[1]!Table32[[#This Row],[CLM $ Collected ]]/'[1]1.) CLM Reference'!$B$4</f>
        <v>7.9196954153205705E-4</v>
      </c>
      <c r="F174" s="326">
        <f>[1]!Table32[[#This Row],[Residential Incentive Disbursements]]+[1]!Table32[[#This Row],[C&amp;I Incentive Disbursements]]</f>
        <v>99351.67</v>
      </c>
      <c r="G174" s="325">
        <f>[1]!Table32[[#This Row],[Incentive Disbursements]]/'[1]1.) CLM Reference'!$B$5</f>
        <v>7.9770860173407202E-4</v>
      </c>
      <c r="H174" s="337">
        <v>0</v>
      </c>
      <c r="I174" s="325">
        <f>[1]!Table32[[#This Row],[Residential CLM $ Collected]]/'[1]1.) CLM Reference'!$B$4</f>
        <v>0</v>
      </c>
      <c r="J174" s="337">
        <v>0</v>
      </c>
      <c r="K174" s="325">
        <f>[1]!Table32[[#This Row],[Residential Incentive Disbursements]]/'[1]1.) CLM Reference'!$B$5</f>
        <v>0</v>
      </c>
      <c r="L174" s="337">
        <v>73566.386880000005</v>
      </c>
      <c r="M174" s="325">
        <f>[1]!Table32[[#This Row],[C&amp;I CLM $ Collected]]/'[1]1.) CLM Reference'!$B$4</f>
        <v>7.9196954153205705E-4</v>
      </c>
      <c r="N174" s="337">
        <v>99351.67</v>
      </c>
      <c r="O174" s="325">
        <f>[1]!Table32[[#This Row],[C&amp;I Incentive Disbursements]]/'[1]1.) CLM Reference'!$B$5</f>
        <v>7.9770860173407202E-4</v>
      </c>
      <c r="P174" s="318">
        <f>VLOOKUP('3.) Large Load'!$B174,'Population and Diversity Data'!$B$2:$K$823,10,FALSE)</f>
        <v>1</v>
      </c>
      <c r="Q174" s="338" t="str">
        <f>VLOOKUP('3.) Large Load'!$B174,'ES Energy Burden'!$B$2:$E$914,4,FALSE)</f>
        <v>No</v>
      </c>
    </row>
    <row r="175" spans="1:17" x14ac:dyDescent="0.2">
      <c r="A175" s="329" t="s">
        <v>2820</v>
      </c>
      <c r="B175" s="330">
        <v>9009346101</v>
      </c>
      <c r="C175" s="319" t="s">
        <v>944</v>
      </c>
      <c r="D175" s="331">
        <f>[1]!Table32[[#This Row],[Residential CLM $ Collected]]+[1]!Table32[[#This Row],[C&amp;I CLM $ Collected]]</f>
        <v>74448.163272000005</v>
      </c>
      <c r="E175" s="177">
        <f>[1]!Table32[[#This Row],[CLM $ Collected ]]/'[1]1.) CLM Reference'!$B$4</f>
        <v>8.0146219265335179E-4</v>
      </c>
      <c r="F175" s="332">
        <f>[1]!Table32[[#This Row],[Residential Incentive Disbursements]]+[1]!Table32[[#This Row],[C&amp;I Incentive Disbursements]]</f>
        <v>35838</v>
      </c>
      <c r="G175" s="177">
        <f>[1]!Table32[[#This Row],[Incentive Disbursements]]/'[1]1.) CLM Reference'!$B$5</f>
        <v>2.8774836768164717E-4</v>
      </c>
      <c r="H175" s="333">
        <v>0</v>
      </c>
      <c r="I175" s="177">
        <f>[1]!Table32[[#This Row],[Residential CLM $ Collected]]/'[1]1.) CLM Reference'!$B$4</f>
        <v>0</v>
      </c>
      <c r="J175" s="333">
        <v>0</v>
      </c>
      <c r="K175" s="177">
        <f>[1]!Table32[[#This Row],[Residential Incentive Disbursements]]/'[1]1.) CLM Reference'!$B$5</f>
        <v>0</v>
      </c>
      <c r="L175" s="333">
        <v>74448.163272000005</v>
      </c>
      <c r="M175" s="177">
        <f>[1]!Table32[[#This Row],[C&amp;I CLM $ Collected]]/'[1]1.) CLM Reference'!$B$4</f>
        <v>8.0146219265335179E-4</v>
      </c>
      <c r="N175" s="333">
        <v>35838</v>
      </c>
      <c r="O175" s="177">
        <f>[1]!Table32[[#This Row],[C&amp;I Incentive Disbursements]]/'[1]1.) CLM Reference'!$B$5</f>
        <v>2.8774836768164717E-4</v>
      </c>
      <c r="P175" s="319">
        <f>VLOOKUP('3.) Large Load'!$B175,'Population and Diversity Data'!$B$2:$K$823,10,FALSE)</f>
        <v>1</v>
      </c>
      <c r="Q175" s="334" t="str">
        <f>VLOOKUP('3.) Large Load'!$B175,'ES Energy Burden'!$B$2:$E$914,4,FALSE)</f>
        <v>No</v>
      </c>
    </row>
    <row r="176" spans="1:17" x14ac:dyDescent="0.2">
      <c r="A176" s="335" t="s">
        <v>2821</v>
      </c>
      <c r="B176" s="336">
        <v>9011709100</v>
      </c>
      <c r="C176" s="318" t="s">
        <v>944</v>
      </c>
      <c r="D176" s="324">
        <f>[1]!Table32[[#This Row],[Residential CLM $ Collected]]+[1]!Table32[[#This Row],[C&amp;I CLM $ Collected]]</f>
        <v>0</v>
      </c>
      <c r="E176" s="325">
        <f>[1]!Table32[[#This Row],[CLM $ Collected ]]/'[1]1.) CLM Reference'!$B$4</f>
        <v>0</v>
      </c>
      <c r="F176" s="326">
        <f>[1]!Table32[[#This Row],[Residential Incentive Disbursements]]+[1]!Table32[[#This Row],[C&amp;I Incentive Disbursements]]</f>
        <v>7606</v>
      </c>
      <c r="G176" s="325">
        <f>[1]!Table32[[#This Row],[Incentive Disbursements]]/'[1]1.) CLM Reference'!$B$5</f>
        <v>6.1069649103929021E-5</v>
      </c>
      <c r="H176" s="337">
        <v>0</v>
      </c>
      <c r="I176" s="325">
        <f>[1]!Table32[[#This Row],[Residential CLM $ Collected]]/'[1]1.) CLM Reference'!$B$4</f>
        <v>0</v>
      </c>
      <c r="J176" s="337">
        <v>0</v>
      </c>
      <c r="K176" s="325">
        <f>[1]!Table32[[#This Row],[Residential Incentive Disbursements]]/'[1]1.) CLM Reference'!$B$5</f>
        <v>0</v>
      </c>
      <c r="L176" s="337">
        <v>0</v>
      </c>
      <c r="M176" s="325">
        <f>[1]!Table32[[#This Row],[C&amp;I CLM $ Collected]]/'[1]1.) CLM Reference'!$B$4</f>
        <v>0</v>
      </c>
      <c r="N176" s="337">
        <v>7606</v>
      </c>
      <c r="O176" s="325">
        <f>[1]!Table32[[#This Row],[C&amp;I Incentive Disbursements]]/'[1]1.) CLM Reference'!$B$5</f>
        <v>6.1069649103929021E-5</v>
      </c>
      <c r="P176" s="318">
        <f>VLOOKUP('3.) Large Load'!$B176,'Population and Diversity Data'!$B$2:$K$823,10,FALSE)</f>
        <v>3</v>
      </c>
      <c r="Q176" s="338" t="str">
        <f>VLOOKUP('3.) Large Load'!$B176,'ES Energy Burden'!$B$2:$E$914,4,FALSE)</f>
        <v>No</v>
      </c>
    </row>
    <row r="177" spans="1:17" x14ac:dyDescent="0.2">
      <c r="A177" s="329" t="s">
        <v>2821</v>
      </c>
      <c r="B177" s="330">
        <v>9015907100</v>
      </c>
      <c r="C177" s="319" t="s">
        <v>944</v>
      </c>
      <c r="D177" s="331">
        <f>[1]!Table32[[#This Row],[Residential CLM $ Collected]]+[1]!Table32[[#This Row],[C&amp;I CLM $ Collected]]</f>
        <v>162947.82485100001</v>
      </c>
      <c r="E177" s="177">
        <f>[1]!Table32[[#This Row],[CLM $ Collected ]]/'[1]1.) CLM Reference'!$B$4</f>
        <v>1.7541939955729468E-3</v>
      </c>
      <c r="F177" s="332">
        <f>[1]!Table32[[#This Row],[Residential Incentive Disbursements]]+[1]!Table32[[#This Row],[C&amp;I Incentive Disbursements]]</f>
        <v>166163.986</v>
      </c>
      <c r="G177" s="177">
        <f>[1]!Table32[[#This Row],[Incentive Disbursements]]/'[1]1.) CLM Reference'!$B$5</f>
        <v>1.3341541307823001E-3</v>
      </c>
      <c r="H177" s="333">
        <v>0</v>
      </c>
      <c r="I177" s="177">
        <f>[1]!Table32[[#This Row],[Residential CLM $ Collected]]/'[1]1.) CLM Reference'!$B$4</f>
        <v>0</v>
      </c>
      <c r="J177" s="333">
        <v>0</v>
      </c>
      <c r="K177" s="177">
        <f>[1]!Table32[[#This Row],[Residential Incentive Disbursements]]/'[1]1.) CLM Reference'!$B$5</f>
        <v>0</v>
      </c>
      <c r="L177" s="333">
        <v>162947.82485100001</v>
      </c>
      <c r="M177" s="177">
        <f>[1]!Table32[[#This Row],[C&amp;I CLM $ Collected]]/'[1]1.) CLM Reference'!$B$4</f>
        <v>1.7541939955729468E-3</v>
      </c>
      <c r="N177" s="333">
        <v>166163.986</v>
      </c>
      <c r="O177" s="177">
        <f>[1]!Table32[[#This Row],[C&amp;I Incentive Disbursements]]/'[1]1.) CLM Reference'!$B$5</f>
        <v>1.3341541307823001E-3</v>
      </c>
      <c r="P177" s="319">
        <f>VLOOKUP('3.) Large Load'!$B177,'Population and Diversity Data'!$B$2:$K$823,10,FALSE)</f>
        <v>4</v>
      </c>
      <c r="Q177" s="334" t="str">
        <f>VLOOKUP('3.) Large Load'!$B177,'ES Energy Burden'!$B$2:$E$914,4,FALSE)</f>
        <v>No</v>
      </c>
    </row>
    <row r="178" spans="1:17" x14ac:dyDescent="0.2">
      <c r="A178" s="335" t="s">
        <v>2821</v>
      </c>
      <c r="B178" s="336">
        <v>9015907300</v>
      </c>
      <c r="C178" s="318" t="s">
        <v>944</v>
      </c>
      <c r="D178" s="324">
        <f>[1]!Table32[[#This Row],[Residential CLM $ Collected]]+[1]!Table32[[#This Row],[C&amp;I CLM $ Collected]]</f>
        <v>6.1157460000000006</v>
      </c>
      <c r="E178" s="325">
        <f>[1]!Table32[[#This Row],[CLM $ Collected ]]/'[1]1.) CLM Reference'!$B$4</f>
        <v>6.5838282416222316E-8</v>
      </c>
      <c r="F178" s="326">
        <f>[1]!Table32[[#This Row],[Residential Incentive Disbursements]]+[1]!Table32[[#This Row],[C&amp;I Incentive Disbursements]]</f>
        <v>600</v>
      </c>
      <c r="G178" s="325">
        <f>[1]!Table32[[#This Row],[Incentive Disbursements]]/'[1]1.) CLM Reference'!$B$5</f>
        <v>4.8174848096709715E-6</v>
      </c>
      <c r="H178" s="337">
        <v>0</v>
      </c>
      <c r="I178" s="325">
        <f>[1]!Table32[[#This Row],[Residential CLM $ Collected]]/'[1]1.) CLM Reference'!$B$4</f>
        <v>0</v>
      </c>
      <c r="J178" s="337">
        <v>0</v>
      </c>
      <c r="K178" s="325">
        <f>[1]!Table32[[#This Row],[Residential Incentive Disbursements]]/'[1]1.) CLM Reference'!$B$5</f>
        <v>0</v>
      </c>
      <c r="L178" s="337">
        <v>6.1157460000000006</v>
      </c>
      <c r="M178" s="325">
        <f>[1]!Table32[[#This Row],[C&amp;I CLM $ Collected]]/'[1]1.) CLM Reference'!$B$4</f>
        <v>6.5838282416222316E-8</v>
      </c>
      <c r="N178" s="337">
        <v>600</v>
      </c>
      <c r="O178" s="325">
        <f>[1]!Table32[[#This Row],[C&amp;I Incentive Disbursements]]/'[1]1.) CLM Reference'!$B$5</f>
        <v>4.8174848096709715E-6</v>
      </c>
      <c r="P178" s="318">
        <f>VLOOKUP('3.) Large Load'!$B178,'Population and Diversity Data'!$B$2:$K$823,10,FALSE)</f>
        <v>5</v>
      </c>
      <c r="Q178" s="338" t="str">
        <f>VLOOKUP('3.) Large Load'!$B178,'ES Energy Burden'!$B$2:$E$914,4,FALSE)</f>
        <v>No</v>
      </c>
    </row>
    <row r="179" spans="1:17" x14ac:dyDescent="0.2">
      <c r="A179" s="329" t="s">
        <v>2822</v>
      </c>
      <c r="B179" s="330">
        <v>9003420500</v>
      </c>
      <c r="C179" s="319" t="s">
        <v>944</v>
      </c>
      <c r="D179" s="331">
        <f>[1]!Table32[[#This Row],[Residential CLM $ Collected]]+[1]!Table32[[#This Row],[C&amp;I CLM $ Collected]]</f>
        <v>1.053423</v>
      </c>
      <c r="E179" s="177">
        <f>[1]!Table32[[#This Row],[CLM $ Collected ]]/'[1]1.) CLM Reference'!$B$4</f>
        <v>1.1340490755787463E-8</v>
      </c>
      <c r="F179" s="332">
        <f>[1]!Table32[[#This Row],[Residential Incentive Disbursements]]+[1]!Table32[[#This Row],[C&amp;I Incentive Disbursements]]</f>
        <v>0</v>
      </c>
      <c r="G179" s="177">
        <f>[1]!Table32[[#This Row],[Incentive Disbursements]]/'[1]1.) CLM Reference'!$B$5</f>
        <v>0</v>
      </c>
      <c r="H179" s="333">
        <v>0</v>
      </c>
      <c r="I179" s="177">
        <f>[1]!Table32[[#This Row],[Residential CLM $ Collected]]/'[1]1.) CLM Reference'!$B$4</f>
        <v>0</v>
      </c>
      <c r="J179" s="333">
        <v>0</v>
      </c>
      <c r="K179" s="177">
        <f>[1]!Table32[[#This Row],[Residential Incentive Disbursements]]/'[1]1.) CLM Reference'!$B$5</f>
        <v>0</v>
      </c>
      <c r="L179" s="333">
        <v>1.053423</v>
      </c>
      <c r="M179" s="177">
        <f>[1]!Table32[[#This Row],[C&amp;I CLM $ Collected]]/'[1]1.) CLM Reference'!$B$4</f>
        <v>1.1340490755787463E-8</v>
      </c>
      <c r="N179" s="333">
        <v>0</v>
      </c>
      <c r="O179" s="177">
        <f>[1]!Table32[[#This Row],[C&amp;I Incentive Disbursements]]/'[1]1.) CLM Reference'!$B$5</f>
        <v>0</v>
      </c>
      <c r="P179" s="319">
        <f>VLOOKUP('3.) Large Load'!$B179,'Population and Diversity Data'!$B$2:$K$823,10,FALSE)</f>
        <v>4</v>
      </c>
      <c r="Q179" s="334" t="str">
        <f>VLOOKUP('3.) Large Load'!$B179,'ES Energy Burden'!$B$2:$E$914,4,FALSE)</f>
        <v>No</v>
      </c>
    </row>
    <row r="180" spans="1:17" x14ac:dyDescent="0.2">
      <c r="A180" s="335" t="s">
        <v>2822</v>
      </c>
      <c r="B180" s="336">
        <v>9003420600</v>
      </c>
      <c r="C180" s="318" t="s">
        <v>944</v>
      </c>
      <c r="D180" s="324">
        <f>[1]!Table32[[#This Row],[Residential CLM $ Collected]]+[1]!Table32[[#This Row],[C&amp;I CLM $ Collected]]</f>
        <v>218898.558858</v>
      </c>
      <c r="E180" s="325">
        <f>[1]!Table32[[#This Row],[CLM $ Collected ]]/'[1]1.) CLM Reference'!$B$4</f>
        <v>2.3565244760977754E-3</v>
      </c>
      <c r="F180" s="326">
        <f>[1]!Table32[[#This Row],[Residential Incentive Disbursements]]+[1]!Table32[[#This Row],[C&amp;I Incentive Disbursements]]</f>
        <v>179688.7096</v>
      </c>
      <c r="G180" s="325">
        <f>[1]!Table32[[#This Row],[Incentive Disbursements]]/'[1]1.) CLM Reference'!$B$5</f>
        <v>1.4427460482789643E-3</v>
      </c>
      <c r="H180" s="337">
        <v>0</v>
      </c>
      <c r="I180" s="325">
        <f>[1]!Table32[[#This Row],[Residential CLM $ Collected]]/'[1]1.) CLM Reference'!$B$4</f>
        <v>0</v>
      </c>
      <c r="J180" s="337">
        <v>0</v>
      </c>
      <c r="K180" s="325">
        <f>[1]!Table32[[#This Row],[Residential Incentive Disbursements]]/'[1]1.) CLM Reference'!$B$5</f>
        <v>0</v>
      </c>
      <c r="L180" s="337">
        <v>218898.558858</v>
      </c>
      <c r="M180" s="325">
        <f>[1]!Table32[[#This Row],[C&amp;I CLM $ Collected]]/'[1]1.) CLM Reference'!$B$4</f>
        <v>2.3565244760977754E-3</v>
      </c>
      <c r="N180" s="337">
        <v>179688.7096</v>
      </c>
      <c r="O180" s="325">
        <f>[1]!Table32[[#This Row],[C&amp;I Incentive Disbursements]]/'[1]1.) CLM Reference'!$B$5</f>
        <v>1.4427460482789643E-3</v>
      </c>
      <c r="P180" s="318">
        <f>VLOOKUP('3.) Large Load'!$B180,'Population and Diversity Data'!$B$2:$K$823,10,FALSE)</f>
        <v>3</v>
      </c>
      <c r="Q180" s="338" t="str">
        <f>VLOOKUP('3.) Large Load'!$B180,'ES Energy Burden'!$B$2:$E$914,4,FALSE)</f>
        <v>No</v>
      </c>
    </row>
    <row r="181" spans="1:17" x14ac:dyDescent="0.2">
      <c r="A181" s="329" t="s">
        <v>2823</v>
      </c>
      <c r="B181" s="330">
        <v>9005349200</v>
      </c>
      <c r="C181" s="319" t="s">
        <v>944</v>
      </c>
      <c r="D181" s="331">
        <f>[1]!Table32[[#This Row],[Residential CLM $ Collected]]+[1]!Table32[[#This Row],[C&amp;I CLM $ Collected]]</f>
        <v>0</v>
      </c>
      <c r="E181" s="177">
        <f>[1]!Table32[[#This Row],[CLM $ Collected ]]/'[1]1.) CLM Reference'!$B$4</f>
        <v>0</v>
      </c>
      <c r="F181" s="332">
        <f>[1]!Table32[[#This Row],[Residential Incentive Disbursements]]+[1]!Table32[[#This Row],[C&amp;I Incentive Disbursements]]</f>
        <v>137514.41</v>
      </c>
      <c r="G181" s="177">
        <f>[1]!Table32[[#This Row],[Incentive Disbursements]]/'[1]1.) CLM Reference'!$B$5</f>
        <v>1.1041226354764433E-3</v>
      </c>
      <c r="H181" s="333">
        <v>0</v>
      </c>
      <c r="I181" s="177">
        <f>[1]!Table32[[#This Row],[Residential CLM $ Collected]]/'[1]1.) CLM Reference'!$B$4</f>
        <v>0</v>
      </c>
      <c r="J181" s="333">
        <v>0</v>
      </c>
      <c r="K181" s="177">
        <f>[1]!Table32[[#This Row],[Residential Incentive Disbursements]]/'[1]1.) CLM Reference'!$B$5</f>
        <v>0</v>
      </c>
      <c r="L181" s="333">
        <v>0</v>
      </c>
      <c r="M181" s="177">
        <f>[1]!Table32[[#This Row],[C&amp;I CLM $ Collected]]/'[1]1.) CLM Reference'!$B$4</f>
        <v>0</v>
      </c>
      <c r="N181" s="333">
        <v>137514.41</v>
      </c>
      <c r="O181" s="177">
        <f>[1]!Table32[[#This Row],[C&amp;I Incentive Disbursements]]/'[1]1.) CLM Reference'!$B$5</f>
        <v>1.1041226354764433E-3</v>
      </c>
      <c r="P181" s="319">
        <f>VLOOKUP('3.) Large Load'!$B181,'Population and Diversity Data'!$B$2:$K$823,10,FALSE)</f>
        <v>1</v>
      </c>
      <c r="Q181" s="334" t="str">
        <f>VLOOKUP('3.) Large Load'!$B181,'ES Energy Burden'!$B$2:$E$914,4,FALSE)</f>
        <v>No</v>
      </c>
    </row>
    <row r="182" spans="1:17" x14ac:dyDescent="0.2">
      <c r="A182" s="335" t="s">
        <v>2823</v>
      </c>
      <c r="B182" s="336">
        <v>9005425300</v>
      </c>
      <c r="C182" s="318" t="s">
        <v>944</v>
      </c>
      <c r="D182" s="324">
        <f>[1]!Table32[[#This Row],[Residential CLM $ Collected]]+[1]!Table32[[#This Row],[C&amp;I CLM $ Collected]]</f>
        <v>27542.661552000001</v>
      </c>
      <c r="E182" s="325">
        <f>[1]!Table32[[#This Row],[CLM $ Collected ]]/'[1]1.) CLM Reference'!$B$4</f>
        <v>2.9650700499252321E-4</v>
      </c>
      <c r="F182" s="326">
        <f>[1]!Table32[[#This Row],[Residential Incentive Disbursements]]+[1]!Table32[[#This Row],[C&amp;I Incentive Disbursements]]</f>
        <v>10697.23</v>
      </c>
      <c r="G182" s="325">
        <f>[1]!Table32[[#This Row],[Incentive Disbursements]]/'[1]1.) CLM Reference'!$B$5</f>
        <v>8.5889571717594345E-5</v>
      </c>
      <c r="H182" s="337">
        <v>0</v>
      </c>
      <c r="I182" s="325">
        <f>[1]!Table32[[#This Row],[Residential CLM $ Collected]]/'[1]1.) CLM Reference'!$B$4</f>
        <v>0</v>
      </c>
      <c r="J182" s="337">
        <v>0</v>
      </c>
      <c r="K182" s="325">
        <f>[1]!Table32[[#This Row],[Residential Incentive Disbursements]]/'[1]1.) CLM Reference'!$B$5</f>
        <v>0</v>
      </c>
      <c r="L182" s="337">
        <v>27542.661552000001</v>
      </c>
      <c r="M182" s="325">
        <f>[1]!Table32[[#This Row],[C&amp;I CLM $ Collected]]/'[1]1.) CLM Reference'!$B$4</f>
        <v>2.9650700499252321E-4</v>
      </c>
      <c r="N182" s="337">
        <v>10697.23</v>
      </c>
      <c r="O182" s="325">
        <f>[1]!Table32[[#This Row],[C&amp;I Incentive Disbursements]]/'[1]1.) CLM Reference'!$B$5</f>
        <v>8.5889571717594345E-5</v>
      </c>
      <c r="P182" s="318">
        <f>VLOOKUP('3.) Large Load'!$B182,'Population and Diversity Data'!$B$2:$K$823,10,FALSE)</f>
        <v>1</v>
      </c>
      <c r="Q182" s="338" t="str">
        <f>VLOOKUP('3.) Large Load'!$B182,'ES Energy Burden'!$B$2:$E$914,4,FALSE)</f>
        <v>No</v>
      </c>
    </row>
    <row r="183" spans="1:17" x14ac:dyDescent="0.2">
      <c r="A183" s="329" t="s">
        <v>2824</v>
      </c>
      <c r="B183" s="330">
        <v>9015901100</v>
      </c>
      <c r="C183" s="319" t="s">
        <v>944</v>
      </c>
      <c r="D183" s="331">
        <f>[1]!Table32[[#This Row],[Residential CLM $ Collected]]+[1]!Table32[[#This Row],[C&amp;I CLM $ Collected]]</f>
        <v>0</v>
      </c>
      <c r="E183" s="177">
        <f>[1]!Table32[[#This Row],[CLM $ Collected ]]/'[1]1.) CLM Reference'!$B$4</f>
        <v>0</v>
      </c>
      <c r="F183" s="332">
        <f>[1]!Table32[[#This Row],[Residential Incentive Disbursements]]+[1]!Table32[[#This Row],[C&amp;I Incentive Disbursements]]</f>
        <v>3914</v>
      </c>
      <c r="G183" s="177">
        <f>[1]!Table32[[#This Row],[Incentive Disbursements]]/'[1]1.) CLM Reference'!$B$5</f>
        <v>3.142605924175364E-5</v>
      </c>
      <c r="H183" s="333">
        <v>0</v>
      </c>
      <c r="I183" s="177">
        <f>[1]!Table32[[#This Row],[Residential CLM $ Collected]]/'[1]1.) CLM Reference'!$B$4</f>
        <v>0</v>
      </c>
      <c r="J183" s="333">
        <v>0</v>
      </c>
      <c r="K183" s="177">
        <f>[1]!Table32[[#This Row],[Residential Incentive Disbursements]]/'[1]1.) CLM Reference'!$B$5</f>
        <v>0</v>
      </c>
      <c r="L183" s="333">
        <v>0</v>
      </c>
      <c r="M183" s="177">
        <f>[1]!Table32[[#This Row],[C&amp;I CLM $ Collected]]/'[1]1.) CLM Reference'!$B$4</f>
        <v>0</v>
      </c>
      <c r="N183" s="333">
        <v>3914</v>
      </c>
      <c r="O183" s="177">
        <f>[1]!Table32[[#This Row],[C&amp;I Incentive Disbursements]]/'[1]1.) CLM Reference'!$B$5</f>
        <v>3.142605924175364E-5</v>
      </c>
      <c r="P183" s="319">
        <f>VLOOKUP('3.) Large Load'!$B183,'Population and Diversity Data'!$B$2:$K$823,10,FALSE)</f>
        <v>1</v>
      </c>
      <c r="Q183" s="334" t="str">
        <f>VLOOKUP('3.) Large Load'!$B183,'ES Energy Burden'!$B$2:$E$914,4,FALSE)</f>
        <v>No</v>
      </c>
    </row>
    <row r="184" spans="1:17" x14ac:dyDescent="0.2">
      <c r="A184" s="335" t="s">
        <v>2824</v>
      </c>
      <c r="B184" s="336">
        <v>9015902500</v>
      </c>
      <c r="C184" s="318" t="s">
        <v>944</v>
      </c>
      <c r="D184" s="324">
        <f>[1]!Table32[[#This Row],[Residential CLM $ Collected]]+[1]!Table32[[#This Row],[C&amp;I CLM $ Collected]]</f>
        <v>63867.870527999999</v>
      </c>
      <c r="E184" s="325">
        <f>[1]!Table32[[#This Row],[CLM $ Collected ]]/'[1]1.) CLM Reference'!$B$4</f>
        <v>6.8756140250840784E-4</v>
      </c>
      <c r="F184" s="326">
        <f>[1]!Table32[[#This Row],[Residential Incentive Disbursements]]+[1]!Table32[[#This Row],[C&amp;I Incentive Disbursements]]</f>
        <v>67712.06</v>
      </c>
      <c r="G184" s="325">
        <f>[1]!Table32[[#This Row],[Incentive Disbursements]]/'[1]1.) CLM Reference'!$B$5</f>
        <v>5.4366970080254901E-4</v>
      </c>
      <c r="H184" s="337">
        <v>0</v>
      </c>
      <c r="I184" s="325">
        <f>[1]!Table32[[#This Row],[Residential CLM $ Collected]]/'[1]1.) CLM Reference'!$B$4</f>
        <v>0</v>
      </c>
      <c r="J184" s="337">
        <v>0</v>
      </c>
      <c r="K184" s="325">
        <f>[1]!Table32[[#This Row],[Residential Incentive Disbursements]]/'[1]1.) CLM Reference'!$B$5</f>
        <v>0</v>
      </c>
      <c r="L184" s="337">
        <v>63867.870527999999</v>
      </c>
      <c r="M184" s="325">
        <f>[1]!Table32[[#This Row],[C&amp;I CLM $ Collected]]/'[1]1.) CLM Reference'!$B$4</f>
        <v>6.8756140250840784E-4</v>
      </c>
      <c r="N184" s="337">
        <v>67712.06</v>
      </c>
      <c r="O184" s="325">
        <f>[1]!Table32[[#This Row],[C&amp;I Incentive Disbursements]]/'[1]1.) CLM Reference'!$B$5</f>
        <v>5.4366970080254901E-4</v>
      </c>
      <c r="P184" s="318">
        <f>VLOOKUP('3.) Large Load'!$B184,'Population and Diversity Data'!$B$2:$K$823,10,FALSE)</f>
        <v>2</v>
      </c>
      <c r="Q184" s="338" t="str">
        <f>VLOOKUP('3.) Large Load'!$B184,'ES Energy Burden'!$B$2:$E$914,4,FALSE)</f>
        <v>No</v>
      </c>
    </row>
    <row r="185" spans="1:17" x14ac:dyDescent="0.2">
      <c r="A185" s="329" t="s">
        <v>2825</v>
      </c>
      <c r="B185" s="330">
        <v>9007560200</v>
      </c>
      <c r="C185" s="319" t="s">
        <v>936</v>
      </c>
      <c r="D185" s="331">
        <f>[1]!Table32[[#This Row],[Residential CLM $ Collected]]+[1]!Table32[[#This Row],[C&amp;I CLM $ Collected]]</f>
        <v>60242.906262000004</v>
      </c>
      <c r="E185" s="177">
        <f>[1]!Table32[[#This Row],[CLM $ Collected ]]/'[1]1.) CLM Reference'!$B$4</f>
        <v>6.485373127091223E-4</v>
      </c>
      <c r="F185" s="332">
        <f>[1]!Table32[[#This Row],[Residential Incentive Disbursements]]+[1]!Table32[[#This Row],[C&amp;I Incentive Disbursements]]</f>
        <v>82543.199999999997</v>
      </c>
      <c r="G185" s="177">
        <f>[1]!Table32[[#This Row],[Incentive Disbursements]]/'[1]1.) CLM Reference'!$B$5</f>
        <v>6.6275102023605496E-4</v>
      </c>
      <c r="H185" s="333">
        <v>0</v>
      </c>
      <c r="I185" s="177">
        <f>[1]!Table32[[#This Row],[Residential CLM $ Collected]]/'[1]1.) CLM Reference'!$B$4</f>
        <v>0</v>
      </c>
      <c r="J185" s="333">
        <v>0</v>
      </c>
      <c r="K185" s="177">
        <f>[1]!Table32[[#This Row],[Residential Incentive Disbursements]]/'[1]1.) CLM Reference'!$B$5</f>
        <v>0</v>
      </c>
      <c r="L185" s="333">
        <v>60242.906262000004</v>
      </c>
      <c r="M185" s="177">
        <f>[1]!Table32[[#This Row],[C&amp;I CLM $ Collected]]/'[1]1.) CLM Reference'!$B$4</f>
        <v>6.485373127091223E-4</v>
      </c>
      <c r="N185" s="333">
        <v>82543.199999999997</v>
      </c>
      <c r="O185" s="177">
        <f>[1]!Table32[[#This Row],[C&amp;I Incentive Disbursements]]/'[1]1.) CLM Reference'!$B$5</f>
        <v>6.6275102023605496E-4</v>
      </c>
      <c r="P185" s="319">
        <f>VLOOKUP('3.) Large Load'!$B185,'Population and Diversity Data'!$B$2:$K$823,10,FALSE)</f>
        <v>1</v>
      </c>
      <c r="Q185" s="334" t="str">
        <f>VLOOKUP('3.) Large Load'!$B185,'ES Energy Burden'!$B$2:$E$914,4,FALSE)</f>
        <v>No</v>
      </c>
    </row>
    <row r="186" spans="1:17" x14ac:dyDescent="0.2">
      <c r="A186" s="335" t="s">
        <v>2826</v>
      </c>
      <c r="B186" s="336">
        <v>9011700100</v>
      </c>
      <c r="C186" s="318" t="s">
        <v>944</v>
      </c>
      <c r="D186" s="324">
        <f>[1]!Table32[[#This Row],[Residential CLM $ Collected]]+[1]!Table32[[#This Row],[C&amp;I CLM $ Collected]]</f>
        <v>10223.49195</v>
      </c>
      <c r="E186" s="325">
        <f>[1]!Table32[[#This Row],[CLM $ Collected ]]/'[1]1.) CLM Reference'!$B$4</f>
        <v>1.1005969677028368E-4</v>
      </c>
      <c r="F186" s="326">
        <f>[1]!Table32[[#This Row],[Residential Incentive Disbursements]]+[1]!Table32[[#This Row],[C&amp;I Incentive Disbursements]]</f>
        <v>4566</v>
      </c>
      <c r="G186" s="325">
        <f>[1]!Table32[[#This Row],[Incentive Disbursements]]/'[1]1.) CLM Reference'!$B$5</f>
        <v>3.6661059401596096E-5</v>
      </c>
      <c r="H186" s="337">
        <v>0</v>
      </c>
      <c r="I186" s="325">
        <f>[1]!Table32[[#This Row],[Residential CLM $ Collected]]/'[1]1.) CLM Reference'!$B$4</f>
        <v>0</v>
      </c>
      <c r="J186" s="337">
        <v>0</v>
      </c>
      <c r="K186" s="325">
        <f>[1]!Table32[[#This Row],[Residential Incentive Disbursements]]/'[1]1.) CLM Reference'!$B$5</f>
        <v>0</v>
      </c>
      <c r="L186" s="337">
        <v>10223.49195</v>
      </c>
      <c r="M186" s="325">
        <f>[1]!Table32[[#This Row],[C&amp;I CLM $ Collected]]/'[1]1.) CLM Reference'!$B$4</f>
        <v>1.1005969677028368E-4</v>
      </c>
      <c r="N186" s="337">
        <v>4566</v>
      </c>
      <c r="O186" s="325">
        <f>[1]!Table32[[#This Row],[C&amp;I Incentive Disbursements]]/'[1]1.) CLM Reference'!$B$5</f>
        <v>3.6661059401596096E-5</v>
      </c>
      <c r="P186" s="318">
        <f>VLOOKUP('3.) Large Load'!$B186,'Population and Diversity Data'!$B$2:$K$823,10,FALSE)</f>
        <v>4</v>
      </c>
      <c r="Q186" s="338" t="str">
        <f>VLOOKUP('3.) Large Load'!$B186,'ES Energy Burden'!$B$2:$E$914,4,FALSE)</f>
        <v>No</v>
      </c>
    </row>
    <row r="187" spans="1:17" x14ac:dyDescent="0.2">
      <c r="A187" s="329" t="s">
        <v>2827</v>
      </c>
      <c r="B187" s="330">
        <v>9009347100</v>
      </c>
      <c r="C187" s="319" t="s">
        <v>944</v>
      </c>
      <c r="D187" s="331">
        <f>[1]!Table32[[#This Row],[Residential CLM $ Collected]]+[1]!Table32[[#This Row],[C&amp;I CLM $ Collected]]</f>
        <v>26244.575868</v>
      </c>
      <c r="E187" s="177">
        <f>[1]!Table32[[#This Row],[CLM $ Collected ]]/'[1]1.) CLM Reference'!$B$4</f>
        <v>2.8253262936219994E-4</v>
      </c>
      <c r="F187" s="332">
        <f>[1]!Table32[[#This Row],[Residential Incentive Disbursements]]+[1]!Table32[[#This Row],[C&amp;I Incentive Disbursements]]</f>
        <v>58518.559999999998</v>
      </c>
      <c r="G187" s="177">
        <f>[1]!Table32[[#This Row],[Incentive Disbursements]]/'[1]1.) CLM Reference'!$B$5</f>
        <v>4.6985378980636555E-4</v>
      </c>
      <c r="H187" s="333">
        <v>0</v>
      </c>
      <c r="I187" s="177">
        <f>[1]!Table32[[#This Row],[Residential CLM $ Collected]]/'[1]1.) CLM Reference'!$B$4</f>
        <v>0</v>
      </c>
      <c r="J187" s="333">
        <v>0</v>
      </c>
      <c r="K187" s="177">
        <f>[1]!Table32[[#This Row],[Residential Incentive Disbursements]]/'[1]1.) CLM Reference'!$B$5</f>
        <v>0</v>
      </c>
      <c r="L187" s="333">
        <v>26244.575868</v>
      </c>
      <c r="M187" s="177">
        <f>[1]!Table32[[#This Row],[C&amp;I CLM $ Collected]]/'[1]1.) CLM Reference'!$B$4</f>
        <v>2.8253262936219994E-4</v>
      </c>
      <c r="N187" s="333">
        <v>58518.559999999998</v>
      </c>
      <c r="O187" s="177">
        <f>[1]!Table32[[#This Row],[C&amp;I Incentive Disbursements]]/'[1]1.) CLM Reference'!$B$5</f>
        <v>4.6985378980636555E-4</v>
      </c>
      <c r="P187" s="319">
        <f>VLOOKUP('3.) Large Load'!$B187,'Population and Diversity Data'!$B$2:$K$823,10,FALSE)</f>
        <v>1</v>
      </c>
      <c r="Q187" s="334" t="str">
        <f>VLOOKUP('3.) Large Load'!$B187,'ES Energy Burden'!$B$2:$E$914,4,FALSE)</f>
        <v>No</v>
      </c>
    </row>
    <row r="188" spans="1:17" x14ac:dyDescent="0.2">
      <c r="A188" s="335" t="s">
        <v>2828</v>
      </c>
      <c r="B188" s="336">
        <v>9015903100</v>
      </c>
      <c r="C188" s="318" t="s">
        <v>944</v>
      </c>
      <c r="D188" s="324">
        <f>[1]!Table32[[#This Row],[Residential CLM $ Collected]]+[1]!Table32[[#This Row],[C&amp;I CLM $ Collected]]</f>
        <v>250182.13317300001</v>
      </c>
      <c r="E188" s="325">
        <f>[1]!Table32[[#This Row],[CLM $ Collected ]]/'[1]1.) CLM Reference'!$B$4</f>
        <v>2.6933037996242676E-3</v>
      </c>
      <c r="F188" s="326">
        <f>[1]!Table32[[#This Row],[Residential Incentive Disbursements]]+[1]!Table32[[#This Row],[C&amp;I Incentive Disbursements]]</f>
        <v>838645.8</v>
      </c>
      <c r="G188" s="325">
        <f>[1]!Table32[[#This Row],[Incentive Disbursements]]/'[1]1.) CLM Reference'!$B$5</f>
        <v>6.7336056703239337E-3</v>
      </c>
      <c r="H188" s="337">
        <v>0</v>
      </c>
      <c r="I188" s="325">
        <f>[1]!Table32[[#This Row],[Residential CLM $ Collected]]/'[1]1.) CLM Reference'!$B$4</f>
        <v>0</v>
      </c>
      <c r="J188" s="337">
        <v>0</v>
      </c>
      <c r="K188" s="325">
        <f>[1]!Table32[[#This Row],[Residential Incentive Disbursements]]/'[1]1.) CLM Reference'!$B$5</f>
        <v>0</v>
      </c>
      <c r="L188" s="337">
        <v>250182.13317300001</v>
      </c>
      <c r="M188" s="325">
        <f>[1]!Table32[[#This Row],[C&amp;I CLM $ Collected]]/'[1]1.) CLM Reference'!$B$4</f>
        <v>2.6933037996242676E-3</v>
      </c>
      <c r="N188" s="337">
        <v>838645.8</v>
      </c>
      <c r="O188" s="325">
        <f>[1]!Table32[[#This Row],[C&amp;I Incentive Disbursements]]/'[1]1.) CLM Reference'!$B$5</f>
        <v>6.7336056703239337E-3</v>
      </c>
      <c r="P188" s="318">
        <f>VLOOKUP('3.) Large Load'!$B188,'Population and Diversity Data'!$B$2:$K$823,10,FALSE)</f>
        <v>2</v>
      </c>
      <c r="Q188" s="338" t="str">
        <f>VLOOKUP('3.) Large Load'!$B188,'ES Energy Burden'!$B$2:$E$914,4,FALSE)</f>
        <v>No</v>
      </c>
    </row>
    <row r="189" spans="1:17" x14ac:dyDescent="0.2">
      <c r="A189" s="329" t="s">
        <v>2829</v>
      </c>
      <c r="B189" s="330">
        <v>9001055100</v>
      </c>
      <c r="C189" s="319" t="s">
        <v>944</v>
      </c>
      <c r="D189" s="331">
        <f>[1]!Table32[[#This Row],[Residential CLM $ Collected]]+[1]!Table32[[#This Row],[C&amp;I CLM $ Collected]]</f>
        <v>0</v>
      </c>
      <c r="E189" s="177">
        <f>[1]!Table32[[#This Row],[CLM $ Collected ]]/'[1]1.) CLM Reference'!$B$4</f>
        <v>0</v>
      </c>
      <c r="F189" s="332">
        <f>[1]!Table32[[#This Row],[Residential Incentive Disbursements]]+[1]!Table32[[#This Row],[C&amp;I Incentive Disbursements]]</f>
        <v>600</v>
      </c>
      <c r="G189" s="177">
        <f>[1]!Table32[[#This Row],[Incentive Disbursements]]/'[1]1.) CLM Reference'!$B$5</f>
        <v>4.8174848096709715E-6</v>
      </c>
      <c r="H189" s="333">
        <v>0</v>
      </c>
      <c r="I189" s="177">
        <f>[1]!Table32[[#This Row],[Residential CLM $ Collected]]/'[1]1.) CLM Reference'!$B$4</f>
        <v>0</v>
      </c>
      <c r="J189" s="333">
        <v>0</v>
      </c>
      <c r="K189" s="177">
        <f>[1]!Table32[[#This Row],[Residential Incentive Disbursements]]/'[1]1.) CLM Reference'!$B$5</f>
        <v>0</v>
      </c>
      <c r="L189" s="333">
        <v>0</v>
      </c>
      <c r="M189" s="177">
        <f>[1]!Table32[[#This Row],[C&amp;I CLM $ Collected]]/'[1]1.) CLM Reference'!$B$4</f>
        <v>0</v>
      </c>
      <c r="N189" s="333">
        <v>600</v>
      </c>
      <c r="O189" s="177">
        <f>[1]!Table32[[#This Row],[C&amp;I Incentive Disbursements]]/'[1]1.) CLM Reference'!$B$5</f>
        <v>4.8174848096709715E-6</v>
      </c>
      <c r="P189" s="319">
        <f>VLOOKUP('3.) Large Load'!$B189,'Population and Diversity Data'!$B$2:$K$823,10,FALSE)</f>
        <v>4</v>
      </c>
      <c r="Q189" s="334" t="str">
        <f>VLOOKUP('3.) Large Load'!$B189,'ES Energy Burden'!$B$2:$E$914,4,FALSE)</f>
        <v>No</v>
      </c>
    </row>
    <row r="190" spans="1:17" x14ac:dyDescent="0.2">
      <c r="A190" s="335" t="s">
        <v>2829</v>
      </c>
      <c r="B190" s="336">
        <v>9001240200</v>
      </c>
      <c r="C190" s="318" t="s">
        <v>944</v>
      </c>
      <c r="D190" s="324">
        <f>[1]!Table32[[#This Row],[Residential CLM $ Collected]]+[1]!Table32[[#This Row],[C&amp;I CLM $ Collected]]</f>
        <v>44031.301545000002</v>
      </c>
      <c r="E190" s="325">
        <f>[1]!Table32[[#This Row],[CLM $ Collected ]]/'[1]1.) CLM Reference'!$B$4</f>
        <v>4.7401335279024929E-4</v>
      </c>
      <c r="F190" s="326">
        <f>[1]!Table32[[#This Row],[Residential Incentive Disbursements]]+[1]!Table32[[#This Row],[C&amp;I Incentive Disbursements]]</f>
        <v>37264.910000000003</v>
      </c>
      <c r="G190" s="325">
        <f>[1]!Table32[[#This Row],[Incentive Disbursements]]/'[1]1.) CLM Reference'!$B$5</f>
        <v>2.9920522976459318E-4</v>
      </c>
      <c r="H190" s="337">
        <v>0</v>
      </c>
      <c r="I190" s="325">
        <f>[1]!Table32[[#This Row],[Residential CLM $ Collected]]/'[1]1.) CLM Reference'!$B$4</f>
        <v>0</v>
      </c>
      <c r="J190" s="337">
        <v>0</v>
      </c>
      <c r="K190" s="325">
        <f>[1]!Table32[[#This Row],[Residential Incentive Disbursements]]/'[1]1.) CLM Reference'!$B$5</f>
        <v>0</v>
      </c>
      <c r="L190" s="337">
        <v>44031.301545000002</v>
      </c>
      <c r="M190" s="325">
        <f>[1]!Table32[[#This Row],[C&amp;I CLM $ Collected]]/'[1]1.) CLM Reference'!$B$4</f>
        <v>4.7401335279024929E-4</v>
      </c>
      <c r="N190" s="337">
        <v>37264.910000000003</v>
      </c>
      <c r="O190" s="325">
        <f>[1]!Table32[[#This Row],[C&amp;I Incentive Disbursements]]/'[1]1.) CLM Reference'!$B$5</f>
        <v>2.9920522976459318E-4</v>
      </c>
      <c r="P190" s="318">
        <f>VLOOKUP('3.) Large Load'!$B190,'Population and Diversity Data'!$B$2:$K$823,10,FALSE)</f>
        <v>2</v>
      </c>
      <c r="Q190" s="338" t="str">
        <f>VLOOKUP('3.) Large Load'!$B190,'ES Energy Burden'!$B$2:$E$914,4,FALSE)</f>
        <v>No</v>
      </c>
    </row>
    <row r="191" spans="1:17" x14ac:dyDescent="0.2">
      <c r="A191" s="329" t="s">
        <v>2830</v>
      </c>
      <c r="B191" s="330">
        <v>9001245200</v>
      </c>
      <c r="C191" s="319" t="s">
        <v>944</v>
      </c>
      <c r="D191" s="331">
        <f>[1]!Table32[[#This Row],[Residential CLM $ Collected]]+[1]!Table32[[#This Row],[C&amp;I CLM $ Collected]]</f>
        <v>360185.46866399999</v>
      </c>
      <c r="E191" s="177">
        <f>[1]!Table32[[#This Row],[CLM $ Collected ]]/'[1]1.) CLM Reference'!$B$4</f>
        <v>3.8775306574406168E-3</v>
      </c>
      <c r="F191" s="332">
        <f>[1]!Table32[[#This Row],[Residential Incentive Disbursements]]+[1]!Table32[[#This Row],[C&amp;I Incentive Disbursements]]</f>
        <v>126765.402</v>
      </c>
      <c r="G191" s="177">
        <f>[1]!Table32[[#This Row],[Incentive Disbursements]]/'[1]1.) CLM Reference'!$B$5</f>
        <v>1.017817330878057E-3</v>
      </c>
      <c r="H191" s="333">
        <v>0</v>
      </c>
      <c r="I191" s="177">
        <f>[1]!Table32[[#This Row],[Residential CLM $ Collected]]/'[1]1.) CLM Reference'!$B$4</f>
        <v>0</v>
      </c>
      <c r="J191" s="333">
        <v>0</v>
      </c>
      <c r="K191" s="177">
        <f>[1]!Table32[[#This Row],[Residential Incentive Disbursements]]/'[1]1.) CLM Reference'!$B$5</f>
        <v>0</v>
      </c>
      <c r="L191" s="333">
        <v>360185.46866399999</v>
      </c>
      <c r="M191" s="177">
        <f>[1]!Table32[[#This Row],[C&amp;I CLM $ Collected]]/'[1]1.) CLM Reference'!$B$4</f>
        <v>3.8775306574406168E-3</v>
      </c>
      <c r="N191" s="333">
        <v>126765.402</v>
      </c>
      <c r="O191" s="177">
        <f>[1]!Table32[[#This Row],[C&amp;I Incentive Disbursements]]/'[1]1.) CLM Reference'!$B$5</f>
        <v>1.017817330878057E-3</v>
      </c>
      <c r="P191" s="319">
        <f>VLOOKUP('3.) Large Load'!$B191,'Population and Diversity Data'!$B$2:$K$823,10,FALSE)</f>
        <v>3</v>
      </c>
      <c r="Q191" s="334" t="str">
        <f>VLOOKUP('3.) Large Load'!$B191,'ES Energy Burden'!$B$2:$E$914,4,FALSE)</f>
        <v>No</v>
      </c>
    </row>
    <row r="192" spans="1:17" x14ac:dyDescent="0.2">
      <c r="A192" s="335" t="s">
        <v>2831</v>
      </c>
      <c r="B192" s="336">
        <v>9003490302</v>
      </c>
      <c r="C192" s="318" t="s">
        <v>944</v>
      </c>
      <c r="D192" s="324">
        <f>[1]!Table32[[#This Row],[Residential CLM $ Collected]]+[1]!Table32[[#This Row],[C&amp;I CLM $ Collected]]</f>
        <v>360996.05520299997</v>
      </c>
      <c r="E192" s="325">
        <f>[1]!Table32[[#This Row],[CLM $ Collected ]]/'[1]1.) CLM Reference'!$B$4</f>
        <v>3.8862569232923166E-3</v>
      </c>
      <c r="F192" s="326">
        <f>[1]!Table32[[#This Row],[Residential Incentive Disbursements]]+[1]!Table32[[#This Row],[C&amp;I Incentive Disbursements]]</f>
        <v>195768.4192</v>
      </c>
      <c r="G192" s="325">
        <f>[1]!Table32[[#This Row],[Incentive Disbursements]]/'[1]1.) CLM Reference'!$B$5</f>
        <v>1.5718523095154984E-3</v>
      </c>
      <c r="H192" s="337">
        <v>0</v>
      </c>
      <c r="I192" s="325">
        <f>[1]!Table32[[#This Row],[Residential CLM $ Collected]]/'[1]1.) CLM Reference'!$B$4</f>
        <v>0</v>
      </c>
      <c r="J192" s="337">
        <v>0</v>
      </c>
      <c r="K192" s="325">
        <f>[1]!Table32[[#This Row],[Residential Incentive Disbursements]]/'[1]1.) CLM Reference'!$B$5</f>
        <v>0</v>
      </c>
      <c r="L192" s="337">
        <v>360996.05520299997</v>
      </c>
      <c r="M192" s="325">
        <f>[1]!Table32[[#This Row],[C&amp;I CLM $ Collected]]/'[1]1.) CLM Reference'!$B$4</f>
        <v>3.8862569232923166E-3</v>
      </c>
      <c r="N192" s="337">
        <v>195768.4192</v>
      </c>
      <c r="O192" s="325">
        <f>[1]!Table32[[#This Row],[C&amp;I Incentive Disbursements]]/'[1]1.) CLM Reference'!$B$5</f>
        <v>1.5718523095154984E-3</v>
      </c>
      <c r="P192" s="318">
        <f>VLOOKUP('3.) Large Load'!$B192,'Population and Diversity Data'!$B$2:$K$823,10,FALSE)</f>
        <v>5</v>
      </c>
      <c r="Q192" s="338" t="str">
        <f>VLOOKUP('3.) Large Load'!$B192,'ES Energy Burden'!$B$2:$E$914,4,FALSE)</f>
        <v>No</v>
      </c>
    </row>
    <row r="193" spans="1:17" x14ac:dyDescent="0.2">
      <c r="A193" s="329" t="s">
        <v>2831</v>
      </c>
      <c r="B193" s="330">
        <v>9003524200</v>
      </c>
      <c r="C193" s="319" t="s">
        <v>944</v>
      </c>
      <c r="D193" s="331">
        <f>[1]!Table32[[#This Row],[Residential CLM $ Collected]]+[1]!Table32[[#This Row],[C&amp;I CLM $ Collected]]</f>
        <v>1416.295104</v>
      </c>
      <c r="E193" s="177">
        <f>[1]!Table32[[#This Row],[CLM $ Collected ]]/'[1]1.) CLM Reference'!$B$4</f>
        <v>1.5246944042781527E-5</v>
      </c>
      <c r="F193" s="332">
        <f>[1]!Table32[[#This Row],[Residential Incentive Disbursements]]+[1]!Table32[[#This Row],[C&amp;I Incentive Disbursements]]</f>
        <v>0</v>
      </c>
      <c r="G193" s="177">
        <f>[1]!Table32[[#This Row],[Incentive Disbursements]]/'[1]1.) CLM Reference'!$B$5</f>
        <v>0</v>
      </c>
      <c r="H193" s="333">
        <v>0</v>
      </c>
      <c r="I193" s="177">
        <f>[1]!Table32[[#This Row],[Residential CLM $ Collected]]/'[1]1.) CLM Reference'!$B$4</f>
        <v>0</v>
      </c>
      <c r="J193" s="333">
        <v>0</v>
      </c>
      <c r="K193" s="177">
        <f>[1]!Table32[[#This Row],[Residential Incentive Disbursements]]/'[1]1.) CLM Reference'!$B$5</f>
        <v>0</v>
      </c>
      <c r="L193" s="333">
        <v>1416.295104</v>
      </c>
      <c r="M193" s="177">
        <f>[1]!Table32[[#This Row],[C&amp;I CLM $ Collected]]/'[1]1.) CLM Reference'!$B$4</f>
        <v>1.5246944042781527E-5</v>
      </c>
      <c r="N193" s="333">
        <v>0</v>
      </c>
      <c r="O193" s="177">
        <f>[1]!Table32[[#This Row],[C&amp;I Incentive Disbursements]]/'[1]1.) CLM Reference'!$B$5</f>
        <v>0</v>
      </c>
      <c r="P193" s="319">
        <f>VLOOKUP('3.) Large Load'!$B193,'Population and Diversity Data'!$B$2:$K$823,10,FALSE)</f>
        <v>4</v>
      </c>
      <c r="Q193" s="334" t="str">
        <f>VLOOKUP('3.) Large Load'!$B193,'ES Energy Burden'!$B$2:$E$914,4,FALSE)</f>
        <v>No</v>
      </c>
    </row>
    <row r="194" spans="1:17" x14ac:dyDescent="0.2">
      <c r="A194" s="335" t="s">
        <v>2832</v>
      </c>
      <c r="B194" s="336">
        <v>9005268100</v>
      </c>
      <c r="C194" s="318" t="s">
        <v>944</v>
      </c>
      <c r="D194" s="324">
        <f>[1]!Table32[[#This Row],[Residential CLM $ Collected]]+[1]!Table32[[#This Row],[C&amp;I CLM $ Collected]]</f>
        <v>419.09668500000004</v>
      </c>
      <c r="E194" s="325">
        <f>[1]!Table32[[#This Row],[CLM $ Collected ]]/'[1]1.) CLM Reference'!$B$4</f>
        <v>4.511731832344339E-6</v>
      </c>
      <c r="F194" s="326">
        <f>[1]!Table32[[#This Row],[Residential Incentive Disbursements]]+[1]!Table32[[#This Row],[C&amp;I Incentive Disbursements]]</f>
        <v>384</v>
      </c>
      <c r="G194" s="325">
        <f>[1]!Table32[[#This Row],[Incentive Disbursements]]/'[1]1.) CLM Reference'!$B$5</f>
        <v>3.083190278189422E-6</v>
      </c>
      <c r="H194" s="337">
        <v>0</v>
      </c>
      <c r="I194" s="325">
        <f>[1]!Table32[[#This Row],[Residential CLM $ Collected]]/'[1]1.) CLM Reference'!$B$4</f>
        <v>0</v>
      </c>
      <c r="J194" s="337">
        <v>0</v>
      </c>
      <c r="K194" s="325">
        <f>[1]!Table32[[#This Row],[Residential Incentive Disbursements]]/'[1]1.) CLM Reference'!$B$5</f>
        <v>0</v>
      </c>
      <c r="L194" s="337">
        <v>419.09668500000004</v>
      </c>
      <c r="M194" s="325">
        <f>[1]!Table32[[#This Row],[C&amp;I CLM $ Collected]]/'[1]1.) CLM Reference'!$B$4</f>
        <v>4.511731832344339E-6</v>
      </c>
      <c r="N194" s="337">
        <v>384</v>
      </c>
      <c r="O194" s="325">
        <f>[1]!Table32[[#This Row],[C&amp;I Incentive Disbursements]]/'[1]1.) CLM Reference'!$B$5</f>
        <v>3.083190278189422E-6</v>
      </c>
      <c r="P194" s="318">
        <f>VLOOKUP('3.) Large Load'!$B194,'Population and Diversity Data'!$B$2:$K$823,10,FALSE)</f>
        <v>1</v>
      </c>
      <c r="Q194" s="338" t="str">
        <f>VLOOKUP('3.) Large Load'!$B194,'ES Energy Burden'!$B$2:$E$914,4,FALSE)</f>
        <v>No</v>
      </c>
    </row>
    <row r="195" spans="1:17" x14ac:dyDescent="0.2">
      <c r="A195" s="329" t="s">
        <v>2833</v>
      </c>
      <c r="B195" s="330">
        <v>9011715100</v>
      </c>
      <c r="C195" s="319" t="s">
        <v>944</v>
      </c>
      <c r="D195" s="331">
        <f>[1]!Table32[[#This Row],[Residential CLM $ Collected]]+[1]!Table32[[#This Row],[C&amp;I CLM $ Collected]]</f>
        <v>5102.6235540000007</v>
      </c>
      <c r="E195" s="177">
        <f>[1]!Table32[[#This Row],[CLM $ Collected ]]/'[1]1.) CLM Reference'!$B$4</f>
        <v>5.4931642127047138E-5</v>
      </c>
      <c r="F195" s="332">
        <f>[1]!Table32[[#This Row],[Residential Incentive Disbursements]]+[1]!Table32[[#This Row],[C&amp;I Incentive Disbursements]]</f>
        <v>6700</v>
      </c>
      <c r="G195" s="177">
        <f>[1]!Table32[[#This Row],[Incentive Disbursements]]/'[1]1.) CLM Reference'!$B$5</f>
        <v>5.3795247041325855E-5</v>
      </c>
      <c r="H195" s="333">
        <v>0</v>
      </c>
      <c r="I195" s="177">
        <f>[1]!Table32[[#This Row],[Residential CLM $ Collected]]/'[1]1.) CLM Reference'!$B$4</f>
        <v>0</v>
      </c>
      <c r="J195" s="333">
        <v>0</v>
      </c>
      <c r="K195" s="177">
        <f>[1]!Table32[[#This Row],[Residential Incentive Disbursements]]/'[1]1.) CLM Reference'!$B$5</f>
        <v>0</v>
      </c>
      <c r="L195" s="333">
        <v>5102.6235540000007</v>
      </c>
      <c r="M195" s="177">
        <f>[1]!Table32[[#This Row],[C&amp;I CLM $ Collected]]/'[1]1.) CLM Reference'!$B$4</f>
        <v>5.4931642127047138E-5</v>
      </c>
      <c r="N195" s="333">
        <v>6700</v>
      </c>
      <c r="O195" s="177">
        <f>[1]!Table32[[#This Row],[C&amp;I Incentive Disbursements]]/'[1]1.) CLM Reference'!$B$5</f>
        <v>5.3795247041325855E-5</v>
      </c>
      <c r="P195" s="319">
        <f>VLOOKUP('3.) Large Load'!$B195,'Population and Diversity Data'!$B$2:$K$823,10,FALSE)</f>
        <v>3</v>
      </c>
      <c r="Q195" s="334" t="str">
        <f>VLOOKUP('3.) Large Load'!$B195,'ES Energy Burden'!$B$2:$E$914,4,FALSE)</f>
        <v>No</v>
      </c>
    </row>
    <row r="196" spans="1:17" x14ac:dyDescent="0.2">
      <c r="A196" s="335" t="s">
        <v>2834</v>
      </c>
      <c r="B196" s="336">
        <v>9005261100</v>
      </c>
      <c r="C196" s="318" t="s">
        <v>944</v>
      </c>
      <c r="D196" s="324">
        <f>[1]!Table32[[#This Row],[Residential CLM $ Collected]]+[1]!Table32[[#This Row],[C&amp;I CLM $ Collected]]</f>
        <v>55713.262710000003</v>
      </c>
      <c r="E196" s="325">
        <f>[1]!Table32[[#This Row],[CLM $ Collected ]]/'[1]1.) CLM Reference'!$B$4</f>
        <v>5.9977401360850622E-4</v>
      </c>
      <c r="F196" s="326">
        <f>[1]!Table32[[#This Row],[Residential Incentive Disbursements]]+[1]!Table32[[#This Row],[C&amp;I Incentive Disbursements]]</f>
        <v>18589.599999999999</v>
      </c>
      <c r="G196" s="325">
        <f>[1]!Table32[[#This Row],[Incentive Disbursements]]/'[1]1.) CLM Reference'!$B$5</f>
        <v>1.4925852602976582E-4</v>
      </c>
      <c r="H196" s="337">
        <v>0</v>
      </c>
      <c r="I196" s="325">
        <f>[1]!Table32[[#This Row],[Residential CLM $ Collected]]/'[1]1.) CLM Reference'!$B$4</f>
        <v>0</v>
      </c>
      <c r="J196" s="337">
        <v>0</v>
      </c>
      <c r="K196" s="325">
        <f>[1]!Table32[[#This Row],[Residential Incentive Disbursements]]/'[1]1.) CLM Reference'!$B$5</f>
        <v>0</v>
      </c>
      <c r="L196" s="337">
        <v>55713.262710000003</v>
      </c>
      <c r="M196" s="325">
        <f>[1]!Table32[[#This Row],[C&amp;I CLM $ Collected]]/'[1]1.) CLM Reference'!$B$4</f>
        <v>5.9977401360850622E-4</v>
      </c>
      <c r="N196" s="337">
        <v>18589.599999999999</v>
      </c>
      <c r="O196" s="325">
        <f>[1]!Table32[[#This Row],[C&amp;I Incentive Disbursements]]/'[1]1.) CLM Reference'!$B$5</f>
        <v>1.4925852602976582E-4</v>
      </c>
      <c r="P196" s="318">
        <f>VLOOKUP('3.) Large Load'!$B196,'Population and Diversity Data'!$B$2:$K$823,10,FALSE)</f>
        <v>1</v>
      </c>
      <c r="Q196" s="338" t="str">
        <f>VLOOKUP('3.) Large Load'!$B196,'ES Energy Burden'!$B$2:$E$914,4,FALSE)</f>
        <v>No</v>
      </c>
    </row>
    <row r="197" spans="1:17" x14ac:dyDescent="0.2">
      <c r="A197" s="329" t="s">
        <v>2835</v>
      </c>
      <c r="B197" s="330">
        <v>9015825000</v>
      </c>
      <c r="C197" s="319" t="s">
        <v>944</v>
      </c>
      <c r="D197" s="331">
        <f>[1]!Table32[[#This Row],[Residential CLM $ Collected]]+[1]!Table32[[#This Row],[C&amp;I CLM $ Collected]]</f>
        <v>3065.4628620000003</v>
      </c>
      <c r="E197" s="177">
        <f>[1]!Table32[[#This Row],[CLM $ Collected ]]/'[1]1.) CLM Reference'!$B$4</f>
        <v>3.3000848898040752E-5</v>
      </c>
      <c r="F197" s="332">
        <f>[1]!Table32[[#This Row],[Residential Incentive Disbursements]]+[1]!Table32[[#This Row],[C&amp;I Incentive Disbursements]]</f>
        <v>680</v>
      </c>
      <c r="G197" s="177">
        <f>[1]!Table32[[#This Row],[Incentive Disbursements]]/'[1]1.) CLM Reference'!$B$5</f>
        <v>5.4598161176271014E-6</v>
      </c>
      <c r="H197" s="333">
        <v>0</v>
      </c>
      <c r="I197" s="177">
        <f>[1]!Table32[[#This Row],[Residential CLM $ Collected]]/'[1]1.) CLM Reference'!$B$4</f>
        <v>0</v>
      </c>
      <c r="J197" s="333">
        <v>0</v>
      </c>
      <c r="K197" s="177">
        <f>[1]!Table32[[#This Row],[Residential Incentive Disbursements]]/'[1]1.) CLM Reference'!$B$5</f>
        <v>0</v>
      </c>
      <c r="L197" s="333">
        <v>3065.4628620000003</v>
      </c>
      <c r="M197" s="177">
        <f>[1]!Table32[[#This Row],[C&amp;I CLM $ Collected]]/'[1]1.) CLM Reference'!$B$4</f>
        <v>3.3000848898040752E-5</v>
      </c>
      <c r="N197" s="333">
        <v>680</v>
      </c>
      <c r="O197" s="177">
        <f>[1]!Table32[[#This Row],[C&amp;I Incentive Disbursements]]/'[1]1.) CLM Reference'!$B$5</f>
        <v>5.4598161176271014E-6</v>
      </c>
      <c r="P197" s="319">
        <f>VLOOKUP('3.) Large Load'!$B197,'Population and Diversity Data'!$B$2:$K$823,10,FALSE)</f>
        <v>2</v>
      </c>
      <c r="Q197" s="334" t="str">
        <f>VLOOKUP('3.) Large Load'!$B197,'ES Energy Burden'!$B$2:$E$914,4,FALSE)</f>
        <v>No</v>
      </c>
    </row>
    <row r="198" spans="1:17" x14ac:dyDescent="0.2">
      <c r="A198" s="335" t="s">
        <v>2836</v>
      </c>
      <c r="B198" s="336">
        <v>9009130101</v>
      </c>
      <c r="C198" s="318" t="s">
        <v>944</v>
      </c>
      <c r="D198" s="324">
        <f>[1]!Table32[[#This Row],[Residential CLM $ Collected]]+[1]!Table32[[#This Row],[C&amp;I CLM $ Collected]]</f>
        <v>148869.23893800002</v>
      </c>
      <c r="E198" s="325">
        <f>[1]!Table32[[#This Row],[CLM $ Collected ]]/'[1]1.) CLM Reference'!$B$4</f>
        <v>1.6026327771441332E-3</v>
      </c>
      <c r="F198" s="326">
        <f>[1]!Table32[[#This Row],[Residential Incentive Disbursements]]+[1]!Table32[[#This Row],[C&amp;I Incentive Disbursements]]</f>
        <v>635730.41</v>
      </c>
      <c r="G198" s="325">
        <f>[1]!Table32[[#This Row],[Incentive Disbursements]]/'[1]1.) CLM Reference'!$B$5</f>
        <v>5.1043693220348321E-3</v>
      </c>
      <c r="H198" s="337">
        <v>0</v>
      </c>
      <c r="I198" s="325">
        <f>[1]!Table32[[#This Row],[Residential CLM $ Collected]]/'[1]1.) CLM Reference'!$B$4</f>
        <v>0</v>
      </c>
      <c r="J198" s="337">
        <v>0</v>
      </c>
      <c r="K198" s="325">
        <f>[1]!Table32[[#This Row],[Residential Incentive Disbursements]]/'[1]1.) CLM Reference'!$B$5</f>
        <v>0</v>
      </c>
      <c r="L198" s="337">
        <v>148869.23893800002</v>
      </c>
      <c r="M198" s="325">
        <f>[1]!Table32[[#This Row],[C&amp;I CLM $ Collected]]/'[1]1.) CLM Reference'!$B$4</f>
        <v>1.6026327771441332E-3</v>
      </c>
      <c r="N198" s="337">
        <v>635730.41</v>
      </c>
      <c r="O198" s="325">
        <f>[1]!Table32[[#This Row],[C&amp;I Incentive Disbursements]]/'[1]1.) CLM Reference'!$B$5</f>
        <v>5.1043693220348321E-3</v>
      </c>
      <c r="P198" s="318">
        <f>VLOOKUP('3.) Large Load'!$B198,'Population and Diversity Data'!$B$2:$K$823,10,FALSE)</f>
        <v>2</v>
      </c>
      <c r="Q198" s="338" t="str">
        <f>VLOOKUP('3.) Large Load'!$B198,'ES Energy Burden'!$B$2:$E$914,4,FALSE)</f>
        <v>No</v>
      </c>
    </row>
    <row r="199" spans="1:17" x14ac:dyDescent="0.2">
      <c r="A199" s="329" t="s">
        <v>2836</v>
      </c>
      <c r="B199" s="330">
        <v>9009130102</v>
      </c>
      <c r="C199" s="319" t="s">
        <v>944</v>
      </c>
      <c r="D199" s="331">
        <f>[1]!Table32[[#This Row],[Residential CLM $ Collected]]+[1]!Table32[[#This Row],[C&amp;I CLM $ Collected]]</f>
        <v>22.427139</v>
      </c>
      <c r="E199" s="177">
        <f>[1]!Table32[[#This Row],[CLM $ Collected ]]/'[1]1.) CLM Reference'!$B$4</f>
        <v>2.4143650035005927E-7</v>
      </c>
      <c r="F199" s="332">
        <f>[1]!Table32[[#This Row],[Residential Incentive Disbursements]]+[1]!Table32[[#This Row],[C&amp;I Incentive Disbursements]]</f>
        <v>0</v>
      </c>
      <c r="G199" s="177">
        <f>[1]!Table32[[#This Row],[Incentive Disbursements]]/'[1]1.) CLM Reference'!$B$5</f>
        <v>0</v>
      </c>
      <c r="H199" s="333">
        <v>0</v>
      </c>
      <c r="I199" s="177">
        <f>[1]!Table32[[#This Row],[Residential CLM $ Collected]]/'[1]1.) CLM Reference'!$B$4</f>
        <v>0</v>
      </c>
      <c r="J199" s="333">
        <v>0</v>
      </c>
      <c r="K199" s="177">
        <f>[1]!Table32[[#This Row],[Residential Incentive Disbursements]]/'[1]1.) CLM Reference'!$B$5</f>
        <v>0</v>
      </c>
      <c r="L199" s="333">
        <v>22.427139</v>
      </c>
      <c r="M199" s="177">
        <f>[1]!Table32[[#This Row],[C&amp;I CLM $ Collected]]/'[1]1.) CLM Reference'!$B$4</f>
        <v>2.4143650035005927E-7</v>
      </c>
      <c r="N199" s="333">
        <v>0</v>
      </c>
      <c r="O199" s="177">
        <f>[1]!Table32[[#This Row],[C&amp;I Incentive Disbursements]]/'[1]1.) CLM Reference'!$B$5</f>
        <v>0</v>
      </c>
      <c r="P199" s="319">
        <f>VLOOKUP('3.) Large Load'!$B199,'Population and Diversity Data'!$B$2:$K$823,10,FALSE)</f>
        <v>2</v>
      </c>
      <c r="Q199" s="334" t="str">
        <f>VLOOKUP('3.) Large Load'!$B199,'ES Energy Burden'!$B$2:$E$914,4,FALSE)</f>
        <v>No</v>
      </c>
    </row>
    <row r="200" spans="1:17" x14ac:dyDescent="0.2">
      <c r="A200" s="335" t="s">
        <v>2837</v>
      </c>
      <c r="B200" s="336">
        <v>9005262100</v>
      </c>
      <c r="C200" s="318" t="s">
        <v>944</v>
      </c>
      <c r="D200" s="324">
        <f>[1]!Table32[[#This Row],[Residential CLM $ Collected]]+[1]!Table32[[#This Row],[C&amp;I CLM $ Collected]]</f>
        <v>33299.357427000003</v>
      </c>
      <c r="E200" s="325">
        <f>[1]!Table32[[#This Row],[CLM $ Collected ]]/'[1]1.) CLM Reference'!$B$4</f>
        <v>3.5847997914850553E-4</v>
      </c>
      <c r="F200" s="326">
        <f>[1]!Table32[[#This Row],[Residential Incentive Disbursements]]+[1]!Table32[[#This Row],[C&amp;I Incentive Disbursements]]</f>
        <v>1965</v>
      </c>
      <c r="G200" s="325">
        <f>[1]!Table32[[#This Row],[Incentive Disbursements]]/'[1]1.) CLM Reference'!$B$5</f>
        <v>1.5777262751672431E-5</v>
      </c>
      <c r="H200" s="337">
        <v>0</v>
      </c>
      <c r="I200" s="325">
        <f>[1]!Table32[[#This Row],[Residential CLM $ Collected]]/'[1]1.) CLM Reference'!$B$4</f>
        <v>0</v>
      </c>
      <c r="J200" s="337">
        <v>0</v>
      </c>
      <c r="K200" s="325">
        <f>[1]!Table32[[#This Row],[Residential Incentive Disbursements]]/'[1]1.) CLM Reference'!$B$5</f>
        <v>0</v>
      </c>
      <c r="L200" s="337">
        <v>33299.357427000003</v>
      </c>
      <c r="M200" s="325">
        <f>[1]!Table32[[#This Row],[C&amp;I CLM $ Collected]]/'[1]1.) CLM Reference'!$B$4</f>
        <v>3.5847997914850553E-4</v>
      </c>
      <c r="N200" s="337">
        <v>1965</v>
      </c>
      <c r="O200" s="325">
        <f>[1]!Table32[[#This Row],[C&amp;I Incentive Disbursements]]/'[1]1.) CLM Reference'!$B$5</f>
        <v>1.5777262751672431E-5</v>
      </c>
      <c r="P200" s="318">
        <f>VLOOKUP('3.) Large Load'!$B200,'Population and Diversity Data'!$B$2:$K$823,10,FALSE)</f>
        <v>1</v>
      </c>
      <c r="Q200" s="338" t="str">
        <f>VLOOKUP('3.) Large Load'!$B200,'ES Energy Burden'!$B$2:$E$914,4,FALSE)</f>
        <v>No</v>
      </c>
    </row>
    <row r="201" spans="1:17" x14ac:dyDescent="0.2">
      <c r="A201" s="329" t="s">
        <v>2838</v>
      </c>
      <c r="B201" s="330">
        <v>9001257100</v>
      </c>
      <c r="C201" s="319" t="s">
        <v>944</v>
      </c>
      <c r="D201" s="331">
        <f>[1]!Table32[[#This Row],[Residential CLM $ Collected]]+[1]!Table32[[#This Row],[C&amp;I CLM $ Collected]]</f>
        <v>3397.5277770000002</v>
      </c>
      <c r="E201" s="177">
        <f>[1]!Table32[[#This Row],[CLM $ Collected ]]/'[1]1.) CLM Reference'!$B$4</f>
        <v>3.6575651326769619E-5</v>
      </c>
      <c r="F201" s="332">
        <f>[1]!Table32[[#This Row],[Residential Incentive Disbursements]]+[1]!Table32[[#This Row],[C&amp;I Incentive Disbursements]]</f>
        <v>1536</v>
      </c>
      <c r="G201" s="177">
        <f>[1]!Table32[[#This Row],[Incentive Disbursements]]/'[1]1.) CLM Reference'!$B$5</f>
        <v>1.2332761112757688E-5</v>
      </c>
      <c r="H201" s="333">
        <v>0</v>
      </c>
      <c r="I201" s="177">
        <f>[1]!Table32[[#This Row],[Residential CLM $ Collected]]/'[1]1.) CLM Reference'!$B$4</f>
        <v>0</v>
      </c>
      <c r="J201" s="333">
        <v>0</v>
      </c>
      <c r="K201" s="177">
        <f>[1]!Table32[[#This Row],[Residential Incentive Disbursements]]/'[1]1.) CLM Reference'!$B$5</f>
        <v>0</v>
      </c>
      <c r="L201" s="333">
        <v>3397.5277770000002</v>
      </c>
      <c r="M201" s="177">
        <f>[1]!Table32[[#This Row],[C&amp;I CLM $ Collected]]/'[1]1.) CLM Reference'!$B$4</f>
        <v>3.6575651326769619E-5</v>
      </c>
      <c r="N201" s="333">
        <v>1536</v>
      </c>
      <c r="O201" s="177">
        <f>[1]!Table32[[#This Row],[C&amp;I Incentive Disbursements]]/'[1]1.) CLM Reference'!$B$5</f>
        <v>1.2332761112757688E-5</v>
      </c>
      <c r="P201" s="319">
        <f>VLOOKUP('3.) Large Load'!$B201,'Population and Diversity Data'!$B$2:$K$823,10,FALSE)</f>
        <v>1</v>
      </c>
      <c r="Q201" s="334" t="str">
        <f>VLOOKUP('3.) Large Load'!$B201,'ES Energy Burden'!$B$2:$E$914,4,FALSE)</f>
        <v>No</v>
      </c>
    </row>
    <row r="202" spans="1:17" x14ac:dyDescent="0.2">
      <c r="A202" s="335" t="s">
        <v>2839</v>
      </c>
      <c r="B202" s="336">
        <v>9003464101</v>
      </c>
      <c r="C202" s="318" t="s">
        <v>944</v>
      </c>
      <c r="D202" s="324">
        <f>[1]!Table32[[#This Row],[Residential CLM $ Collected]]+[1]!Table32[[#This Row],[C&amp;I CLM $ Collected]]</f>
        <v>0</v>
      </c>
      <c r="E202" s="325">
        <f>[1]!Table32[[#This Row],[CLM $ Collected ]]/'[1]1.) CLM Reference'!$B$4</f>
        <v>0</v>
      </c>
      <c r="F202" s="326">
        <f>[1]!Table32[[#This Row],[Residential Incentive Disbursements]]+[1]!Table32[[#This Row],[C&amp;I Incentive Disbursements]]</f>
        <v>609.20000000000005</v>
      </c>
      <c r="G202" s="325">
        <f>[1]!Table32[[#This Row],[Incentive Disbursements]]/'[1]1.) CLM Reference'!$B$5</f>
        <v>4.8913529100859272E-6</v>
      </c>
      <c r="H202" s="337">
        <v>0</v>
      </c>
      <c r="I202" s="325">
        <f>[1]!Table32[[#This Row],[Residential CLM $ Collected]]/'[1]1.) CLM Reference'!$B$4</f>
        <v>0</v>
      </c>
      <c r="J202" s="337">
        <v>0</v>
      </c>
      <c r="K202" s="325">
        <f>[1]!Table32[[#This Row],[Residential Incentive Disbursements]]/'[1]1.) CLM Reference'!$B$5</f>
        <v>0</v>
      </c>
      <c r="L202" s="337">
        <v>0</v>
      </c>
      <c r="M202" s="325">
        <f>[1]!Table32[[#This Row],[C&amp;I CLM $ Collected]]/'[1]1.) CLM Reference'!$B$4</f>
        <v>0</v>
      </c>
      <c r="N202" s="337">
        <v>609.20000000000005</v>
      </c>
      <c r="O202" s="325">
        <f>[1]!Table32[[#This Row],[C&amp;I Incentive Disbursements]]/'[1]1.) CLM Reference'!$B$5</f>
        <v>4.8913529100859272E-6</v>
      </c>
      <c r="P202" s="318">
        <f>VLOOKUP('3.) Large Load'!$B202,'Population and Diversity Data'!$B$2:$K$823,10,FALSE)</f>
        <v>1</v>
      </c>
      <c r="Q202" s="338" t="str">
        <f>VLOOKUP('3.) Large Load'!$B202,'ES Energy Burden'!$B$2:$E$914,4,FALSE)</f>
        <v>No</v>
      </c>
    </row>
    <row r="203" spans="1:17" x14ac:dyDescent="0.2">
      <c r="A203" s="329" t="s">
        <v>2839</v>
      </c>
      <c r="B203" s="330">
        <v>9003466201</v>
      </c>
      <c r="C203" s="319" t="s">
        <v>944</v>
      </c>
      <c r="D203" s="331">
        <f>[1]!Table32[[#This Row],[Residential CLM $ Collected]]+[1]!Table32[[#This Row],[C&amp;I CLM $ Collected]]</f>
        <v>235090.38472500001</v>
      </c>
      <c r="E203" s="177">
        <f>[1]!Table32[[#This Row],[CLM $ Collected ]]/'[1]1.) CLM Reference'!$B$4</f>
        <v>2.5308355093332695E-3</v>
      </c>
      <c r="F203" s="332">
        <f>[1]!Table32[[#This Row],[Residential Incentive Disbursements]]+[1]!Table32[[#This Row],[C&amp;I Incentive Disbursements]]</f>
        <v>139282.64000000001</v>
      </c>
      <c r="G203" s="177">
        <f>[1]!Table32[[#This Row],[Incentive Disbursements]]/'[1]1.) CLM Reference'!$B$5</f>
        <v>1.1183200040847843E-3</v>
      </c>
      <c r="H203" s="333">
        <v>0</v>
      </c>
      <c r="I203" s="177">
        <f>[1]!Table32[[#This Row],[Residential CLM $ Collected]]/'[1]1.) CLM Reference'!$B$4</f>
        <v>0</v>
      </c>
      <c r="J203" s="333">
        <v>0</v>
      </c>
      <c r="K203" s="177">
        <f>[1]!Table32[[#This Row],[Residential Incentive Disbursements]]/'[1]1.) CLM Reference'!$B$5</f>
        <v>0</v>
      </c>
      <c r="L203" s="333">
        <v>235090.38472500001</v>
      </c>
      <c r="M203" s="177">
        <f>[1]!Table32[[#This Row],[C&amp;I CLM $ Collected]]/'[1]1.) CLM Reference'!$B$4</f>
        <v>2.5308355093332695E-3</v>
      </c>
      <c r="N203" s="333">
        <v>139282.64000000001</v>
      </c>
      <c r="O203" s="177">
        <f>[1]!Table32[[#This Row],[C&amp;I Incentive Disbursements]]/'[1]1.) CLM Reference'!$B$5</f>
        <v>1.1183200040847843E-3</v>
      </c>
      <c r="P203" s="319">
        <f>VLOOKUP('3.) Large Load'!$B203,'Population and Diversity Data'!$B$2:$K$823,10,FALSE)</f>
        <v>3</v>
      </c>
      <c r="Q203" s="334" t="str">
        <f>VLOOKUP('3.) Large Load'!$B203,'ES Energy Burden'!$B$2:$E$914,4,FALSE)</f>
        <v>No</v>
      </c>
    </row>
    <row r="204" spans="1:17" x14ac:dyDescent="0.2">
      <c r="A204" s="335" t="s">
        <v>2839</v>
      </c>
      <c r="B204" s="336">
        <v>9003466300</v>
      </c>
      <c r="C204" s="318" t="s">
        <v>944</v>
      </c>
      <c r="D204" s="324">
        <f>[1]!Table32[[#This Row],[Residential CLM $ Collected]]+[1]!Table32[[#This Row],[C&amp;I CLM $ Collected]]</f>
        <v>452.108769</v>
      </c>
      <c r="E204" s="325">
        <f>[1]!Table32[[#This Row],[CLM $ Collected ]]/'[1]1.) CLM Reference'!$B$4</f>
        <v>4.8671192061070903E-6</v>
      </c>
      <c r="F204" s="326">
        <f>[1]!Table32[[#This Row],[Residential Incentive Disbursements]]+[1]!Table32[[#This Row],[C&amp;I Incentive Disbursements]]</f>
        <v>0</v>
      </c>
      <c r="G204" s="325">
        <f>[1]!Table32[[#This Row],[Incentive Disbursements]]/'[1]1.) CLM Reference'!$B$5</f>
        <v>0</v>
      </c>
      <c r="H204" s="337">
        <v>0</v>
      </c>
      <c r="I204" s="325">
        <f>[1]!Table32[[#This Row],[Residential CLM $ Collected]]/'[1]1.) CLM Reference'!$B$4</f>
        <v>0</v>
      </c>
      <c r="J204" s="337">
        <v>0</v>
      </c>
      <c r="K204" s="325">
        <f>[1]!Table32[[#This Row],[Residential Incentive Disbursements]]/'[1]1.) CLM Reference'!$B$5</f>
        <v>0</v>
      </c>
      <c r="L204" s="337">
        <v>452.108769</v>
      </c>
      <c r="M204" s="325">
        <f>[1]!Table32[[#This Row],[C&amp;I CLM $ Collected]]/'[1]1.) CLM Reference'!$B$4</f>
        <v>4.8671192061070903E-6</v>
      </c>
      <c r="N204" s="337">
        <v>0</v>
      </c>
      <c r="O204" s="325">
        <f>[1]!Table32[[#This Row],[C&amp;I Incentive Disbursements]]/'[1]1.) CLM Reference'!$B$5</f>
        <v>0</v>
      </c>
      <c r="P204" s="318">
        <f>VLOOKUP('3.) Large Load'!$B204,'Population and Diversity Data'!$B$2:$K$823,10,FALSE)</f>
        <v>2</v>
      </c>
      <c r="Q204" s="338" t="str">
        <f>VLOOKUP('3.) Large Load'!$B204,'ES Energy Burden'!$B$2:$E$914,4,FALSE)</f>
        <v>No</v>
      </c>
    </row>
    <row r="205" spans="1:17" x14ac:dyDescent="0.2">
      <c r="A205" s="329" t="s">
        <v>2840</v>
      </c>
      <c r="B205" s="330">
        <v>9013538201</v>
      </c>
      <c r="C205" s="319" t="s">
        <v>944</v>
      </c>
      <c r="D205" s="331">
        <f>[1]!Table32[[#This Row],[Residential CLM $ Collected]]+[1]!Table32[[#This Row],[C&amp;I CLM $ Collected]]</f>
        <v>71477.679944999996</v>
      </c>
      <c r="E205" s="177">
        <f>[1]!Table32[[#This Row],[CLM $ Collected ]]/'[1]1.) CLM Reference'!$B$4</f>
        <v>7.6948383380788857E-4</v>
      </c>
      <c r="F205" s="332">
        <f>[1]!Table32[[#This Row],[Residential Incentive Disbursements]]+[1]!Table32[[#This Row],[C&amp;I Incentive Disbursements]]</f>
        <v>96841.310400000002</v>
      </c>
      <c r="G205" s="177">
        <f>[1]!Table32[[#This Row],[Incentive Disbursements]]/'[1]1.) CLM Reference'!$B$5</f>
        <v>7.7755256966771918E-4</v>
      </c>
      <c r="H205" s="333">
        <v>0</v>
      </c>
      <c r="I205" s="177">
        <f>[1]!Table32[[#This Row],[Residential CLM $ Collected]]/'[1]1.) CLM Reference'!$B$4</f>
        <v>0</v>
      </c>
      <c r="J205" s="333">
        <v>0</v>
      </c>
      <c r="K205" s="177">
        <f>[1]!Table32[[#This Row],[Residential Incentive Disbursements]]/'[1]1.) CLM Reference'!$B$5</f>
        <v>0</v>
      </c>
      <c r="L205" s="333">
        <v>71477.679944999996</v>
      </c>
      <c r="M205" s="177">
        <f>[1]!Table32[[#This Row],[C&amp;I CLM $ Collected]]/'[1]1.) CLM Reference'!$B$4</f>
        <v>7.6948383380788857E-4</v>
      </c>
      <c r="N205" s="333">
        <v>96841.310400000002</v>
      </c>
      <c r="O205" s="177">
        <f>[1]!Table32[[#This Row],[C&amp;I Incentive Disbursements]]/'[1]1.) CLM Reference'!$B$5</f>
        <v>7.7755256966771918E-4</v>
      </c>
      <c r="P205" s="319">
        <f>VLOOKUP('3.) Large Load'!$B205,'Population and Diversity Data'!$B$2:$K$823,10,FALSE)</f>
        <v>3</v>
      </c>
      <c r="Q205" s="334" t="str">
        <f>VLOOKUP('3.) Large Load'!$B205,'ES Energy Burden'!$B$2:$E$914,4,FALSE)</f>
        <v>No</v>
      </c>
    </row>
    <row r="206" spans="1:17" x14ac:dyDescent="0.2">
      <c r="A206" s="335" t="s">
        <v>2841</v>
      </c>
      <c r="B206" s="336">
        <v>9003487300</v>
      </c>
      <c r="C206" s="318" t="s">
        <v>944</v>
      </c>
      <c r="D206" s="324">
        <f>[1]!Table32[[#This Row],[Residential CLM $ Collected]]+[1]!Table32[[#This Row],[C&amp;I CLM $ Collected]]</f>
        <v>514012.44468000002</v>
      </c>
      <c r="E206" s="325">
        <f>[1]!Table32[[#This Row],[CLM $ Collected ]]/'[1]1.) CLM Reference'!$B$4</f>
        <v>5.5335353198603552E-3</v>
      </c>
      <c r="F206" s="326">
        <f>[1]!Table32[[#This Row],[Residential Incentive Disbursements]]+[1]!Table32[[#This Row],[C&amp;I Incentive Disbursements]]</f>
        <v>654585.03799999994</v>
      </c>
      <c r="G206" s="325">
        <f>[1]!Table32[[#This Row],[Incentive Disbursements]]/'[1]1.) CLM Reference'!$B$5</f>
        <v>5.255755795338159E-3</v>
      </c>
      <c r="H206" s="337">
        <v>0</v>
      </c>
      <c r="I206" s="325">
        <f>[1]!Table32[[#This Row],[Residential CLM $ Collected]]/'[1]1.) CLM Reference'!$B$4</f>
        <v>0</v>
      </c>
      <c r="J206" s="337">
        <v>0</v>
      </c>
      <c r="K206" s="325">
        <f>[1]!Table32[[#This Row],[Residential Incentive Disbursements]]/'[1]1.) CLM Reference'!$B$5</f>
        <v>0</v>
      </c>
      <c r="L206" s="337">
        <v>514012.44468000002</v>
      </c>
      <c r="M206" s="325">
        <f>[1]!Table32[[#This Row],[C&amp;I CLM $ Collected]]/'[1]1.) CLM Reference'!$B$4</f>
        <v>5.5335353198603552E-3</v>
      </c>
      <c r="N206" s="337">
        <v>654585.03799999994</v>
      </c>
      <c r="O206" s="325">
        <f>[1]!Table32[[#This Row],[C&amp;I Incentive Disbursements]]/'[1]1.) CLM Reference'!$B$5</f>
        <v>5.255755795338159E-3</v>
      </c>
      <c r="P206" s="318">
        <f>VLOOKUP('3.) Large Load'!$B206,'Population and Diversity Data'!$B$2:$K$823,10,FALSE)</f>
        <v>3</v>
      </c>
      <c r="Q206" s="338" t="str">
        <f>VLOOKUP('3.) Large Load'!$B206,'ES Energy Burden'!$B$2:$E$914,4,FALSE)</f>
        <v>No</v>
      </c>
    </row>
    <row r="207" spans="1:17" x14ac:dyDescent="0.2">
      <c r="A207" s="329" t="s">
        <v>2842</v>
      </c>
      <c r="B207" s="330">
        <v>9009348123</v>
      </c>
      <c r="C207" s="319" t="s">
        <v>944</v>
      </c>
      <c r="D207" s="331">
        <f>[1]!Table32[[#This Row],[Residential CLM $ Collected]]+[1]!Table32[[#This Row],[C&amp;I CLM $ Collected]]</f>
        <v>1.0027079999999999</v>
      </c>
      <c r="E207" s="177">
        <f>[1]!Table32[[#This Row],[CLM $ Collected ]]/'[1]1.) CLM Reference'!$B$4</f>
        <v>1.0794524900969633E-8</v>
      </c>
      <c r="F207" s="332">
        <f>[1]!Table32[[#This Row],[Residential Incentive Disbursements]]+[1]!Table32[[#This Row],[C&amp;I Incentive Disbursements]]</f>
        <v>0</v>
      </c>
      <c r="G207" s="177">
        <f>[1]!Table32[[#This Row],[Incentive Disbursements]]/'[1]1.) CLM Reference'!$B$5</f>
        <v>0</v>
      </c>
      <c r="H207" s="333">
        <v>0</v>
      </c>
      <c r="I207" s="177">
        <f>[1]!Table32[[#This Row],[Residential CLM $ Collected]]/'[1]1.) CLM Reference'!$B$4</f>
        <v>0</v>
      </c>
      <c r="J207" s="333">
        <v>0</v>
      </c>
      <c r="K207" s="177">
        <f>[1]!Table32[[#This Row],[Residential Incentive Disbursements]]/'[1]1.) CLM Reference'!$B$5</f>
        <v>0</v>
      </c>
      <c r="L207" s="333">
        <v>1.0027079999999999</v>
      </c>
      <c r="M207" s="177">
        <f>[1]!Table32[[#This Row],[C&amp;I CLM $ Collected]]/'[1]1.) CLM Reference'!$B$4</f>
        <v>1.0794524900969633E-8</v>
      </c>
      <c r="N207" s="333">
        <v>0</v>
      </c>
      <c r="O207" s="177">
        <f>[1]!Table32[[#This Row],[C&amp;I Incentive Disbursements]]/'[1]1.) CLM Reference'!$B$5</f>
        <v>0</v>
      </c>
      <c r="P207" s="319">
        <f>VLOOKUP('3.) Large Load'!$B207,'Population and Diversity Data'!$B$2:$K$823,10,FALSE)</f>
        <v>3</v>
      </c>
      <c r="Q207" s="334" t="str">
        <f>VLOOKUP('3.) Large Load'!$B207,'ES Energy Burden'!$B$2:$E$914,4,FALSE)</f>
        <v>No</v>
      </c>
    </row>
    <row r="208" spans="1:17" x14ac:dyDescent="0.2">
      <c r="A208" s="335" t="s">
        <v>2842</v>
      </c>
      <c r="B208" s="336">
        <v>9009348124</v>
      </c>
      <c r="C208" s="318" t="s">
        <v>944</v>
      </c>
      <c r="D208" s="324">
        <f>[1]!Table32[[#This Row],[Residential CLM $ Collected]]+[1]!Table32[[#This Row],[C&amp;I CLM $ Collected]]</f>
        <v>222182.61737699999</v>
      </c>
      <c r="E208" s="325">
        <f>[1]!Table32[[#This Row],[CLM $ Collected ]]/'[1]1.) CLM Reference'!$B$4</f>
        <v>2.3918785886206505E-3</v>
      </c>
      <c r="F208" s="326">
        <f>[1]!Table32[[#This Row],[Residential Incentive Disbursements]]+[1]!Table32[[#This Row],[C&amp;I Incentive Disbursements]]</f>
        <v>364274.77399999998</v>
      </c>
      <c r="G208" s="325">
        <f>[1]!Table32[[#This Row],[Incentive Disbursements]]/'[1]1.) CLM Reference'!$B$5</f>
        <v>2.9248136504855435E-3</v>
      </c>
      <c r="H208" s="337">
        <v>0</v>
      </c>
      <c r="I208" s="325">
        <f>[1]!Table32[[#This Row],[Residential CLM $ Collected]]/'[1]1.) CLM Reference'!$B$4</f>
        <v>0</v>
      </c>
      <c r="J208" s="337">
        <v>0</v>
      </c>
      <c r="K208" s="325">
        <f>[1]!Table32[[#This Row],[Residential Incentive Disbursements]]/'[1]1.) CLM Reference'!$B$5</f>
        <v>0</v>
      </c>
      <c r="L208" s="337">
        <v>222182.61737699999</v>
      </c>
      <c r="M208" s="325">
        <f>[1]!Table32[[#This Row],[C&amp;I CLM $ Collected]]/'[1]1.) CLM Reference'!$B$4</f>
        <v>2.3918785886206505E-3</v>
      </c>
      <c r="N208" s="337">
        <v>364274.77399999998</v>
      </c>
      <c r="O208" s="325">
        <f>[1]!Table32[[#This Row],[C&amp;I Incentive Disbursements]]/'[1]1.) CLM Reference'!$B$5</f>
        <v>2.9248136504855435E-3</v>
      </c>
      <c r="P208" s="318">
        <f>VLOOKUP('3.) Large Load'!$B208,'Population and Diversity Data'!$B$2:$K$823,10,FALSE)</f>
        <v>2</v>
      </c>
      <c r="Q208" s="338" t="str">
        <f>VLOOKUP('3.) Large Load'!$B208,'ES Energy Burden'!$B$2:$E$914,4,FALSE)</f>
        <v>No</v>
      </c>
    </row>
    <row r="209" spans="1:17" x14ac:dyDescent="0.2">
      <c r="A209" s="329" t="s">
        <v>2843</v>
      </c>
      <c r="B209" s="330">
        <v>9003430100</v>
      </c>
      <c r="C209" s="319" t="s">
        <v>944</v>
      </c>
      <c r="D209" s="331">
        <f>[1]!Table32[[#This Row],[Residential CLM $ Collected]]+[1]!Table32[[#This Row],[C&amp;I CLM $ Collected]]</f>
        <v>0</v>
      </c>
      <c r="E209" s="177">
        <f>[1]!Table32[[#This Row],[CLM $ Collected ]]/'[1]1.) CLM Reference'!$B$4</f>
        <v>0</v>
      </c>
      <c r="F209" s="332">
        <f>[1]!Table32[[#This Row],[Residential Incentive Disbursements]]+[1]!Table32[[#This Row],[C&amp;I Incentive Disbursements]]</f>
        <v>21506</v>
      </c>
      <c r="G209" s="177">
        <f>[1]!Table32[[#This Row],[Incentive Disbursements]]/'[1]1.) CLM Reference'!$B$5</f>
        <v>1.7267471386130654E-4</v>
      </c>
      <c r="H209" s="333">
        <v>0</v>
      </c>
      <c r="I209" s="177">
        <f>[1]!Table32[[#This Row],[Residential CLM $ Collected]]/'[1]1.) CLM Reference'!$B$4</f>
        <v>0</v>
      </c>
      <c r="J209" s="333">
        <v>0</v>
      </c>
      <c r="K209" s="177">
        <f>[1]!Table32[[#This Row],[Residential Incentive Disbursements]]/'[1]1.) CLM Reference'!$B$5</f>
        <v>0</v>
      </c>
      <c r="L209" s="333">
        <v>0</v>
      </c>
      <c r="M209" s="177">
        <f>[1]!Table32[[#This Row],[C&amp;I CLM $ Collected]]/'[1]1.) CLM Reference'!$B$4</f>
        <v>0</v>
      </c>
      <c r="N209" s="333">
        <v>21506</v>
      </c>
      <c r="O209" s="177">
        <f>[1]!Table32[[#This Row],[C&amp;I Incentive Disbursements]]/'[1]1.) CLM Reference'!$B$5</f>
        <v>1.7267471386130654E-4</v>
      </c>
      <c r="P209" s="319">
        <f>VLOOKUP('3.) Large Load'!$B209,'Population and Diversity Data'!$B$2:$K$823,10,FALSE)</f>
        <v>3</v>
      </c>
      <c r="Q209" s="334" t="str">
        <f>VLOOKUP('3.) Large Load'!$B209,'ES Energy Burden'!$B$2:$E$914,4,FALSE)</f>
        <v>No</v>
      </c>
    </row>
    <row r="210" spans="1:17" x14ac:dyDescent="0.2">
      <c r="A210" s="335" t="s">
        <v>2843</v>
      </c>
      <c r="B210" s="336">
        <v>9003430203</v>
      </c>
      <c r="C210" s="318" t="s">
        <v>944</v>
      </c>
      <c r="D210" s="324">
        <f>[1]!Table32[[#This Row],[Residential CLM $ Collected]]+[1]!Table32[[#This Row],[C&amp;I CLM $ Collected]]</f>
        <v>6.7349520000000007</v>
      </c>
      <c r="E210" s="325">
        <f>[1]!Table32[[#This Row],[CLM $ Collected ]]/'[1]1.) CLM Reference'!$B$4</f>
        <v>7.250426551980761E-8</v>
      </c>
      <c r="F210" s="326">
        <f>[1]!Table32[[#This Row],[Residential Incentive Disbursements]]+[1]!Table32[[#This Row],[C&amp;I Incentive Disbursements]]</f>
        <v>0</v>
      </c>
      <c r="G210" s="325">
        <f>[1]!Table32[[#This Row],[Incentive Disbursements]]/'[1]1.) CLM Reference'!$B$5</f>
        <v>0</v>
      </c>
      <c r="H210" s="337">
        <v>0</v>
      </c>
      <c r="I210" s="325">
        <f>[1]!Table32[[#This Row],[Residential CLM $ Collected]]/'[1]1.) CLM Reference'!$B$4</f>
        <v>0</v>
      </c>
      <c r="J210" s="337">
        <v>0</v>
      </c>
      <c r="K210" s="325">
        <f>[1]!Table32[[#This Row],[Residential Incentive Disbursements]]/'[1]1.) CLM Reference'!$B$5</f>
        <v>0</v>
      </c>
      <c r="L210" s="337">
        <v>6.7349520000000007</v>
      </c>
      <c r="M210" s="325">
        <f>[1]!Table32[[#This Row],[C&amp;I CLM $ Collected]]/'[1]1.) CLM Reference'!$B$4</f>
        <v>7.250426551980761E-8</v>
      </c>
      <c r="N210" s="337">
        <v>0</v>
      </c>
      <c r="O210" s="325">
        <f>[1]!Table32[[#This Row],[C&amp;I Incentive Disbursements]]/'[1]1.) CLM Reference'!$B$5</f>
        <v>0</v>
      </c>
      <c r="P210" s="318">
        <f>VLOOKUP('3.) Large Load'!$B210,'Population and Diversity Data'!$B$2:$K$823,10,FALSE)</f>
        <v>2</v>
      </c>
      <c r="Q210" s="338" t="str">
        <f>VLOOKUP('3.) Large Load'!$B210,'ES Energy Burden'!$B$2:$E$914,4,FALSE)</f>
        <v>No</v>
      </c>
    </row>
    <row r="211" spans="1:17" x14ac:dyDescent="0.2">
      <c r="A211" s="329" t="s">
        <v>2843</v>
      </c>
      <c r="B211" s="330">
        <v>9003430500</v>
      </c>
      <c r="C211" s="319" t="s">
        <v>944</v>
      </c>
      <c r="D211" s="331">
        <f>[1]!Table32[[#This Row],[Residential CLM $ Collected]]+[1]!Table32[[#This Row],[C&amp;I CLM $ Collected]]</f>
        <v>512918.18547899998</v>
      </c>
      <c r="E211" s="177">
        <f>[1]!Table32[[#This Row],[CLM $ Collected ]]/'[1]1.) CLM Reference'!$B$4</f>
        <v>5.5217552121985935E-3</v>
      </c>
      <c r="F211" s="332">
        <f>[1]!Table32[[#This Row],[Residential Incentive Disbursements]]+[1]!Table32[[#This Row],[C&amp;I Incentive Disbursements]]</f>
        <v>437246.45</v>
      </c>
      <c r="G211" s="177">
        <f>[1]!Table32[[#This Row],[Incentive Disbursements]]/'[1]1.) CLM Reference'!$B$5</f>
        <v>3.5107135515959303E-3</v>
      </c>
      <c r="H211" s="333">
        <v>0</v>
      </c>
      <c r="I211" s="177">
        <f>[1]!Table32[[#This Row],[Residential CLM $ Collected]]/'[1]1.) CLM Reference'!$B$4</f>
        <v>0</v>
      </c>
      <c r="J211" s="333">
        <v>0</v>
      </c>
      <c r="K211" s="177">
        <f>[1]!Table32[[#This Row],[Residential Incentive Disbursements]]/'[1]1.) CLM Reference'!$B$5</f>
        <v>0</v>
      </c>
      <c r="L211" s="333">
        <v>512918.18547899998</v>
      </c>
      <c r="M211" s="177">
        <f>[1]!Table32[[#This Row],[C&amp;I CLM $ Collected]]/'[1]1.) CLM Reference'!$B$4</f>
        <v>5.5217552121985935E-3</v>
      </c>
      <c r="N211" s="333">
        <v>437246.45</v>
      </c>
      <c r="O211" s="177">
        <f>[1]!Table32[[#This Row],[C&amp;I Incentive Disbursements]]/'[1]1.) CLM Reference'!$B$5</f>
        <v>3.5107135515959303E-3</v>
      </c>
      <c r="P211" s="319">
        <f>VLOOKUP('3.) Large Load'!$B211,'Population and Diversity Data'!$B$2:$K$823,10,FALSE)</f>
        <v>1</v>
      </c>
      <c r="Q211" s="334" t="str">
        <f>VLOOKUP('3.) Large Load'!$B211,'ES Energy Burden'!$B$2:$E$914,4,FALSE)</f>
        <v>No</v>
      </c>
    </row>
    <row r="212" spans="1:17" x14ac:dyDescent="0.2">
      <c r="A212" s="335" t="s">
        <v>2843</v>
      </c>
      <c r="B212" s="336">
        <v>9003430601</v>
      </c>
      <c r="C212" s="318" t="s">
        <v>944</v>
      </c>
      <c r="D212" s="324">
        <f>[1]!Table32[[#This Row],[Residential CLM $ Collected]]+[1]!Table32[[#This Row],[C&amp;I CLM $ Collected]]</f>
        <v>6.1157460000000006</v>
      </c>
      <c r="E212" s="325">
        <f>[1]!Table32[[#This Row],[CLM $ Collected ]]/'[1]1.) CLM Reference'!$B$4</f>
        <v>6.5838282416222316E-8</v>
      </c>
      <c r="F212" s="326">
        <f>[1]!Table32[[#This Row],[Residential Incentive Disbursements]]+[1]!Table32[[#This Row],[C&amp;I Incentive Disbursements]]</f>
        <v>0</v>
      </c>
      <c r="G212" s="325">
        <f>[1]!Table32[[#This Row],[Incentive Disbursements]]/'[1]1.) CLM Reference'!$B$5</f>
        <v>0</v>
      </c>
      <c r="H212" s="337">
        <v>0</v>
      </c>
      <c r="I212" s="325">
        <f>[1]!Table32[[#This Row],[Residential CLM $ Collected]]/'[1]1.) CLM Reference'!$B$4</f>
        <v>0</v>
      </c>
      <c r="J212" s="337">
        <v>0</v>
      </c>
      <c r="K212" s="325">
        <f>[1]!Table32[[#This Row],[Residential Incentive Disbursements]]/'[1]1.) CLM Reference'!$B$5</f>
        <v>0</v>
      </c>
      <c r="L212" s="337">
        <v>6.1157460000000006</v>
      </c>
      <c r="M212" s="325">
        <f>[1]!Table32[[#This Row],[C&amp;I CLM $ Collected]]/'[1]1.) CLM Reference'!$B$4</f>
        <v>6.5838282416222316E-8</v>
      </c>
      <c r="N212" s="337">
        <v>0</v>
      </c>
      <c r="O212" s="325">
        <f>[1]!Table32[[#This Row],[C&amp;I Incentive Disbursements]]/'[1]1.) CLM Reference'!$B$5</f>
        <v>0</v>
      </c>
      <c r="P212" s="318">
        <f>VLOOKUP('3.) Large Load'!$B212,'Population and Diversity Data'!$B$2:$K$823,10,FALSE)</f>
        <v>2</v>
      </c>
      <c r="Q212" s="338" t="str">
        <f>VLOOKUP('3.) Large Load'!$B212,'ES Energy Burden'!$B$2:$E$914,4,FALSE)</f>
        <v>No</v>
      </c>
    </row>
    <row r="213" spans="1:17" x14ac:dyDescent="0.2">
      <c r="A213" s="329" t="s">
        <v>2844</v>
      </c>
      <c r="B213" s="330">
        <v>9011711100</v>
      </c>
      <c r="C213" s="319" t="s">
        <v>944</v>
      </c>
      <c r="D213" s="331">
        <f>[1]!Table32[[#This Row],[Residential CLM $ Collected]]+[1]!Table32[[#This Row],[C&amp;I CLM $ Collected]]</f>
        <v>13679.534694</v>
      </c>
      <c r="E213" s="177">
        <f>[1]!Table32[[#This Row],[CLM $ Collected ]]/'[1]1.) CLM Reference'!$B$4</f>
        <v>1.4726528350034212E-4</v>
      </c>
      <c r="F213" s="332">
        <f>[1]!Table32[[#This Row],[Residential Incentive Disbursements]]+[1]!Table32[[#This Row],[C&amp;I Incentive Disbursements]]</f>
        <v>9849.6</v>
      </c>
      <c r="G213" s="177">
        <f>[1]!Table32[[#This Row],[Incentive Disbursements]]/'[1]1.) CLM Reference'!$B$5</f>
        <v>7.9083830635558682E-5</v>
      </c>
      <c r="H213" s="333">
        <v>0</v>
      </c>
      <c r="I213" s="177">
        <f>[1]!Table32[[#This Row],[Residential CLM $ Collected]]/'[1]1.) CLM Reference'!$B$4</f>
        <v>0</v>
      </c>
      <c r="J213" s="333">
        <v>0</v>
      </c>
      <c r="K213" s="177">
        <f>[1]!Table32[[#This Row],[Residential Incentive Disbursements]]/'[1]1.) CLM Reference'!$B$5</f>
        <v>0</v>
      </c>
      <c r="L213" s="333">
        <v>13679.534694</v>
      </c>
      <c r="M213" s="177">
        <f>[1]!Table32[[#This Row],[C&amp;I CLM $ Collected]]/'[1]1.) CLM Reference'!$B$4</f>
        <v>1.4726528350034212E-4</v>
      </c>
      <c r="N213" s="333">
        <v>9849.6</v>
      </c>
      <c r="O213" s="177">
        <f>[1]!Table32[[#This Row],[C&amp;I Incentive Disbursements]]/'[1]1.) CLM Reference'!$B$5</f>
        <v>7.9083830635558682E-5</v>
      </c>
      <c r="P213" s="319">
        <f>VLOOKUP('3.) Large Load'!$B213,'Population and Diversity Data'!$B$2:$K$823,10,FALSE)</f>
        <v>4</v>
      </c>
      <c r="Q213" s="334" t="str">
        <f>VLOOKUP('3.) Large Load'!$B213,'ES Energy Burden'!$B$2:$E$914,4,FALSE)</f>
        <v>No</v>
      </c>
    </row>
    <row r="214" spans="1:17" x14ac:dyDescent="0.2">
      <c r="A214" s="335" t="s">
        <v>2845</v>
      </c>
      <c r="B214" s="336">
        <v>9013535200</v>
      </c>
      <c r="C214" s="318" t="s">
        <v>944</v>
      </c>
      <c r="D214" s="324">
        <f>[1]!Table32[[#This Row],[Residential CLM $ Collected]]+[1]!Table32[[#This Row],[C&amp;I CLM $ Collected]]</f>
        <v>0</v>
      </c>
      <c r="E214" s="325">
        <f>[1]!Table32[[#This Row],[CLM $ Collected ]]/'[1]1.) CLM Reference'!$B$4</f>
        <v>0</v>
      </c>
      <c r="F214" s="326">
        <f>[1]!Table32[[#This Row],[Residential Incentive Disbursements]]+[1]!Table32[[#This Row],[C&amp;I Incentive Disbursements]]</f>
        <v>23834.13</v>
      </c>
      <c r="G214" s="325">
        <f>[1]!Table32[[#This Row],[Incentive Disbursements]]/'[1]1.) CLM Reference'!$B$5</f>
        <v>1.9136759871120535E-4</v>
      </c>
      <c r="H214" s="337">
        <v>0</v>
      </c>
      <c r="I214" s="325">
        <f>[1]!Table32[[#This Row],[Residential CLM $ Collected]]/'[1]1.) CLM Reference'!$B$4</f>
        <v>0</v>
      </c>
      <c r="J214" s="337">
        <v>0</v>
      </c>
      <c r="K214" s="325">
        <f>[1]!Table32[[#This Row],[Residential Incentive Disbursements]]/'[1]1.) CLM Reference'!$B$5</f>
        <v>0</v>
      </c>
      <c r="L214" s="337">
        <v>0</v>
      </c>
      <c r="M214" s="325">
        <f>[1]!Table32[[#This Row],[C&amp;I CLM $ Collected]]/'[1]1.) CLM Reference'!$B$4</f>
        <v>0</v>
      </c>
      <c r="N214" s="337">
        <v>23834.13</v>
      </c>
      <c r="O214" s="325">
        <f>[1]!Table32[[#This Row],[C&amp;I Incentive Disbursements]]/'[1]1.) CLM Reference'!$B$5</f>
        <v>1.9136759871120535E-4</v>
      </c>
      <c r="P214" s="318">
        <f>VLOOKUP('3.) Large Load'!$B214,'Population and Diversity Data'!$B$2:$K$823,10,FALSE)</f>
        <v>5</v>
      </c>
      <c r="Q214" s="338" t="str">
        <f>VLOOKUP('3.) Large Load'!$B214,'ES Energy Burden'!$B$2:$E$914,4,FALSE)</f>
        <v>No</v>
      </c>
    </row>
    <row r="215" spans="1:17" x14ac:dyDescent="0.2">
      <c r="A215" s="329" t="s">
        <v>2845</v>
      </c>
      <c r="B215" s="330">
        <v>9013890100</v>
      </c>
      <c r="C215" s="319" t="s">
        <v>944</v>
      </c>
      <c r="D215" s="331">
        <f>[1]!Table32[[#This Row],[Residential CLM $ Collected]]+[1]!Table32[[#This Row],[C&amp;I CLM $ Collected]]</f>
        <v>7.5116160000000001</v>
      </c>
      <c r="E215" s="177">
        <f>[1]!Table32[[#This Row],[CLM $ Collected ]]/'[1]1.) CLM Reference'!$B$4</f>
        <v>8.0865342610732063E-8</v>
      </c>
      <c r="F215" s="332">
        <f>[1]!Table32[[#This Row],[Residential Incentive Disbursements]]+[1]!Table32[[#This Row],[C&amp;I Incentive Disbursements]]</f>
        <v>0</v>
      </c>
      <c r="G215" s="177">
        <f>[1]!Table32[[#This Row],[Incentive Disbursements]]/'[1]1.) CLM Reference'!$B$5</f>
        <v>0</v>
      </c>
      <c r="H215" s="333">
        <v>0</v>
      </c>
      <c r="I215" s="177">
        <f>[1]!Table32[[#This Row],[Residential CLM $ Collected]]/'[1]1.) CLM Reference'!$B$4</f>
        <v>0</v>
      </c>
      <c r="J215" s="333">
        <v>0</v>
      </c>
      <c r="K215" s="177">
        <f>[1]!Table32[[#This Row],[Residential Incentive Disbursements]]/'[1]1.) CLM Reference'!$B$5</f>
        <v>0</v>
      </c>
      <c r="L215" s="333">
        <v>7.5116160000000001</v>
      </c>
      <c r="M215" s="177">
        <f>[1]!Table32[[#This Row],[C&amp;I CLM $ Collected]]/'[1]1.) CLM Reference'!$B$4</f>
        <v>8.0865342610732063E-8</v>
      </c>
      <c r="N215" s="333">
        <v>0</v>
      </c>
      <c r="O215" s="177">
        <f>[1]!Table32[[#This Row],[C&amp;I Incentive Disbursements]]/'[1]1.) CLM Reference'!$B$5</f>
        <v>0</v>
      </c>
      <c r="P215" s="319">
        <f>VLOOKUP('3.) Large Load'!$B215,'Population and Diversity Data'!$B$2:$K$823,10,FALSE)</f>
        <v>2</v>
      </c>
      <c r="Q215" s="334" t="str">
        <f>VLOOKUP('3.) Large Load'!$B215,'ES Energy Burden'!$B$2:$E$914,4,FALSE)</f>
        <v>No</v>
      </c>
    </row>
    <row r="216" spans="1:17" x14ac:dyDescent="0.2">
      <c r="A216" s="335" t="s">
        <v>2845</v>
      </c>
      <c r="B216" s="336">
        <v>9013890202</v>
      </c>
      <c r="C216" s="318" t="s">
        <v>944</v>
      </c>
      <c r="D216" s="324">
        <f>[1]!Table32[[#This Row],[Residential CLM $ Collected]]+[1]!Table32[[#This Row],[C&amp;I CLM $ Collected]]</f>
        <v>154892.377416</v>
      </c>
      <c r="E216" s="325">
        <f>[1]!Table32[[#This Row],[CLM $ Collected ]]/'[1]1.) CLM Reference'!$B$4</f>
        <v>1.6674741051107588E-3</v>
      </c>
      <c r="F216" s="326">
        <f>[1]!Table32[[#This Row],[Residential Incentive Disbursements]]+[1]!Table32[[#This Row],[C&amp;I Incentive Disbursements]]</f>
        <v>8558.4</v>
      </c>
      <c r="G216" s="325">
        <f>[1]!Table32[[#This Row],[Incentive Disbursements]]/'[1]1.) CLM Reference'!$B$5</f>
        <v>6.8716603325146743E-5</v>
      </c>
      <c r="H216" s="337">
        <v>0</v>
      </c>
      <c r="I216" s="325">
        <f>[1]!Table32[[#This Row],[Residential CLM $ Collected]]/'[1]1.) CLM Reference'!$B$4</f>
        <v>0</v>
      </c>
      <c r="J216" s="337">
        <v>0</v>
      </c>
      <c r="K216" s="325">
        <f>[1]!Table32[[#This Row],[Residential Incentive Disbursements]]/'[1]1.) CLM Reference'!$B$5</f>
        <v>0</v>
      </c>
      <c r="L216" s="337">
        <v>154892.377416</v>
      </c>
      <c r="M216" s="325">
        <f>[1]!Table32[[#This Row],[C&amp;I CLM $ Collected]]/'[1]1.) CLM Reference'!$B$4</f>
        <v>1.6674741051107588E-3</v>
      </c>
      <c r="N216" s="337">
        <v>8558.4</v>
      </c>
      <c r="O216" s="325">
        <f>[1]!Table32[[#This Row],[C&amp;I Incentive Disbursements]]/'[1]1.) CLM Reference'!$B$5</f>
        <v>6.8716603325146743E-5</v>
      </c>
      <c r="P216" s="318">
        <f>VLOOKUP('3.) Large Load'!$B216,'Population and Diversity Data'!$B$2:$K$823,10,FALSE)</f>
        <v>4</v>
      </c>
      <c r="Q216" s="338" t="str">
        <f>VLOOKUP('3.) Large Load'!$B216,'ES Energy Burden'!$B$2:$E$914,4,FALSE)</f>
        <v>No</v>
      </c>
    </row>
    <row r="217" spans="1:17" x14ac:dyDescent="0.2">
      <c r="A217" s="329" t="s">
        <v>988</v>
      </c>
      <c r="B217" s="330">
        <v>9001020100</v>
      </c>
      <c r="C217" s="319" t="s">
        <v>936</v>
      </c>
      <c r="D217" s="331">
        <f>[1]!Table32[[#This Row],[Residential CLM $ Collected]]+[1]!Table32[[#This Row],[C&amp;I CLM $ Collected]]</f>
        <v>4245.74388</v>
      </c>
      <c r="E217" s="177">
        <f>[1]!Table32[[#This Row],[CLM $ Collected ]]/'[1]1.) CLM Reference'!$B$4</f>
        <v>4.5707013443394721E-5</v>
      </c>
      <c r="F217" s="332">
        <f>[1]!Table32[[#This Row],[Residential Incentive Disbursements]]+[1]!Table32[[#This Row],[C&amp;I Incentive Disbursements]]</f>
        <v>0</v>
      </c>
      <c r="G217" s="177">
        <f>[1]!Table32[[#This Row],[Incentive Disbursements]]/'[1]1.) CLM Reference'!$B$5</f>
        <v>0</v>
      </c>
      <c r="H217" s="333">
        <v>2021.6448</v>
      </c>
      <c r="I217" s="177">
        <f>[1]!Table32[[#This Row],[Residential CLM $ Collected]]/'[1]1.) CLM Reference'!$B$4</f>
        <v>2.1763758875480974E-5</v>
      </c>
      <c r="J217" s="333">
        <v>0</v>
      </c>
      <c r="K217" s="177">
        <f>[1]!Table32[[#This Row],[Residential Incentive Disbursements]]/'[1]1.) CLM Reference'!$B$5</f>
        <v>0</v>
      </c>
      <c r="L217" s="333">
        <v>2224.09908</v>
      </c>
      <c r="M217" s="177">
        <f>[1]!Table32[[#This Row],[C&amp;I CLM $ Collected]]/'[1]1.) CLM Reference'!$B$4</f>
        <v>2.3943254567913744E-5</v>
      </c>
      <c r="N217" s="333">
        <v>0</v>
      </c>
      <c r="O217" s="177">
        <f>[1]!Table32[[#This Row],[C&amp;I Incentive Disbursements]]/'[1]1.) CLM Reference'!$B$5</f>
        <v>0</v>
      </c>
      <c r="P217" s="319">
        <f>VLOOKUP('3.) Large Load'!$B217,'Population and Diversity Data'!$B$2:$K$823,10,FALSE)</f>
        <v>4</v>
      </c>
      <c r="Q217" s="334" t="str">
        <f>VLOOKUP('3.) Large Load'!$B217,'ES Energy Burden'!$B$2:$E$914,4,FALSE)</f>
        <v>No</v>
      </c>
    </row>
    <row r="218" spans="1:17" x14ac:dyDescent="0.2">
      <c r="A218" s="335" t="s">
        <v>988</v>
      </c>
      <c r="B218" s="336">
        <v>9001021400</v>
      </c>
      <c r="C218" s="318" t="s">
        <v>944</v>
      </c>
      <c r="D218" s="324">
        <f>[1]!Table32[[#This Row],[Residential CLM $ Collected]]+[1]!Table32[[#This Row],[C&amp;I CLM $ Collected]]</f>
        <v>2756109.689886</v>
      </c>
      <c r="E218" s="325">
        <f>[1]!Table32[[#This Row],[CLM $ Collected ]]/'[1]1.) CLM Reference'!$B$4</f>
        <v>2.967054683644503E-2</v>
      </c>
      <c r="F218" s="326">
        <f>[1]!Table32[[#This Row],[Residential Incentive Disbursements]]+[1]!Table32[[#This Row],[C&amp;I Incentive Disbursements]]</f>
        <v>2099056.1743999999</v>
      </c>
      <c r="G218" s="325">
        <f>[1]!Table32[[#This Row],[Incentive Disbursements]]/'[1]1.) CLM Reference'!$B$5</f>
        <v>1.6853618724696769E-2</v>
      </c>
      <c r="H218" s="337">
        <v>18105.5448</v>
      </c>
      <c r="I218" s="325">
        <f>[1]!Table32[[#This Row],[Residential CLM $ Collected]]/'[1]1.) CLM Reference'!$B$4</f>
        <v>1.949129299748494E-4</v>
      </c>
      <c r="J218" s="337">
        <v>0</v>
      </c>
      <c r="K218" s="325">
        <f>[1]!Table32[[#This Row],[Residential Incentive Disbursements]]/'[1]1.) CLM Reference'!$B$5</f>
        <v>0</v>
      </c>
      <c r="L218" s="337">
        <v>2738004.1450860002</v>
      </c>
      <c r="M218" s="325">
        <f>[1]!Table32[[#This Row],[C&amp;I CLM $ Collected]]/'[1]1.) CLM Reference'!$B$4</f>
        <v>2.9475633906470185E-2</v>
      </c>
      <c r="N218" s="337">
        <v>2099056.1743999999</v>
      </c>
      <c r="O218" s="325">
        <f>[1]!Table32[[#This Row],[C&amp;I Incentive Disbursements]]/'[1]1.) CLM Reference'!$B$5</f>
        <v>1.6853618724696769E-2</v>
      </c>
      <c r="P218" s="318">
        <f>VLOOKUP('3.) Large Load'!$B218,'Population and Diversity Data'!$B$2:$K$823,10,FALSE)</f>
        <v>4</v>
      </c>
      <c r="Q218" s="338" t="str">
        <f>VLOOKUP('3.) Large Load'!$B218,'ES Energy Burden'!$B$2:$E$914,4,FALSE)</f>
        <v>No</v>
      </c>
    </row>
    <row r="219" spans="1:17" x14ac:dyDescent="0.2">
      <c r="A219" s="329" t="s">
        <v>988</v>
      </c>
      <c r="B219" s="330">
        <v>9001021500</v>
      </c>
      <c r="C219" s="319" t="s">
        <v>944</v>
      </c>
      <c r="D219" s="331">
        <f>[1]!Table32[[#This Row],[Residential CLM $ Collected]]+[1]!Table32[[#This Row],[C&amp;I CLM $ Collected]]</f>
        <v>4.0760370000000004</v>
      </c>
      <c r="E219" s="177">
        <f>[1]!Table32[[#This Row],[CLM $ Collected ]]/'[1]1.) CLM Reference'!$B$4</f>
        <v>4.3880055702930039E-8</v>
      </c>
      <c r="F219" s="332">
        <f>[1]!Table32[[#This Row],[Residential Incentive Disbursements]]+[1]!Table32[[#This Row],[C&amp;I Incentive Disbursements]]</f>
        <v>0</v>
      </c>
      <c r="G219" s="177">
        <f>[1]!Table32[[#This Row],[Incentive Disbursements]]/'[1]1.) CLM Reference'!$B$5</f>
        <v>0</v>
      </c>
      <c r="H219" s="333">
        <v>0</v>
      </c>
      <c r="I219" s="177">
        <f>[1]!Table32[[#This Row],[Residential CLM $ Collected]]/'[1]1.) CLM Reference'!$B$4</f>
        <v>0</v>
      </c>
      <c r="J219" s="333">
        <v>0</v>
      </c>
      <c r="K219" s="177">
        <f>[1]!Table32[[#This Row],[Residential Incentive Disbursements]]/'[1]1.) CLM Reference'!$B$5</f>
        <v>0</v>
      </c>
      <c r="L219" s="333">
        <v>4.0760370000000004</v>
      </c>
      <c r="M219" s="177">
        <f>[1]!Table32[[#This Row],[C&amp;I CLM $ Collected]]/'[1]1.) CLM Reference'!$B$4</f>
        <v>4.3880055702930039E-8</v>
      </c>
      <c r="N219" s="333">
        <v>0</v>
      </c>
      <c r="O219" s="177">
        <f>[1]!Table32[[#This Row],[C&amp;I Incentive Disbursements]]/'[1]1.) CLM Reference'!$B$5</f>
        <v>0</v>
      </c>
      <c r="P219" s="319">
        <f>VLOOKUP('3.) Large Load'!$B219,'Population and Diversity Data'!$B$2:$K$823,10,FALSE)</f>
        <v>5</v>
      </c>
      <c r="Q219" s="334" t="str">
        <f>VLOOKUP('3.) Large Load'!$B219,'ES Energy Burden'!$B$2:$E$914,4,FALSE)</f>
        <v>No</v>
      </c>
    </row>
    <row r="220" spans="1:17" x14ac:dyDescent="0.2">
      <c r="A220" s="335" t="s">
        <v>2846</v>
      </c>
      <c r="B220" s="336">
        <v>9015908100</v>
      </c>
      <c r="C220" s="318" t="s">
        <v>944</v>
      </c>
      <c r="D220" s="324">
        <f>[1]!Table32[[#This Row],[Residential CLM $ Collected]]+[1]!Table32[[#This Row],[C&amp;I CLM $ Collected]]</f>
        <v>2983.1673900000001</v>
      </c>
      <c r="E220" s="325">
        <f>[1]!Table32[[#This Row],[CLM $ Collected ]]/'[1]1.) CLM Reference'!$B$4</f>
        <v>3.2114907505590455E-5</v>
      </c>
      <c r="F220" s="326">
        <f>[1]!Table32[[#This Row],[Residential Incentive Disbursements]]+[1]!Table32[[#This Row],[C&amp;I Incentive Disbursements]]</f>
        <v>2308.8000000000002</v>
      </c>
      <c r="G220" s="325">
        <f>[1]!Table32[[#This Row],[Incentive Disbursements]]/'[1]1.) CLM Reference'!$B$5</f>
        <v>1.85376815476139E-5</v>
      </c>
      <c r="H220" s="337">
        <v>0</v>
      </c>
      <c r="I220" s="325">
        <f>[1]!Table32[[#This Row],[Residential CLM $ Collected]]/'[1]1.) CLM Reference'!$B$4</f>
        <v>0</v>
      </c>
      <c r="J220" s="337">
        <v>0</v>
      </c>
      <c r="K220" s="325">
        <f>[1]!Table32[[#This Row],[Residential Incentive Disbursements]]/'[1]1.) CLM Reference'!$B$5</f>
        <v>0</v>
      </c>
      <c r="L220" s="337">
        <v>2983.1673900000001</v>
      </c>
      <c r="M220" s="325">
        <f>[1]!Table32[[#This Row],[C&amp;I CLM $ Collected]]/'[1]1.) CLM Reference'!$B$4</f>
        <v>3.2114907505590455E-5</v>
      </c>
      <c r="N220" s="337">
        <v>2308.8000000000002</v>
      </c>
      <c r="O220" s="325">
        <f>[1]!Table32[[#This Row],[C&amp;I Incentive Disbursements]]/'[1]1.) CLM Reference'!$B$5</f>
        <v>1.85376815476139E-5</v>
      </c>
      <c r="P220" s="318" t="e">
        <f>VLOOKUP('3.) Large Load'!$B220,'Population and Diversity Data'!$B$2:$K$823,10,FALSE)</f>
        <v>#N/A</v>
      </c>
      <c r="Q220" s="338" t="e">
        <f>VLOOKUP('3.) Large Load'!$B220,'ES Energy Burden'!$B$2:$E$914,4,FALSE)</f>
        <v>#N/A</v>
      </c>
    </row>
    <row r="221" spans="1:17" x14ac:dyDescent="0.2">
      <c r="A221" s="329" t="s">
        <v>2847</v>
      </c>
      <c r="B221" s="330">
        <v>9011702100</v>
      </c>
      <c r="C221" s="319" t="s">
        <v>944</v>
      </c>
      <c r="D221" s="331">
        <f>[1]!Table32[[#This Row],[Residential CLM $ Collected]]+[1]!Table32[[#This Row],[C&amp;I CLM $ Collected]]</f>
        <v>0</v>
      </c>
      <c r="E221" s="177">
        <f>[1]!Table32[[#This Row],[CLM $ Collected ]]/'[1]1.) CLM Reference'!$B$4</f>
        <v>0</v>
      </c>
      <c r="F221" s="332">
        <f>[1]!Table32[[#This Row],[Residential Incentive Disbursements]]+[1]!Table32[[#This Row],[C&amp;I Incentive Disbursements]]</f>
        <v>122618.42</v>
      </c>
      <c r="G221" s="177">
        <f>[1]!Table32[[#This Row],[Incentive Disbursements]]/'[1]1.) CLM Reference'!$B$5</f>
        <v>9.8452062622642555E-4</v>
      </c>
      <c r="H221" s="333">
        <v>0</v>
      </c>
      <c r="I221" s="177">
        <f>[1]!Table32[[#This Row],[Residential CLM $ Collected]]/'[1]1.) CLM Reference'!$B$4</f>
        <v>0</v>
      </c>
      <c r="J221" s="333">
        <v>0</v>
      </c>
      <c r="K221" s="177">
        <f>[1]!Table32[[#This Row],[Residential Incentive Disbursements]]/'[1]1.) CLM Reference'!$B$5</f>
        <v>0</v>
      </c>
      <c r="L221" s="333">
        <v>0</v>
      </c>
      <c r="M221" s="177">
        <f>[1]!Table32[[#This Row],[C&amp;I CLM $ Collected]]/'[1]1.) CLM Reference'!$B$4</f>
        <v>0</v>
      </c>
      <c r="N221" s="333">
        <v>122618.42</v>
      </c>
      <c r="O221" s="177">
        <f>[1]!Table32[[#This Row],[C&amp;I Incentive Disbursements]]/'[1]1.) CLM Reference'!$B$5</f>
        <v>9.8452062622642555E-4</v>
      </c>
      <c r="P221" s="319">
        <f>VLOOKUP('3.) Large Load'!$B221,'Population and Diversity Data'!$B$2:$K$823,10,FALSE)</f>
        <v>4</v>
      </c>
      <c r="Q221" s="334" t="str">
        <f>VLOOKUP('3.) Large Load'!$B221,'ES Energy Burden'!$B$2:$E$914,4,FALSE)</f>
        <v>No</v>
      </c>
    </row>
    <row r="222" spans="1:17" x14ac:dyDescent="0.2">
      <c r="A222" s="335" t="s">
        <v>2847</v>
      </c>
      <c r="B222" s="336">
        <v>9011702800</v>
      </c>
      <c r="C222" s="318" t="s">
        <v>944</v>
      </c>
      <c r="D222" s="324">
        <f>[1]!Table32[[#This Row],[Residential CLM $ Collected]]+[1]!Table32[[#This Row],[C&amp;I CLM $ Collected]]</f>
        <v>117307.38369</v>
      </c>
      <c r="E222" s="325">
        <f>[1]!Table32[[#This Row],[CLM $ Collected ]]/'[1]1.) CLM Reference'!$B$4</f>
        <v>1.2628576557774589E-3</v>
      </c>
      <c r="F222" s="326">
        <f>[1]!Table32[[#This Row],[Residential Incentive Disbursements]]+[1]!Table32[[#This Row],[C&amp;I Incentive Disbursements]]</f>
        <v>114962.71</v>
      </c>
      <c r="G222" s="325">
        <f>[1]!Table32[[#This Row],[Incentive Disbursements]]/'[1]1.) CLM Reference'!$B$5</f>
        <v>9.2305184850601527E-4</v>
      </c>
      <c r="H222" s="337">
        <v>0</v>
      </c>
      <c r="I222" s="325">
        <f>[1]!Table32[[#This Row],[Residential CLM $ Collected]]/'[1]1.) CLM Reference'!$B$4</f>
        <v>0</v>
      </c>
      <c r="J222" s="337">
        <v>0</v>
      </c>
      <c r="K222" s="325">
        <f>[1]!Table32[[#This Row],[Residential Incentive Disbursements]]/'[1]1.) CLM Reference'!$B$5</f>
        <v>0</v>
      </c>
      <c r="L222" s="337">
        <v>117307.38369</v>
      </c>
      <c r="M222" s="325">
        <f>[1]!Table32[[#This Row],[C&amp;I CLM $ Collected]]/'[1]1.) CLM Reference'!$B$4</f>
        <v>1.2628576557774589E-3</v>
      </c>
      <c r="N222" s="337">
        <v>114962.71</v>
      </c>
      <c r="O222" s="325">
        <f>[1]!Table32[[#This Row],[C&amp;I Incentive Disbursements]]/'[1]1.) CLM Reference'!$B$5</f>
        <v>9.2305184850601527E-4</v>
      </c>
      <c r="P222" s="318">
        <f>VLOOKUP('3.) Large Load'!$B222,'Population and Diversity Data'!$B$2:$K$823,10,FALSE)</f>
        <v>5</v>
      </c>
      <c r="Q222" s="338" t="str">
        <f>VLOOKUP('3.) Large Load'!$B222,'ES Energy Burden'!$B$2:$E$914,4,FALSE)</f>
        <v>No</v>
      </c>
    </row>
    <row r="223" spans="1:17" x14ac:dyDescent="0.2">
      <c r="A223" s="329" t="s">
        <v>2847</v>
      </c>
      <c r="B223" s="330">
        <v>9011705102</v>
      </c>
      <c r="C223" s="319" t="s">
        <v>944</v>
      </c>
      <c r="D223" s="331">
        <f>[1]!Table32[[#This Row],[Residential CLM $ Collected]]+[1]!Table32[[#This Row],[C&amp;I CLM $ Collected]]</f>
        <v>1485.7123470000001</v>
      </c>
      <c r="E223" s="177">
        <f>[1]!Table32[[#This Row],[CLM $ Collected ]]/'[1]1.) CLM Reference'!$B$4</f>
        <v>1.5994246505831748E-5</v>
      </c>
      <c r="F223" s="332">
        <f>[1]!Table32[[#This Row],[Residential Incentive Disbursements]]+[1]!Table32[[#This Row],[C&amp;I Incentive Disbursements]]</f>
        <v>0</v>
      </c>
      <c r="G223" s="177">
        <f>[1]!Table32[[#This Row],[Incentive Disbursements]]/'[1]1.) CLM Reference'!$B$5</f>
        <v>0</v>
      </c>
      <c r="H223" s="333">
        <v>0</v>
      </c>
      <c r="I223" s="177">
        <f>[1]!Table32[[#This Row],[Residential CLM $ Collected]]/'[1]1.) CLM Reference'!$B$4</f>
        <v>0</v>
      </c>
      <c r="J223" s="333">
        <v>0</v>
      </c>
      <c r="K223" s="177">
        <f>[1]!Table32[[#This Row],[Residential Incentive Disbursements]]/'[1]1.) CLM Reference'!$B$5</f>
        <v>0</v>
      </c>
      <c r="L223" s="333">
        <v>1485.7123470000001</v>
      </c>
      <c r="M223" s="177">
        <f>[1]!Table32[[#This Row],[C&amp;I CLM $ Collected]]/'[1]1.) CLM Reference'!$B$4</f>
        <v>1.5994246505831748E-5</v>
      </c>
      <c r="N223" s="333">
        <v>0</v>
      </c>
      <c r="O223" s="177">
        <f>[1]!Table32[[#This Row],[C&amp;I Incentive Disbursements]]/'[1]1.) CLM Reference'!$B$5</f>
        <v>0</v>
      </c>
      <c r="P223" s="319">
        <f>VLOOKUP('3.) Large Load'!$B223,'Population and Diversity Data'!$B$2:$K$823,10,FALSE)</f>
        <v>4</v>
      </c>
      <c r="Q223" s="334" t="str">
        <f>VLOOKUP('3.) Large Load'!$B223,'ES Energy Burden'!$B$2:$E$914,4,FALSE)</f>
        <v>No</v>
      </c>
    </row>
    <row r="224" spans="1:17" x14ac:dyDescent="0.2">
      <c r="A224" s="335" t="s">
        <v>2848</v>
      </c>
      <c r="B224" s="336">
        <v>9003477102</v>
      </c>
      <c r="C224" s="318" t="s">
        <v>944</v>
      </c>
      <c r="D224" s="324">
        <f>[1]!Table32[[#This Row],[Residential CLM $ Collected]]+[1]!Table32[[#This Row],[C&amp;I CLM $ Collected]]</f>
        <v>224810.275998</v>
      </c>
      <c r="E224" s="325">
        <f>[1]!Table32[[#This Row],[CLM $ Collected ]]/'[1]1.) CLM Reference'!$B$4</f>
        <v>2.4201663118816916E-3</v>
      </c>
      <c r="F224" s="326">
        <f>[1]!Table32[[#This Row],[Residential Incentive Disbursements]]+[1]!Table32[[#This Row],[C&amp;I Incentive Disbursements]]</f>
        <v>1178164.1580000001</v>
      </c>
      <c r="G224" s="325">
        <f>[1]!Table32[[#This Row],[Incentive Disbursements]]/'[1]1.) CLM Reference'!$B$5</f>
        <v>9.4596465574396521E-3</v>
      </c>
      <c r="H224" s="337">
        <v>0</v>
      </c>
      <c r="I224" s="325">
        <f>[1]!Table32[[#This Row],[Residential CLM $ Collected]]/'[1]1.) CLM Reference'!$B$4</f>
        <v>0</v>
      </c>
      <c r="J224" s="337">
        <v>0</v>
      </c>
      <c r="K224" s="325">
        <f>[1]!Table32[[#This Row],[Residential Incentive Disbursements]]/'[1]1.) CLM Reference'!$B$5</f>
        <v>0</v>
      </c>
      <c r="L224" s="337">
        <v>224810.275998</v>
      </c>
      <c r="M224" s="325">
        <f>[1]!Table32[[#This Row],[C&amp;I CLM $ Collected]]/'[1]1.) CLM Reference'!$B$4</f>
        <v>2.4201663118816916E-3</v>
      </c>
      <c r="N224" s="337">
        <v>1178164.1580000001</v>
      </c>
      <c r="O224" s="325">
        <f>[1]!Table32[[#This Row],[C&amp;I Incentive Disbursements]]/'[1]1.) CLM Reference'!$B$5</f>
        <v>9.4596465574396521E-3</v>
      </c>
      <c r="P224" s="318">
        <f>VLOOKUP('3.) Large Load'!$B224,'Population and Diversity Data'!$B$2:$K$823,10,FALSE)</f>
        <v>4</v>
      </c>
      <c r="Q224" s="338" t="str">
        <f>VLOOKUP('3.) Large Load'!$B224,'ES Energy Burden'!$B$2:$E$914,4,FALSE)</f>
        <v>No</v>
      </c>
    </row>
    <row r="225" spans="1:17" x14ac:dyDescent="0.2">
      <c r="A225" s="329" t="s">
        <v>2849</v>
      </c>
      <c r="B225" s="330">
        <v>9005349200</v>
      </c>
      <c r="C225" s="319" t="s">
        <v>944</v>
      </c>
      <c r="D225" s="331">
        <f>[1]!Table32[[#This Row],[Residential CLM $ Collected]]+[1]!Table32[[#This Row],[C&amp;I CLM $ Collected]]</f>
        <v>125029.11773100001</v>
      </c>
      <c r="E225" s="177">
        <f>[1]!Table32[[#This Row],[CLM $ Collected ]]/'[1]1.) CLM Reference'!$B$4</f>
        <v>1.345984997320799E-3</v>
      </c>
      <c r="F225" s="332">
        <f>[1]!Table32[[#This Row],[Residential Incentive Disbursements]]+[1]!Table32[[#This Row],[C&amp;I Incentive Disbursements]]</f>
        <v>152370.106</v>
      </c>
      <c r="G225" s="177">
        <f>[1]!Table32[[#This Row],[Incentive Disbursements]]/'[1]1.) CLM Reference'!$B$5</f>
        <v>1.2234011185049264E-3</v>
      </c>
      <c r="H225" s="333">
        <v>0</v>
      </c>
      <c r="I225" s="177">
        <f>[1]!Table32[[#This Row],[Residential CLM $ Collected]]/'[1]1.) CLM Reference'!$B$4</f>
        <v>0</v>
      </c>
      <c r="J225" s="333">
        <v>0</v>
      </c>
      <c r="K225" s="177">
        <f>[1]!Table32[[#This Row],[Residential Incentive Disbursements]]/'[1]1.) CLM Reference'!$B$5</f>
        <v>0</v>
      </c>
      <c r="L225" s="333">
        <v>125029.11773100001</v>
      </c>
      <c r="M225" s="177">
        <f>[1]!Table32[[#This Row],[C&amp;I CLM $ Collected]]/'[1]1.) CLM Reference'!$B$4</f>
        <v>1.345984997320799E-3</v>
      </c>
      <c r="N225" s="333">
        <v>152370.106</v>
      </c>
      <c r="O225" s="177">
        <f>[1]!Table32[[#This Row],[C&amp;I Incentive Disbursements]]/'[1]1.) CLM Reference'!$B$5</f>
        <v>1.2234011185049264E-3</v>
      </c>
      <c r="P225" s="319">
        <f>VLOOKUP('3.) Large Load'!$B225,'Population and Diversity Data'!$B$2:$K$823,10,FALSE)</f>
        <v>1</v>
      </c>
      <c r="Q225" s="334" t="str">
        <f>VLOOKUP('3.) Large Load'!$B225,'ES Energy Burden'!$B$2:$E$914,4,FALSE)</f>
        <v>No</v>
      </c>
    </row>
    <row r="226" spans="1:17" x14ac:dyDescent="0.2">
      <c r="A226" s="335" t="s">
        <v>2850</v>
      </c>
      <c r="B226" s="336">
        <v>9015900100</v>
      </c>
      <c r="C226" s="318" t="s">
        <v>944</v>
      </c>
      <c r="D226" s="324">
        <f>[1]!Table32[[#This Row],[Residential CLM $ Collected]]+[1]!Table32[[#This Row],[C&amp;I CLM $ Collected]]</f>
        <v>1.3393590000000002</v>
      </c>
      <c r="E226" s="325">
        <f>[1]!Table32[[#This Row],[CLM $ Collected ]]/'[1]1.) CLM Reference'!$B$4</f>
        <v>1.4418698241998459E-8</v>
      </c>
      <c r="F226" s="326">
        <f>[1]!Table32[[#This Row],[Residential Incentive Disbursements]]+[1]!Table32[[#This Row],[C&amp;I Incentive Disbursements]]</f>
        <v>1824.56</v>
      </c>
      <c r="G226" s="325">
        <f>[1]!Table32[[#This Row],[Incentive Disbursements]]/'[1]1.) CLM Reference'!$B$5</f>
        <v>1.4649650140555447E-5</v>
      </c>
      <c r="H226" s="337">
        <v>0</v>
      </c>
      <c r="I226" s="325">
        <f>[1]!Table32[[#This Row],[Residential CLM $ Collected]]/'[1]1.) CLM Reference'!$B$4</f>
        <v>0</v>
      </c>
      <c r="J226" s="337">
        <v>0</v>
      </c>
      <c r="K226" s="325">
        <f>[1]!Table32[[#This Row],[Residential Incentive Disbursements]]/'[1]1.) CLM Reference'!$B$5</f>
        <v>0</v>
      </c>
      <c r="L226" s="337">
        <v>1.3393590000000002</v>
      </c>
      <c r="M226" s="325">
        <f>[1]!Table32[[#This Row],[C&amp;I CLM $ Collected]]/'[1]1.) CLM Reference'!$B$4</f>
        <v>1.4418698241998459E-8</v>
      </c>
      <c r="N226" s="337">
        <v>1824.56</v>
      </c>
      <c r="O226" s="325">
        <f>[1]!Table32[[#This Row],[C&amp;I Incentive Disbursements]]/'[1]1.) CLM Reference'!$B$5</f>
        <v>1.4649650140555447E-5</v>
      </c>
      <c r="P226" s="318">
        <f>VLOOKUP('3.) Large Load'!$B226,'Population and Diversity Data'!$B$2:$K$823,10,FALSE)</f>
        <v>2</v>
      </c>
      <c r="Q226" s="338" t="str">
        <f>VLOOKUP('3.) Large Load'!$B226,'ES Energy Burden'!$B$2:$E$914,4,FALSE)</f>
        <v>No</v>
      </c>
    </row>
    <row r="227" spans="1:17" x14ac:dyDescent="0.2">
      <c r="A227" s="329" t="s">
        <v>2850</v>
      </c>
      <c r="B227" s="330">
        <v>9015900200</v>
      </c>
      <c r="C227" s="319" t="s">
        <v>944</v>
      </c>
      <c r="D227" s="331">
        <f>[1]!Table32[[#This Row],[Residential CLM $ Collected]]+[1]!Table32[[#This Row],[C&amp;I CLM $ Collected]]</f>
        <v>15286.878998999999</v>
      </c>
      <c r="E227" s="177">
        <f>[1]!Table32[[#This Row],[CLM $ Collected ]]/'[1]1.) CLM Reference'!$B$4</f>
        <v>1.6456894331432008E-4</v>
      </c>
      <c r="F227" s="332">
        <f>[1]!Table32[[#This Row],[Residential Incentive Disbursements]]+[1]!Table32[[#This Row],[C&amp;I Incentive Disbursements]]</f>
        <v>18534</v>
      </c>
      <c r="G227" s="177">
        <f>[1]!Table32[[#This Row],[Incentive Disbursements]]/'[1]1.) CLM Reference'!$B$5</f>
        <v>1.4881210577073631E-4</v>
      </c>
      <c r="H227" s="333">
        <v>0</v>
      </c>
      <c r="I227" s="177">
        <f>[1]!Table32[[#This Row],[Residential CLM $ Collected]]/'[1]1.) CLM Reference'!$B$4</f>
        <v>0</v>
      </c>
      <c r="J227" s="333">
        <v>0</v>
      </c>
      <c r="K227" s="177">
        <f>[1]!Table32[[#This Row],[Residential Incentive Disbursements]]/'[1]1.) CLM Reference'!$B$5</f>
        <v>0</v>
      </c>
      <c r="L227" s="333">
        <v>15286.878998999999</v>
      </c>
      <c r="M227" s="177">
        <f>[1]!Table32[[#This Row],[C&amp;I CLM $ Collected]]/'[1]1.) CLM Reference'!$B$4</f>
        <v>1.6456894331432008E-4</v>
      </c>
      <c r="N227" s="333">
        <v>18534</v>
      </c>
      <c r="O227" s="177">
        <f>[1]!Table32[[#This Row],[C&amp;I Incentive Disbursements]]/'[1]1.) CLM Reference'!$B$5</f>
        <v>1.4881210577073631E-4</v>
      </c>
      <c r="P227" s="319">
        <f>VLOOKUP('3.) Large Load'!$B227,'Population and Diversity Data'!$B$2:$K$823,10,FALSE)</f>
        <v>2</v>
      </c>
      <c r="Q227" s="334" t="str">
        <f>VLOOKUP('3.) Large Load'!$B227,'ES Energy Burden'!$B$2:$E$914,4,FALSE)</f>
        <v>No</v>
      </c>
    </row>
    <row r="228" spans="1:17" x14ac:dyDescent="0.2">
      <c r="A228" s="335" t="s">
        <v>2851</v>
      </c>
      <c r="B228" s="336">
        <v>9013533101</v>
      </c>
      <c r="C228" s="318" t="s">
        <v>944</v>
      </c>
      <c r="D228" s="324">
        <f>[1]!Table32[[#This Row],[Residential CLM $ Collected]]+[1]!Table32[[#This Row],[C&amp;I CLM $ Collected]]</f>
        <v>54332.822144999998</v>
      </c>
      <c r="E228" s="325">
        <f>[1]!Table32[[#This Row],[CLM $ Collected ]]/'[1]1.) CLM Reference'!$B$4</f>
        <v>5.849130570257312E-4</v>
      </c>
      <c r="F228" s="326">
        <f>[1]!Table32[[#This Row],[Residential Incentive Disbursements]]+[1]!Table32[[#This Row],[C&amp;I Incentive Disbursements]]</f>
        <v>442379.46</v>
      </c>
      <c r="G228" s="325">
        <f>[1]!Table32[[#This Row],[Incentive Disbursements]]/'[1]1.) CLM Reference'!$B$5</f>
        <v>3.5519272144340789E-3</v>
      </c>
      <c r="H228" s="337">
        <v>0</v>
      </c>
      <c r="I228" s="325">
        <f>[1]!Table32[[#This Row],[Residential CLM $ Collected]]/'[1]1.) CLM Reference'!$B$4</f>
        <v>0</v>
      </c>
      <c r="J228" s="337">
        <v>0</v>
      </c>
      <c r="K228" s="325">
        <f>[1]!Table32[[#This Row],[Residential Incentive Disbursements]]/'[1]1.) CLM Reference'!$B$5</f>
        <v>0</v>
      </c>
      <c r="L228" s="337">
        <v>54332.822144999998</v>
      </c>
      <c r="M228" s="325">
        <f>[1]!Table32[[#This Row],[C&amp;I CLM $ Collected]]/'[1]1.) CLM Reference'!$B$4</f>
        <v>5.849130570257312E-4</v>
      </c>
      <c r="N228" s="337">
        <v>442379.46</v>
      </c>
      <c r="O228" s="325">
        <f>[1]!Table32[[#This Row],[C&amp;I Incentive Disbursements]]/'[1]1.) CLM Reference'!$B$5</f>
        <v>3.5519272144340789E-3</v>
      </c>
      <c r="P228" s="318">
        <f>VLOOKUP('3.) Large Load'!$B228,'Population and Diversity Data'!$B$2:$K$823,10,FALSE)</f>
        <v>2</v>
      </c>
      <c r="Q228" s="338" t="str">
        <f>VLOOKUP('3.) Large Load'!$B228,'ES Energy Burden'!$B$2:$E$914,4,FALSE)</f>
        <v>No</v>
      </c>
    </row>
    <row r="229" spans="1:17" x14ac:dyDescent="0.2">
      <c r="A229" s="329" t="s">
        <v>2852</v>
      </c>
      <c r="B229" s="330">
        <v>9005310100</v>
      </c>
      <c r="C229" s="319" t="s">
        <v>944</v>
      </c>
      <c r="D229" s="331">
        <f>[1]!Table32[[#This Row],[Residential CLM $ Collected]]+[1]!Table32[[#This Row],[C&amp;I CLM $ Collected]]</f>
        <v>18.242426999999999</v>
      </c>
      <c r="E229" s="177">
        <f>[1]!Table32[[#This Row],[CLM $ Collected ]]/'[1]1.) CLM Reference'!$B$4</f>
        <v>1.9638651781537675E-7</v>
      </c>
      <c r="F229" s="332">
        <f>[1]!Table32[[#This Row],[Residential Incentive Disbursements]]+[1]!Table32[[#This Row],[C&amp;I Incentive Disbursements]]</f>
        <v>0</v>
      </c>
      <c r="G229" s="177">
        <f>[1]!Table32[[#This Row],[Incentive Disbursements]]/'[1]1.) CLM Reference'!$B$5</f>
        <v>0</v>
      </c>
      <c r="H229" s="333">
        <v>0</v>
      </c>
      <c r="I229" s="177">
        <f>[1]!Table32[[#This Row],[Residential CLM $ Collected]]/'[1]1.) CLM Reference'!$B$4</f>
        <v>0</v>
      </c>
      <c r="J229" s="333">
        <v>0</v>
      </c>
      <c r="K229" s="177">
        <f>[1]!Table32[[#This Row],[Residential Incentive Disbursements]]/'[1]1.) CLM Reference'!$B$5</f>
        <v>0</v>
      </c>
      <c r="L229" s="333">
        <v>18.242426999999999</v>
      </c>
      <c r="M229" s="177">
        <f>[1]!Table32[[#This Row],[C&amp;I CLM $ Collected]]/'[1]1.) CLM Reference'!$B$4</f>
        <v>1.9638651781537675E-7</v>
      </c>
      <c r="N229" s="333">
        <v>0</v>
      </c>
      <c r="O229" s="177">
        <f>[1]!Table32[[#This Row],[C&amp;I Incentive Disbursements]]/'[1]1.) CLM Reference'!$B$5</f>
        <v>0</v>
      </c>
      <c r="P229" s="319">
        <f>VLOOKUP('3.) Large Load'!$B229,'Population and Diversity Data'!$B$2:$K$823,10,FALSE)</f>
        <v>3</v>
      </c>
      <c r="Q229" s="334" t="str">
        <f>VLOOKUP('3.) Large Load'!$B229,'ES Energy Burden'!$B$2:$E$914,4,FALSE)</f>
        <v>No</v>
      </c>
    </row>
    <row r="230" spans="1:17" x14ac:dyDescent="0.2">
      <c r="A230" s="335" t="s">
        <v>2852</v>
      </c>
      <c r="B230" s="336">
        <v>9005310700</v>
      </c>
      <c r="C230" s="318" t="s">
        <v>944</v>
      </c>
      <c r="D230" s="324">
        <f>[1]!Table32[[#This Row],[Residential CLM $ Collected]]+[1]!Table32[[#This Row],[C&amp;I CLM $ Collected]]</f>
        <v>369660.80665500002</v>
      </c>
      <c r="E230" s="325">
        <f>[1]!Table32[[#This Row],[CLM $ Collected ]]/'[1]1.) CLM Reference'!$B$4</f>
        <v>3.9795361983248553E-3</v>
      </c>
      <c r="F230" s="326">
        <f>[1]!Table32[[#This Row],[Residential Incentive Disbursements]]+[1]!Table32[[#This Row],[C&amp;I Incentive Disbursements]]</f>
        <v>362760.29</v>
      </c>
      <c r="G230" s="325">
        <f>[1]!Table32[[#This Row],[Incentive Disbursements]]/'[1]1.) CLM Reference'!$B$5</f>
        <v>2.9126536443780607E-3</v>
      </c>
      <c r="H230" s="337">
        <v>0</v>
      </c>
      <c r="I230" s="325">
        <f>[1]!Table32[[#This Row],[Residential CLM $ Collected]]/'[1]1.) CLM Reference'!$B$4</f>
        <v>0</v>
      </c>
      <c r="J230" s="337">
        <v>0</v>
      </c>
      <c r="K230" s="325">
        <f>[1]!Table32[[#This Row],[Residential Incentive Disbursements]]/'[1]1.) CLM Reference'!$B$5</f>
        <v>0</v>
      </c>
      <c r="L230" s="337">
        <v>369660.80665500002</v>
      </c>
      <c r="M230" s="325">
        <f>[1]!Table32[[#This Row],[C&amp;I CLM $ Collected]]/'[1]1.) CLM Reference'!$B$4</f>
        <v>3.9795361983248553E-3</v>
      </c>
      <c r="N230" s="337">
        <v>362760.29</v>
      </c>
      <c r="O230" s="325">
        <f>[1]!Table32[[#This Row],[C&amp;I Incentive Disbursements]]/'[1]1.) CLM Reference'!$B$5</f>
        <v>2.9126536443780607E-3</v>
      </c>
      <c r="P230" s="318">
        <f>VLOOKUP('3.) Large Load'!$B230,'Population and Diversity Data'!$B$2:$K$823,10,FALSE)</f>
        <v>1</v>
      </c>
      <c r="Q230" s="338" t="str">
        <f>VLOOKUP('3.) Large Load'!$B230,'ES Energy Burden'!$B$2:$E$914,4,FALSE)</f>
        <v>No</v>
      </c>
    </row>
    <row r="231" spans="1:17" x14ac:dyDescent="0.2">
      <c r="A231" s="329" t="s">
        <v>2852</v>
      </c>
      <c r="B231" s="330">
        <v>9005310803</v>
      </c>
      <c r="C231" s="319" t="s">
        <v>944</v>
      </c>
      <c r="D231" s="331">
        <f>[1]!Table32[[#This Row],[Residential CLM $ Collected]]+[1]!Table32[[#This Row],[C&amp;I CLM $ Collected]]</f>
        <v>8446.7039999999997</v>
      </c>
      <c r="E231" s="177">
        <f>[1]!Table32[[#This Row],[CLM $ Collected ]]/'[1]1.) CLM Reference'!$B$4</f>
        <v>9.0931913038611256E-5</v>
      </c>
      <c r="F231" s="332">
        <f>[1]!Table32[[#This Row],[Residential Incentive Disbursements]]+[1]!Table32[[#This Row],[C&amp;I Incentive Disbursements]]</f>
        <v>0</v>
      </c>
      <c r="G231" s="177">
        <f>[1]!Table32[[#This Row],[Incentive Disbursements]]/'[1]1.) CLM Reference'!$B$5</f>
        <v>0</v>
      </c>
      <c r="H231" s="333">
        <v>8446.7039999999997</v>
      </c>
      <c r="I231" s="177">
        <f>[1]!Table32[[#This Row],[Residential CLM $ Collected]]/'[1]1.) CLM Reference'!$B$4</f>
        <v>9.0931913038611256E-5</v>
      </c>
      <c r="J231" s="333">
        <v>0</v>
      </c>
      <c r="K231" s="177">
        <f>[1]!Table32[[#This Row],[Residential Incentive Disbursements]]/'[1]1.) CLM Reference'!$B$5</f>
        <v>0</v>
      </c>
      <c r="L231" s="333">
        <v>0</v>
      </c>
      <c r="M231" s="177">
        <f>[1]!Table32[[#This Row],[C&amp;I CLM $ Collected]]/'[1]1.) CLM Reference'!$B$4</f>
        <v>0</v>
      </c>
      <c r="N231" s="333">
        <v>0</v>
      </c>
      <c r="O231" s="177">
        <f>[1]!Table32[[#This Row],[C&amp;I Incentive Disbursements]]/'[1]1.) CLM Reference'!$B$5</f>
        <v>0</v>
      </c>
      <c r="P231" s="319">
        <f>VLOOKUP('3.) Large Load'!$B231,'Population and Diversity Data'!$B$2:$K$823,10,FALSE)</f>
        <v>4</v>
      </c>
      <c r="Q231" s="334" t="str">
        <f>VLOOKUP('3.) Large Load'!$B231,'ES Energy Burden'!$B$2:$E$914,4,FALSE)</f>
        <v>Yes</v>
      </c>
    </row>
    <row r="232" spans="1:17" x14ac:dyDescent="0.2">
      <c r="A232" s="335" t="s">
        <v>2853</v>
      </c>
      <c r="B232" s="336">
        <v>9013890201</v>
      </c>
      <c r="C232" s="318" t="s">
        <v>944</v>
      </c>
      <c r="D232" s="324">
        <f>[1]!Table32[[#This Row],[Residential CLM $ Collected]]+[1]!Table32[[#This Row],[C&amp;I CLM $ Collected]]</f>
        <v>720.44473199999993</v>
      </c>
      <c r="E232" s="325">
        <f>[1]!Table32[[#This Row],[CLM $ Collected ]]/'[1]1.) CLM Reference'!$B$4</f>
        <v>7.755855741997067E-6</v>
      </c>
      <c r="F232" s="326">
        <f>[1]!Table32[[#This Row],[Residential Incentive Disbursements]]+[1]!Table32[[#This Row],[C&amp;I Incentive Disbursements]]</f>
        <v>1332</v>
      </c>
      <c r="G232" s="325">
        <f>[1]!Table32[[#This Row],[Incentive Disbursements]]/'[1]1.) CLM Reference'!$B$5</f>
        <v>1.0694816277469557E-5</v>
      </c>
      <c r="H232" s="337">
        <v>0</v>
      </c>
      <c r="I232" s="325">
        <f>[1]!Table32[[#This Row],[Residential CLM $ Collected]]/'[1]1.) CLM Reference'!$B$4</f>
        <v>0</v>
      </c>
      <c r="J232" s="337">
        <v>0</v>
      </c>
      <c r="K232" s="325">
        <f>[1]!Table32[[#This Row],[Residential Incentive Disbursements]]/'[1]1.) CLM Reference'!$B$5</f>
        <v>0</v>
      </c>
      <c r="L232" s="337">
        <v>720.44473199999993</v>
      </c>
      <c r="M232" s="325">
        <f>[1]!Table32[[#This Row],[C&amp;I CLM $ Collected]]/'[1]1.) CLM Reference'!$B$4</f>
        <v>7.755855741997067E-6</v>
      </c>
      <c r="N232" s="337">
        <v>1332</v>
      </c>
      <c r="O232" s="325">
        <f>[1]!Table32[[#This Row],[C&amp;I Incentive Disbursements]]/'[1]1.) CLM Reference'!$B$5</f>
        <v>1.0694816277469557E-5</v>
      </c>
      <c r="P232" s="318">
        <f>VLOOKUP('3.) Large Load'!$B232,'Population and Diversity Data'!$B$2:$K$823,10,FALSE)</f>
        <v>4</v>
      </c>
      <c r="Q232" s="338" t="str">
        <f>VLOOKUP('3.) Large Load'!$B232,'ES Energy Burden'!$B$2:$E$914,4,FALSE)</f>
        <v>No</v>
      </c>
    </row>
    <row r="233" spans="1:17" x14ac:dyDescent="0.2">
      <c r="A233" s="329" t="s">
        <v>2854</v>
      </c>
      <c r="B233" s="330">
        <v>9003487202</v>
      </c>
      <c r="C233" s="319" t="s">
        <v>944</v>
      </c>
      <c r="D233" s="331">
        <f>[1]!Table32[[#This Row],[Residential CLM $ Collected]]+[1]!Table32[[#This Row],[C&amp;I CLM $ Collected]]</f>
        <v>0</v>
      </c>
      <c r="E233" s="177">
        <f>[1]!Table32[[#This Row],[CLM $ Collected ]]/'[1]1.) CLM Reference'!$B$4</f>
        <v>0</v>
      </c>
      <c r="F233" s="332">
        <f>[1]!Table32[[#This Row],[Residential Incentive Disbursements]]+[1]!Table32[[#This Row],[C&amp;I Incentive Disbursements]]</f>
        <v>1925.68</v>
      </c>
      <c r="G233" s="177">
        <f>[1]!Table32[[#This Row],[Incentive Disbursements]]/'[1]1.) CLM Reference'!$B$5</f>
        <v>1.5461556913811996E-5</v>
      </c>
      <c r="H233" s="333">
        <v>0</v>
      </c>
      <c r="I233" s="177">
        <f>[1]!Table32[[#This Row],[Residential CLM $ Collected]]/'[1]1.) CLM Reference'!$B$4</f>
        <v>0</v>
      </c>
      <c r="J233" s="333">
        <v>0</v>
      </c>
      <c r="K233" s="177">
        <f>[1]!Table32[[#This Row],[Residential Incentive Disbursements]]/'[1]1.) CLM Reference'!$B$5</f>
        <v>0</v>
      </c>
      <c r="L233" s="333">
        <v>0</v>
      </c>
      <c r="M233" s="177">
        <f>[1]!Table32[[#This Row],[C&amp;I CLM $ Collected]]/'[1]1.) CLM Reference'!$B$4</f>
        <v>0</v>
      </c>
      <c r="N233" s="333">
        <v>1925.68</v>
      </c>
      <c r="O233" s="177">
        <f>[1]!Table32[[#This Row],[C&amp;I Incentive Disbursements]]/'[1]1.) CLM Reference'!$B$5</f>
        <v>1.5461556913811996E-5</v>
      </c>
      <c r="P233" s="319">
        <f>VLOOKUP('3.) Large Load'!$B233,'Population and Diversity Data'!$B$2:$K$823,10,FALSE)</f>
        <v>4</v>
      </c>
      <c r="Q233" s="334" t="str">
        <f>VLOOKUP('3.) Large Load'!$B233,'ES Energy Burden'!$B$2:$E$914,4,FALSE)</f>
        <v>No</v>
      </c>
    </row>
    <row r="234" spans="1:17" x14ac:dyDescent="0.2">
      <c r="A234" s="335" t="s">
        <v>2854</v>
      </c>
      <c r="B234" s="336">
        <v>9013530302</v>
      </c>
      <c r="C234" s="318" t="s">
        <v>944</v>
      </c>
      <c r="D234" s="324">
        <f>[1]!Table32[[#This Row],[Residential CLM $ Collected]]+[1]!Table32[[#This Row],[C&amp;I CLM $ Collected]]</f>
        <v>175092.54010499999</v>
      </c>
      <c r="E234" s="325">
        <f>[1]!Table32[[#This Row],[CLM $ Collected ]]/'[1]1.) CLM Reference'!$B$4</f>
        <v>1.8849363764300742E-3</v>
      </c>
      <c r="F234" s="326">
        <f>[1]!Table32[[#This Row],[Residential Incentive Disbursements]]+[1]!Table32[[#This Row],[C&amp;I Incentive Disbursements]]</f>
        <v>121151.84</v>
      </c>
      <c r="G234" s="325">
        <f>[1]!Table32[[#This Row],[Incentive Disbursements]]/'[1]1.) CLM Reference'!$B$5</f>
        <v>9.7274524810614675E-4</v>
      </c>
      <c r="H234" s="337">
        <v>0</v>
      </c>
      <c r="I234" s="325">
        <f>[1]!Table32[[#This Row],[Residential CLM $ Collected]]/'[1]1.) CLM Reference'!$B$4</f>
        <v>0</v>
      </c>
      <c r="J234" s="337">
        <v>0</v>
      </c>
      <c r="K234" s="325">
        <f>[1]!Table32[[#This Row],[Residential Incentive Disbursements]]/'[1]1.) CLM Reference'!$B$5</f>
        <v>0</v>
      </c>
      <c r="L234" s="337">
        <v>175092.54010499999</v>
      </c>
      <c r="M234" s="325">
        <f>[1]!Table32[[#This Row],[C&amp;I CLM $ Collected]]/'[1]1.) CLM Reference'!$B$4</f>
        <v>1.8849363764300742E-3</v>
      </c>
      <c r="N234" s="337">
        <v>121151.84</v>
      </c>
      <c r="O234" s="325">
        <f>[1]!Table32[[#This Row],[C&amp;I Incentive Disbursements]]/'[1]1.) CLM Reference'!$B$5</f>
        <v>9.7274524810614675E-4</v>
      </c>
      <c r="P234" s="318">
        <f>VLOOKUP('3.) Large Load'!$B234,'Population and Diversity Data'!$B$2:$K$823,10,FALSE)</f>
        <v>5</v>
      </c>
      <c r="Q234" s="338" t="str">
        <f>VLOOKUP('3.) Large Load'!$B234,'ES Energy Burden'!$B$2:$E$914,4,FALSE)</f>
        <v>No</v>
      </c>
    </row>
    <row r="235" spans="1:17" s="22" customFormat="1" x14ac:dyDescent="0.2">
      <c r="A235" s="329" t="s">
        <v>2854</v>
      </c>
      <c r="B235" s="330">
        <v>9013530400</v>
      </c>
      <c r="C235" s="319" t="s">
        <v>944</v>
      </c>
      <c r="D235" s="331">
        <f>[1]!Table32[[#This Row],[Residential CLM $ Collected]]+[1]!Table32[[#This Row],[C&amp;I CLM $ Collected]]</f>
        <v>929.506935</v>
      </c>
      <c r="E235" s="177">
        <f>[1]!Table32[[#This Row],[CLM $ Collected ]]/'[1]1.) CLM Reference'!$B$4</f>
        <v>1.0006488185475196E-5</v>
      </c>
      <c r="F235" s="332">
        <f>[1]!Table32[[#This Row],[Residential Incentive Disbursements]]+[1]!Table32[[#This Row],[C&amp;I Incentive Disbursements]]</f>
        <v>0</v>
      </c>
      <c r="G235" s="177">
        <f>[1]!Table32[[#This Row],[Incentive Disbursements]]/'[1]1.) CLM Reference'!$B$5</f>
        <v>0</v>
      </c>
      <c r="H235" s="333">
        <v>0</v>
      </c>
      <c r="I235" s="177">
        <f>[1]!Table32[[#This Row],[Residential CLM $ Collected]]/'[1]1.) CLM Reference'!$B$4</f>
        <v>0</v>
      </c>
      <c r="J235" s="333">
        <v>0</v>
      </c>
      <c r="K235" s="177">
        <f>[1]!Table32[[#This Row],[Residential Incentive Disbursements]]/'[1]1.) CLM Reference'!$B$5</f>
        <v>0</v>
      </c>
      <c r="L235" s="333">
        <v>929.506935</v>
      </c>
      <c r="M235" s="177">
        <f>[1]!Table32[[#This Row],[C&amp;I CLM $ Collected]]/'[1]1.) CLM Reference'!$B$4</f>
        <v>1.0006488185475196E-5</v>
      </c>
      <c r="N235" s="333">
        <v>0</v>
      </c>
      <c r="O235" s="177">
        <f>[1]!Table32[[#This Row],[C&amp;I Incentive Disbursements]]/'[1]1.) CLM Reference'!$B$5</f>
        <v>0</v>
      </c>
      <c r="P235" s="319">
        <f>VLOOKUP('3.) Large Load'!$B235,'Population and Diversity Data'!$B$2:$K$823,10,FALSE)</f>
        <v>5</v>
      </c>
      <c r="Q235" s="334" t="str">
        <f>VLOOKUP('3.) Large Load'!$B235,'ES Energy Burden'!$B$2:$E$914,4,FALSE)</f>
        <v>No</v>
      </c>
    </row>
    <row r="236" spans="1:17" s="22" customFormat="1" x14ac:dyDescent="0.2">
      <c r="A236" s="335" t="s">
        <v>2855</v>
      </c>
      <c r="B236" s="336">
        <v>9011708100</v>
      </c>
      <c r="C236" s="318" t="s">
        <v>944</v>
      </c>
      <c r="D236" s="324">
        <f>[1]!Table32[[#This Row],[Residential CLM $ Collected]]+[1]!Table32[[#This Row],[C&amp;I CLM $ Collected]]</f>
        <v>729.44688600000006</v>
      </c>
      <c r="E236" s="325">
        <f>[1]!Table32[[#This Row],[CLM $ Collected ]]/'[1]1.) CLM Reference'!$B$4</f>
        <v>7.852767281064636E-6</v>
      </c>
      <c r="F236" s="326">
        <f>[1]!Table32[[#This Row],[Residential Incentive Disbursements]]+[1]!Table32[[#This Row],[C&amp;I Incentive Disbursements]]</f>
        <v>5723.88</v>
      </c>
      <c r="G236" s="325">
        <f>[1]!Table32[[#This Row],[Incentive Disbursements]]/'[1]1.) CLM Reference'!$B$5</f>
        <v>4.5957841587299138E-5</v>
      </c>
      <c r="H236" s="337">
        <v>0</v>
      </c>
      <c r="I236" s="325">
        <f>[1]!Table32[[#This Row],[Residential CLM $ Collected]]/'[1]1.) CLM Reference'!$B$4</f>
        <v>0</v>
      </c>
      <c r="J236" s="337">
        <v>0</v>
      </c>
      <c r="K236" s="325">
        <f>[1]!Table32[[#This Row],[Residential Incentive Disbursements]]/'[1]1.) CLM Reference'!$B$5</f>
        <v>0</v>
      </c>
      <c r="L236" s="337">
        <v>729.44688600000006</v>
      </c>
      <c r="M236" s="325">
        <f>[1]!Table32[[#This Row],[C&amp;I CLM $ Collected]]/'[1]1.) CLM Reference'!$B$4</f>
        <v>7.852767281064636E-6</v>
      </c>
      <c r="N236" s="337">
        <v>5723.88</v>
      </c>
      <c r="O236" s="325">
        <f>[1]!Table32[[#This Row],[C&amp;I Incentive Disbursements]]/'[1]1.) CLM Reference'!$B$5</f>
        <v>4.5957841587299138E-5</v>
      </c>
      <c r="P236" s="318">
        <f>VLOOKUP('3.) Large Load'!$B236,'Population and Diversity Data'!$B$2:$K$823,10,FALSE)</f>
        <v>2</v>
      </c>
      <c r="Q236" s="338" t="str">
        <f>VLOOKUP('3.) Large Load'!$B236,'ES Energy Burden'!$B$2:$E$914,4,FALSE)</f>
        <v>No</v>
      </c>
    </row>
    <row r="237" spans="1:17" x14ac:dyDescent="0.2">
      <c r="A237" s="329" t="s">
        <v>2856</v>
      </c>
      <c r="B237" s="330">
        <v>9005265100</v>
      </c>
      <c r="C237" s="319" t="s">
        <v>944</v>
      </c>
      <c r="D237" s="331">
        <f>[1]!Table32[[#This Row],[Residential CLM $ Collected]]+[1]!Table32[[#This Row],[C&amp;I CLM $ Collected]]</f>
        <v>0</v>
      </c>
      <c r="E237" s="177">
        <f>[1]!Table32[[#This Row],[CLM $ Collected ]]/'[1]1.) CLM Reference'!$B$4</f>
        <v>0</v>
      </c>
      <c r="F237" s="332">
        <f>[1]!Table32[[#This Row],[Residential Incentive Disbursements]]+[1]!Table32[[#This Row],[C&amp;I Incentive Disbursements]]</f>
        <v>2044</v>
      </c>
      <c r="G237" s="177">
        <f>[1]!Table32[[#This Row],[Incentive Disbursements]]/'[1]1.) CLM Reference'!$B$5</f>
        <v>1.641156491827911E-5</v>
      </c>
      <c r="H237" s="333">
        <v>0</v>
      </c>
      <c r="I237" s="177">
        <f>[1]!Table32[[#This Row],[Residential CLM $ Collected]]/'[1]1.) CLM Reference'!$B$4</f>
        <v>0</v>
      </c>
      <c r="J237" s="333">
        <v>0</v>
      </c>
      <c r="K237" s="177">
        <f>[1]!Table32[[#This Row],[Residential Incentive Disbursements]]/'[1]1.) CLM Reference'!$B$5</f>
        <v>0</v>
      </c>
      <c r="L237" s="333">
        <v>0</v>
      </c>
      <c r="M237" s="177">
        <f>[1]!Table32[[#This Row],[C&amp;I CLM $ Collected]]/'[1]1.) CLM Reference'!$B$4</f>
        <v>0</v>
      </c>
      <c r="N237" s="333">
        <v>2044</v>
      </c>
      <c r="O237" s="177">
        <f>[1]!Table32[[#This Row],[C&amp;I Incentive Disbursements]]/'[1]1.) CLM Reference'!$B$5</f>
        <v>1.641156491827911E-5</v>
      </c>
      <c r="P237" s="319">
        <f>VLOOKUP('3.) Large Load'!$B237,'Population and Diversity Data'!$B$2:$K$823,10,FALSE)</f>
        <v>1</v>
      </c>
      <c r="Q237" s="334" t="str">
        <f>VLOOKUP('3.) Large Load'!$B237,'ES Energy Burden'!$B$2:$E$914,4,FALSE)</f>
        <v>No</v>
      </c>
    </row>
    <row r="238" spans="1:17" x14ac:dyDescent="0.2">
      <c r="A238" s="335" t="s">
        <v>2856</v>
      </c>
      <c r="B238" s="336">
        <v>9005267100</v>
      </c>
      <c r="C238" s="318" t="s">
        <v>944</v>
      </c>
      <c r="D238" s="324">
        <f>[1]!Table32[[#This Row],[Residential CLM $ Collected]]+[1]!Table32[[#This Row],[C&amp;I CLM $ Collected]]</f>
        <v>149.49767700000001</v>
      </c>
      <c r="E238" s="325">
        <f>[1]!Table32[[#This Row],[CLM $ Collected ]]/'[1]1.) CLM Reference'!$B$4</f>
        <v>1.6093981468319946E-6</v>
      </c>
      <c r="F238" s="326">
        <f>[1]!Table32[[#This Row],[Residential Incentive Disbursements]]+[1]!Table32[[#This Row],[C&amp;I Incentive Disbursements]]</f>
        <v>0</v>
      </c>
      <c r="G238" s="325">
        <f>[1]!Table32[[#This Row],[Incentive Disbursements]]/'[1]1.) CLM Reference'!$B$5</f>
        <v>0</v>
      </c>
      <c r="H238" s="337">
        <v>0</v>
      </c>
      <c r="I238" s="325">
        <f>[1]!Table32[[#This Row],[Residential CLM $ Collected]]/'[1]1.) CLM Reference'!$B$4</f>
        <v>0</v>
      </c>
      <c r="J238" s="337">
        <v>0</v>
      </c>
      <c r="K238" s="325">
        <f>[1]!Table32[[#This Row],[Residential Incentive Disbursements]]/'[1]1.) CLM Reference'!$B$5</f>
        <v>0</v>
      </c>
      <c r="L238" s="337">
        <v>149.49767700000001</v>
      </c>
      <c r="M238" s="325">
        <f>[1]!Table32[[#This Row],[C&amp;I CLM $ Collected]]/'[1]1.) CLM Reference'!$B$4</f>
        <v>1.6093981468319946E-6</v>
      </c>
      <c r="N238" s="337">
        <v>0</v>
      </c>
      <c r="O238" s="325">
        <f>[1]!Table32[[#This Row],[C&amp;I Incentive Disbursements]]/'[1]1.) CLM Reference'!$B$5</f>
        <v>0</v>
      </c>
      <c r="P238" s="318">
        <f>VLOOKUP('3.) Large Load'!$B238,'Population and Diversity Data'!$B$2:$K$823,10,FALSE)</f>
        <v>3</v>
      </c>
      <c r="Q238" s="338" t="str">
        <f>VLOOKUP('3.) Large Load'!$B238,'ES Energy Burden'!$B$2:$E$914,4,FALSE)</f>
        <v>No</v>
      </c>
    </row>
    <row r="239" spans="1:17" x14ac:dyDescent="0.2">
      <c r="A239" s="339" t="s">
        <v>2857</v>
      </c>
      <c r="B239" s="340">
        <v>9005253200</v>
      </c>
      <c r="C239" s="341" t="s">
        <v>944</v>
      </c>
      <c r="D239" s="342">
        <f>[1]!Table32[[#This Row],[Residential CLM $ Collected]]+[1]!Table32[[#This Row],[C&amp;I CLM $ Collected]]</f>
        <v>0</v>
      </c>
      <c r="E239" s="171">
        <f>[1]!Table32[[#This Row],[CLM $ Collected ]]/'[1]1.) CLM Reference'!$B$4</f>
        <v>0</v>
      </c>
      <c r="F239" s="343">
        <f>[1]!Table32[[#This Row],[Residential Incentive Disbursements]]+[1]!Table32[[#This Row],[C&amp;I Incentive Disbursements]]</f>
        <v>1724</v>
      </c>
      <c r="G239" s="171">
        <f>[1]!Table32[[#This Row],[Incentive Disbursements]]/'[1]1.) CLM Reference'!$B$5</f>
        <v>1.3842239686454592E-5</v>
      </c>
      <c r="H239" s="344">
        <v>0</v>
      </c>
      <c r="I239" s="171">
        <f>[1]!Table32[[#This Row],[Residential CLM $ Collected]]/'[1]1.) CLM Reference'!$B$4</f>
        <v>0</v>
      </c>
      <c r="J239" s="344">
        <v>0</v>
      </c>
      <c r="K239" s="171">
        <f>[1]!Table32[[#This Row],[Residential Incentive Disbursements]]/'[1]1.) CLM Reference'!$B$5</f>
        <v>0</v>
      </c>
      <c r="L239" s="344">
        <v>0</v>
      </c>
      <c r="M239" s="171">
        <f>[1]!Table32[[#This Row],[C&amp;I CLM $ Collected]]/'[1]1.) CLM Reference'!$B$4</f>
        <v>0</v>
      </c>
      <c r="N239" s="344">
        <v>1724</v>
      </c>
      <c r="O239" s="171">
        <f>[1]!Table32[[#This Row],[C&amp;I Incentive Disbursements]]/'[1]1.) CLM Reference'!$B$5</f>
        <v>1.3842239686454592E-5</v>
      </c>
      <c r="P239" s="341">
        <f>VLOOKUP('3.) Large Load'!$B239,'Population and Diversity Data'!$B$2:$K$823,10,FALSE)</f>
        <v>4</v>
      </c>
      <c r="Q239" s="345" t="str">
        <f>VLOOKUP('3.) Large Load'!$B239,'ES Energy Burden'!$B$2:$E$914,4,FALSE)</f>
        <v>No</v>
      </c>
    </row>
    <row r="240" spans="1:17" x14ac:dyDescent="0.2">
      <c r="A240" t="s">
        <v>2857</v>
      </c>
      <c r="B240" s="169">
        <v>9005267100</v>
      </c>
      <c r="C240" t="s">
        <v>944</v>
      </c>
      <c r="D240" s="170">
        <f>[1]!Table32[[#This Row],[Residential CLM $ Collected]]+[1]!Table32[[#This Row],[C&amp;I CLM $ Collected]]</f>
        <v>21777.703479</v>
      </c>
      <c r="E240" s="28">
        <f>[1]!Table32[[#This Row],[CLM $ Collected ]]/'[1]1.) CLM Reference'!$B$4</f>
        <v>2.344450851992789E-4</v>
      </c>
      <c r="F240" s="29">
        <f>[1]!Table32[[#This Row],[Residential Incentive Disbursements]]+[1]!Table32[[#This Row],[C&amp;I Incentive Disbursements]]</f>
        <v>1950</v>
      </c>
      <c r="G240" s="28">
        <f>[1]!Table32[[#This Row],[Incentive Disbursements]]/'[1]1.) CLM Reference'!$B$5</f>
        <v>1.5656825631430659E-5</v>
      </c>
      <c r="H240" s="228">
        <v>0</v>
      </c>
      <c r="I240" s="28">
        <f>[1]!Table32[[#This Row],[Residential CLM $ Collected]]/'[1]1.) CLM Reference'!$B$4</f>
        <v>0</v>
      </c>
      <c r="J240" s="228">
        <v>0</v>
      </c>
      <c r="K240" s="28">
        <f>[1]!Table32[[#This Row],[Residential Incentive Disbursements]]/'[1]1.) CLM Reference'!$B$5</f>
        <v>0</v>
      </c>
      <c r="L240" s="228">
        <v>21777.703479</v>
      </c>
      <c r="M240" s="28">
        <f>[1]!Table32[[#This Row],[C&amp;I CLM $ Collected]]/'[1]1.) CLM Reference'!$B$4</f>
        <v>2.344450851992789E-4</v>
      </c>
      <c r="N240" s="228">
        <v>1950</v>
      </c>
      <c r="O240" s="171">
        <f>[1]!Table32[[#This Row],[C&amp;I Incentive Disbursements]]/'[1]1.) CLM Reference'!$B$5</f>
        <v>1.5656825631430659E-5</v>
      </c>
      <c r="P240" s="24"/>
      <c r="Q240" s="22"/>
    </row>
    <row r="241" spans="1:17" x14ac:dyDescent="0.2">
      <c r="A241" t="s">
        <v>982</v>
      </c>
      <c r="B241" s="169">
        <v>9009345100</v>
      </c>
      <c r="C241" t="s">
        <v>944</v>
      </c>
      <c r="D241" s="170">
        <f>[1]!Table32[[#This Row],[Residential CLM $ Collected]]+[1]!Table32[[#This Row],[C&amp;I CLM $ Collected]]</f>
        <v>0</v>
      </c>
      <c r="E241" s="28">
        <f>[1]!Table32[[#This Row],[CLM $ Collected ]]/'[1]1.) CLM Reference'!$B$4</f>
        <v>0</v>
      </c>
      <c r="F241" s="29">
        <f>[1]!Table32[[#This Row],[Residential Incentive Disbursements]]+[1]!Table32[[#This Row],[C&amp;I Incentive Disbursements]]</f>
        <v>1282.5</v>
      </c>
      <c r="G241" s="28">
        <f>[1]!Table32[[#This Row],[Incentive Disbursements]]/'[1]1.) CLM Reference'!$B$5</f>
        <v>1.0297373780671702E-5</v>
      </c>
      <c r="H241" s="228">
        <v>0</v>
      </c>
      <c r="I241" s="28">
        <f>[1]!Table32[[#This Row],[Residential CLM $ Collected]]/'[1]1.) CLM Reference'!$B$4</f>
        <v>0</v>
      </c>
      <c r="J241" s="228">
        <v>0</v>
      </c>
      <c r="K241" s="28">
        <f>[1]!Table32[[#This Row],[Residential Incentive Disbursements]]/'[1]1.) CLM Reference'!$B$5</f>
        <v>0</v>
      </c>
      <c r="L241" s="228">
        <v>0</v>
      </c>
      <c r="M241" s="28">
        <f>[1]!Table32[[#This Row],[C&amp;I CLM $ Collected]]/'[1]1.) CLM Reference'!$B$4</f>
        <v>0</v>
      </c>
      <c r="N241" s="228">
        <v>1282.5</v>
      </c>
      <c r="O241" s="171">
        <f>[1]!Table32[[#This Row],[C&amp;I Incentive Disbursements]]/'[1]1.) CLM Reference'!$B$5</f>
        <v>1.0297373780671702E-5</v>
      </c>
      <c r="P241" s="24"/>
      <c r="Q241" s="22"/>
    </row>
    <row r="242" spans="1:17" x14ac:dyDescent="0.2">
      <c r="A242" t="s">
        <v>982</v>
      </c>
      <c r="B242" s="169">
        <v>9009350100</v>
      </c>
      <c r="C242" t="s">
        <v>936</v>
      </c>
      <c r="D242" s="170">
        <f>[1]!Table32[[#This Row],[Residential CLM $ Collected]]+[1]!Table32[[#This Row],[C&amp;I CLM $ Collected]]</f>
        <v>4.3011150000000002</v>
      </c>
      <c r="E242" s="28">
        <f>[1]!Table32[[#This Row],[CLM $ Collected ]]/'[1]1.) CLM Reference'!$B$4</f>
        <v>4.6303104163359636E-8</v>
      </c>
      <c r="F242" s="29">
        <f>[1]!Table32[[#This Row],[Residential Incentive Disbursements]]+[1]!Table32[[#This Row],[C&amp;I Incentive Disbursements]]</f>
        <v>0</v>
      </c>
      <c r="G242" s="28">
        <f>[1]!Table32[[#This Row],[Incentive Disbursements]]/'[1]1.) CLM Reference'!$B$5</f>
        <v>0</v>
      </c>
      <c r="H242" s="228">
        <v>0</v>
      </c>
      <c r="I242" s="28">
        <f>[1]!Table32[[#This Row],[Residential CLM $ Collected]]/'[1]1.) CLM Reference'!$B$4</f>
        <v>0</v>
      </c>
      <c r="J242" s="228">
        <v>0</v>
      </c>
      <c r="K242" s="28">
        <f>[1]!Table32[[#This Row],[Residential Incentive Disbursements]]/'[1]1.) CLM Reference'!$B$5</f>
        <v>0</v>
      </c>
      <c r="L242" s="228">
        <v>4.3011150000000002</v>
      </c>
      <c r="M242" s="28">
        <f>[1]!Table32[[#This Row],[C&amp;I CLM $ Collected]]/'[1]1.) CLM Reference'!$B$4</f>
        <v>4.6303104163359636E-8</v>
      </c>
      <c r="N242" s="228">
        <v>0</v>
      </c>
      <c r="O242" s="171">
        <f>[1]!Table32[[#This Row],[C&amp;I Incentive Disbursements]]/'[1]1.) CLM Reference'!$B$5</f>
        <v>0</v>
      </c>
    </row>
    <row r="243" spans="1:17" x14ac:dyDescent="0.2">
      <c r="A243" t="s">
        <v>982</v>
      </c>
      <c r="B243" s="169">
        <v>9009350800</v>
      </c>
      <c r="C243" t="s">
        <v>944</v>
      </c>
      <c r="D243" s="170">
        <f>[1]!Table32[[#This Row],[Residential CLM $ Collected]]+[1]!Table32[[#This Row],[C&amp;I CLM $ Collected]]</f>
        <v>1.4910209999999999</v>
      </c>
      <c r="E243" s="28">
        <f>[1]!Table32[[#This Row],[CLM $ Collected ]]/'[1]1.) CLM Reference'!$B$4</f>
        <v>1.6051396131644153E-8</v>
      </c>
      <c r="F243" s="29">
        <f>[1]!Table32[[#This Row],[Residential Incentive Disbursements]]+[1]!Table32[[#This Row],[C&amp;I Incentive Disbursements]]</f>
        <v>0</v>
      </c>
      <c r="G243" s="28">
        <f>[1]!Table32[[#This Row],[Incentive Disbursements]]/'[1]1.) CLM Reference'!$B$5</f>
        <v>0</v>
      </c>
      <c r="H243" s="228">
        <v>0</v>
      </c>
      <c r="I243" s="28">
        <f>[1]!Table32[[#This Row],[Residential CLM $ Collected]]/'[1]1.) CLM Reference'!$B$4</f>
        <v>0</v>
      </c>
      <c r="J243" s="228">
        <v>0</v>
      </c>
      <c r="K243" s="28">
        <f>[1]!Table32[[#This Row],[Residential Incentive Disbursements]]/'[1]1.) CLM Reference'!$B$5</f>
        <v>0</v>
      </c>
      <c r="L243" s="228">
        <v>1.4910209999999999</v>
      </c>
      <c r="M243" s="28">
        <f>[1]!Table32[[#This Row],[C&amp;I CLM $ Collected]]/'[1]1.) CLM Reference'!$B$4</f>
        <v>1.6051396131644153E-8</v>
      </c>
      <c r="N243" s="228">
        <v>0</v>
      </c>
      <c r="O243" s="171">
        <f>[1]!Table32[[#This Row],[C&amp;I Incentive Disbursements]]/'[1]1.) CLM Reference'!$B$5</f>
        <v>0</v>
      </c>
    </row>
    <row r="244" spans="1:17" x14ac:dyDescent="0.2">
      <c r="A244" t="s">
        <v>982</v>
      </c>
      <c r="B244" s="169">
        <v>9009351500</v>
      </c>
      <c r="C244" t="s">
        <v>944</v>
      </c>
      <c r="D244" s="170">
        <f>[1]!Table32[[#This Row],[Residential CLM $ Collected]]+[1]!Table32[[#This Row],[C&amp;I CLM $ Collected]]</f>
        <v>1126143.049164</v>
      </c>
      <c r="E244" s="28">
        <f>[1]!Table32[[#This Row],[CLM $ Collected ]]/'[1]1.) CLM Reference'!$B$4</f>
        <v>1.2123349156738222E-2</v>
      </c>
      <c r="F244" s="29">
        <f>[1]!Table32[[#This Row],[Residential Incentive Disbursements]]+[1]!Table32[[#This Row],[C&amp;I Incentive Disbursements]]</f>
        <v>708495.93160000001</v>
      </c>
      <c r="G244" s="28">
        <f>[1]!Table32[[#This Row],[Incentive Disbursements]]/'[1]1.) CLM Reference'!$B$5</f>
        <v>5.6886139803278063E-3</v>
      </c>
      <c r="H244" s="228">
        <v>0</v>
      </c>
      <c r="I244" s="28">
        <f>[1]!Table32[[#This Row],[Residential CLM $ Collected]]/'[1]1.) CLM Reference'!$B$4</f>
        <v>0</v>
      </c>
      <c r="J244" s="228">
        <v>0</v>
      </c>
      <c r="K244" s="28">
        <f>[1]!Table32[[#This Row],[Residential Incentive Disbursements]]/'[1]1.) CLM Reference'!$B$5</f>
        <v>0</v>
      </c>
      <c r="L244" s="228">
        <v>1126143.049164</v>
      </c>
      <c r="M244" s="28">
        <f>[1]!Table32[[#This Row],[C&amp;I CLM $ Collected]]/'[1]1.) CLM Reference'!$B$4</f>
        <v>1.2123349156738222E-2</v>
      </c>
      <c r="N244" s="228">
        <v>708495.93160000001</v>
      </c>
      <c r="O244" s="171">
        <f>[1]!Table32[[#This Row],[C&amp;I Incentive Disbursements]]/'[1]1.) CLM Reference'!$B$5</f>
        <v>5.6886139803278063E-3</v>
      </c>
    </row>
    <row r="245" spans="1:17" x14ac:dyDescent="0.2">
      <c r="A245" t="s">
        <v>982</v>
      </c>
      <c r="B245" s="169">
        <v>9009351602</v>
      </c>
      <c r="C245" t="s">
        <v>944</v>
      </c>
      <c r="D245" s="170">
        <f>[1]!Table32[[#This Row],[Residential CLM $ Collected]]+[1]!Table32[[#This Row],[C&amp;I CLM $ Collected]]</f>
        <v>8.8495260000000009</v>
      </c>
      <c r="E245" s="28">
        <f>[1]!Table32[[#This Row],[CLM $ Collected ]]/'[1]1.) CLM Reference'!$B$4</f>
        <v>9.5268441828307168E-8</v>
      </c>
      <c r="F245" s="29">
        <f>[1]!Table32[[#This Row],[Residential Incentive Disbursements]]+[1]!Table32[[#This Row],[C&amp;I Incentive Disbursements]]</f>
        <v>0</v>
      </c>
      <c r="G245" s="28">
        <f>[1]!Table32[[#This Row],[Incentive Disbursements]]/'[1]1.) CLM Reference'!$B$5</f>
        <v>0</v>
      </c>
      <c r="H245" s="228">
        <v>0</v>
      </c>
      <c r="I245" s="28">
        <f>[1]!Table32[[#This Row],[Residential CLM $ Collected]]/'[1]1.) CLM Reference'!$B$4</f>
        <v>0</v>
      </c>
      <c r="J245" s="228">
        <v>0</v>
      </c>
      <c r="K245" s="28">
        <f>[1]!Table32[[#This Row],[Residential Incentive Disbursements]]/'[1]1.) CLM Reference'!$B$5</f>
        <v>0</v>
      </c>
      <c r="L245" s="228">
        <v>8.8495260000000009</v>
      </c>
      <c r="M245" s="28">
        <f>[1]!Table32[[#This Row],[C&amp;I CLM $ Collected]]/'[1]1.) CLM Reference'!$B$4</f>
        <v>9.5268441828307168E-8</v>
      </c>
      <c r="N245" s="228">
        <v>0</v>
      </c>
      <c r="O245" s="171">
        <f>[1]!Table32[[#This Row],[C&amp;I Incentive Disbursements]]/'[1]1.) CLM Reference'!$B$5</f>
        <v>0</v>
      </c>
    </row>
    <row r="246" spans="1:17" x14ac:dyDescent="0.2">
      <c r="A246" t="s">
        <v>982</v>
      </c>
      <c r="B246" s="169">
        <v>9009351700</v>
      </c>
      <c r="C246" t="s">
        <v>936</v>
      </c>
      <c r="D246" s="170">
        <f>[1]!Table32[[#This Row],[Residential CLM $ Collected]]+[1]!Table32[[#This Row],[C&amp;I CLM $ Collected]]</f>
        <v>3.84951</v>
      </c>
      <c r="E246" s="28">
        <f>[1]!Table32[[#This Row],[CLM $ Collected ]]/'[1]1.) CLM Reference'!$B$4</f>
        <v>4.1441408218077068E-8</v>
      </c>
      <c r="F246" s="29">
        <f>[1]!Table32[[#This Row],[Residential Incentive Disbursements]]+[1]!Table32[[#This Row],[C&amp;I Incentive Disbursements]]</f>
        <v>0</v>
      </c>
      <c r="G246" s="28">
        <f>[1]!Table32[[#This Row],[Incentive Disbursements]]/'[1]1.) CLM Reference'!$B$5</f>
        <v>0</v>
      </c>
      <c r="H246" s="228">
        <v>0</v>
      </c>
      <c r="I246" s="28">
        <f>[1]!Table32[[#This Row],[Residential CLM $ Collected]]/'[1]1.) CLM Reference'!$B$4</f>
        <v>0</v>
      </c>
      <c r="J246" s="228">
        <v>0</v>
      </c>
      <c r="K246" s="28">
        <f>[1]!Table32[[#This Row],[Residential Incentive Disbursements]]/'[1]1.) CLM Reference'!$B$5</f>
        <v>0</v>
      </c>
      <c r="L246" s="228">
        <v>3.84951</v>
      </c>
      <c r="M246" s="28">
        <f>[1]!Table32[[#This Row],[C&amp;I CLM $ Collected]]/'[1]1.) CLM Reference'!$B$4</f>
        <v>4.1441408218077068E-8</v>
      </c>
      <c r="N246" s="228">
        <v>0</v>
      </c>
      <c r="O246" s="171">
        <f>[1]!Table32[[#This Row],[C&amp;I Incentive Disbursements]]/'[1]1.) CLM Reference'!$B$5</f>
        <v>0</v>
      </c>
    </row>
    <row r="247" spans="1:17" x14ac:dyDescent="0.2">
      <c r="A247" t="s">
        <v>982</v>
      </c>
      <c r="B247" s="169">
        <v>9009352702</v>
      </c>
      <c r="C247" t="s">
        <v>944</v>
      </c>
      <c r="D247" s="170">
        <f>[1]!Table32[[#This Row],[Residential CLM $ Collected]]+[1]!Table32[[#This Row],[C&amp;I CLM $ Collected]]</f>
        <v>0.94716299999999998</v>
      </c>
      <c r="E247" s="28">
        <f>[1]!Table32[[#This Row],[CLM $ Collected ]]/'[1]1.) CLM Reference'!$B$4</f>
        <v>1.0196562298073918E-8</v>
      </c>
      <c r="F247" s="29">
        <f>[1]!Table32[[#This Row],[Residential Incentive Disbursements]]+[1]!Table32[[#This Row],[C&amp;I Incentive Disbursements]]</f>
        <v>0</v>
      </c>
      <c r="G247" s="28">
        <f>[1]!Table32[[#This Row],[Incentive Disbursements]]/'[1]1.) CLM Reference'!$B$5</f>
        <v>0</v>
      </c>
      <c r="H247" s="228">
        <v>0</v>
      </c>
      <c r="I247" s="28">
        <f>[1]!Table32[[#This Row],[Residential CLM $ Collected]]/'[1]1.) CLM Reference'!$B$4</f>
        <v>0</v>
      </c>
      <c r="J247" s="228">
        <v>0</v>
      </c>
      <c r="K247" s="28">
        <f>[1]!Table32[[#This Row],[Residential Incentive Disbursements]]/'[1]1.) CLM Reference'!$B$5</f>
        <v>0</v>
      </c>
      <c r="L247" s="228">
        <v>0.94716299999999998</v>
      </c>
      <c r="M247" s="28">
        <f>[1]!Table32[[#This Row],[C&amp;I CLM $ Collected]]/'[1]1.) CLM Reference'!$B$4</f>
        <v>1.0196562298073918E-8</v>
      </c>
      <c r="N247" s="228">
        <v>0</v>
      </c>
      <c r="O247" s="171">
        <f>[1]!Table32[[#This Row],[C&amp;I Incentive Disbursements]]/'[1]1.) CLM Reference'!$B$5</f>
        <v>0</v>
      </c>
    </row>
    <row r="248" spans="1:17" x14ac:dyDescent="0.2">
      <c r="A248" t="s">
        <v>2858</v>
      </c>
      <c r="B248" s="169">
        <v>9011690300</v>
      </c>
      <c r="C248" t="s">
        <v>944</v>
      </c>
      <c r="D248" s="170">
        <f>[1]!Table32[[#This Row],[Residential CLM $ Collected]]+[1]!Table32[[#This Row],[C&amp;I CLM $ Collected]]</f>
        <v>0</v>
      </c>
      <c r="E248" s="28">
        <f>[1]!Table32[[#This Row],[CLM $ Collected ]]/'[1]1.) CLM Reference'!$B$4</f>
        <v>0</v>
      </c>
      <c r="F248" s="29">
        <f>[1]!Table32[[#This Row],[Residential Incentive Disbursements]]+[1]!Table32[[#This Row],[C&amp;I Incentive Disbursements]]</f>
        <v>10932</v>
      </c>
      <c r="G248" s="28">
        <f>[1]!Table32[[#This Row],[Incentive Disbursements]]/'[1]1.) CLM Reference'!$B$5</f>
        <v>8.7774573232205102E-5</v>
      </c>
      <c r="H248" s="228">
        <v>0</v>
      </c>
      <c r="I248" s="28">
        <f>[1]!Table32[[#This Row],[Residential CLM $ Collected]]/'[1]1.) CLM Reference'!$B$4</f>
        <v>0</v>
      </c>
      <c r="J248" s="228">
        <v>0</v>
      </c>
      <c r="K248" s="28">
        <f>[1]!Table32[[#This Row],[Residential Incentive Disbursements]]/'[1]1.) CLM Reference'!$B$5</f>
        <v>0</v>
      </c>
      <c r="L248" s="228">
        <v>0</v>
      </c>
      <c r="M248" s="28">
        <f>[1]!Table32[[#This Row],[C&amp;I CLM $ Collected]]/'[1]1.) CLM Reference'!$B$4</f>
        <v>0</v>
      </c>
      <c r="N248" s="228">
        <v>10932</v>
      </c>
      <c r="O248" s="171">
        <f>[1]!Table32[[#This Row],[C&amp;I Incentive Disbursements]]/'[1]1.) CLM Reference'!$B$5</f>
        <v>8.7774573232205102E-5</v>
      </c>
    </row>
    <row r="249" spans="1:17" x14ac:dyDescent="0.2">
      <c r="A249" t="s">
        <v>2858</v>
      </c>
      <c r="B249" s="169">
        <v>9011693300</v>
      </c>
      <c r="C249" t="s">
        <v>944</v>
      </c>
      <c r="D249" s="170">
        <f>[1]!Table32[[#This Row],[Residential CLM $ Collected]]+[1]!Table32[[#This Row],[C&amp;I CLM $ Collected]]</f>
        <v>275626.98372300004</v>
      </c>
      <c r="E249" s="28">
        <f>[1]!Table32[[#This Row],[CLM $ Collected ]]/'[1]1.) CLM Reference'!$B$4</f>
        <v>2.9672270882221707E-3</v>
      </c>
      <c r="F249" s="29">
        <f>[1]!Table32[[#This Row],[Residential Incentive Disbursements]]+[1]!Table32[[#This Row],[C&amp;I Incentive Disbursements]]</f>
        <v>342881.52</v>
      </c>
      <c r="G249" s="28">
        <f>[1]!Table32[[#This Row],[Incentive Disbursements]]/'[1]1.) CLM Reference'!$B$5</f>
        <v>2.7530441901948226E-3</v>
      </c>
      <c r="H249" s="228">
        <v>0</v>
      </c>
      <c r="I249" s="28">
        <f>[1]!Table32[[#This Row],[Residential CLM $ Collected]]/'[1]1.) CLM Reference'!$B$4</f>
        <v>0</v>
      </c>
      <c r="J249" s="228">
        <v>0</v>
      </c>
      <c r="K249" s="28">
        <f>[1]!Table32[[#This Row],[Residential Incentive Disbursements]]/'[1]1.) CLM Reference'!$B$5</f>
        <v>0</v>
      </c>
      <c r="L249" s="228">
        <v>275626.98372300004</v>
      </c>
      <c r="M249" s="28">
        <f>[1]!Table32[[#This Row],[C&amp;I CLM $ Collected]]/'[1]1.) CLM Reference'!$B$4</f>
        <v>2.9672270882221707E-3</v>
      </c>
      <c r="N249" s="228">
        <v>342881.52</v>
      </c>
      <c r="O249" s="171">
        <f>[1]!Table32[[#This Row],[C&amp;I Incentive Disbursements]]/'[1]1.) CLM Reference'!$B$5</f>
        <v>2.7530441901948226E-3</v>
      </c>
    </row>
    <row r="250" spans="1:17" x14ac:dyDescent="0.2">
      <c r="A250" t="s">
        <v>2859</v>
      </c>
      <c r="B250" s="169">
        <v>9005342100</v>
      </c>
      <c r="C250" t="s">
        <v>944</v>
      </c>
      <c r="D250" s="170">
        <f>[1]!Table32[[#This Row],[Residential CLM $ Collected]]+[1]!Table32[[#This Row],[C&amp;I CLM $ Collected]]</f>
        <v>0</v>
      </c>
      <c r="E250" s="28">
        <f>[1]!Table32[[#This Row],[CLM $ Collected ]]/'[1]1.) CLM Reference'!$B$4</f>
        <v>0</v>
      </c>
      <c r="F250" s="29">
        <f>[1]!Table32[[#This Row],[Residential Incentive Disbursements]]+[1]!Table32[[#This Row],[C&amp;I Incentive Disbursements]]</f>
        <v>4899</v>
      </c>
      <c r="G250" s="28">
        <f>[1]!Table32[[#This Row],[Incentive Disbursements]]/'[1]1.) CLM Reference'!$B$5</f>
        <v>3.9334763470963485E-5</v>
      </c>
      <c r="H250" s="228">
        <v>0</v>
      </c>
      <c r="I250" s="28">
        <f>[1]!Table32[[#This Row],[Residential CLM $ Collected]]/'[1]1.) CLM Reference'!$B$4</f>
        <v>0</v>
      </c>
      <c r="J250" s="228">
        <v>0</v>
      </c>
      <c r="K250" s="28">
        <f>[1]!Table32[[#This Row],[Residential Incentive Disbursements]]/'[1]1.) CLM Reference'!$B$5</f>
        <v>0</v>
      </c>
      <c r="L250" s="228">
        <v>0</v>
      </c>
      <c r="M250" s="28">
        <f>[1]!Table32[[#This Row],[C&amp;I CLM $ Collected]]/'[1]1.) CLM Reference'!$B$4</f>
        <v>0</v>
      </c>
      <c r="N250" s="228">
        <v>4899</v>
      </c>
      <c r="O250" s="171">
        <f>[1]!Table32[[#This Row],[C&amp;I Incentive Disbursements]]/'[1]1.) CLM Reference'!$B$5</f>
        <v>3.9334763470963485E-5</v>
      </c>
    </row>
    <row r="251" spans="1:17" x14ac:dyDescent="0.2">
      <c r="A251" t="s">
        <v>2859</v>
      </c>
      <c r="B251" s="169">
        <v>9005360300</v>
      </c>
      <c r="C251" t="s">
        <v>944</v>
      </c>
      <c r="D251" s="170">
        <f>[1]!Table32[[#This Row],[Residential CLM $ Collected]]+[1]!Table32[[#This Row],[C&amp;I CLM $ Collected]]</f>
        <v>1.0031909999999999</v>
      </c>
      <c r="E251" s="28">
        <f>[1]!Table32[[#This Row],[CLM $ Collected ]]/'[1]1.) CLM Reference'!$B$4</f>
        <v>1.0799724575777423E-8</v>
      </c>
      <c r="F251" s="29">
        <f>[1]!Table32[[#This Row],[Residential Incentive Disbursements]]+[1]!Table32[[#This Row],[C&amp;I Incentive Disbursements]]</f>
        <v>0</v>
      </c>
      <c r="G251" s="28">
        <f>[1]!Table32[[#This Row],[Incentive Disbursements]]/'[1]1.) CLM Reference'!$B$5</f>
        <v>0</v>
      </c>
      <c r="H251" s="228">
        <v>0</v>
      </c>
      <c r="I251" s="28">
        <f>[1]!Table32[[#This Row],[Residential CLM $ Collected]]/'[1]1.) CLM Reference'!$B$4</f>
        <v>0</v>
      </c>
      <c r="J251" s="228">
        <v>0</v>
      </c>
      <c r="K251" s="28">
        <f>[1]!Table32[[#This Row],[Residential Incentive Disbursements]]/'[1]1.) CLM Reference'!$B$5</f>
        <v>0</v>
      </c>
      <c r="L251" s="228">
        <v>1.0031909999999999</v>
      </c>
      <c r="M251" s="28">
        <f>[1]!Table32[[#This Row],[C&amp;I CLM $ Collected]]/'[1]1.) CLM Reference'!$B$4</f>
        <v>1.0799724575777423E-8</v>
      </c>
      <c r="N251" s="228">
        <v>0</v>
      </c>
      <c r="O251" s="171">
        <f>[1]!Table32[[#This Row],[C&amp;I Incentive Disbursements]]/'[1]1.) CLM Reference'!$B$5</f>
        <v>0</v>
      </c>
    </row>
    <row r="252" spans="1:17" x14ac:dyDescent="0.2">
      <c r="A252" t="s">
        <v>2859</v>
      </c>
      <c r="B252" s="169">
        <v>9005360400</v>
      </c>
      <c r="C252" t="s">
        <v>944</v>
      </c>
      <c r="D252" s="170">
        <f>[1]!Table32[[#This Row],[Residential CLM $ Collected]]+[1]!Table32[[#This Row],[C&amp;I CLM $ Collected]]</f>
        <v>342766.51802399999</v>
      </c>
      <c r="E252" s="28">
        <f>[1]!Table32[[#This Row],[CLM $ Collected ]]/'[1]1.) CLM Reference'!$B$4</f>
        <v>3.6900091691985356E-3</v>
      </c>
      <c r="F252" s="29">
        <f>[1]!Table32[[#This Row],[Residential Incentive Disbursements]]+[1]!Table32[[#This Row],[C&amp;I Incentive Disbursements]]</f>
        <v>121526.8</v>
      </c>
      <c r="G252" s="28">
        <f>[1]!Table32[[#This Row],[Incentive Disbursements]]/'[1]1.) CLM Reference'!$B$5</f>
        <v>9.7575585494653709E-4</v>
      </c>
      <c r="H252" s="228">
        <v>0</v>
      </c>
      <c r="I252" s="28">
        <f>[1]!Table32[[#This Row],[Residential CLM $ Collected]]/'[1]1.) CLM Reference'!$B$4</f>
        <v>0</v>
      </c>
      <c r="J252" s="228">
        <v>0</v>
      </c>
      <c r="K252" s="28">
        <f>[1]!Table32[[#This Row],[Residential Incentive Disbursements]]/'[1]1.) CLM Reference'!$B$5</f>
        <v>0</v>
      </c>
      <c r="L252" s="228">
        <v>342766.51802399999</v>
      </c>
      <c r="M252" s="28">
        <f>[1]!Table32[[#This Row],[C&amp;I CLM $ Collected]]/'[1]1.) CLM Reference'!$B$4</f>
        <v>3.6900091691985356E-3</v>
      </c>
      <c r="N252" s="228">
        <v>121526.8</v>
      </c>
      <c r="O252" s="171">
        <f>[1]!Table32[[#This Row],[C&amp;I Incentive Disbursements]]/'[1]1.) CLM Reference'!$B$5</f>
        <v>9.7575585494653709E-4</v>
      </c>
    </row>
    <row r="253" spans="1:17" x14ac:dyDescent="0.2">
      <c r="A253" t="s">
        <v>2860</v>
      </c>
      <c r="B253" s="169">
        <v>9003496200</v>
      </c>
      <c r="C253" t="s">
        <v>944</v>
      </c>
      <c r="D253" s="170">
        <f>[1]!Table32[[#This Row],[Residential CLM $ Collected]]+[1]!Table32[[#This Row],[C&amp;I CLM $ Collected]]</f>
        <v>0.63949200000000006</v>
      </c>
      <c r="E253" s="28">
        <f>[1]!Table32[[#This Row],[CLM $ Collected ]]/'[1]1.) CLM Reference'!$B$4</f>
        <v>6.884369445512427E-9</v>
      </c>
      <c r="F253" s="29">
        <f>[1]!Table32[[#This Row],[Residential Incentive Disbursements]]+[1]!Table32[[#This Row],[C&amp;I Incentive Disbursements]]</f>
        <v>0</v>
      </c>
      <c r="G253" s="28">
        <f>[1]!Table32[[#This Row],[Incentive Disbursements]]/'[1]1.) CLM Reference'!$B$5</f>
        <v>0</v>
      </c>
      <c r="H253" s="228">
        <v>0</v>
      </c>
      <c r="I253" s="28">
        <f>[1]!Table32[[#This Row],[Residential CLM $ Collected]]/'[1]1.) CLM Reference'!$B$4</f>
        <v>0</v>
      </c>
      <c r="J253" s="228">
        <v>0</v>
      </c>
      <c r="K253" s="28">
        <f>[1]!Table32[[#This Row],[Residential Incentive Disbursements]]/'[1]1.) CLM Reference'!$B$5</f>
        <v>0</v>
      </c>
      <c r="L253" s="228">
        <v>0.63949200000000006</v>
      </c>
      <c r="M253" s="28">
        <f>[1]!Table32[[#This Row],[C&amp;I CLM $ Collected]]/'[1]1.) CLM Reference'!$B$4</f>
        <v>6.884369445512427E-9</v>
      </c>
      <c r="N253" s="228">
        <v>0</v>
      </c>
      <c r="O253" s="171">
        <f>[1]!Table32[[#This Row],[C&amp;I Incentive Disbursements]]/'[1]1.) CLM Reference'!$B$5</f>
        <v>0</v>
      </c>
    </row>
    <row r="254" spans="1:17" x14ac:dyDescent="0.2">
      <c r="A254" t="s">
        <v>2860</v>
      </c>
      <c r="B254" s="169">
        <v>9003497200</v>
      </c>
      <c r="C254" t="s">
        <v>944</v>
      </c>
      <c r="D254" s="170">
        <f>[1]!Table32[[#This Row],[Residential CLM $ Collected]]+[1]!Table32[[#This Row],[C&amp;I CLM $ Collected]]</f>
        <v>524984.85710999998</v>
      </c>
      <c r="E254" s="28">
        <f>[1]!Table32[[#This Row],[CLM $ Collected ]]/'[1]1.) CLM Reference'!$B$4</f>
        <v>5.6516574244006032E-3</v>
      </c>
      <c r="F254" s="29">
        <f>[1]!Table32[[#This Row],[Residential Incentive Disbursements]]+[1]!Table32[[#This Row],[C&amp;I Incentive Disbursements]]</f>
        <v>1073459.8700000001</v>
      </c>
      <c r="G254" s="28">
        <f>[1]!Table32[[#This Row],[Incentive Disbursements]]/'[1]1.) CLM Reference'!$B$5</f>
        <v>8.6189610291939611E-3</v>
      </c>
      <c r="H254" s="228">
        <v>0</v>
      </c>
      <c r="I254" s="28">
        <f>[1]!Table32[[#This Row],[Residential CLM $ Collected]]/'[1]1.) CLM Reference'!$B$4</f>
        <v>0</v>
      </c>
      <c r="J254" s="228">
        <v>0</v>
      </c>
      <c r="K254" s="28">
        <f>[1]!Table32[[#This Row],[Residential Incentive Disbursements]]/'[1]1.) CLM Reference'!$B$5</f>
        <v>0</v>
      </c>
      <c r="L254" s="228">
        <v>524984.85710999998</v>
      </c>
      <c r="M254" s="28">
        <f>[1]!Table32[[#This Row],[C&amp;I CLM $ Collected]]/'[1]1.) CLM Reference'!$B$4</f>
        <v>5.6516574244006032E-3</v>
      </c>
      <c r="N254" s="228">
        <v>1073459.8700000001</v>
      </c>
      <c r="O254" s="171">
        <f>[1]!Table32[[#This Row],[C&amp;I Incentive Disbursements]]/'[1]1.) CLM Reference'!$B$5</f>
        <v>8.6189610291939611E-3</v>
      </c>
    </row>
    <row r="255" spans="1:17" x14ac:dyDescent="0.2">
      <c r="A255" t="s">
        <v>2861</v>
      </c>
      <c r="B255" s="169">
        <v>9007680100</v>
      </c>
      <c r="C255" t="s">
        <v>944</v>
      </c>
      <c r="D255" s="170">
        <f>[1]!Table32[[#This Row],[Residential CLM $ Collected]]+[1]!Table32[[#This Row],[C&amp;I CLM $ Collected]]</f>
        <v>144898.991496</v>
      </c>
      <c r="E255" s="28">
        <f>[1]!Table32[[#This Row],[CLM $ Collected ]]/'[1]1.) CLM Reference'!$B$4</f>
        <v>1.5598915854156538E-3</v>
      </c>
      <c r="F255" s="29">
        <f>[1]!Table32[[#This Row],[Residential Incentive Disbursements]]+[1]!Table32[[#This Row],[C&amp;I Incentive Disbursements]]</f>
        <v>180223.12</v>
      </c>
      <c r="G255" s="28">
        <f>[1]!Table32[[#This Row],[Incentive Disbursements]]/'[1]1.) CLM Reference'!$B$5</f>
        <v>1.4470369049191811E-3</v>
      </c>
      <c r="H255" s="228">
        <v>0</v>
      </c>
      <c r="I255" s="28">
        <f>[1]!Table32[[#This Row],[Residential CLM $ Collected]]/'[1]1.) CLM Reference'!$B$4</f>
        <v>0</v>
      </c>
      <c r="J255" s="228">
        <v>0</v>
      </c>
      <c r="K255" s="28">
        <f>[1]!Table32[[#This Row],[Residential Incentive Disbursements]]/'[1]1.) CLM Reference'!$B$5</f>
        <v>0</v>
      </c>
      <c r="L255" s="228">
        <v>144898.991496</v>
      </c>
      <c r="M255" s="28">
        <f>[1]!Table32[[#This Row],[C&amp;I CLM $ Collected]]/'[1]1.) CLM Reference'!$B$4</f>
        <v>1.5598915854156538E-3</v>
      </c>
      <c r="N255" s="228">
        <v>180223.12</v>
      </c>
      <c r="O255" s="171">
        <f>[1]!Table32[[#This Row],[C&amp;I Incentive Disbursements]]/'[1]1.) CLM Reference'!$B$5</f>
        <v>1.4470369049191811E-3</v>
      </c>
    </row>
    <row r="256" spans="1:17" x14ac:dyDescent="0.2">
      <c r="A256" t="s">
        <v>2862</v>
      </c>
      <c r="B256" s="169">
        <v>9001055100</v>
      </c>
      <c r="C256" t="s">
        <v>944</v>
      </c>
      <c r="D256" s="170">
        <f>[1]!Table32[[#This Row],[Residential CLM $ Collected]]+[1]!Table32[[#This Row],[C&amp;I CLM $ Collected]]</f>
        <v>25878.503889</v>
      </c>
      <c r="E256" s="28">
        <f>[1]!Table32[[#This Row],[CLM $ Collected ]]/'[1]1.) CLM Reference'!$B$4</f>
        <v>2.7859172822960424E-4</v>
      </c>
      <c r="F256" s="29">
        <f>[1]!Table32[[#This Row],[Residential Incentive Disbursements]]+[1]!Table32[[#This Row],[C&amp;I Incentive Disbursements]]</f>
        <v>2499.84</v>
      </c>
      <c r="G256" s="28">
        <f>[1]!Table32[[#This Row],[Incentive Disbursements]]/'[1]1.) CLM Reference'!$B$5</f>
        <v>2.0071568711013139E-5</v>
      </c>
      <c r="H256" s="228">
        <v>0</v>
      </c>
      <c r="I256" s="28">
        <f>[1]!Table32[[#This Row],[Residential CLM $ Collected]]/'[1]1.) CLM Reference'!$B$4</f>
        <v>0</v>
      </c>
      <c r="J256" s="228">
        <v>0</v>
      </c>
      <c r="K256" s="28">
        <f>[1]!Table32[[#This Row],[Residential Incentive Disbursements]]/'[1]1.) CLM Reference'!$B$5</f>
        <v>0</v>
      </c>
      <c r="L256" s="228">
        <v>25878.503889</v>
      </c>
      <c r="M256" s="28">
        <f>[1]!Table32[[#This Row],[C&amp;I CLM $ Collected]]/'[1]1.) CLM Reference'!$B$4</f>
        <v>2.7859172822960424E-4</v>
      </c>
      <c r="N256" s="228">
        <v>2499.84</v>
      </c>
      <c r="O256" s="171">
        <f>[1]!Table32[[#This Row],[C&amp;I Incentive Disbursements]]/'[1]1.) CLM Reference'!$B$5</f>
        <v>2.0071568711013139E-5</v>
      </c>
    </row>
    <row r="257" spans="1:15" x14ac:dyDescent="0.2">
      <c r="A257" t="s">
        <v>2863</v>
      </c>
      <c r="B257" s="169">
        <v>9001050100</v>
      </c>
      <c r="C257" t="s">
        <v>944</v>
      </c>
      <c r="D257" s="170">
        <f>[1]!Table32[[#This Row],[Residential CLM $ Collected]]+[1]!Table32[[#This Row],[C&amp;I CLM $ Collected]]</f>
        <v>268965.202842</v>
      </c>
      <c r="E257" s="28">
        <f>[1]!Table32[[#This Row],[CLM $ Collected ]]/'[1]1.) CLM Reference'!$B$4</f>
        <v>2.8955105370380187E-3</v>
      </c>
      <c r="F257" s="29">
        <f>[1]!Table32[[#This Row],[Residential Incentive Disbursements]]+[1]!Table32[[#This Row],[C&amp;I Incentive Disbursements]]</f>
        <v>80646.259999999995</v>
      </c>
      <c r="G257" s="28">
        <f>[1]!Table32[[#This Row],[Incentive Disbursements]]/'[1]1.) CLM Reference'!$B$5</f>
        <v>6.4752022084462618E-4</v>
      </c>
      <c r="H257" s="228">
        <v>0</v>
      </c>
      <c r="I257" s="28">
        <f>[1]!Table32[[#This Row],[Residential CLM $ Collected]]/'[1]1.) CLM Reference'!$B$4</f>
        <v>0</v>
      </c>
      <c r="J257" s="228">
        <v>0</v>
      </c>
      <c r="K257" s="28">
        <f>[1]!Table32[[#This Row],[Residential Incentive Disbursements]]/'[1]1.) CLM Reference'!$B$5</f>
        <v>0</v>
      </c>
      <c r="L257" s="228">
        <v>268965.202842</v>
      </c>
      <c r="M257" s="28">
        <f>[1]!Table32[[#This Row],[C&amp;I CLM $ Collected]]/'[1]1.) CLM Reference'!$B$4</f>
        <v>2.8955105370380187E-3</v>
      </c>
      <c r="N257" s="228">
        <v>80646.259999999995</v>
      </c>
      <c r="O257" s="171">
        <f>[1]!Table32[[#This Row],[C&amp;I Incentive Disbursements]]/'[1]1.) CLM Reference'!$B$5</f>
        <v>6.4752022084462618E-4</v>
      </c>
    </row>
    <row r="258" spans="1:15" x14ac:dyDescent="0.2">
      <c r="A258" t="s">
        <v>2863</v>
      </c>
      <c r="B258" s="169">
        <v>9001050200</v>
      </c>
      <c r="C258" t="s">
        <v>944</v>
      </c>
      <c r="D258" s="170">
        <f>[1]!Table32[[#This Row],[Residential CLM $ Collected]]+[1]!Table32[[#This Row],[C&amp;I CLM $ Collected]]</f>
        <v>18.551546999999999</v>
      </c>
      <c r="E258" s="28">
        <f>[1]!Table32[[#This Row],[CLM $ Collected ]]/'[1]1.) CLM Reference'!$B$4</f>
        <v>1.997143096923616E-7</v>
      </c>
      <c r="F258" s="29">
        <f>[1]!Table32[[#This Row],[Residential Incentive Disbursements]]+[1]!Table32[[#This Row],[C&amp;I Incentive Disbursements]]</f>
        <v>0</v>
      </c>
      <c r="G258" s="28">
        <f>[1]!Table32[[#This Row],[Incentive Disbursements]]/'[1]1.) CLM Reference'!$B$5</f>
        <v>0</v>
      </c>
      <c r="H258" s="228">
        <v>0</v>
      </c>
      <c r="I258" s="28">
        <f>[1]!Table32[[#This Row],[Residential CLM $ Collected]]/'[1]1.) CLM Reference'!$B$4</f>
        <v>0</v>
      </c>
      <c r="J258" s="228">
        <v>0</v>
      </c>
      <c r="K258" s="28">
        <f>[1]!Table32[[#This Row],[Residential Incentive Disbursements]]/'[1]1.) CLM Reference'!$B$5</f>
        <v>0</v>
      </c>
      <c r="L258" s="228">
        <v>18.551546999999999</v>
      </c>
      <c r="M258" s="28">
        <f>[1]!Table32[[#This Row],[C&amp;I CLM $ Collected]]/'[1]1.) CLM Reference'!$B$4</f>
        <v>1.997143096923616E-7</v>
      </c>
      <c r="N258" s="228">
        <v>0</v>
      </c>
      <c r="O258" s="171">
        <f>[1]!Table32[[#This Row],[C&amp;I Incentive Disbursements]]/'[1]1.) CLM Reference'!$B$5</f>
        <v>0</v>
      </c>
    </row>
    <row r="259" spans="1:15" x14ac:dyDescent="0.2">
      <c r="A259" t="s">
        <v>2863</v>
      </c>
      <c r="B259" s="169">
        <v>9001050300</v>
      </c>
      <c r="C259" t="s">
        <v>944</v>
      </c>
      <c r="D259" s="170">
        <f>[1]!Table32[[#This Row],[Residential CLM $ Collected]]+[1]!Table32[[#This Row],[C&amp;I CLM $ Collected]]</f>
        <v>3318.4032000000002</v>
      </c>
      <c r="E259" s="28">
        <f>[1]!Table32[[#This Row],[CLM $ Collected ]]/'[1]1.) CLM Reference'!$B$4</f>
        <v>3.5723845799432455E-5</v>
      </c>
      <c r="F259" s="29">
        <f>[1]!Table32[[#This Row],[Residential Incentive Disbursements]]+[1]!Table32[[#This Row],[C&amp;I Incentive Disbursements]]</f>
        <v>0</v>
      </c>
      <c r="G259" s="28">
        <f>[1]!Table32[[#This Row],[Incentive Disbursements]]/'[1]1.) CLM Reference'!$B$5</f>
        <v>0</v>
      </c>
      <c r="H259" s="228">
        <v>3318.4032000000002</v>
      </c>
      <c r="I259" s="28">
        <f>[1]!Table32[[#This Row],[Residential CLM $ Collected]]/'[1]1.) CLM Reference'!$B$4</f>
        <v>3.5723845799432455E-5</v>
      </c>
      <c r="J259" s="228">
        <v>0</v>
      </c>
      <c r="K259" s="28">
        <f>[1]!Table32[[#This Row],[Residential Incentive Disbursements]]/'[1]1.) CLM Reference'!$B$5</f>
        <v>0</v>
      </c>
      <c r="L259" s="228">
        <v>0</v>
      </c>
      <c r="M259" s="28">
        <f>[1]!Table32[[#This Row],[C&amp;I CLM $ Collected]]/'[1]1.) CLM Reference'!$B$4</f>
        <v>0</v>
      </c>
      <c r="N259" s="228">
        <v>0</v>
      </c>
      <c r="O259" s="171">
        <f>[1]!Table32[[#This Row],[C&amp;I Incentive Disbursements]]/'[1]1.) CLM Reference'!$B$5</f>
        <v>0</v>
      </c>
    </row>
    <row r="260" spans="1:15" x14ac:dyDescent="0.2">
      <c r="A260" t="s">
        <v>2864</v>
      </c>
      <c r="B260" s="169">
        <v>9003492400</v>
      </c>
      <c r="C260" t="s">
        <v>944</v>
      </c>
      <c r="D260" s="170">
        <f>[1]!Table32[[#This Row],[Residential CLM $ Collected]]+[1]!Table32[[#This Row],[C&amp;I CLM $ Collected]]</f>
        <v>157938.72410399999</v>
      </c>
      <c r="E260" s="28">
        <f>[1]!Table32[[#This Row],[CLM $ Collected ]]/'[1]1.) CLM Reference'!$B$4</f>
        <v>1.7002691612792568E-3</v>
      </c>
      <c r="F260" s="29">
        <f>[1]!Table32[[#This Row],[Residential Incentive Disbursements]]+[1]!Table32[[#This Row],[C&amp;I Incentive Disbursements]]</f>
        <v>207246.48</v>
      </c>
      <c r="G260" s="28">
        <f>[1]!Table32[[#This Row],[Incentive Disbursements]]/'[1]1.) CLM Reference'!$B$5</f>
        <v>1.6640112820962981E-3</v>
      </c>
      <c r="H260" s="228">
        <v>0</v>
      </c>
      <c r="I260" s="28">
        <f>[1]!Table32[[#This Row],[Residential CLM $ Collected]]/'[1]1.) CLM Reference'!$B$4</f>
        <v>0</v>
      </c>
      <c r="J260" s="228">
        <v>0</v>
      </c>
      <c r="K260" s="28">
        <f>[1]!Table32[[#This Row],[Residential Incentive Disbursements]]/'[1]1.) CLM Reference'!$B$5</f>
        <v>0</v>
      </c>
      <c r="L260" s="228">
        <v>157938.72410399999</v>
      </c>
      <c r="M260" s="28">
        <f>[1]!Table32[[#This Row],[C&amp;I CLM $ Collected]]/'[1]1.) CLM Reference'!$B$4</f>
        <v>1.7002691612792568E-3</v>
      </c>
      <c r="N260" s="228">
        <v>207246.48</v>
      </c>
      <c r="O260" s="171">
        <f>[1]!Table32[[#This Row],[C&amp;I Incentive Disbursements]]/'[1]1.) CLM Reference'!$B$5</f>
        <v>1.6640112820962981E-3</v>
      </c>
    </row>
    <row r="261" spans="1:15" x14ac:dyDescent="0.2">
      <c r="A261" t="s">
        <v>2864</v>
      </c>
      <c r="B261" s="169">
        <v>9003492500</v>
      </c>
      <c r="C261" t="s">
        <v>944</v>
      </c>
      <c r="D261" s="170">
        <f>[1]!Table32[[#This Row],[Residential CLM $ Collected]]+[1]!Table32[[#This Row],[C&amp;I CLM $ Collected]]</f>
        <v>13.558292999999999</v>
      </c>
      <c r="E261" s="28">
        <f>[1]!Table32[[#This Row],[CLM $ Collected ]]/'[1]1.) CLM Reference'!$B$4</f>
        <v>1.4596007152944055E-7</v>
      </c>
      <c r="F261" s="29">
        <f>[1]!Table32[[#This Row],[Residential Incentive Disbursements]]+[1]!Table32[[#This Row],[C&amp;I Incentive Disbursements]]</f>
        <v>0</v>
      </c>
      <c r="G261" s="28">
        <f>[1]!Table32[[#This Row],[Incentive Disbursements]]/'[1]1.) CLM Reference'!$B$5</f>
        <v>0</v>
      </c>
      <c r="H261" s="228">
        <v>0</v>
      </c>
      <c r="I261" s="28">
        <f>[1]!Table32[[#This Row],[Residential CLM $ Collected]]/'[1]1.) CLM Reference'!$B$4</f>
        <v>0</v>
      </c>
      <c r="J261" s="228">
        <v>0</v>
      </c>
      <c r="K261" s="28">
        <f>[1]!Table32[[#This Row],[Residential Incentive Disbursements]]/'[1]1.) CLM Reference'!$B$5</f>
        <v>0</v>
      </c>
      <c r="L261" s="228">
        <v>13.558292999999999</v>
      </c>
      <c r="M261" s="28">
        <f>[1]!Table32[[#This Row],[C&amp;I CLM $ Collected]]/'[1]1.) CLM Reference'!$B$4</f>
        <v>1.4596007152944055E-7</v>
      </c>
      <c r="N261" s="228">
        <v>0</v>
      </c>
      <c r="O261" s="171">
        <f>[1]!Table32[[#This Row],[C&amp;I Incentive Disbursements]]/'[1]1.) CLM Reference'!$B$5</f>
        <v>0</v>
      </c>
    </row>
    <row r="262" spans="1:15" x14ac:dyDescent="0.2">
      <c r="A262" t="s">
        <v>2865</v>
      </c>
      <c r="B262" s="169">
        <v>9013840100</v>
      </c>
      <c r="C262" t="s">
        <v>944</v>
      </c>
      <c r="D262" s="170">
        <f>[1]!Table32[[#This Row],[Residential CLM $ Collected]]+[1]!Table32[[#This Row],[C&amp;I CLM $ Collected]]</f>
        <v>40342.199226000004</v>
      </c>
      <c r="E262" s="28">
        <f>[1]!Table32[[#This Row],[CLM $ Collected ]]/'[1]1.) CLM Reference'!$B$4</f>
        <v>4.3429879297356258E-4</v>
      </c>
      <c r="F262" s="29">
        <f>[1]!Table32[[#This Row],[Residential Incentive Disbursements]]+[1]!Table32[[#This Row],[C&amp;I Incentive Disbursements]]</f>
        <v>7284</v>
      </c>
      <c r="G262" s="28">
        <f>[1]!Table32[[#This Row],[Incentive Disbursements]]/'[1]1.) CLM Reference'!$B$5</f>
        <v>5.8484265589405595E-5</v>
      </c>
      <c r="H262" s="228">
        <v>0</v>
      </c>
      <c r="I262" s="28">
        <f>[1]!Table32[[#This Row],[Residential CLM $ Collected]]/'[1]1.) CLM Reference'!$B$4</f>
        <v>0</v>
      </c>
      <c r="J262" s="228">
        <v>0</v>
      </c>
      <c r="K262" s="28">
        <f>[1]!Table32[[#This Row],[Residential Incentive Disbursements]]/'[1]1.) CLM Reference'!$B$5</f>
        <v>0</v>
      </c>
      <c r="L262" s="228">
        <v>40342.199226000004</v>
      </c>
      <c r="M262" s="28">
        <f>[1]!Table32[[#This Row],[C&amp;I CLM $ Collected]]/'[1]1.) CLM Reference'!$B$4</f>
        <v>4.3429879297356258E-4</v>
      </c>
      <c r="N262" s="228">
        <v>7284</v>
      </c>
      <c r="O262" s="171">
        <f>[1]!Table32[[#This Row],[C&amp;I Incentive Disbursements]]/'[1]1.) CLM Reference'!$B$5</f>
        <v>5.8484265589405595E-5</v>
      </c>
    </row>
    <row r="263" spans="1:15" x14ac:dyDescent="0.2">
      <c r="A263" t="s">
        <v>2866</v>
      </c>
      <c r="B263" s="169">
        <v>9001045400</v>
      </c>
      <c r="C263" t="s">
        <v>944</v>
      </c>
      <c r="D263" s="170">
        <f>[1]!Table32[[#This Row],[Residential CLM $ Collected]]+[1]!Table32[[#This Row],[C&amp;I CLM $ Collected]]</f>
        <v>366684.32108700008</v>
      </c>
      <c r="E263" s="28">
        <f>[1]!Table32[[#This Row],[CLM $ Collected ]]/'[1]1.) CLM Reference'!$B$4</f>
        <v>3.9474932231205566E-3</v>
      </c>
      <c r="F263" s="29">
        <f>[1]!Table32[[#This Row],[Residential Incentive Disbursements]]+[1]!Table32[[#This Row],[C&amp;I Incentive Disbursements]]</f>
        <v>119853.34</v>
      </c>
      <c r="G263" s="28">
        <f>[1]!Table32[[#This Row],[Incentive Disbursements]]/'[1]1.) CLM Reference'!$B$5</f>
        <v>9.6231940806388379E-4</v>
      </c>
      <c r="H263" s="228">
        <v>1915.13364</v>
      </c>
      <c r="I263" s="28">
        <f>[1]!Table32[[#This Row],[Residential CLM $ Collected]]/'[1]1.) CLM Reference'!$B$4</f>
        <v>2.0617126586867378E-5</v>
      </c>
      <c r="J263" s="228">
        <v>0</v>
      </c>
      <c r="K263" s="28">
        <f>[1]!Table32[[#This Row],[Residential Incentive Disbursements]]/'[1]1.) CLM Reference'!$B$5</f>
        <v>0</v>
      </c>
      <c r="L263" s="228">
        <v>364769.18744700006</v>
      </c>
      <c r="M263" s="28">
        <f>[1]!Table32[[#This Row],[C&amp;I CLM $ Collected]]/'[1]1.) CLM Reference'!$B$4</f>
        <v>3.9268760965336892E-3</v>
      </c>
      <c r="N263" s="228">
        <v>119853.34</v>
      </c>
      <c r="O263" s="171">
        <f>[1]!Table32[[#This Row],[C&amp;I Incentive Disbursements]]/'[1]1.) CLM Reference'!$B$5</f>
        <v>9.6231940806388379E-4</v>
      </c>
    </row>
    <row r="264" spans="1:15" x14ac:dyDescent="0.2">
      <c r="A264" t="s">
        <v>2867</v>
      </c>
      <c r="B264" s="169">
        <v>9005290100</v>
      </c>
      <c r="C264" t="s">
        <v>944</v>
      </c>
      <c r="D264" s="170">
        <f>[1]!Table32[[#This Row],[Residential CLM $ Collected]]+[1]!Table32[[#This Row],[C&amp;I CLM $ Collected]]</f>
        <v>0</v>
      </c>
      <c r="E264" s="28">
        <f>[1]!Table32[[#This Row],[CLM $ Collected ]]/'[1]1.) CLM Reference'!$B$4</f>
        <v>0</v>
      </c>
      <c r="F264" s="29">
        <f>[1]!Table32[[#This Row],[Residential Incentive Disbursements]]+[1]!Table32[[#This Row],[C&amp;I Incentive Disbursements]]</f>
        <v>10369.040000000001</v>
      </c>
      <c r="G264" s="28">
        <f>[1]!Table32[[#This Row],[Incentive Disbursements]]/'[1]1.) CLM Reference'!$B$5</f>
        <v>8.3254487818117836E-5</v>
      </c>
      <c r="H264" s="228">
        <v>0</v>
      </c>
      <c r="I264" s="28">
        <f>[1]!Table32[[#This Row],[Residential CLM $ Collected]]/'[1]1.) CLM Reference'!$B$4</f>
        <v>0</v>
      </c>
      <c r="J264" s="228">
        <v>0</v>
      </c>
      <c r="K264" s="28">
        <f>[1]!Table32[[#This Row],[Residential Incentive Disbursements]]/'[1]1.) CLM Reference'!$B$5</f>
        <v>0</v>
      </c>
      <c r="L264" s="228">
        <v>0</v>
      </c>
      <c r="M264" s="28">
        <f>[1]!Table32[[#This Row],[C&amp;I CLM $ Collected]]/'[1]1.) CLM Reference'!$B$4</f>
        <v>0</v>
      </c>
      <c r="N264" s="228">
        <v>10369.040000000001</v>
      </c>
      <c r="O264" s="171">
        <f>[1]!Table32[[#This Row],[C&amp;I Incentive Disbursements]]/'[1]1.) CLM Reference'!$B$5</f>
        <v>8.3254487818117836E-5</v>
      </c>
    </row>
    <row r="265" spans="1:15" x14ac:dyDescent="0.2">
      <c r="A265" t="s">
        <v>2867</v>
      </c>
      <c r="B265" s="169">
        <v>9005320100</v>
      </c>
      <c r="C265" t="s">
        <v>944</v>
      </c>
      <c r="D265" s="170">
        <f>[1]!Table32[[#This Row],[Residential CLM $ Collected]]+[1]!Table32[[#This Row],[C&amp;I CLM $ Collected]]</f>
        <v>110624.693256</v>
      </c>
      <c r="E265" s="28">
        <f>[1]!Table32[[#This Row],[CLM $ Collected ]]/'[1]1.) CLM Reference'!$B$4</f>
        <v>1.1909160054712035E-3</v>
      </c>
      <c r="F265" s="29">
        <f>[1]!Table32[[#This Row],[Residential Incentive Disbursements]]+[1]!Table32[[#This Row],[C&amp;I Incentive Disbursements]]</f>
        <v>12786</v>
      </c>
      <c r="G265" s="28">
        <f>[1]!Table32[[#This Row],[Incentive Disbursements]]/'[1]1.) CLM Reference'!$B$5</f>
        <v>1.0266060129408841E-4</v>
      </c>
      <c r="H265" s="228">
        <v>0</v>
      </c>
      <c r="I265" s="28">
        <f>[1]!Table32[[#This Row],[Residential CLM $ Collected]]/'[1]1.) CLM Reference'!$B$4</f>
        <v>0</v>
      </c>
      <c r="J265" s="228">
        <v>0</v>
      </c>
      <c r="K265" s="28">
        <f>[1]!Table32[[#This Row],[Residential Incentive Disbursements]]/'[1]1.) CLM Reference'!$B$5</f>
        <v>0</v>
      </c>
      <c r="L265" s="228">
        <v>110624.693256</v>
      </c>
      <c r="M265" s="28">
        <f>[1]!Table32[[#This Row],[C&amp;I CLM $ Collected]]/'[1]1.) CLM Reference'!$B$4</f>
        <v>1.1909160054712035E-3</v>
      </c>
      <c r="N265" s="228">
        <v>12786</v>
      </c>
      <c r="O265" s="171">
        <f>[1]!Table32[[#This Row],[C&amp;I Incentive Disbursements]]/'[1]1.) CLM Reference'!$B$5</f>
        <v>1.0266060129408841E-4</v>
      </c>
    </row>
    <row r="266" spans="1:15" x14ac:dyDescent="0.2">
      <c r="A266" t="s">
        <v>2867</v>
      </c>
      <c r="B266" s="169">
        <v>9005320200</v>
      </c>
      <c r="C266" t="s">
        <v>944</v>
      </c>
      <c r="D266" s="170">
        <f>[1]!Table32[[#This Row],[Residential CLM $ Collected]]+[1]!Table32[[#This Row],[C&amp;I CLM $ Collected]]</f>
        <v>1.6644180000000002</v>
      </c>
      <c r="E266" s="28">
        <f>[1]!Table32[[#This Row],[CLM $ Collected ]]/'[1]1.) CLM Reference'!$B$4</f>
        <v>1.7918079387640351E-8</v>
      </c>
      <c r="F266" s="29">
        <f>[1]!Table32[[#This Row],[Residential Incentive Disbursements]]+[1]!Table32[[#This Row],[C&amp;I Incentive Disbursements]]</f>
        <v>0</v>
      </c>
      <c r="G266" s="28">
        <f>[1]!Table32[[#This Row],[Incentive Disbursements]]/'[1]1.) CLM Reference'!$B$5</f>
        <v>0</v>
      </c>
      <c r="H266" s="228">
        <v>0</v>
      </c>
      <c r="I266" s="28">
        <f>[1]!Table32[[#This Row],[Residential CLM $ Collected]]/'[1]1.) CLM Reference'!$B$4</f>
        <v>0</v>
      </c>
      <c r="J266" s="228">
        <v>0</v>
      </c>
      <c r="K266" s="28">
        <f>[1]!Table32[[#This Row],[Residential Incentive Disbursements]]/'[1]1.) CLM Reference'!$B$5</f>
        <v>0</v>
      </c>
      <c r="L266" s="228">
        <v>1.6644180000000002</v>
      </c>
      <c r="M266" s="28">
        <f>[1]!Table32[[#This Row],[C&amp;I CLM $ Collected]]/'[1]1.) CLM Reference'!$B$4</f>
        <v>1.7918079387640351E-8</v>
      </c>
      <c r="N266" s="228">
        <v>0</v>
      </c>
      <c r="O266" s="171">
        <f>[1]!Table32[[#This Row],[C&amp;I Incentive Disbursements]]/'[1]1.) CLM Reference'!$B$5</f>
        <v>0</v>
      </c>
    </row>
    <row r="267" spans="1:15" x14ac:dyDescent="0.2">
      <c r="A267" t="s">
        <v>2868</v>
      </c>
      <c r="B267" s="169">
        <v>9013881500</v>
      </c>
      <c r="C267" t="s">
        <v>944</v>
      </c>
      <c r="D267" s="170">
        <f>[1]!Table32[[#This Row],[Residential CLM $ Collected]]+[1]!Table32[[#This Row],[C&amp;I CLM $ Collected]]</f>
        <v>0</v>
      </c>
      <c r="E267" s="28">
        <f>[1]!Table32[[#This Row],[CLM $ Collected ]]/'[1]1.) CLM Reference'!$B$4</f>
        <v>0</v>
      </c>
      <c r="F267" s="29">
        <f>[1]!Table32[[#This Row],[Residential Incentive Disbursements]]+[1]!Table32[[#This Row],[C&amp;I Incentive Disbursements]]</f>
        <v>100571.21</v>
      </c>
      <c r="G267" s="28">
        <f>[1]!Table32[[#This Row],[Incentive Disbursements]]/'[1]1.) CLM Reference'!$B$5</f>
        <v>8.0750046077538232E-4</v>
      </c>
      <c r="H267" s="228">
        <v>0</v>
      </c>
      <c r="I267" s="28">
        <f>[1]!Table32[[#This Row],[Residential CLM $ Collected]]/'[1]1.) CLM Reference'!$B$4</f>
        <v>0</v>
      </c>
      <c r="J267" s="228">
        <v>0</v>
      </c>
      <c r="K267" s="28">
        <f>[1]!Table32[[#This Row],[Residential Incentive Disbursements]]/'[1]1.) CLM Reference'!$B$5</f>
        <v>0</v>
      </c>
      <c r="L267" s="228">
        <v>0</v>
      </c>
      <c r="M267" s="28">
        <f>[1]!Table32[[#This Row],[C&amp;I CLM $ Collected]]/'[1]1.) CLM Reference'!$B$4</f>
        <v>0</v>
      </c>
      <c r="N267" s="228">
        <v>100571.21</v>
      </c>
      <c r="O267" s="171">
        <f>[1]!Table32[[#This Row],[C&amp;I Incentive Disbursements]]/'[1]1.) CLM Reference'!$B$5</f>
        <v>8.0750046077538232E-4</v>
      </c>
    </row>
    <row r="268" spans="1:15" x14ac:dyDescent="0.2">
      <c r="A268" t="s">
        <v>2868</v>
      </c>
      <c r="B268" s="169">
        <v>9015800600</v>
      </c>
      <c r="C268" t="s">
        <v>944</v>
      </c>
      <c r="D268" s="170">
        <f>[1]!Table32[[#This Row],[Residential CLM $ Collected]]+[1]!Table32[[#This Row],[C&amp;I CLM $ Collected]]</f>
        <v>293699.73185699998</v>
      </c>
      <c r="E268" s="28">
        <f>[1]!Table32[[#This Row],[CLM $ Collected ]]/'[1]1.) CLM Reference'!$B$4</f>
        <v>3.1617869498782205E-3</v>
      </c>
      <c r="F268" s="29">
        <f>[1]!Table32[[#This Row],[Residential Incentive Disbursements]]+[1]!Table32[[#This Row],[C&amp;I Incentive Disbursements]]</f>
        <v>34041.699999999997</v>
      </c>
      <c r="G268" s="28">
        <f>[1]!Table32[[#This Row],[Incentive Disbursements]]/'[1]1.) CLM Reference'!$B$5</f>
        <v>2.7332562107562717E-4</v>
      </c>
      <c r="H268" s="228">
        <v>0</v>
      </c>
      <c r="I268" s="28">
        <f>[1]!Table32[[#This Row],[Residential CLM $ Collected]]/'[1]1.) CLM Reference'!$B$4</f>
        <v>0</v>
      </c>
      <c r="J268" s="228">
        <v>0</v>
      </c>
      <c r="K268" s="28">
        <f>[1]!Table32[[#This Row],[Residential Incentive Disbursements]]/'[1]1.) CLM Reference'!$B$5</f>
        <v>0</v>
      </c>
      <c r="L268" s="228">
        <v>293699.73185699998</v>
      </c>
      <c r="M268" s="28">
        <f>[1]!Table32[[#This Row],[C&amp;I CLM $ Collected]]/'[1]1.) CLM Reference'!$B$4</f>
        <v>3.1617869498782205E-3</v>
      </c>
      <c r="N268" s="228">
        <v>34041.699999999997</v>
      </c>
      <c r="O268" s="171">
        <f>[1]!Table32[[#This Row],[C&amp;I Incentive Disbursements]]/'[1]1.) CLM Reference'!$B$5</f>
        <v>2.7332562107562717E-4</v>
      </c>
    </row>
    <row r="269" spans="1:15" x14ac:dyDescent="0.2">
      <c r="A269" t="s">
        <v>2868</v>
      </c>
      <c r="B269" s="169">
        <v>9015800700</v>
      </c>
      <c r="C269" t="s">
        <v>944</v>
      </c>
      <c r="D269" s="170">
        <f>[1]!Table32[[#This Row],[Residential CLM $ Collected]]+[1]!Table32[[#This Row],[C&amp;I CLM $ Collected]]</f>
        <v>2.79657</v>
      </c>
      <c r="E269" s="28">
        <f>[1]!Table32[[#This Row],[CLM $ Collected ]]/'[1]1.) CLM Reference'!$B$4</f>
        <v>3.010611713709739E-8</v>
      </c>
      <c r="F269" s="29">
        <f>[1]!Table32[[#This Row],[Residential Incentive Disbursements]]+[1]!Table32[[#This Row],[C&amp;I Incentive Disbursements]]</f>
        <v>0</v>
      </c>
      <c r="G269" s="28">
        <f>[1]!Table32[[#This Row],[Incentive Disbursements]]/'[1]1.) CLM Reference'!$B$5</f>
        <v>0</v>
      </c>
      <c r="H269" s="228">
        <v>0</v>
      </c>
      <c r="I269" s="28">
        <f>[1]!Table32[[#This Row],[Residential CLM $ Collected]]/'[1]1.) CLM Reference'!$B$4</f>
        <v>0</v>
      </c>
      <c r="J269" s="228">
        <v>0</v>
      </c>
      <c r="K269" s="28">
        <f>[1]!Table32[[#This Row],[Residential Incentive Disbursements]]/'[1]1.) CLM Reference'!$B$5</f>
        <v>0</v>
      </c>
      <c r="L269" s="228">
        <v>2.79657</v>
      </c>
      <c r="M269" s="28">
        <f>[1]!Table32[[#This Row],[C&amp;I CLM $ Collected]]/'[1]1.) CLM Reference'!$B$4</f>
        <v>3.010611713709739E-8</v>
      </c>
      <c r="N269" s="228">
        <v>0</v>
      </c>
      <c r="O269" s="171">
        <f>[1]!Table32[[#This Row],[C&amp;I Incentive Disbursements]]/'[1]1.) CLM Reference'!$B$5</f>
        <v>0</v>
      </c>
    </row>
    <row r="270" spans="1:15" x14ac:dyDescent="0.2">
      <c r="A270" t="s">
        <v>2869</v>
      </c>
      <c r="B270" s="169">
        <v>9003473501</v>
      </c>
      <c r="C270" t="s">
        <v>944</v>
      </c>
      <c r="D270" s="170">
        <f>[1]!Table32[[#This Row],[Residential CLM $ Collected]]+[1]!Table32[[#This Row],[C&amp;I CLM $ Collected]]</f>
        <v>3.8171489999999997</v>
      </c>
      <c r="E270" s="28">
        <f>[1]!Table32[[#This Row],[CLM $ Collected ]]/'[1]1.) CLM Reference'!$B$4</f>
        <v>4.109303000595521E-8</v>
      </c>
      <c r="F270" s="29">
        <f>[1]!Table32[[#This Row],[Residential Incentive Disbursements]]+[1]!Table32[[#This Row],[C&amp;I Incentive Disbursements]]</f>
        <v>0</v>
      </c>
      <c r="G270" s="28">
        <f>[1]!Table32[[#This Row],[Incentive Disbursements]]/'[1]1.) CLM Reference'!$B$5</f>
        <v>0</v>
      </c>
      <c r="H270" s="228">
        <v>0</v>
      </c>
      <c r="I270" s="28">
        <f>[1]!Table32[[#This Row],[Residential CLM $ Collected]]/'[1]1.) CLM Reference'!$B$4</f>
        <v>0</v>
      </c>
      <c r="J270" s="228">
        <v>0</v>
      </c>
      <c r="K270" s="28">
        <f>[1]!Table32[[#This Row],[Residential Incentive Disbursements]]/'[1]1.) CLM Reference'!$B$5</f>
        <v>0</v>
      </c>
      <c r="L270" s="228">
        <v>3.8171489999999997</v>
      </c>
      <c r="M270" s="28">
        <f>[1]!Table32[[#This Row],[C&amp;I CLM $ Collected]]/'[1]1.) CLM Reference'!$B$4</f>
        <v>4.109303000595521E-8</v>
      </c>
      <c r="N270" s="228">
        <v>0</v>
      </c>
      <c r="O270" s="171">
        <f>[1]!Table32[[#This Row],[C&amp;I Incentive Disbursements]]/'[1]1.) CLM Reference'!$B$5</f>
        <v>0</v>
      </c>
    </row>
    <row r="271" spans="1:15" x14ac:dyDescent="0.2">
      <c r="A271" t="s">
        <v>2869</v>
      </c>
      <c r="B271" s="169">
        <v>9003473601</v>
      </c>
      <c r="C271" t="s">
        <v>944</v>
      </c>
      <c r="D271" s="170">
        <f>[1]!Table32[[#This Row],[Residential CLM $ Collected]]+[1]!Table32[[#This Row],[C&amp;I CLM $ Collected]]</f>
        <v>1723234.1575890002</v>
      </c>
      <c r="E271" s="28">
        <f>[1]!Table32[[#This Row],[CLM $ Collected ]]/'[1]1.) CLM Reference'!$B$4</f>
        <v>1.8551257219744825E-2</v>
      </c>
      <c r="F271" s="29">
        <f>[1]!Table32[[#This Row],[Residential Incentive Disbursements]]+[1]!Table32[[#This Row],[C&amp;I Incentive Disbursements]]</f>
        <v>1101603.4080000001</v>
      </c>
      <c r="G271" s="28">
        <f>[1]!Table32[[#This Row],[Incentive Disbursements]]/'[1]1.) CLM Reference'!$B$5</f>
        <v>8.8449294738696237E-3</v>
      </c>
      <c r="H271" s="228">
        <v>0</v>
      </c>
      <c r="I271" s="28">
        <f>[1]!Table32[[#This Row],[Residential CLM $ Collected]]/'[1]1.) CLM Reference'!$B$4</f>
        <v>0</v>
      </c>
      <c r="J271" s="228">
        <v>0</v>
      </c>
      <c r="K271" s="28">
        <f>[1]!Table32[[#This Row],[Residential Incentive Disbursements]]/'[1]1.) CLM Reference'!$B$5</f>
        <v>0</v>
      </c>
      <c r="L271" s="228">
        <v>1723234.1575890002</v>
      </c>
      <c r="M271" s="28">
        <f>[1]!Table32[[#This Row],[C&amp;I CLM $ Collected]]/'[1]1.) CLM Reference'!$B$4</f>
        <v>1.8551257219744825E-2</v>
      </c>
      <c r="N271" s="228">
        <v>1101603.4080000001</v>
      </c>
      <c r="O271" s="171">
        <f>[1]!Table32[[#This Row],[C&amp;I Incentive Disbursements]]/'[1]1.) CLM Reference'!$B$5</f>
        <v>8.8449294738696237E-3</v>
      </c>
    </row>
    <row r="272" spans="1:15" x14ac:dyDescent="0.2">
      <c r="A272" t="s">
        <v>2870</v>
      </c>
      <c r="B272" s="169">
        <v>9003476100</v>
      </c>
      <c r="C272" t="s">
        <v>944</v>
      </c>
      <c r="D272" s="170">
        <f>[1]!Table32[[#This Row],[Residential CLM $ Collected]]+[1]!Table32[[#This Row],[C&amp;I CLM $ Collected]]</f>
        <v>270263.12189100002</v>
      </c>
      <c r="E272" s="28">
        <f>[1]!Table32[[#This Row],[CLM $ Collected ]]/'[1]1.) CLM Reference'!$B$4</f>
        <v>2.9094831187805336E-3</v>
      </c>
      <c r="F272" s="29">
        <f>[1]!Table32[[#This Row],[Residential Incentive Disbursements]]+[1]!Table32[[#This Row],[C&amp;I Incentive Disbursements]]</f>
        <v>390009.61</v>
      </c>
      <c r="G272" s="28">
        <f>[1]!Table32[[#This Row],[Incentive Disbursements]]/'[1]1.) CLM Reference'!$B$5</f>
        <v>3.1314422863344999E-3</v>
      </c>
      <c r="H272" s="228">
        <v>0</v>
      </c>
      <c r="I272" s="28">
        <f>[1]!Table32[[#This Row],[Residential CLM $ Collected]]/'[1]1.) CLM Reference'!$B$4</f>
        <v>0</v>
      </c>
      <c r="J272" s="228">
        <v>0</v>
      </c>
      <c r="K272" s="28">
        <f>[1]!Table32[[#This Row],[Residential Incentive Disbursements]]/'[1]1.) CLM Reference'!$B$5</f>
        <v>0</v>
      </c>
      <c r="L272" s="228">
        <v>270263.12189100002</v>
      </c>
      <c r="M272" s="28">
        <f>[1]!Table32[[#This Row],[C&amp;I CLM $ Collected]]/'[1]1.) CLM Reference'!$B$4</f>
        <v>2.9094831187805336E-3</v>
      </c>
      <c r="N272" s="228">
        <v>390009.61</v>
      </c>
      <c r="O272" s="171">
        <f>[1]!Table32[[#This Row],[C&amp;I Incentive Disbursements]]/'[1]1.) CLM Reference'!$B$5</f>
        <v>3.1314422863344999E-3</v>
      </c>
    </row>
    <row r="273" spans="1:15" x14ac:dyDescent="0.2">
      <c r="A273" t="s">
        <v>2870</v>
      </c>
      <c r="B273" s="169">
        <v>9003476300</v>
      </c>
      <c r="C273" t="s">
        <v>944</v>
      </c>
      <c r="D273" s="170">
        <f>[1]!Table32[[#This Row],[Residential CLM $ Collected]]+[1]!Table32[[#This Row],[C&amp;I CLM $ Collected]]</f>
        <v>19.116657</v>
      </c>
      <c r="E273" s="28">
        <f>[1]!Table32[[#This Row],[CLM $ Collected ]]/'[1]1.) CLM Reference'!$B$4</f>
        <v>2.0579792921747455E-7</v>
      </c>
      <c r="F273" s="29">
        <f>[1]!Table32[[#This Row],[Residential Incentive Disbursements]]+[1]!Table32[[#This Row],[C&amp;I Incentive Disbursements]]</f>
        <v>0</v>
      </c>
      <c r="G273" s="28">
        <f>[1]!Table32[[#This Row],[Incentive Disbursements]]/'[1]1.) CLM Reference'!$B$5</f>
        <v>0</v>
      </c>
      <c r="H273" s="228">
        <v>0</v>
      </c>
      <c r="I273" s="28">
        <f>[1]!Table32[[#This Row],[Residential CLM $ Collected]]/'[1]1.) CLM Reference'!$B$4</f>
        <v>0</v>
      </c>
      <c r="J273" s="228">
        <v>0</v>
      </c>
      <c r="K273" s="28">
        <f>[1]!Table32[[#This Row],[Residential Incentive Disbursements]]/'[1]1.) CLM Reference'!$B$5</f>
        <v>0</v>
      </c>
      <c r="L273" s="228">
        <v>19.116657</v>
      </c>
      <c r="M273" s="28">
        <f>[1]!Table32[[#This Row],[C&amp;I CLM $ Collected]]/'[1]1.) CLM Reference'!$B$4</f>
        <v>2.0579792921747455E-7</v>
      </c>
      <c r="N273" s="228">
        <v>0</v>
      </c>
      <c r="O273" s="171">
        <f>[1]!Table32[[#This Row],[C&amp;I Incentive Disbursements]]/'[1]1.) CLM Reference'!$B$5</f>
        <v>0</v>
      </c>
    </row>
    <row r="274" spans="1:15" x14ac:dyDescent="0.2">
      <c r="A274" t="s">
        <v>2871</v>
      </c>
      <c r="B274" s="169">
        <v>9009361200</v>
      </c>
      <c r="C274" t="s">
        <v>944</v>
      </c>
      <c r="D274" s="170">
        <f>[1]!Table32[[#This Row],[Residential CLM $ Collected]]+[1]!Table32[[#This Row],[C&amp;I CLM $ Collected]]</f>
        <v>33207.410166000001</v>
      </c>
      <c r="E274" s="28">
        <f>[1]!Table32[[#This Row],[CLM $ Collected ]]/'[1]1.) CLM Reference'!$B$4</f>
        <v>3.5749013265437118E-4</v>
      </c>
      <c r="F274" s="29">
        <f>[1]!Table32[[#This Row],[Residential Incentive Disbursements]]+[1]!Table32[[#This Row],[C&amp;I Incentive Disbursements]]</f>
        <v>24438.85</v>
      </c>
      <c r="G274" s="28">
        <f>[1]!Table32[[#This Row],[Incentive Disbursements]]/'[1]1.) CLM Reference'!$B$5</f>
        <v>1.962229810680457E-4</v>
      </c>
      <c r="H274" s="228">
        <v>0</v>
      </c>
      <c r="I274" s="28">
        <f>[1]!Table32[[#This Row],[Residential CLM $ Collected]]/'[1]1.) CLM Reference'!$B$4</f>
        <v>0</v>
      </c>
      <c r="J274" s="228">
        <v>0</v>
      </c>
      <c r="K274" s="28">
        <f>[1]!Table32[[#This Row],[Residential Incentive Disbursements]]/'[1]1.) CLM Reference'!$B$5</f>
        <v>0</v>
      </c>
      <c r="L274" s="228">
        <v>33207.410166000001</v>
      </c>
      <c r="M274" s="28">
        <f>[1]!Table32[[#This Row],[C&amp;I CLM $ Collected]]/'[1]1.) CLM Reference'!$B$4</f>
        <v>3.5749013265437118E-4</v>
      </c>
      <c r="N274" s="228">
        <v>24438.85</v>
      </c>
      <c r="O274" s="171">
        <f>[1]!Table32[[#This Row],[C&amp;I Incentive Disbursements]]/'[1]1.) CLM Reference'!$B$5</f>
        <v>1.962229810680457E-4</v>
      </c>
    </row>
    <row r="275" spans="1:15" x14ac:dyDescent="0.2">
      <c r="A275" t="s">
        <v>2872</v>
      </c>
      <c r="B275" s="169">
        <v>9005362101</v>
      </c>
      <c r="C275" t="s">
        <v>944</v>
      </c>
      <c r="D275" s="170">
        <f>[1]!Table32[[#This Row],[Residential CLM $ Collected]]+[1]!Table32[[#This Row],[C&amp;I CLM $ Collected]]</f>
        <v>19537.235046000002</v>
      </c>
      <c r="E275" s="28">
        <f>[1]!Table32[[#This Row],[CLM $ Collected ]]/'[1]1.) CLM Reference'!$B$4</f>
        <v>2.1032560845245441E-4</v>
      </c>
      <c r="F275" s="29">
        <f>[1]!Table32[[#This Row],[Residential Incentive Disbursements]]+[1]!Table32[[#This Row],[C&amp;I Incentive Disbursements]]</f>
        <v>9797.92</v>
      </c>
      <c r="G275" s="28">
        <f>[1]!Table32[[#This Row],[Incentive Disbursements]]/'[1]1.) CLM Reference'!$B$5</f>
        <v>7.8668884610619009E-5</v>
      </c>
      <c r="H275" s="228">
        <v>0</v>
      </c>
      <c r="I275" s="28">
        <f>[1]!Table32[[#This Row],[Residential CLM $ Collected]]/'[1]1.) CLM Reference'!$B$4</f>
        <v>0</v>
      </c>
      <c r="J275" s="228">
        <v>0</v>
      </c>
      <c r="K275" s="28">
        <f>[1]!Table32[[#This Row],[Residential Incentive Disbursements]]/'[1]1.) CLM Reference'!$B$5</f>
        <v>0</v>
      </c>
      <c r="L275" s="228">
        <v>19537.235046000002</v>
      </c>
      <c r="M275" s="28">
        <f>[1]!Table32[[#This Row],[C&amp;I CLM $ Collected]]/'[1]1.) CLM Reference'!$B$4</f>
        <v>2.1032560845245441E-4</v>
      </c>
      <c r="N275" s="228">
        <v>9797.92</v>
      </c>
      <c r="O275" s="171">
        <f>[1]!Table32[[#This Row],[C&amp;I Incentive Disbursements]]/'[1]1.) CLM Reference'!$B$5</f>
        <v>7.8668884610619009E-5</v>
      </c>
    </row>
    <row r="276" spans="1:15" x14ac:dyDescent="0.2">
      <c r="A276" t="s">
        <v>2872</v>
      </c>
      <c r="B276" s="169">
        <v>9005362102</v>
      </c>
      <c r="C276" t="s">
        <v>944</v>
      </c>
      <c r="D276" s="170">
        <f>[1]!Table32[[#This Row],[Residential CLM $ Collected]]+[1]!Table32[[#This Row],[C&amp;I CLM $ Collected]]</f>
        <v>1.0031909999999999</v>
      </c>
      <c r="E276" s="28">
        <f>[1]!Table32[[#This Row],[CLM $ Collected ]]/'[1]1.) CLM Reference'!$B$4</f>
        <v>1.0799724575777423E-8</v>
      </c>
      <c r="F276" s="29">
        <f>[1]!Table32[[#This Row],[Residential Incentive Disbursements]]+[1]!Table32[[#This Row],[C&amp;I Incentive Disbursements]]</f>
        <v>0</v>
      </c>
      <c r="G276" s="28">
        <f>[1]!Table32[[#This Row],[Incentive Disbursements]]/'[1]1.) CLM Reference'!$B$5</f>
        <v>0</v>
      </c>
      <c r="H276" s="228">
        <v>0</v>
      </c>
      <c r="I276" s="28">
        <f>[1]!Table32[[#This Row],[Residential CLM $ Collected]]/'[1]1.) CLM Reference'!$B$4</f>
        <v>0</v>
      </c>
      <c r="J276" s="228">
        <v>0</v>
      </c>
      <c r="K276" s="28">
        <f>[1]!Table32[[#This Row],[Residential Incentive Disbursements]]/'[1]1.) CLM Reference'!$B$5</f>
        <v>0</v>
      </c>
      <c r="L276" s="228">
        <v>1.0031909999999999</v>
      </c>
      <c r="M276" s="28">
        <f>[1]!Table32[[#This Row],[C&amp;I CLM $ Collected]]/'[1]1.) CLM Reference'!$B$4</f>
        <v>1.0799724575777423E-8</v>
      </c>
      <c r="N276" s="228">
        <v>0</v>
      </c>
      <c r="O276" s="171">
        <f>[1]!Table32[[#This Row],[C&amp;I Incentive Disbursements]]/'[1]1.) CLM Reference'!$B$5</f>
        <v>0</v>
      </c>
    </row>
    <row r="277" spans="1:15" x14ac:dyDescent="0.2">
      <c r="A277" t="s">
        <v>2873</v>
      </c>
      <c r="B277" s="169">
        <v>9015901100</v>
      </c>
      <c r="C277" t="s">
        <v>944</v>
      </c>
      <c r="D277" s="170">
        <f>[1]!Table32[[#This Row],[Residential CLM $ Collected]]+[1]!Table32[[#This Row],[C&amp;I CLM $ Collected]]</f>
        <v>48578.478479999998</v>
      </c>
      <c r="E277" s="28">
        <f>[1]!Table32[[#This Row],[CLM $ Collected ]]/'[1]1.) CLM Reference'!$B$4</f>
        <v>5.2296540528606287E-4</v>
      </c>
      <c r="F277" s="29">
        <f>[1]!Table32[[#This Row],[Residential Incentive Disbursements]]+[1]!Table32[[#This Row],[C&amp;I Incentive Disbursements]]</f>
        <v>32466.400000000001</v>
      </c>
      <c r="G277" s="28">
        <f>[1]!Table32[[#This Row],[Incentive Disbursements]]/'[1]1.) CLM Reference'!$B$5</f>
        <v>2.6067731470783608E-4</v>
      </c>
      <c r="H277" s="228">
        <v>0</v>
      </c>
      <c r="I277" s="28">
        <f>[1]!Table32[[#This Row],[Residential CLM $ Collected]]/'[1]1.) CLM Reference'!$B$4</f>
        <v>0</v>
      </c>
      <c r="J277" s="228">
        <v>0</v>
      </c>
      <c r="K277" s="28">
        <f>[1]!Table32[[#This Row],[Residential Incentive Disbursements]]/'[1]1.) CLM Reference'!$B$5</f>
        <v>0</v>
      </c>
      <c r="L277" s="228">
        <v>48578.478479999998</v>
      </c>
      <c r="M277" s="28">
        <f>[1]!Table32[[#This Row],[C&amp;I CLM $ Collected]]/'[1]1.) CLM Reference'!$B$4</f>
        <v>5.2296540528606287E-4</v>
      </c>
      <c r="N277" s="228">
        <v>32466.400000000001</v>
      </c>
      <c r="O277" s="171">
        <f>[1]!Table32[[#This Row],[C&amp;I Incentive Disbursements]]/'[1]1.) CLM Reference'!$B$5</f>
        <v>2.6067731470783608E-4</v>
      </c>
    </row>
    <row r="278" spans="1:15" x14ac:dyDescent="0.2">
      <c r="A278" s="172"/>
      <c r="B278" s="173"/>
      <c r="C278" s="174" t="s">
        <v>2695</v>
      </c>
      <c r="D278" s="176">
        <f>SUBTOTAL(109,D6:D277)</f>
        <v>34419414.455916017</v>
      </c>
      <c r="E278" s="175">
        <f>[1]!Table32[[#This Row],[CLM $ Collected ]]/'[1]1.) CLM Reference'!$B$4</f>
        <v>0.37053781003161407</v>
      </c>
      <c r="F278" s="176">
        <f>SUBTOTAL(109,F6:F277)</f>
        <v>43687690.13880001</v>
      </c>
      <c r="G278" s="175">
        <f>[1]!Table32[[#This Row],[Incentive Disbursements]]/'[1]1.) CLM Reference'!$B$5</f>
        <v>0.35077463935546893</v>
      </c>
      <c r="H278" s="29">
        <f>SUBTOTAL(109,H6:H277)</f>
        <v>55627.592999999993</v>
      </c>
      <c r="I278" s="175">
        <f>[1]!Table32[[#This Row],[Residential CLM $ Collected]]/'[1]1.) CLM Reference'!$B$4</f>
        <v>5.9885174728784853E-4</v>
      </c>
      <c r="J278" s="176">
        <f>SUBTOTAL(109,J6:J277)</f>
        <v>0</v>
      </c>
      <c r="K278" s="175">
        <f>[1]!Table32[[#This Row],[Residential Incentive Disbursements]]/'[1]1.) CLM Reference'!$B$5</f>
        <v>0</v>
      </c>
      <c r="L278" s="29">
        <f>SUBTOTAL(109,L6:L277)</f>
        <v>34363786.862916015</v>
      </c>
      <c r="M278" s="175">
        <f>[1]!Table32[[#This Row],[C&amp;I CLM $ Collected]]/'[1]1.) CLM Reference'!$B$4</f>
        <v>0.36993895828432616</v>
      </c>
      <c r="N278" s="29">
        <f>SUBTOTAL(109,N6:N277)</f>
        <v>43687690.13880001</v>
      </c>
      <c r="O278" s="177">
        <f>[1]!Table32[[#This Row],[C&amp;I Incentive Disbursements]]/'[1]1.) CLM Reference'!$B$5</f>
        <v>0.35077463935546893</v>
      </c>
    </row>
    <row r="280" spans="1:15" x14ac:dyDescent="0.2">
      <c r="A280" s="21" t="s">
        <v>2706</v>
      </c>
      <c r="B280" s="22"/>
      <c r="C280" s="23"/>
      <c r="D280" s="23"/>
      <c r="E280" s="24"/>
      <c r="F280" s="24"/>
      <c r="G280" s="24"/>
      <c r="H280" s="24"/>
      <c r="I280" s="24"/>
      <c r="J280" s="24"/>
      <c r="K280" s="24"/>
      <c r="L280" s="24"/>
      <c r="M280" s="24"/>
      <c r="N280" s="24"/>
      <c r="O280" s="24"/>
    </row>
    <row r="281" spans="1:15" x14ac:dyDescent="0.2">
      <c r="A281" s="21" t="s">
        <v>3878</v>
      </c>
      <c r="B281" s="22"/>
      <c r="C281" s="23"/>
      <c r="D281" s="23"/>
      <c r="E281" s="24"/>
      <c r="F281" s="24"/>
      <c r="G281" s="24"/>
      <c r="H281" s="24"/>
      <c r="I281" s="24"/>
      <c r="J281" s="24"/>
      <c r="K281" s="24"/>
      <c r="L281" s="24"/>
      <c r="M281" s="24"/>
      <c r="N281" s="24"/>
      <c r="O281" s="24"/>
    </row>
  </sheetData>
  <mergeCells count="7">
    <mergeCell ref="A1:O2"/>
    <mergeCell ref="A3:C3"/>
    <mergeCell ref="D3:O3"/>
    <mergeCell ref="A4:C4"/>
    <mergeCell ref="D4:G4"/>
    <mergeCell ref="H4:K4"/>
    <mergeCell ref="L4:O4"/>
  </mergeCells>
  <pageMargins left="0.7" right="0.7" top="0.75" bottom="0.75" header="0.3" footer="0.3"/>
  <pageSetup paperSize="5" scale="52" fitToHeight="25"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AC7A-95B8-4913-A1D2-4F4E1448984A}">
  <sheetPr>
    <tabColor theme="6" tint="0.59999389629810485"/>
    <pageSetUpPr fitToPage="1"/>
  </sheetPr>
  <dimension ref="A1:Q943"/>
  <sheetViews>
    <sheetView zoomScale="80" zoomScaleNormal="80" workbookViewId="0">
      <pane ySplit="5" topLeftCell="A6" activePane="bottomLeft" state="frozen"/>
      <selection pane="bottomLeft" sqref="A1:O1048576"/>
    </sheetView>
  </sheetViews>
  <sheetFormatPr baseColWidth="10" defaultColWidth="8.6640625" defaultRowHeight="15" x14ac:dyDescent="0.2"/>
  <cols>
    <col min="1" max="1" width="16.5" customWidth="1"/>
    <col min="2" max="2" width="19.1640625" customWidth="1"/>
    <col min="3" max="3" width="20" customWidth="1"/>
    <col min="4" max="5" width="15.6640625" style="27" customWidth="1"/>
    <col min="6" max="16" width="15.6640625" customWidth="1"/>
    <col min="17" max="17" width="14.1640625" customWidth="1"/>
    <col min="18" max="18" width="20.5" customWidth="1"/>
    <col min="19" max="19" width="14.1640625" customWidth="1"/>
  </cols>
  <sheetData>
    <row r="1" spans="1:17" ht="18.75" customHeight="1" x14ac:dyDescent="0.2">
      <c r="A1" s="261" t="s">
        <v>2710</v>
      </c>
      <c r="B1" s="262"/>
      <c r="C1" s="262"/>
      <c r="D1" s="262"/>
      <c r="E1" s="262"/>
      <c r="F1" s="262"/>
      <c r="G1" s="262"/>
      <c r="H1" s="262"/>
      <c r="I1" s="262"/>
      <c r="J1" s="262"/>
      <c r="K1" s="262"/>
      <c r="L1" s="262"/>
      <c r="M1" s="262"/>
      <c r="N1" s="262"/>
      <c r="O1" s="263"/>
    </row>
    <row r="2" spans="1:17" ht="15.75" customHeight="1" thickBot="1" x14ac:dyDescent="0.25">
      <c r="A2" s="264"/>
      <c r="B2" s="265"/>
      <c r="C2" s="265"/>
      <c r="D2" s="265"/>
      <c r="E2" s="265"/>
      <c r="F2" s="265"/>
      <c r="G2" s="265"/>
      <c r="H2" s="265"/>
      <c r="I2" s="265"/>
      <c r="J2" s="265"/>
      <c r="K2" s="265"/>
      <c r="L2" s="265"/>
      <c r="M2" s="265"/>
      <c r="N2" s="265"/>
      <c r="O2" s="266"/>
    </row>
    <row r="3" spans="1:17" ht="17" thickBot="1" x14ac:dyDescent="0.25">
      <c r="A3" s="274" t="s">
        <v>3883</v>
      </c>
      <c r="B3" s="275"/>
      <c r="C3" s="275"/>
      <c r="D3" s="258"/>
      <c r="E3" s="259"/>
      <c r="F3" s="286"/>
      <c r="G3" s="286"/>
      <c r="H3" s="286"/>
      <c r="I3" s="286"/>
      <c r="J3" s="286"/>
      <c r="K3" s="259"/>
      <c r="L3" s="259"/>
      <c r="M3" s="259"/>
      <c r="N3" s="259"/>
      <c r="O3" s="260"/>
    </row>
    <row r="4" spans="1:17" ht="16" thickBot="1" x14ac:dyDescent="0.25">
      <c r="A4" s="287"/>
      <c r="B4" s="288"/>
      <c r="C4" s="288"/>
      <c r="D4" s="289" t="s">
        <v>2875</v>
      </c>
      <c r="E4" s="290"/>
      <c r="F4" s="293" t="s">
        <v>968</v>
      </c>
      <c r="G4" s="294"/>
      <c r="H4" s="294"/>
      <c r="I4" s="294"/>
      <c r="J4" s="295"/>
      <c r="K4" s="291" t="s">
        <v>969</v>
      </c>
      <c r="L4" s="291"/>
      <c r="M4" s="291"/>
      <c r="N4" s="291"/>
      <c r="O4" s="292"/>
    </row>
    <row r="5" spans="1:17" ht="34" x14ac:dyDescent="0.2">
      <c r="A5" s="37" t="s">
        <v>2712</v>
      </c>
      <c r="B5" s="178" t="s">
        <v>2711</v>
      </c>
      <c r="C5" s="179" t="s">
        <v>2713</v>
      </c>
      <c r="D5" s="180" t="s">
        <v>2714</v>
      </c>
      <c r="E5" s="181" t="s">
        <v>2716</v>
      </c>
      <c r="F5" s="36" t="s">
        <v>970</v>
      </c>
      <c r="G5" s="34" t="s">
        <v>2876</v>
      </c>
      <c r="H5" s="35" t="s">
        <v>2877</v>
      </c>
      <c r="I5" s="35" t="s">
        <v>2878</v>
      </c>
      <c r="J5" s="151" t="s">
        <v>959</v>
      </c>
      <c r="K5" s="35" t="s">
        <v>2879</v>
      </c>
      <c r="L5" s="35" t="s">
        <v>2880</v>
      </c>
      <c r="M5" s="35" t="s">
        <v>2881</v>
      </c>
      <c r="N5" s="35" t="s">
        <v>2882</v>
      </c>
      <c r="O5" s="34" t="s">
        <v>2883</v>
      </c>
      <c r="P5" s="47" t="s">
        <v>2727</v>
      </c>
      <c r="Q5" s="47" t="s">
        <v>2728</v>
      </c>
    </row>
    <row r="6" spans="1:17" x14ac:dyDescent="0.2">
      <c r="A6" s="30" t="s">
        <v>2730</v>
      </c>
      <c r="B6" s="169">
        <v>9013528100</v>
      </c>
      <c r="C6" s="30" t="s">
        <v>944</v>
      </c>
      <c r="D6" s="182">
        <v>55790.391530999994</v>
      </c>
      <c r="E6" s="182">
        <v>85449.9</v>
      </c>
      <c r="F6" s="13">
        <f>[1]!Table323[[#This Row],[Single Family]]+[1]!Table323[[#This Row],[2-4 Units]]+[1]!Table323[[#This Row],[&gt;4 Units]]</f>
        <v>11</v>
      </c>
      <c r="G6" s="30">
        <v>11</v>
      </c>
      <c r="H6" s="30">
        <v>0</v>
      </c>
      <c r="I6" s="30">
        <v>0</v>
      </c>
      <c r="J6" s="231">
        <v>27716.15</v>
      </c>
      <c r="K6">
        <f t="shared" ref="K6:K69" si="0">L6+M6+N6</f>
        <v>29</v>
      </c>
      <c r="L6" s="30">
        <v>5</v>
      </c>
      <c r="M6" s="30">
        <v>0</v>
      </c>
      <c r="N6" s="30">
        <v>24</v>
      </c>
      <c r="O6" s="231">
        <v>29228.25</v>
      </c>
      <c r="P6" s="97">
        <f>VLOOKUP(Table323[[#This Row],[Census Tract]],'Population and Diversity Data'!$B$2:$K$823,10,FALSE)</f>
        <v>1</v>
      </c>
      <c r="Q6" s="97" t="str">
        <f>VLOOKUP(Table323[[#This Row],[Census Tract]],'ES Energy Burden'!$B$2:$E$914,4,FALSE)</f>
        <v>No</v>
      </c>
    </row>
    <row r="7" spans="1:17" x14ac:dyDescent="0.2">
      <c r="A7" s="30" t="s">
        <v>2730</v>
      </c>
      <c r="B7" s="169">
        <v>9013529100</v>
      </c>
      <c r="C7" s="30" t="s">
        <v>944</v>
      </c>
      <c r="D7" s="182">
        <v>575.90988000000004</v>
      </c>
      <c r="E7" s="182">
        <v>0</v>
      </c>
      <c r="F7" s="13">
        <f>[1]!Table323[[#This Row],[Single Family]]+[1]!Table323[[#This Row],[2-4 Units]]+[1]!Table323[[#This Row],[&gt;4 Units]]</f>
        <v>0</v>
      </c>
      <c r="G7" s="30">
        <v>0</v>
      </c>
      <c r="H7" s="30">
        <v>0</v>
      </c>
      <c r="I7" s="30">
        <v>0</v>
      </c>
      <c r="J7" s="231">
        <v>0</v>
      </c>
      <c r="K7">
        <f t="shared" si="0"/>
        <v>0</v>
      </c>
      <c r="L7" s="30">
        <v>0</v>
      </c>
      <c r="M7" s="30">
        <v>0</v>
      </c>
      <c r="N7" s="30">
        <v>0</v>
      </c>
      <c r="O7" s="231">
        <v>0</v>
      </c>
      <c r="P7" s="97">
        <f>VLOOKUP(Table323[[#This Row],[Census Tract]],'Population and Diversity Data'!$B$2:$K$823,10,FALSE)</f>
        <v>2</v>
      </c>
      <c r="Q7" s="97" t="str">
        <f>VLOOKUP(Table323[[#This Row],[Census Tract]],'ES Energy Burden'!$B$2:$E$914,4,FALSE)</f>
        <v>No</v>
      </c>
    </row>
    <row r="8" spans="1:17" x14ac:dyDescent="0.2">
      <c r="A8" s="30" t="s">
        <v>2731</v>
      </c>
      <c r="B8" s="169">
        <v>9015830100</v>
      </c>
      <c r="C8" s="30" t="s">
        <v>944</v>
      </c>
      <c r="D8" s="182">
        <v>73987.89615</v>
      </c>
      <c r="E8" s="182">
        <v>77087.600000000006</v>
      </c>
      <c r="F8" s="13">
        <f>[1]!Table323[[#This Row],[Single Family]]+[1]!Table323[[#This Row],[2-4 Units]]+[1]!Table323[[#This Row],[&gt;4 Units]]</f>
        <v>28</v>
      </c>
      <c r="G8" s="30">
        <v>28</v>
      </c>
      <c r="H8" s="30">
        <v>0</v>
      </c>
      <c r="I8" s="30">
        <v>0</v>
      </c>
      <c r="J8" s="231">
        <v>43451.22</v>
      </c>
      <c r="K8">
        <f t="shared" si="0"/>
        <v>7</v>
      </c>
      <c r="L8" s="30">
        <v>5</v>
      </c>
      <c r="M8" s="30">
        <v>2</v>
      </c>
      <c r="N8" s="30">
        <v>0</v>
      </c>
      <c r="O8" s="231">
        <v>8504.91</v>
      </c>
      <c r="P8" s="97">
        <f>VLOOKUP(Table323[[#This Row],[Census Tract]],'Population and Diversity Data'!$B$2:$K$823,10,FALSE)</f>
        <v>4</v>
      </c>
      <c r="Q8" s="97" t="str">
        <f>VLOOKUP(Table323[[#This Row],[Census Tract]],'ES Energy Burden'!$B$2:$E$914,4,FALSE)</f>
        <v>No</v>
      </c>
    </row>
    <row r="9" spans="1:17" x14ac:dyDescent="0.2">
      <c r="A9" s="30" t="s">
        <v>2731</v>
      </c>
      <c r="B9" s="169">
        <v>9015902200</v>
      </c>
      <c r="C9" s="30" t="s">
        <v>944</v>
      </c>
      <c r="D9" s="182">
        <v>945.84441000000004</v>
      </c>
      <c r="E9" s="182">
        <v>0</v>
      </c>
      <c r="F9" s="13">
        <f>[1]!Table323[[#This Row],[Single Family]]+[1]!Table323[[#This Row],[2-4 Units]]+[1]!Table323[[#This Row],[&gt;4 Units]]</f>
        <v>0</v>
      </c>
      <c r="G9" s="30">
        <v>0</v>
      </c>
      <c r="H9" s="30">
        <v>0</v>
      </c>
      <c r="I9" s="30">
        <v>0</v>
      </c>
      <c r="J9" s="231">
        <v>0</v>
      </c>
      <c r="K9">
        <f t="shared" si="0"/>
        <v>0</v>
      </c>
      <c r="L9" s="30">
        <v>0</v>
      </c>
      <c r="M9" s="30">
        <v>0</v>
      </c>
      <c r="N9" s="30">
        <v>0</v>
      </c>
      <c r="O9" s="231">
        <v>0</v>
      </c>
      <c r="P9" s="97">
        <f>VLOOKUP(Table323[[#This Row],[Census Tract]],'Population and Diversity Data'!$B$2:$K$823,10,FALSE)</f>
        <v>2</v>
      </c>
      <c r="Q9" s="97" t="str">
        <f>VLOOKUP(Table323[[#This Row],[Census Tract]],'ES Energy Burden'!$B$2:$E$914,4,FALSE)</f>
        <v>No</v>
      </c>
    </row>
    <row r="10" spans="1:17" x14ac:dyDescent="0.2">
      <c r="A10" s="30" t="s">
        <v>2732</v>
      </c>
      <c r="B10" s="169">
        <v>9003460302</v>
      </c>
      <c r="C10" s="30" t="s">
        <v>944</v>
      </c>
      <c r="D10" s="182">
        <v>776.70747000000006</v>
      </c>
      <c r="E10" s="182">
        <v>0</v>
      </c>
      <c r="F10" s="13">
        <f>[1]!Table323[[#This Row],[Single Family]]+[1]!Table323[[#This Row],[2-4 Units]]+[1]!Table323[[#This Row],[&gt;4 Units]]</f>
        <v>0</v>
      </c>
      <c r="G10" s="30">
        <v>0</v>
      </c>
      <c r="H10" s="30">
        <v>0</v>
      </c>
      <c r="I10" s="30">
        <v>0</v>
      </c>
      <c r="J10" s="231">
        <v>0</v>
      </c>
      <c r="K10">
        <f t="shared" si="0"/>
        <v>0</v>
      </c>
      <c r="L10" s="30">
        <v>0</v>
      </c>
      <c r="M10" s="30">
        <v>0</v>
      </c>
      <c r="N10" s="30">
        <v>0</v>
      </c>
      <c r="O10" s="231">
        <v>0</v>
      </c>
      <c r="P10" s="97">
        <f>VLOOKUP(Table323[[#This Row],[Census Tract]],'Population and Diversity Data'!$B$2:$K$823,10,FALSE)</f>
        <v>3</v>
      </c>
      <c r="Q10" s="97" t="str">
        <f>VLOOKUP(Table323[[#This Row],[Census Tract]],'ES Energy Burden'!$B$2:$E$914,4,FALSE)</f>
        <v>No</v>
      </c>
    </row>
    <row r="11" spans="1:17" x14ac:dyDescent="0.2">
      <c r="A11" s="30" t="s">
        <v>2732</v>
      </c>
      <c r="B11" s="169">
        <v>9003462101</v>
      </c>
      <c r="C11" s="30" t="s">
        <v>944</v>
      </c>
      <c r="D11" s="182">
        <v>196817.73810300001</v>
      </c>
      <c r="E11" s="182">
        <v>375422.65</v>
      </c>
      <c r="F11" s="13">
        <f>[1]!Table323[[#This Row],[Single Family]]+[1]!Table323[[#This Row],[2-4 Units]]+[1]!Table323[[#This Row],[&gt;4 Units]]</f>
        <v>134</v>
      </c>
      <c r="G11" s="30">
        <v>133</v>
      </c>
      <c r="H11" s="30">
        <v>1</v>
      </c>
      <c r="I11" s="30">
        <v>0</v>
      </c>
      <c r="J11" s="231">
        <v>299297.44</v>
      </c>
      <c r="K11">
        <f t="shared" si="0"/>
        <v>4</v>
      </c>
      <c r="L11" s="30">
        <v>4</v>
      </c>
      <c r="M11" s="30">
        <v>0</v>
      </c>
      <c r="N11" s="30">
        <v>0</v>
      </c>
      <c r="O11" s="231">
        <v>4598.76</v>
      </c>
      <c r="P11" s="97">
        <f>VLOOKUP(Table323[[#This Row],[Census Tract]],'Population and Diversity Data'!$B$2:$K$823,10,FALSE)</f>
        <v>4</v>
      </c>
      <c r="Q11" s="97" t="str">
        <f>VLOOKUP(Table323[[#This Row],[Census Tract]],'ES Energy Burden'!$B$2:$E$914,4,FALSE)</f>
        <v>No</v>
      </c>
    </row>
    <row r="12" spans="1:17" x14ac:dyDescent="0.2">
      <c r="A12" s="30" t="s">
        <v>2732</v>
      </c>
      <c r="B12" s="169">
        <v>9003462102</v>
      </c>
      <c r="C12" s="30" t="s">
        <v>944</v>
      </c>
      <c r="D12" s="182">
        <v>57179.861297999996</v>
      </c>
      <c r="E12" s="182">
        <v>49088.42</v>
      </c>
      <c r="F12" s="13">
        <f>[1]!Table323[[#This Row],[Single Family]]+[1]!Table323[[#This Row],[2-4 Units]]+[1]!Table323[[#This Row],[&gt;4 Units]]</f>
        <v>0</v>
      </c>
      <c r="G12" s="30">
        <v>0</v>
      </c>
      <c r="H12" s="30">
        <v>0</v>
      </c>
      <c r="I12" s="30">
        <v>0</v>
      </c>
      <c r="J12" s="231">
        <v>18818.72</v>
      </c>
      <c r="K12">
        <f t="shared" si="0"/>
        <v>1</v>
      </c>
      <c r="L12" s="30">
        <v>1</v>
      </c>
      <c r="M12" s="30">
        <v>0</v>
      </c>
      <c r="N12" s="30">
        <v>0</v>
      </c>
      <c r="O12" s="231">
        <v>641.82000000000005</v>
      </c>
      <c r="P12" s="97">
        <f>VLOOKUP(Table323[[#This Row],[Census Tract]],'Population and Diversity Data'!$B$2:$K$823,10,FALSE)</f>
        <v>4</v>
      </c>
      <c r="Q12" s="97" t="str">
        <f>VLOOKUP(Table323[[#This Row],[Census Tract]],'ES Energy Burden'!$B$2:$E$914,4,FALSE)</f>
        <v>No</v>
      </c>
    </row>
    <row r="13" spans="1:17" x14ac:dyDescent="0.2">
      <c r="A13" s="30" t="s">
        <v>2732</v>
      </c>
      <c r="B13" s="169">
        <v>9003462201</v>
      </c>
      <c r="C13" s="30" t="s">
        <v>944</v>
      </c>
      <c r="D13" s="182">
        <v>67397.061690000002</v>
      </c>
      <c r="E13" s="182">
        <v>81553.58</v>
      </c>
      <c r="F13" s="13">
        <f>[1]!Table323[[#This Row],[Single Family]]+[1]!Table323[[#This Row],[2-4 Units]]+[1]!Table323[[#This Row],[&gt;4 Units]]</f>
        <v>0</v>
      </c>
      <c r="G13" s="30">
        <v>0</v>
      </c>
      <c r="H13" s="30">
        <v>0</v>
      </c>
      <c r="I13" s="30">
        <v>0</v>
      </c>
      <c r="J13" s="231">
        <v>27701.88</v>
      </c>
      <c r="K13">
        <f t="shared" si="0"/>
        <v>50</v>
      </c>
      <c r="L13" s="30">
        <v>3</v>
      </c>
      <c r="M13" s="30">
        <v>1</v>
      </c>
      <c r="N13" s="30">
        <v>46</v>
      </c>
      <c r="O13" s="231">
        <v>22650.5</v>
      </c>
      <c r="P13" s="97">
        <f>VLOOKUP(Table323[[#This Row],[Census Tract]],'Population and Diversity Data'!$B$2:$K$823,10,FALSE)</f>
        <v>4</v>
      </c>
      <c r="Q13" s="97" t="str">
        <f>VLOOKUP(Table323[[#This Row],[Census Tract]],'ES Energy Burden'!$B$2:$E$914,4,FALSE)</f>
        <v>No</v>
      </c>
    </row>
    <row r="14" spans="1:17" x14ac:dyDescent="0.2">
      <c r="A14" s="30" t="s">
        <v>2732</v>
      </c>
      <c r="B14" s="169">
        <v>9003462202</v>
      </c>
      <c r="C14" s="30" t="s">
        <v>944</v>
      </c>
      <c r="D14" s="182">
        <v>43185.953495999995</v>
      </c>
      <c r="E14" s="182">
        <v>22208.27</v>
      </c>
      <c r="F14" s="13">
        <f>[1]!Table323[[#This Row],[Single Family]]+[1]!Table323[[#This Row],[2-4 Units]]+[1]!Table323[[#This Row],[&gt;4 Units]]</f>
        <v>0</v>
      </c>
      <c r="G14" s="30">
        <v>0</v>
      </c>
      <c r="H14" s="30">
        <v>0</v>
      </c>
      <c r="I14" s="30">
        <v>0</v>
      </c>
      <c r="J14" s="231">
        <v>18640.2</v>
      </c>
      <c r="K14">
        <f t="shared" si="0"/>
        <v>0</v>
      </c>
      <c r="L14" s="30">
        <v>0</v>
      </c>
      <c r="M14" s="30">
        <v>0</v>
      </c>
      <c r="N14" s="30">
        <v>0</v>
      </c>
      <c r="O14" s="231">
        <v>0</v>
      </c>
      <c r="P14" s="97">
        <f>VLOOKUP(Table323[[#This Row],[Census Tract]],'Population and Diversity Data'!$B$2:$K$823,10,FALSE)</f>
        <v>5</v>
      </c>
      <c r="Q14" s="97" t="str">
        <f>VLOOKUP(Table323[[#This Row],[Census Tract]],'ES Energy Burden'!$B$2:$E$914,4,FALSE)</f>
        <v>No</v>
      </c>
    </row>
    <row r="15" spans="1:17" x14ac:dyDescent="0.2">
      <c r="A15" s="30" t="s">
        <v>2733</v>
      </c>
      <c r="B15" s="169">
        <v>9003330100</v>
      </c>
      <c r="C15" s="30" t="s">
        <v>944</v>
      </c>
      <c r="D15" s="182">
        <v>720.82581899999991</v>
      </c>
      <c r="E15" s="182">
        <v>2097.5</v>
      </c>
      <c r="F15" s="13">
        <f>[1]!Table323[[#This Row],[Single Family]]+[1]!Table323[[#This Row],[2-4 Units]]+[1]!Table323[[#This Row],[&gt;4 Units]]</f>
        <v>0</v>
      </c>
      <c r="G15" s="30">
        <v>0</v>
      </c>
      <c r="H15" s="30">
        <v>0</v>
      </c>
      <c r="I15" s="30">
        <v>0</v>
      </c>
      <c r="J15" s="231">
        <v>0</v>
      </c>
      <c r="K15">
        <f t="shared" si="0"/>
        <v>0</v>
      </c>
      <c r="L15" s="30">
        <v>0</v>
      </c>
      <c r="M15" s="30">
        <v>0</v>
      </c>
      <c r="N15" s="30">
        <v>0</v>
      </c>
      <c r="O15" s="231">
        <v>0</v>
      </c>
      <c r="P15" s="97">
        <f>VLOOKUP(Table323[[#This Row],[Census Tract]],'Population and Diversity Data'!$B$2:$K$823,10,FALSE)</f>
        <v>3</v>
      </c>
      <c r="Q15" s="97" t="str">
        <f>VLOOKUP(Table323[[#This Row],[Census Tract]],'ES Energy Burden'!$B$2:$E$914,4,FALSE)</f>
        <v>No</v>
      </c>
    </row>
    <row r="16" spans="1:17" x14ac:dyDescent="0.2">
      <c r="A16" s="30" t="s">
        <v>2733</v>
      </c>
      <c r="B16" s="169">
        <v>9005290100</v>
      </c>
      <c r="C16" s="30" t="s">
        <v>944</v>
      </c>
      <c r="D16" s="182">
        <v>61177.339314000004</v>
      </c>
      <c r="E16" s="182">
        <v>70016.994999999995</v>
      </c>
      <c r="F16" s="13">
        <f>[1]!Table323[[#This Row],[Single Family]]+[1]!Table323[[#This Row],[2-4 Units]]+[1]!Table323[[#This Row],[&gt;4 Units]]</f>
        <v>20</v>
      </c>
      <c r="G16" s="30">
        <v>20</v>
      </c>
      <c r="H16" s="30">
        <v>0</v>
      </c>
      <c r="I16" s="30">
        <v>0</v>
      </c>
      <c r="J16" s="231">
        <v>49954.41</v>
      </c>
      <c r="K16">
        <f t="shared" si="0"/>
        <v>1</v>
      </c>
      <c r="L16" s="30">
        <v>1</v>
      </c>
      <c r="M16" s="30">
        <v>0</v>
      </c>
      <c r="N16" s="30">
        <v>0</v>
      </c>
      <c r="O16" s="231">
        <v>328.19</v>
      </c>
      <c r="P16" s="97">
        <f>VLOOKUP(Table323[[#This Row],[Census Tract]],'Population and Diversity Data'!$B$2:$K$823,10,FALSE)</f>
        <v>2</v>
      </c>
      <c r="Q16" s="97" t="str">
        <f>VLOOKUP(Table323[[#This Row],[Census Tract]],'ES Energy Burden'!$B$2:$E$914,4,FALSE)</f>
        <v>No</v>
      </c>
    </row>
    <row r="17" spans="1:17" x14ac:dyDescent="0.2">
      <c r="A17" s="30" t="s">
        <v>2733</v>
      </c>
      <c r="B17" s="169">
        <v>9005320100</v>
      </c>
      <c r="C17" s="30" t="s">
        <v>944</v>
      </c>
      <c r="D17" s="182">
        <v>76.685910000000007</v>
      </c>
      <c r="E17" s="182">
        <v>0</v>
      </c>
      <c r="F17" s="13">
        <f>[1]!Table323[[#This Row],[Single Family]]+[1]!Table323[[#This Row],[2-4 Units]]+[1]!Table323[[#This Row],[&gt;4 Units]]</f>
        <v>0</v>
      </c>
      <c r="G17" s="30">
        <v>0</v>
      </c>
      <c r="H17" s="30">
        <v>0</v>
      </c>
      <c r="I17" s="30">
        <v>0</v>
      </c>
      <c r="J17" s="231">
        <v>0</v>
      </c>
      <c r="K17">
        <f t="shared" si="0"/>
        <v>0</v>
      </c>
      <c r="L17" s="30">
        <v>0</v>
      </c>
      <c r="M17" s="30">
        <v>0</v>
      </c>
      <c r="N17" s="30">
        <v>0</v>
      </c>
      <c r="O17" s="231">
        <v>0</v>
      </c>
      <c r="P17" s="97">
        <f>VLOOKUP(Table323[[#This Row],[Census Tract]],'Population and Diversity Data'!$B$2:$K$823,10,FALSE)</f>
        <v>1</v>
      </c>
      <c r="Q17" s="97" t="str">
        <f>VLOOKUP(Table323[[#This Row],[Census Tract]],'ES Energy Burden'!$B$2:$E$914,4,FALSE)</f>
        <v>No</v>
      </c>
    </row>
    <row r="18" spans="1:17" x14ac:dyDescent="0.2">
      <c r="A18" s="30" t="s">
        <v>2734</v>
      </c>
      <c r="B18" s="169">
        <v>9009130101</v>
      </c>
      <c r="C18" s="30" t="s">
        <v>944</v>
      </c>
      <c r="D18" s="182">
        <v>193.32075</v>
      </c>
      <c r="E18" s="182">
        <v>0</v>
      </c>
      <c r="F18" s="13">
        <f>[1]!Table323[[#This Row],[Single Family]]+[1]!Table323[[#This Row],[2-4 Units]]+[1]!Table323[[#This Row],[&gt;4 Units]]</f>
        <v>0</v>
      </c>
      <c r="G18" s="30">
        <v>0</v>
      </c>
      <c r="H18" s="30">
        <v>0</v>
      </c>
      <c r="I18" s="30">
        <v>0</v>
      </c>
      <c r="J18" s="231">
        <v>0</v>
      </c>
      <c r="K18">
        <f t="shared" si="0"/>
        <v>0</v>
      </c>
      <c r="L18" s="30">
        <v>0</v>
      </c>
      <c r="M18" s="30">
        <v>0</v>
      </c>
      <c r="N18" s="30">
        <v>0</v>
      </c>
      <c r="O18" s="231">
        <v>0</v>
      </c>
      <c r="P18" s="97">
        <f>VLOOKUP(Table323[[#This Row],[Census Tract]],'Population and Diversity Data'!$B$2:$K$823,10,FALSE)</f>
        <v>2</v>
      </c>
      <c r="Q18" s="97" t="str">
        <f>VLOOKUP(Table323[[#This Row],[Census Tract]],'ES Energy Burden'!$B$2:$E$914,4,FALSE)</f>
        <v>No</v>
      </c>
    </row>
    <row r="19" spans="1:17" x14ac:dyDescent="0.2">
      <c r="A19" s="30" t="s">
        <v>2734</v>
      </c>
      <c r="B19" s="169">
        <v>9009341100</v>
      </c>
      <c r="C19" s="30" t="s">
        <v>944</v>
      </c>
      <c r="D19" s="182">
        <v>96034.123961999998</v>
      </c>
      <c r="E19" s="182">
        <v>92090.695000000007</v>
      </c>
      <c r="F19" s="13">
        <f>[1]!Table323[[#This Row],[Single Family]]+[1]!Table323[[#This Row],[2-4 Units]]+[1]!Table323[[#This Row],[&gt;4 Units]]</f>
        <v>40</v>
      </c>
      <c r="G19" s="30">
        <v>40</v>
      </c>
      <c r="H19" s="30">
        <v>0</v>
      </c>
      <c r="I19" s="30">
        <v>0</v>
      </c>
      <c r="J19" s="231">
        <v>68950.97</v>
      </c>
      <c r="K19">
        <f t="shared" si="0"/>
        <v>3</v>
      </c>
      <c r="L19" s="30">
        <v>3</v>
      </c>
      <c r="M19" s="30">
        <v>0</v>
      </c>
      <c r="N19" s="30">
        <v>0</v>
      </c>
      <c r="O19" s="231">
        <v>7841.46</v>
      </c>
      <c r="P19" s="97">
        <f>VLOOKUP(Table323[[#This Row],[Census Tract]],'Population and Diversity Data'!$B$2:$K$823,10,FALSE)</f>
        <v>1</v>
      </c>
      <c r="Q19" s="97" t="str">
        <f>VLOOKUP(Table323[[#This Row],[Census Tract]],'ES Energy Burden'!$B$2:$E$914,4,FALSE)</f>
        <v>No</v>
      </c>
    </row>
    <row r="20" spans="1:17" x14ac:dyDescent="0.2">
      <c r="A20" s="30" t="s">
        <v>2735</v>
      </c>
      <c r="B20" s="169">
        <v>9003400100</v>
      </c>
      <c r="C20" s="30" t="s">
        <v>944</v>
      </c>
      <c r="D20" s="182">
        <v>80702.211974999998</v>
      </c>
      <c r="E20" s="182">
        <v>9430995.9049999993</v>
      </c>
      <c r="F20" s="13">
        <f>[1]!Table323[[#This Row],[Single Family]]+[1]!Table323[[#This Row],[2-4 Units]]+[1]!Table323[[#This Row],[&gt;4 Units]]</f>
        <v>63</v>
      </c>
      <c r="G20" s="30">
        <v>63</v>
      </c>
      <c r="H20" s="30">
        <v>0</v>
      </c>
      <c r="I20" s="30">
        <v>0</v>
      </c>
      <c r="J20" s="231">
        <v>107757.58</v>
      </c>
      <c r="K20">
        <f t="shared" si="0"/>
        <v>77</v>
      </c>
      <c r="L20" s="30">
        <v>77</v>
      </c>
      <c r="M20" s="30">
        <v>0</v>
      </c>
      <c r="N20" s="30">
        <v>0</v>
      </c>
      <c r="O20" s="231">
        <v>935083.88</v>
      </c>
      <c r="P20" s="97">
        <f>VLOOKUP(Table323[[#This Row],[Census Tract]],'Population and Diversity Data'!$B$2:$K$823,10,FALSE)</f>
        <v>2</v>
      </c>
      <c r="Q20" s="97" t="str">
        <f>VLOOKUP(Table323[[#This Row],[Census Tract]],'ES Energy Burden'!$B$2:$E$914,4,FALSE)</f>
        <v>No</v>
      </c>
    </row>
    <row r="21" spans="1:17" x14ac:dyDescent="0.2">
      <c r="A21" s="30" t="s">
        <v>2735</v>
      </c>
      <c r="B21" s="169">
        <v>9003400200</v>
      </c>
      <c r="C21" s="30" t="s">
        <v>944</v>
      </c>
      <c r="D21" s="182">
        <v>160942.59528900002</v>
      </c>
      <c r="E21" s="182">
        <v>200501.44500000001</v>
      </c>
      <c r="F21" s="13">
        <f>[1]!Table323[[#This Row],[Single Family]]+[1]!Table323[[#This Row],[2-4 Units]]+[1]!Table323[[#This Row],[&gt;4 Units]]</f>
        <v>348</v>
      </c>
      <c r="G21" s="30">
        <v>90</v>
      </c>
      <c r="H21" s="30">
        <v>15</v>
      </c>
      <c r="I21" s="30">
        <v>243</v>
      </c>
      <c r="J21" s="231">
        <v>100978.5</v>
      </c>
      <c r="K21">
        <f t="shared" si="0"/>
        <v>3</v>
      </c>
      <c r="L21" s="30">
        <v>2</v>
      </c>
      <c r="M21" s="30">
        <v>1</v>
      </c>
      <c r="N21" s="30">
        <v>0</v>
      </c>
      <c r="O21" s="231">
        <v>9236.06</v>
      </c>
      <c r="P21" s="97">
        <f>VLOOKUP(Table323[[#This Row],[Census Tract]],'Population and Diversity Data'!$B$2:$K$823,10,FALSE)</f>
        <v>2</v>
      </c>
      <c r="Q21" s="97" t="str">
        <f>VLOOKUP(Table323[[#This Row],[Census Tract]],'ES Energy Burden'!$B$2:$E$914,4,FALSE)</f>
        <v>No</v>
      </c>
    </row>
    <row r="22" spans="1:17" x14ac:dyDescent="0.2">
      <c r="A22" s="30" t="s">
        <v>2735</v>
      </c>
      <c r="B22" s="169">
        <v>9003400300</v>
      </c>
      <c r="C22" s="30" t="s">
        <v>944</v>
      </c>
      <c r="D22" s="182">
        <v>72218.16</v>
      </c>
      <c r="E22" s="182">
        <v>55554.89</v>
      </c>
      <c r="F22" s="13">
        <f>[1]!Table323[[#This Row],[Single Family]]+[1]!Table323[[#This Row],[2-4 Units]]+[1]!Table323[[#This Row],[&gt;4 Units]]</f>
        <v>112</v>
      </c>
      <c r="G22" s="30">
        <v>112</v>
      </c>
      <c r="H22" s="30">
        <v>0</v>
      </c>
      <c r="I22" s="30">
        <v>0</v>
      </c>
      <c r="J22" s="231">
        <v>534473</v>
      </c>
      <c r="K22">
        <f t="shared" si="0"/>
        <v>3</v>
      </c>
      <c r="L22" s="30">
        <v>3</v>
      </c>
      <c r="M22" s="30">
        <v>0</v>
      </c>
      <c r="N22" s="30">
        <v>0</v>
      </c>
      <c r="O22" s="231">
        <v>1596.13</v>
      </c>
      <c r="P22" s="97">
        <f>VLOOKUP(Table323[[#This Row],[Census Tract]],'Population and Diversity Data'!$B$2:$K$823,10,FALSE)</f>
        <v>2</v>
      </c>
      <c r="Q22" s="97" t="str">
        <f>VLOOKUP(Table323[[#This Row],[Census Tract]],'ES Energy Burden'!$B$2:$E$914,4,FALSE)</f>
        <v>No</v>
      </c>
    </row>
    <row r="23" spans="1:17" x14ac:dyDescent="0.2">
      <c r="A23" s="30" t="s">
        <v>2735</v>
      </c>
      <c r="B23" s="169">
        <v>9003490302</v>
      </c>
      <c r="C23" s="30" t="s">
        <v>944</v>
      </c>
      <c r="D23" s="182">
        <v>27.2895</v>
      </c>
      <c r="E23" s="182">
        <v>0</v>
      </c>
      <c r="F23" s="13">
        <f>[1]!Table323[[#This Row],[Single Family]]+[1]!Table323[[#This Row],[2-4 Units]]+[1]!Table323[[#This Row],[&gt;4 Units]]</f>
        <v>0</v>
      </c>
      <c r="G23" s="30">
        <v>0</v>
      </c>
      <c r="H23" s="30">
        <v>0</v>
      </c>
      <c r="I23" s="30">
        <v>0</v>
      </c>
      <c r="J23" s="231">
        <v>0</v>
      </c>
      <c r="K23">
        <f t="shared" si="0"/>
        <v>0</v>
      </c>
      <c r="L23" s="30">
        <v>0</v>
      </c>
      <c r="M23" s="30">
        <v>0</v>
      </c>
      <c r="N23" s="30">
        <v>0</v>
      </c>
      <c r="O23" s="231">
        <v>0</v>
      </c>
      <c r="P23" s="97">
        <f>VLOOKUP(Table323[[#This Row],[Census Tract]],'Population and Diversity Data'!$B$2:$K$823,10,FALSE)</f>
        <v>5</v>
      </c>
      <c r="Q23" s="97" t="str">
        <f>VLOOKUP(Table323[[#This Row],[Census Tract]],'ES Energy Burden'!$B$2:$E$914,4,FALSE)</f>
        <v>No</v>
      </c>
    </row>
    <row r="24" spans="1:17" x14ac:dyDescent="0.2">
      <c r="A24" s="30" t="s">
        <v>2735</v>
      </c>
      <c r="B24" s="169">
        <v>9009171600</v>
      </c>
      <c r="C24" s="30" t="s">
        <v>944</v>
      </c>
      <c r="D24" s="182">
        <v>100.06311000000001</v>
      </c>
      <c r="E24" s="182">
        <v>0</v>
      </c>
      <c r="F24" s="13">
        <f>[1]!Table323[[#This Row],[Single Family]]+[1]!Table323[[#This Row],[2-4 Units]]+[1]!Table323[[#This Row],[&gt;4 Units]]</f>
        <v>0</v>
      </c>
      <c r="G24" s="30">
        <v>0</v>
      </c>
      <c r="H24" s="30">
        <v>0</v>
      </c>
      <c r="I24" s="30">
        <v>0</v>
      </c>
      <c r="J24" s="231">
        <v>0</v>
      </c>
      <c r="K24">
        <f t="shared" si="0"/>
        <v>0</v>
      </c>
      <c r="L24" s="30">
        <v>0</v>
      </c>
      <c r="M24" s="30">
        <v>0</v>
      </c>
      <c r="N24" s="30">
        <v>0</v>
      </c>
      <c r="O24" s="231">
        <v>0</v>
      </c>
      <c r="P24" s="97">
        <f>VLOOKUP(Table323[[#This Row],[Census Tract]],'Population and Diversity Data'!$B$2:$K$823,10,FALSE)</f>
        <v>3</v>
      </c>
      <c r="Q24" s="97" t="str">
        <f>VLOOKUP(Table323[[#This Row],[Census Tract]],'ES Energy Burden'!$B$2:$E$914,4,FALSE)</f>
        <v>No</v>
      </c>
    </row>
    <row r="25" spans="1:17" x14ac:dyDescent="0.2">
      <c r="A25" s="30" t="s">
        <v>2736</v>
      </c>
      <c r="B25" s="169">
        <v>9009161100</v>
      </c>
      <c r="C25" s="30" t="s">
        <v>944</v>
      </c>
      <c r="D25" s="182">
        <v>99671.70515400001</v>
      </c>
      <c r="E25" s="182">
        <v>212578.21</v>
      </c>
      <c r="F25" s="13">
        <f>[1]!Table323[[#This Row],[Single Family]]+[1]!Table323[[#This Row],[2-4 Units]]+[1]!Table323[[#This Row],[&gt;4 Units]]</f>
        <v>54</v>
      </c>
      <c r="G25" s="30">
        <v>54</v>
      </c>
      <c r="H25" s="30">
        <v>0</v>
      </c>
      <c r="I25" s="30">
        <v>0</v>
      </c>
      <c r="J25" s="231">
        <v>144907.79999999999</v>
      </c>
      <c r="K25">
        <f t="shared" si="0"/>
        <v>3</v>
      </c>
      <c r="L25" s="30">
        <v>3</v>
      </c>
      <c r="M25" s="30">
        <v>0</v>
      </c>
      <c r="N25" s="30">
        <v>0</v>
      </c>
      <c r="O25" s="231">
        <v>26215.37</v>
      </c>
      <c r="P25" s="97">
        <f>VLOOKUP(Table323[[#This Row],[Census Tract]],'Population and Diversity Data'!$B$2:$K$823,10,FALSE)</f>
        <v>4</v>
      </c>
      <c r="Q25" s="97" t="str">
        <f>VLOOKUP(Table323[[#This Row],[Census Tract]],'ES Energy Burden'!$B$2:$E$914,4,FALSE)</f>
        <v>No</v>
      </c>
    </row>
    <row r="26" spans="1:17" x14ac:dyDescent="0.2">
      <c r="A26" s="30" t="s">
        <v>2737</v>
      </c>
      <c r="B26" s="169">
        <v>9001200100</v>
      </c>
      <c r="C26" s="30" t="s">
        <v>944</v>
      </c>
      <c r="D26" s="182">
        <v>152692.95190800002</v>
      </c>
      <c r="E26" s="182">
        <v>126364.43</v>
      </c>
      <c r="F26" s="13">
        <f>[1]!Table323[[#This Row],[Single Family]]+[1]!Table323[[#This Row],[2-4 Units]]+[1]!Table323[[#This Row],[&gt;4 Units]]</f>
        <v>0</v>
      </c>
      <c r="G26" s="30">
        <v>0</v>
      </c>
      <c r="H26" s="30">
        <v>0</v>
      </c>
      <c r="I26" s="30">
        <v>0</v>
      </c>
      <c r="J26" s="231">
        <v>0</v>
      </c>
      <c r="K26">
        <f t="shared" si="0"/>
        <v>2</v>
      </c>
      <c r="L26" s="30">
        <v>0</v>
      </c>
      <c r="M26" s="30">
        <v>2</v>
      </c>
      <c r="N26" s="30">
        <v>0</v>
      </c>
      <c r="O26" s="231">
        <v>1796.01</v>
      </c>
      <c r="P26" s="97">
        <f>VLOOKUP(Table323[[#This Row],[Census Tract]],'Population and Diversity Data'!$B$2:$K$823,10,FALSE)</f>
        <v>4</v>
      </c>
      <c r="Q26" s="97" t="str">
        <f>VLOOKUP(Table323[[#This Row],[Census Tract]],'ES Energy Burden'!$B$2:$E$914,4,FALSE)</f>
        <v>No</v>
      </c>
    </row>
    <row r="27" spans="1:17" x14ac:dyDescent="0.2">
      <c r="A27" s="30" t="s">
        <v>2737</v>
      </c>
      <c r="B27" s="169">
        <v>9001200200</v>
      </c>
      <c r="C27" s="30" t="s">
        <v>944</v>
      </c>
      <c r="D27" s="182">
        <v>67328.166570000001</v>
      </c>
      <c r="E27" s="182">
        <v>118956.015</v>
      </c>
      <c r="F27" s="13">
        <f>[1]!Table323[[#This Row],[Single Family]]+[1]!Table323[[#This Row],[2-4 Units]]+[1]!Table323[[#This Row],[&gt;4 Units]]</f>
        <v>100</v>
      </c>
      <c r="G27" s="30">
        <v>99</v>
      </c>
      <c r="H27" s="30">
        <v>1</v>
      </c>
      <c r="I27" s="30">
        <v>0</v>
      </c>
      <c r="J27" s="231">
        <v>136816.89000000001</v>
      </c>
      <c r="K27">
        <f t="shared" si="0"/>
        <v>109</v>
      </c>
      <c r="L27" s="30">
        <v>6</v>
      </c>
      <c r="M27" s="30">
        <v>2</v>
      </c>
      <c r="N27" s="30">
        <v>101</v>
      </c>
      <c r="O27" s="231">
        <v>108018.67</v>
      </c>
      <c r="P27" s="97">
        <f>VLOOKUP(Table323[[#This Row],[Census Tract]],'Population and Diversity Data'!$B$2:$K$823,10,FALSE)</f>
        <v>4</v>
      </c>
      <c r="Q27" s="97" t="str">
        <f>VLOOKUP(Table323[[#This Row],[Census Tract]],'ES Energy Burden'!$B$2:$E$914,4,FALSE)</f>
        <v>No</v>
      </c>
    </row>
    <row r="28" spans="1:17" x14ac:dyDescent="0.2">
      <c r="A28" s="30" t="s">
        <v>2737</v>
      </c>
      <c r="B28" s="169">
        <v>9001200301</v>
      </c>
      <c r="C28" s="30" t="s">
        <v>944</v>
      </c>
      <c r="D28" s="182">
        <v>56111.637729000002</v>
      </c>
      <c r="E28" s="182">
        <v>37650.06</v>
      </c>
      <c r="F28" s="13">
        <f>[1]!Table323[[#This Row],[Single Family]]+[1]!Table323[[#This Row],[2-4 Units]]+[1]!Table323[[#This Row],[&gt;4 Units]]</f>
        <v>0</v>
      </c>
      <c r="G28" s="30">
        <v>0</v>
      </c>
      <c r="H28" s="30">
        <v>0</v>
      </c>
      <c r="I28" s="30">
        <v>0</v>
      </c>
      <c r="J28" s="231">
        <v>22189.64</v>
      </c>
      <c r="K28">
        <f t="shared" si="0"/>
        <v>2</v>
      </c>
      <c r="L28" s="30">
        <v>2</v>
      </c>
      <c r="M28" s="30">
        <v>0</v>
      </c>
      <c r="N28" s="30">
        <v>0</v>
      </c>
      <c r="O28" s="231">
        <v>1206.4000000000001</v>
      </c>
      <c r="P28" s="97">
        <f>VLOOKUP(Table323[[#This Row],[Census Tract]],'Population and Diversity Data'!$B$2:$K$823,10,FALSE)</f>
        <v>4</v>
      </c>
      <c r="Q28" s="97" t="str">
        <f>VLOOKUP(Table323[[#This Row],[Census Tract]],'ES Energy Burden'!$B$2:$E$914,4,FALSE)</f>
        <v>No</v>
      </c>
    </row>
    <row r="29" spans="1:17" x14ac:dyDescent="0.2">
      <c r="A29" s="30" t="s">
        <v>2737</v>
      </c>
      <c r="B29" s="169">
        <v>9001200302</v>
      </c>
      <c r="C29" s="30" t="s">
        <v>944</v>
      </c>
      <c r="D29" s="182">
        <v>68489.328032999998</v>
      </c>
      <c r="E29" s="182">
        <v>68432.675000000003</v>
      </c>
      <c r="F29" s="13">
        <f>[1]!Table323[[#This Row],[Single Family]]+[1]!Table323[[#This Row],[2-4 Units]]+[1]!Table323[[#This Row],[&gt;4 Units]]</f>
        <v>0</v>
      </c>
      <c r="G29" s="30">
        <v>0</v>
      </c>
      <c r="H29" s="30">
        <v>0</v>
      </c>
      <c r="I29" s="30">
        <v>0</v>
      </c>
      <c r="J29" s="231">
        <v>17670.16</v>
      </c>
      <c r="K29">
        <f t="shared" si="0"/>
        <v>2</v>
      </c>
      <c r="L29" s="30">
        <v>2</v>
      </c>
      <c r="M29" s="30">
        <v>0</v>
      </c>
      <c r="N29" s="30">
        <v>0</v>
      </c>
      <c r="O29" s="231">
        <v>1466.75</v>
      </c>
      <c r="P29" s="97">
        <f>VLOOKUP(Table323[[#This Row],[Census Tract]],'Population and Diversity Data'!$B$2:$K$823,10,FALSE)</f>
        <v>1</v>
      </c>
      <c r="Q29" s="97" t="str">
        <f>VLOOKUP(Table323[[#This Row],[Census Tract]],'ES Energy Burden'!$B$2:$E$914,4,FALSE)</f>
        <v>No</v>
      </c>
    </row>
    <row r="30" spans="1:17" x14ac:dyDescent="0.2">
      <c r="A30" s="30" t="s">
        <v>2737</v>
      </c>
      <c r="B30" s="169">
        <v>9001205300</v>
      </c>
      <c r="C30" s="30" t="s">
        <v>944</v>
      </c>
      <c r="D30" s="182">
        <v>198.07347000000001</v>
      </c>
      <c r="E30" s="182">
        <v>0</v>
      </c>
      <c r="F30" s="13">
        <f>[1]!Table323[[#This Row],[Single Family]]+[1]!Table323[[#This Row],[2-4 Units]]+[1]!Table323[[#This Row],[&gt;4 Units]]</f>
        <v>0</v>
      </c>
      <c r="G30" s="30">
        <v>0</v>
      </c>
      <c r="H30" s="30">
        <v>0</v>
      </c>
      <c r="I30" s="30">
        <v>0</v>
      </c>
      <c r="J30" s="231">
        <v>0</v>
      </c>
      <c r="K30">
        <f t="shared" si="0"/>
        <v>0</v>
      </c>
      <c r="L30" s="30">
        <v>0</v>
      </c>
      <c r="M30" s="30">
        <v>0</v>
      </c>
      <c r="N30" s="30">
        <v>0</v>
      </c>
      <c r="O30" s="231">
        <v>0</v>
      </c>
      <c r="P30" s="97">
        <f>VLOOKUP(Table323[[#This Row],[Census Tract]],'Population and Diversity Data'!$B$2:$K$823,10,FALSE)</f>
        <v>4</v>
      </c>
      <c r="Q30" s="97" t="str">
        <f>VLOOKUP(Table323[[#This Row],[Census Tract]],'ES Energy Burden'!$B$2:$E$914,4,FALSE)</f>
        <v>No</v>
      </c>
    </row>
    <row r="31" spans="1:17" x14ac:dyDescent="0.2">
      <c r="A31" s="30" t="s">
        <v>2737</v>
      </c>
      <c r="B31" s="169">
        <v>9001210500</v>
      </c>
      <c r="C31" s="30" t="s">
        <v>944</v>
      </c>
      <c r="D31" s="182">
        <v>160.04204999999999</v>
      </c>
      <c r="E31" s="182">
        <v>0</v>
      </c>
      <c r="F31" s="13">
        <f>[1]!Table323[[#This Row],[Single Family]]+[1]!Table323[[#This Row],[2-4 Units]]+[1]!Table323[[#This Row],[&gt;4 Units]]</f>
        <v>0</v>
      </c>
      <c r="G31" s="30">
        <v>0</v>
      </c>
      <c r="H31" s="30">
        <v>0</v>
      </c>
      <c r="I31" s="30">
        <v>0</v>
      </c>
      <c r="J31" s="231">
        <v>0</v>
      </c>
      <c r="K31">
        <f t="shared" si="0"/>
        <v>0</v>
      </c>
      <c r="L31" s="30">
        <v>0</v>
      </c>
      <c r="M31" s="30">
        <v>0</v>
      </c>
      <c r="N31" s="30">
        <v>0</v>
      </c>
      <c r="O31" s="231">
        <v>0</v>
      </c>
      <c r="P31" s="97">
        <f>VLOOKUP(Table323[[#This Row],[Census Tract]],'Population and Diversity Data'!$B$2:$K$823,10,FALSE)</f>
        <v>4</v>
      </c>
      <c r="Q31" s="97" t="str">
        <f>VLOOKUP(Table323[[#This Row],[Census Tract]],'ES Energy Burden'!$B$2:$E$914,4,FALSE)</f>
        <v>No</v>
      </c>
    </row>
    <row r="32" spans="1:17" x14ac:dyDescent="0.2">
      <c r="A32" s="30" t="s">
        <v>2737</v>
      </c>
      <c r="B32" s="169">
        <v>9001230400</v>
      </c>
      <c r="C32" s="30" t="s">
        <v>944</v>
      </c>
      <c r="D32" s="182">
        <v>583.73931000000005</v>
      </c>
      <c r="E32" s="182">
        <v>4290.7</v>
      </c>
      <c r="F32" s="13">
        <f>[1]!Table323[[#This Row],[Single Family]]+[1]!Table323[[#This Row],[2-4 Units]]+[1]!Table323[[#This Row],[&gt;4 Units]]</f>
        <v>0</v>
      </c>
      <c r="G32" s="30">
        <v>0</v>
      </c>
      <c r="H32" s="30">
        <v>0</v>
      </c>
      <c r="I32" s="30">
        <v>0</v>
      </c>
      <c r="J32" s="231">
        <v>4290.7</v>
      </c>
      <c r="K32">
        <f t="shared" si="0"/>
        <v>0</v>
      </c>
      <c r="L32" s="30">
        <v>0</v>
      </c>
      <c r="M32" s="30">
        <v>0</v>
      </c>
      <c r="N32" s="30">
        <v>0</v>
      </c>
      <c r="O32" s="231">
        <v>0</v>
      </c>
      <c r="P32" s="97">
        <f>VLOOKUP(Table323[[#This Row],[Census Tract]],'Population and Diversity Data'!$B$2:$K$823,10,FALSE)</f>
        <v>2</v>
      </c>
      <c r="Q32" s="97" t="str">
        <f>VLOOKUP(Table323[[#This Row],[Census Tract]],'ES Energy Burden'!$B$2:$E$914,4,FALSE)</f>
        <v>No</v>
      </c>
    </row>
    <row r="33" spans="1:17" x14ac:dyDescent="0.2">
      <c r="A33" s="30" t="s">
        <v>2738</v>
      </c>
      <c r="B33" s="169">
        <v>9005303100</v>
      </c>
      <c r="C33" s="30" t="s">
        <v>944</v>
      </c>
      <c r="D33" s="182">
        <v>40.784520000000001</v>
      </c>
      <c r="E33" s="182">
        <v>105</v>
      </c>
      <c r="F33" s="13">
        <f>[1]!Table323[[#This Row],[Single Family]]+[1]!Table323[[#This Row],[2-4 Units]]+[1]!Table323[[#This Row],[&gt;4 Units]]</f>
        <v>0</v>
      </c>
      <c r="G33" s="30">
        <v>0</v>
      </c>
      <c r="H33" s="30">
        <v>0</v>
      </c>
      <c r="I33" s="30">
        <v>0</v>
      </c>
      <c r="J33" s="231">
        <v>0</v>
      </c>
      <c r="K33">
        <f t="shared" si="0"/>
        <v>0</v>
      </c>
      <c r="L33" s="30">
        <v>0</v>
      </c>
      <c r="M33" s="30">
        <v>0</v>
      </c>
      <c r="N33" s="30">
        <v>0</v>
      </c>
      <c r="O33" s="231">
        <v>0</v>
      </c>
      <c r="P33" s="97">
        <f>VLOOKUP(Table323[[#This Row],[Census Tract]],'Population and Diversity Data'!$B$2:$K$823,10,FALSE)</f>
        <v>1</v>
      </c>
      <c r="Q33" s="97" t="str">
        <f>VLOOKUP(Table323[[#This Row],[Census Tract]],'ES Energy Burden'!$B$2:$E$914,4,FALSE)</f>
        <v>No</v>
      </c>
    </row>
    <row r="34" spans="1:17" x14ac:dyDescent="0.2">
      <c r="A34" s="30" t="s">
        <v>2738</v>
      </c>
      <c r="B34" s="169">
        <v>9005342100</v>
      </c>
      <c r="C34" s="30" t="s">
        <v>944</v>
      </c>
      <c r="D34" s="182">
        <v>72527.743197000003</v>
      </c>
      <c r="E34" s="182">
        <v>117297.355</v>
      </c>
      <c r="F34" s="13">
        <f>[1]!Table323[[#This Row],[Single Family]]+[1]!Table323[[#This Row],[2-4 Units]]+[1]!Table323[[#This Row],[&gt;4 Units]]</f>
        <v>12</v>
      </c>
      <c r="G34" s="30">
        <v>12</v>
      </c>
      <c r="H34" s="30">
        <v>0</v>
      </c>
      <c r="I34" s="30">
        <v>0</v>
      </c>
      <c r="J34" s="231">
        <v>37424.660000000003</v>
      </c>
      <c r="K34">
        <f t="shared" si="0"/>
        <v>3</v>
      </c>
      <c r="L34" s="30">
        <v>3</v>
      </c>
      <c r="M34" s="30">
        <v>0</v>
      </c>
      <c r="N34" s="30">
        <v>0</v>
      </c>
      <c r="O34" s="231">
        <v>59479.43</v>
      </c>
      <c r="P34" s="97">
        <f>VLOOKUP(Table323[[#This Row],[Census Tract]],'Population and Diversity Data'!$B$2:$K$823,10,FALSE)</f>
        <v>2</v>
      </c>
      <c r="Q34" s="97" t="str">
        <f>VLOOKUP(Table323[[#This Row],[Census Tract]],'ES Energy Burden'!$B$2:$E$914,4,FALSE)</f>
        <v>No</v>
      </c>
    </row>
    <row r="35" spans="1:17" x14ac:dyDescent="0.2">
      <c r="A35" s="30" t="s">
        <v>2738</v>
      </c>
      <c r="B35" s="169">
        <v>9005362102</v>
      </c>
      <c r="C35" s="30" t="s">
        <v>944</v>
      </c>
      <c r="D35" s="182">
        <v>160.38981000000001</v>
      </c>
      <c r="E35" s="182">
        <v>0</v>
      </c>
      <c r="F35" s="13">
        <f>[1]!Table323[[#This Row],[Single Family]]+[1]!Table323[[#This Row],[2-4 Units]]+[1]!Table323[[#This Row],[&gt;4 Units]]</f>
        <v>0</v>
      </c>
      <c r="G35" s="30">
        <v>0</v>
      </c>
      <c r="H35" s="30">
        <v>0</v>
      </c>
      <c r="I35" s="30">
        <v>0</v>
      </c>
      <c r="J35" s="231">
        <v>0</v>
      </c>
      <c r="K35">
        <f t="shared" si="0"/>
        <v>0</v>
      </c>
      <c r="L35" s="30">
        <v>0</v>
      </c>
      <c r="M35" s="30">
        <v>0</v>
      </c>
      <c r="N35" s="30">
        <v>0</v>
      </c>
      <c r="O35" s="231">
        <v>0</v>
      </c>
      <c r="P35" s="97">
        <f>VLOOKUP(Table323[[#This Row],[Census Tract]],'Population and Diversity Data'!$B$2:$K$823,10,FALSE)</f>
        <v>1</v>
      </c>
      <c r="Q35" s="97" t="str">
        <f>VLOOKUP(Table323[[#This Row],[Census Tract]],'ES Energy Burden'!$B$2:$E$914,4,FALSE)</f>
        <v>No</v>
      </c>
    </row>
    <row r="36" spans="1:17" x14ac:dyDescent="0.2">
      <c r="A36" s="30" t="s">
        <v>2739</v>
      </c>
      <c r="B36" s="169">
        <v>9003471100</v>
      </c>
      <c r="C36" s="232" t="s">
        <v>936</v>
      </c>
      <c r="D36" s="182">
        <v>27394.344810000002</v>
      </c>
      <c r="E36" s="182">
        <v>90283.66</v>
      </c>
      <c r="F36" s="13">
        <f>[1]!Table323[[#This Row],[Single Family]]+[1]!Table323[[#This Row],[2-4 Units]]+[1]!Table323[[#This Row],[&gt;4 Units]]</f>
        <v>1</v>
      </c>
      <c r="G36" s="30">
        <v>1</v>
      </c>
      <c r="H36" s="30">
        <v>0</v>
      </c>
      <c r="I36" s="30">
        <v>0</v>
      </c>
      <c r="J36" s="231">
        <v>23025.34</v>
      </c>
      <c r="K36">
        <f t="shared" si="0"/>
        <v>32</v>
      </c>
      <c r="L36" s="30">
        <v>31</v>
      </c>
      <c r="M36" s="30">
        <v>1</v>
      </c>
      <c r="N36" s="30">
        <v>0</v>
      </c>
      <c r="O36" s="231">
        <v>38972.5</v>
      </c>
      <c r="P36" s="97">
        <f>VLOOKUP(Table323[[#This Row],[Census Tract]],'Population and Diversity Data'!$B$2:$K$823,10,FALSE)</f>
        <v>3</v>
      </c>
      <c r="Q36" s="97" t="str">
        <f>VLOOKUP(Table323[[#This Row],[Census Tract]],'ES Energy Burden'!$B$2:$E$914,4,FALSE)</f>
        <v>No</v>
      </c>
    </row>
    <row r="37" spans="1:17" x14ac:dyDescent="0.2">
      <c r="A37" s="30" t="s">
        <v>2739</v>
      </c>
      <c r="B37" s="169">
        <v>9003471200</v>
      </c>
      <c r="C37" s="232" t="s">
        <v>936</v>
      </c>
      <c r="D37" s="182">
        <v>23472.959097000003</v>
      </c>
      <c r="E37" s="182">
        <v>38140.480000000003</v>
      </c>
      <c r="F37" s="13">
        <f>[1]!Table323[[#This Row],[Single Family]]+[1]!Table323[[#This Row],[2-4 Units]]+[1]!Table323[[#This Row],[&gt;4 Units]]</f>
        <v>693</v>
      </c>
      <c r="G37" s="30">
        <v>169</v>
      </c>
      <c r="H37" s="30">
        <v>4</v>
      </c>
      <c r="I37" s="30">
        <v>520</v>
      </c>
      <c r="J37" s="231">
        <v>292662.89</v>
      </c>
      <c r="K37">
        <f t="shared" si="0"/>
        <v>84</v>
      </c>
      <c r="L37" s="30">
        <v>72</v>
      </c>
      <c r="M37" s="30">
        <v>12</v>
      </c>
      <c r="N37" s="30">
        <v>0</v>
      </c>
      <c r="O37" s="231">
        <v>197819.28</v>
      </c>
      <c r="P37" s="97">
        <f>VLOOKUP(Table323[[#This Row],[Census Tract]],'Population and Diversity Data'!$B$2:$K$823,10,FALSE)</f>
        <v>1</v>
      </c>
      <c r="Q37" s="97" t="str">
        <f>VLOOKUP(Table323[[#This Row],[Census Tract]],'ES Energy Burden'!$B$2:$E$914,4,FALSE)</f>
        <v>No</v>
      </c>
    </row>
    <row r="38" spans="1:17" x14ac:dyDescent="0.2">
      <c r="A38" s="30" t="s">
        <v>2739</v>
      </c>
      <c r="B38" s="169">
        <v>9003471300</v>
      </c>
      <c r="C38" s="232" t="s">
        <v>944</v>
      </c>
      <c r="D38" s="182">
        <v>158814.70256400001</v>
      </c>
      <c r="E38" s="182">
        <v>444467.91499999998</v>
      </c>
      <c r="F38" s="13">
        <f>[1]!Table323[[#This Row],[Single Family]]+[1]!Table323[[#This Row],[2-4 Units]]+[1]!Table323[[#This Row],[&gt;4 Units]]</f>
        <v>0</v>
      </c>
      <c r="G38" s="30">
        <v>0</v>
      </c>
      <c r="H38" s="30">
        <v>0</v>
      </c>
      <c r="I38" s="30">
        <v>0</v>
      </c>
      <c r="J38" s="231">
        <v>13170.02</v>
      </c>
      <c r="K38">
        <f t="shared" si="0"/>
        <v>16</v>
      </c>
      <c r="L38" s="30">
        <v>15</v>
      </c>
      <c r="M38" s="30">
        <v>1</v>
      </c>
      <c r="N38" s="30">
        <v>0</v>
      </c>
      <c r="O38" s="231">
        <v>13725.36</v>
      </c>
      <c r="P38" s="97">
        <f>VLOOKUP(Table323[[#This Row],[Census Tract]],'Population and Diversity Data'!$B$2:$K$823,10,FALSE)</f>
        <v>1</v>
      </c>
      <c r="Q38" s="97" t="str">
        <f>VLOOKUP(Table323[[#This Row],[Census Tract]],'ES Energy Burden'!$B$2:$E$914,4,FALSE)</f>
        <v>No</v>
      </c>
    </row>
    <row r="39" spans="1:17" x14ac:dyDescent="0.2">
      <c r="A39" s="30" t="s">
        <v>2739</v>
      </c>
      <c r="B39" s="169">
        <v>9003471400</v>
      </c>
      <c r="C39" s="232" t="s">
        <v>944</v>
      </c>
      <c r="D39" s="182">
        <v>75290.469870000001</v>
      </c>
      <c r="E39" s="182">
        <v>85384.09</v>
      </c>
      <c r="F39" s="13">
        <f>[1]!Table323[[#This Row],[Single Family]]+[1]!Table323[[#This Row],[2-4 Units]]+[1]!Table323[[#This Row],[&gt;4 Units]]</f>
        <v>0</v>
      </c>
      <c r="G39" s="30">
        <v>0</v>
      </c>
      <c r="H39" s="30">
        <v>0</v>
      </c>
      <c r="I39" s="30">
        <v>0</v>
      </c>
      <c r="J39" s="231">
        <v>43203.5</v>
      </c>
      <c r="K39">
        <f t="shared" si="0"/>
        <v>9</v>
      </c>
      <c r="L39" s="30">
        <v>8</v>
      </c>
      <c r="M39" s="30">
        <v>1</v>
      </c>
      <c r="N39" s="30">
        <v>0</v>
      </c>
      <c r="O39" s="231">
        <v>13892.51</v>
      </c>
      <c r="P39" s="97">
        <f>VLOOKUP(Table323[[#This Row],[Census Tract]],'Population and Diversity Data'!$B$2:$K$823,10,FALSE)</f>
        <v>2</v>
      </c>
      <c r="Q39" s="97" t="str">
        <f>VLOOKUP(Table323[[#This Row],[Census Tract]],'ES Energy Burden'!$B$2:$E$914,4,FALSE)</f>
        <v>No</v>
      </c>
    </row>
    <row r="40" spans="1:17" x14ac:dyDescent="0.2">
      <c r="A40" s="30" t="s">
        <v>2739</v>
      </c>
      <c r="B40" s="169">
        <v>9003471500</v>
      </c>
      <c r="C40" s="232" t="s">
        <v>944</v>
      </c>
      <c r="D40" s="182">
        <v>31899.162162000004</v>
      </c>
      <c r="E40" s="182">
        <v>80541.53</v>
      </c>
      <c r="F40" s="13">
        <f>[1]!Table323[[#This Row],[Single Family]]+[1]!Table323[[#This Row],[2-4 Units]]+[1]!Table323[[#This Row],[&gt;4 Units]]</f>
        <v>1</v>
      </c>
      <c r="G40" s="30">
        <v>1</v>
      </c>
      <c r="H40" s="30">
        <v>0</v>
      </c>
      <c r="I40" s="30">
        <v>0</v>
      </c>
      <c r="J40" s="231">
        <v>15183.68</v>
      </c>
      <c r="K40">
        <f t="shared" si="0"/>
        <v>11</v>
      </c>
      <c r="L40" s="30">
        <v>10</v>
      </c>
      <c r="M40" s="30">
        <v>1</v>
      </c>
      <c r="N40" s="30">
        <v>0</v>
      </c>
      <c r="O40" s="231">
        <v>28998.34</v>
      </c>
      <c r="P40" s="97">
        <f>VLOOKUP(Table323[[#This Row],[Census Tract]],'Population and Diversity Data'!$B$2:$K$823,10,FALSE)</f>
        <v>3</v>
      </c>
      <c r="Q40" s="97" t="str">
        <f>VLOOKUP(Table323[[#This Row],[Census Tract]],'ES Energy Burden'!$B$2:$E$914,4,FALSE)</f>
        <v>No</v>
      </c>
    </row>
    <row r="41" spans="1:17" x14ac:dyDescent="0.2">
      <c r="A41" s="30" t="s">
        <v>2739</v>
      </c>
      <c r="B41" s="169">
        <v>9003473100</v>
      </c>
      <c r="C41" s="232" t="s">
        <v>944</v>
      </c>
      <c r="D41" s="182">
        <v>880.42205999999999</v>
      </c>
      <c r="E41" s="182">
        <v>783.25</v>
      </c>
      <c r="F41" s="13">
        <f>[1]!Table323[[#This Row],[Single Family]]+[1]!Table323[[#This Row],[2-4 Units]]+[1]!Table323[[#This Row],[&gt;4 Units]]</f>
        <v>0</v>
      </c>
      <c r="G41" s="30">
        <v>0</v>
      </c>
      <c r="H41" s="30">
        <v>0</v>
      </c>
      <c r="I41" s="30">
        <v>0</v>
      </c>
      <c r="J41" s="231">
        <v>0</v>
      </c>
      <c r="K41">
        <f t="shared" si="0"/>
        <v>0</v>
      </c>
      <c r="L41" s="30">
        <v>0</v>
      </c>
      <c r="M41" s="30">
        <v>0</v>
      </c>
      <c r="N41" s="30">
        <v>0</v>
      </c>
      <c r="O41" s="231">
        <v>0</v>
      </c>
      <c r="P41" s="97">
        <f>VLOOKUP(Table323[[#This Row],[Census Tract]],'Population and Diversity Data'!$B$2:$K$823,10,FALSE)</f>
        <v>1</v>
      </c>
      <c r="Q41" s="97" t="str">
        <f>VLOOKUP(Table323[[#This Row],[Census Tract]],'ES Energy Burden'!$B$2:$E$914,4,FALSE)</f>
        <v>No</v>
      </c>
    </row>
    <row r="42" spans="1:17" x14ac:dyDescent="0.2">
      <c r="A42" s="30" t="s">
        <v>2739</v>
      </c>
      <c r="B42" s="169">
        <v>9003473501</v>
      </c>
      <c r="C42" s="232" t="s">
        <v>944</v>
      </c>
      <c r="D42" s="182">
        <v>80.110380000000006</v>
      </c>
      <c r="E42" s="182">
        <v>0</v>
      </c>
      <c r="F42" s="13">
        <f>[1]!Table323[[#This Row],[Single Family]]+[1]!Table323[[#This Row],[2-4 Units]]+[1]!Table323[[#This Row],[&gt;4 Units]]</f>
        <v>0</v>
      </c>
      <c r="G42" s="30">
        <v>0</v>
      </c>
      <c r="H42" s="30">
        <v>0</v>
      </c>
      <c r="I42" s="30">
        <v>0</v>
      </c>
      <c r="J42" s="231">
        <v>0</v>
      </c>
      <c r="K42">
        <f t="shared" si="0"/>
        <v>0</v>
      </c>
      <c r="L42" s="30">
        <v>0</v>
      </c>
      <c r="M42" s="30">
        <v>0</v>
      </c>
      <c r="N42" s="30">
        <v>0</v>
      </c>
      <c r="O42" s="231">
        <v>0</v>
      </c>
      <c r="P42" s="97">
        <f>VLOOKUP(Table323[[#This Row],[Census Tract]],'Population and Diversity Data'!$B$2:$K$823,10,FALSE)</f>
        <v>3</v>
      </c>
      <c r="Q42" s="97" t="str">
        <f>VLOOKUP(Table323[[#This Row],[Census Tract]],'ES Energy Burden'!$B$2:$E$914,4,FALSE)</f>
        <v>No</v>
      </c>
    </row>
    <row r="43" spans="1:17" x14ac:dyDescent="0.2">
      <c r="A43" s="30" t="s">
        <v>2739</v>
      </c>
      <c r="B43" s="169">
        <v>9003503900</v>
      </c>
      <c r="C43" s="232" t="s">
        <v>944</v>
      </c>
      <c r="D43" s="182">
        <v>116.82804</v>
      </c>
      <c r="E43" s="182">
        <v>0</v>
      </c>
      <c r="F43" s="13">
        <f>[1]!Table323[[#This Row],[Single Family]]+[1]!Table323[[#This Row],[2-4 Units]]+[1]!Table323[[#This Row],[&gt;4 Units]]</f>
        <v>0</v>
      </c>
      <c r="G43" s="30">
        <v>0</v>
      </c>
      <c r="H43" s="30">
        <v>0</v>
      </c>
      <c r="I43" s="30">
        <v>0</v>
      </c>
      <c r="J43" s="231">
        <v>0</v>
      </c>
      <c r="K43">
        <f t="shared" si="0"/>
        <v>0</v>
      </c>
      <c r="L43" s="30">
        <v>0</v>
      </c>
      <c r="M43" s="30">
        <v>0</v>
      </c>
      <c r="N43" s="30">
        <v>0</v>
      </c>
      <c r="O43" s="231">
        <v>0</v>
      </c>
      <c r="P43" s="97">
        <f>VLOOKUP(Table323[[#This Row],[Census Tract]],'Population and Diversity Data'!$B$2:$K$823,10,FALSE)</f>
        <v>2</v>
      </c>
      <c r="Q43" s="97" t="str">
        <f>VLOOKUP(Table323[[#This Row],[Census Tract]],'ES Energy Burden'!$B$2:$E$914,4,FALSE)</f>
        <v>No</v>
      </c>
    </row>
    <row r="44" spans="1:17" x14ac:dyDescent="0.2">
      <c r="A44" s="30" t="s">
        <v>2740</v>
      </c>
      <c r="B44" s="169">
        <v>9003514900</v>
      </c>
      <c r="C44" s="232" t="s">
        <v>944</v>
      </c>
      <c r="D44" s="182">
        <v>11.81901</v>
      </c>
      <c r="E44" s="182">
        <v>0</v>
      </c>
      <c r="F44" s="13">
        <f>[1]!Table323[[#This Row],[Single Family]]+[1]!Table323[[#This Row],[2-4 Units]]+[1]!Table323[[#This Row],[&gt;4 Units]]</f>
        <v>0</v>
      </c>
      <c r="G44" s="30">
        <v>0</v>
      </c>
      <c r="H44" s="30">
        <v>0</v>
      </c>
      <c r="I44" s="30">
        <v>0</v>
      </c>
      <c r="J44" s="231">
        <v>0</v>
      </c>
      <c r="K44">
        <f t="shared" si="0"/>
        <v>0</v>
      </c>
      <c r="L44" s="30">
        <v>0</v>
      </c>
      <c r="M44" s="30">
        <v>0</v>
      </c>
      <c r="N44" s="30">
        <v>0</v>
      </c>
      <c r="O44" s="231">
        <v>0</v>
      </c>
      <c r="P44" s="97">
        <f>VLOOKUP(Table323[[#This Row],[Census Tract]],'Population and Diversity Data'!$B$2:$K$823,10,FALSE)</f>
        <v>3</v>
      </c>
      <c r="Q44" s="97" t="str">
        <f>VLOOKUP(Table323[[#This Row],[Census Tract]],'ES Energy Burden'!$B$2:$E$914,4,FALSE)</f>
        <v>No</v>
      </c>
    </row>
    <row r="45" spans="1:17" x14ac:dyDescent="0.2">
      <c r="A45" s="30" t="s">
        <v>2740</v>
      </c>
      <c r="B45" s="169">
        <v>9013528100</v>
      </c>
      <c r="C45" s="232" t="s">
        <v>944</v>
      </c>
      <c r="D45" s="182">
        <v>110.27856</v>
      </c>
      <c r="E45" s="182">
        <v>0</v>
      </c>
      <c r="F45" s="13">
        <f>[1]!Table323[[#This Row],[Single Family]]+[1]!Table323[[#This Row],[2-4 Units]]+[1]!Table323[[#This Row],[&gt;4 Units]]</f>
        <v>0</v>
      </c>
      <c r="G45" s="30">
        <v>0</v>
      </c>
      <c r="H45" s="30">
        <v>0</v>
      </c>
      <c r="I45" s="30">
        <v>0</v>
      </c>
      <c r="J45" s="231">
        <v>0</v>
      </c>
      <c r="K45">
        <f t="shared" si="0"/>
        <v>0</v>
      </c>
      <c r="L45" s="30">
        <v>0</v>
      </c>
      <c r="M45" s="30">
        <v>0</v>
      </c>
      <c r="N45" s="30">
        <v>0</v>
      </c>
      <c r="O45" s="231">
        <v>0</v>
      </c>
      <c r="P45" s="97">
        <f>VLOOKUP(Table323[[#This Row],[Census Tract]],'Population and Diversity Data'!$B$2:$K$823,10,FALSE)</f>
        <v>1</v>
      </c>
      <c r="Q45" s="97" t="str">
        <f>VLOOKUP(Table323[[#This Row],[Census Tract]],'ES Energy Burden'!$B$2:$E$914,4,FALSE)</f>
        <v>No</v>
      </c>
    </row>
    <row r="46" spans="1:17" x14ac:dyDescent="0.2">
      <c r="A46" s="30" t="s">
        <v>2740</v>
      </c>
      <c r="B46" s="169">
        <v>9013529100</v>
      </c>
      <c r="C46" s="232" t="s">
        <v>944</v>
      </c>
      <c r="D46" s="182">
        <v>87392.111184000009</v>
      </c>
      <c r="E46" s="182">
        <v>192561.92000000001</v>
      </c>
      <c r="F46" s="13">
        <f>[1]!Table323[[#This Row],[Single Family]]+[1]!Table323[[#This Row],[2-4 Units]]+[1]!Table323[[#This Row],[&gt;4 Units]]</f>
        <v>34</v>
      </c>
      <c r="G46" s="30">
        <v>34</v>
      </c>
      <c r="H46" s="30">
        <v>0</v>
      </c>
      <c r="I46" s="30">
        <v>0</v>
      </c>
      <c r="J46" s="231">
        <v>95631.98</v>
      </c>
      <c r="K46">
        <f t="shared" si="0"/>
        <v>7</v>
      </c>
      <c r="L46" s="30">
        <v>7</v>
      </c>
      <c r="M46" s="30">
        <v>0</v>
      </c>
      <c r="N46" s="30">
        <v>0</v>
      </c>
      <c r="O46" s="231">
        <v>56783.71</v>
      </c>
      <c r="P46" s="97">
        <f>VLOOKUP(Table323[[#This Row],[Census Tract]],'Population and Diversity Data'!$B$2:$K$823,10,FALSE)</f>
        <v>2</v>
      </c>
      <c r="Q46" s="97" t="str">
        <f>VLOOKUP(Table323[[#This Row],[Census Tract]],'ES Energy Burden'!$B$2:$E$914,4,FALSE)</f>
        <v>No</v>
      </c>
    </row>
    <row r="47" spans="1:17" x14ac:dyDescent="0.2">
      <c r="A47" s="30" t="s">
        <v>2740</v>
      </c>
      <c r="B47" s="169">
        <v>9013530600</v>
      </c>
      <c r="C47" s="232" t="s">
        <v>944</v>
      </c>
      <c r="D47" s="182">
        <v>279.05324999999999</v>
      </c>
      <c r="E47" s="182">
        <v>35</v>
      </c>
      <c r="F47" s="13">
        <f>[1]!Table323[[#This Row],[Single Family]]+[1]!Table323[[#This Row],[2-4 Units]]+[1]!Table323[[#This Row],[&gt;4 Units]]</f>
        <v>0</v>
      </c>
      <c r="G47" s="30">
        <v>0</v>
      </c>
      <c r="H47" s="30">
        <v>0</v>
      </c>
      <c r="I47" s="30">
        <v>0</v>
      </c>
      <c r="J47" s="231">
        <v>0</v>
      </c>
      <c r="K47">
        <f t="shared" si="0"/>
        <v>0</v>
      </c>
      <c r="L47" s="30">
        <v>0</v>
      </c>
      <c r="M47" s="30">
        <v>0</v>
      </c>
      <c r="N47" s="30">
        <v>0</v>
      </c>
      <c r="O47" s="231">
        <v>0</v>
      </c>
      <c r="P47" s="97">
        <f>VLOOKUP(Table323[[#This Row],[Census Tract]],'Population and Diversity Data'!$B$2:$K$823,10,FALSE)</f>
        <v>4</v>
      </c>
      <c r="Q47" s="97" t="str">
        <f>VLOOKUP(Table323[[#This Row],[Census Tract]],'ES Energy Burden'!$B$2:$E$914,4,FALSE)</f>
        <v>No</v>
      </c>
    </row>
    <row r="48" spans="1:17" x14ac:dyDescent="0.2">
      <c r="A48" s="30" t="s">
        <v>2741</v>
      </c>
      <c r="B48" s="169">
        <v>9009184100</v>
      </c>
      <c r="C48" s="232" t="s">
        <v>936</v>
      </c>
      <c r="D48" s="182">
        <v>60128.009255999998</v>
      </c>
      <c r="E48" s="182">
        <v>29403.87</v>
      </c>
      <c r="F48" s="13">
        <f>[1]!Table323[[#This Row],[Single Family]]+[1]!Table323[[#This Row],[2-4 Units]]+[1]!Table323[[#This Row],[&gt;4 Units]]</f>
        <v>2</v>
      </c>
      <c r="G48" s="30">
        <v>2</v>
      </c>
      <c r="H48" s="30">
        <v>0</v>
      </c>
      <c r="I48" s="30">
        <v>0</v>
      </c>
      <c r="J48" s="231">
        <v>2913.74</v>
      </c>
      <c r="K48">
        <f t="shared" si="0"/>
        <v>3</v>
      </c>
      <c r="L48" s="30">
        <v>3</v>
      </c>
      <c r="M48" s="30">
        <v>0</v>
      </c>
      <c r="N48" s="30">
        <v>0</v>
      </c>
      <c r="O48" s="231">
        <v>2337.56</v>
      </c>
      <c r="P48" s="97">
        <f>VLOOKUP(Table323[[#This Row],[Census Tract]],'Population and Diversity Data'!$B$2:$K$823,10,FALSE)</f>
        <v>3</v>
      </c>
      <c r="Q48" s="97" t="str">
        <f>VLOOKUP(Table323[[#This Row],[Census Tract]],'ES Energy Burden'!$B$2:$E$914,4,FALSE)</f>
        <v>No</v>
      </c>
    </row>
    <row r="49" spans="1:17" x14ac:dyDescent="0.2">
      <c r="A49" s="30" t="s">
        <v>2741</v>
      </c>
      <c r="B49" s="169">
        <v>9009184200</v>
      </c>
      <c r="C49" s="232" t="s">
        <v>944</v>
      </c>
      <c r="D49" s="182">
        <v>38564.253042000004</v>
      </c>
      <c r="E49" s="182">
        <v>15235.69</v>
      </c>
      <c r="F49" s="13">
        <f>[1]!Table323[[#This Row],[Single Family]]+[1]!Table323[[#This Row],[2-4 Units]]+[1]!Table323[[#This Row],[&gt;4 Units]]</f>
        <v>1</v>
      </c>
      <c r="G49" s="30">
        <v>1</v>
      </c>
      <c r="H49" s="30">
        <v>0</v>
      </c>
      <c r="I49" s="30">
        <v>0</v>
      </c>
      <c r="J49" s="231">
        <v>2730.36</v>
      </c>
      <c r="K49">
        <f t="shared" si="0"/>
        <v>5</v>
      </c>
      <c r="L49" s="30">
        <v>3</v>
      </c>
      <c r="M49" s="30">
        <v>2</v>
      </c>
      <c r="N49" s="30">
        <v>0</v>
      </c>
      <c r="O49" s="231">
        <v>1029.93</v>
      </c>
      <c r="P49" s="97">
        <f>VLOOKUP(Table323[[#This Row],[Census Tract]],'Population and Diversity Data'!$B$2:$K$823,10,FALSE)</f>
        <v>5</v>
      </c>
      <c r="Q49" s="97" t="str">
        <f>VLOOKUP(Table323[[#This Row],[Census Tract]],'ES Energy Burden'!$B$2:$E$914,4,FALSE)</f>
        <v>No</v>
      </c>
    </row>
    <row r="50" spans="1:17" x14ac:dyDescent="0.2">
      <c r="A50" s="30" t="s">
        <v>2741</v>
      </c>
      <c r="B50" s="169">
        <v>9009184300</v>
      </c>
      <c r="C50" s="232" t="s">
        <v>944</v>
      </c>
      <c r="D50" s="182">
        <v>189344.66840100003</v>
      </c>
      <c r="E50" s="182">
        <v>272982.57500000001</v>
      </c>
      <c r="F50" s="13">
        <f>[1]!Table323[[#This Row],[Single Family]]+[1]!Table323[[#This Row],[2-4 Units]]+[1]!Table323[[#This Row],[&gt;4 Units]]</f>
        <v>136</v>
      </c>
      <c r="G50" s="30">
        <v>0</v>
      </c>
      <c r="H50" s="30">
        <v>0</v>
      </c>
      <c r="I50" s="30">
        <v>136</v>
      </c>
      <c r="J50" s="231">
        <v>4965.83</v>
      </c>
      <c r="K50">
        <f t="shared" si="0"/>
        <v>3</v>
      </c>
      <c r="L50" s="30">
        <v>1</v>
      </c>
      <c r="M50" s="30">
        <v>2</v>
      </c>
      <c r="N50" s="30">
        <v>0</v>
      </c>
      <c r="O50" s="231">
        <v>1589.25</v>
      </c>
      <c r="P50" s="97">
        <f>VLOOKUP(Table323[[#This Row],[Census Tract]],'Population and Diversity Data'!$B$2:$K$823,10,FALSE)</f>
        <v>2</v>
      </c>
      <c r="Q50" s="97" t="str">
        <f>VLOOKUP(Table323[[#This Row],[Census Tract]],'ES Energy Burden'!$B$2:$E$914,4,FALSE)</f>
        <v>No</v>
      </c>
    </row>
    <row r="51" spans="1:17" x14ac:dyDescent="0.2">
      <c r="A51" s="30" t="s">
        <v>2741</v>
      </c>
      <c r="B51" s="169">
        <v>9009184400</v>
      </c>
      <c r="C51" s="232" t="s">
        <v>944</v>
      </c>
      <c r="D51" s="182">
        <v>44264.012394000005</v>
      </c>
      <c r="E51" s="182">
        <v>43856.26</v>
      </c>
      <c r="F51" s="13">
        <f>[1]!Table323[[#This Row],[Single Family]]+[1]!Table323[[#This Row],[2-4 Units]]+[1]!Table323[[#This Row],[&gt;4 Units]]</f>
        <v>1</v>
      </c>
      <c r="G51" s="30">
        <v>1</v>
      </c>
      <c r="H51" s="30">
        <v>0</v>
      </c>
      <c r="I51" s="30">
        <v>0</v>
      </c>
      <c r="J51" s="231">
        <v>9347.7900000000009</v>
      </c>
      <c r="K51">
        <f t="shared" si="0"/>
        <v>4</v>
      </c>
      <c r="L51" s="30">
        <v>3</v>
      </c>
      <c r="M51" s="30">
        <v>1</v>
      </c>
      <c r="N51" s="30">
        <v>0</v>
      </c>
      <c r="O51" s="231">
        <v>1445.71</v>
      </c>
      <c r="P51" s="97">
        <f>VLOOKUP(Table323[[#This Row],[Census Tract]],'Population and Diversity Data'!$B$2:$K$823,10,FALSE)</f>
        <v>1</v>
      </c>
      <c r="Q51" s="97" t="str">
        <f>VLOOKUP(Table323[[#This Row],[Census Tract]],'ES Energy Burden'!$B$2:$E$914,4,FALSE)</f>
        <v>No</v>
      </c>
    </row>
    <row r="52" spans="1:17" x14ac:dyDescent="0.2">
      <c r="A52" s="30" t="s">
        <v>2741</v>
      </c>
      <c r="B52" s="169">
        <v>9009184500</v>
      </c>
      <c r="C52" s="232" t="s">
        <v>944</v>
      </c>
      <c r="D52" s="182">
        <v>31520.662110000001</v>
      </c>
      <c r="E52" s="182">
        <v>49876.23</v>
      </c>
      <c r="F52" s="13">
        <f>[1]!Table323[[#This Row],[Single Family]]+[1]!Table323[[#This Row],[2-4 Units]]+[1]!Table323[[#This Row],[&gt;4 Units]]</f>
        <v>0</v>
      </c>
      <c r="G52" s="30">
        <v>0</v>
      </c>
      <c r="H52" s="30">
        <v>0</v>
      </c>
      <c r="I52" s="30">
        <v>0</v>
      </c>
      <c r="J52" s="231">
        <v>22677.279999999999</v>
      </c>
      <c r="K52">
        <f t="shared" si="0"/>
        <v>2</v>
      </c>
      <c r="L52" s="30">
        <v>2</v>
      </c>
      <c r="M52" s="30">
        <v>0</v>
      </c>
      <c r="N52" s="30">
        <v>0</v>
      </c>
      <c r="O52" s="231">
        <v>520.55999999999995</v>
      </c>
      <c r="P52" s="97">
        <f>VLOOKUP(Table323[[#This Row],[Census Tract]],'Population and Diversity Data'!$B$2:$K$823,10,FALSE)</f>
        <v>1</v>
      </c>
      <c r="Q52" s="97" t="str">
        <f>VLOOKUP(Table323[[#This Row],[Census Tract]],'ES Energy Burden'!$B$2:$E$914,4,FALSE)</f>
        <v>No</v>
      </c>
    </row>
    <row r="53" spans="1:17" x14ac:dyDescent="0.2">
      <c r="A53" s="30" t="s">
        <v>2741</v>
      </c>
      <c r="B53" s="169">
        <v>9009184600</v>
      </c>
      <c r="C53" s="232" t="s">
        <v>944</v>
      </c>
      <c r="D53" s="182">
        <v>44300.319987000003</v>
      </c>
      <c r="E53" s="182">
        <v>58365.85</v>
      </c>
      <c r="F53" s="13">
        <f>[1]!Table323[[#This Row],[Single Family]]+[1]!Table323[[#This Row],[2-4 Units]]+[1]!Table323[[#This Row],[&gt;4 Units]]</f>
        <v>1</v>
      </c>
      <c r="G53" s="30">
        <v>1</v>
      </c>
      <c r="H53" s="30">
        <v>0</v>
      </c>
      <c r="I53" s="30">
        <v>0</v>
      </c>
      <c r="J53" s="231">
        <v>8594.61</v>
      </c>
      <c r="K53">
        <f t="shared" si="0"/>
        <v>1</v>
      </c>
      <c r="L53" s="30">
        <v>1</v>
      </c>
      <c r="M53" s="30">
        <v>0</v>
      </c>
      <c r="N53" s="30">
        <v>0</v>
      </c>
      <c r="O53" s="231">
        <v>1828.2</v>
      </c>
      <c r="P53" s="97">
        <f>VLOOKUP(Table323[[#This Row],[Census Tract]],'Population and Diversity Data'!$B$2:$K$823,10,FALSE)</f>
        <v>1</v>
      </c>
      <c r="Q53" s="97" t="str">
        <f>VLOOKUP(Table323[[#This Row],[Census Tract]],'ES Energy Burden'!$B$2:$E$914,4,FALSE)</f>
        <v>No</v>
      </c>
    </row>
    <row r="54" spans="1:17" x14ac:dyDescent="0.2">
      <c r="A54" s="30" t="s">
        <v>2741</v>
      </c>
      <c r="B54" s="169">
        <v>9009184700</v>
      </c>
      <c r="C54" s="232" t="s">
        <v>944</v>
      </c>
      <c r="D54" s="182">
        <v>68776.826054999998</v>
      </c>
      <c r="E54" s="182">
        <v>92814.97</v>
      </c>
      <c r="F54" s="13">
        <f>[1]!Table323[[#This Row],[Single Family]]+[1]!Table323[[#This Row],[2-4 Units]]+[1]!Table323[[#This Row],[&gt;4 Units]]</f>
        <v>372</v>
      </c>
      <c r="G54" s="30">
        <v>362</v>
      </c>
      <c r="H54" s="30">
        <v>10</v>
      </c>
      <c r="I54" s="30">
        <v>0</v>
      </c>
      <c r="J54" s="231">
        <v>339308.21</v>
      </c>
      <c r="K54">
        <f t="shared" si="0"/>
        <v>19</v>
      </c>
      <c r="L54" s="30">
        <v>7</v>
      </c>
      <c r="M54" s="30">
        <v>12</v>
      </c>
      <c r="N54" s="30">
        <v>0</v>
      </c>
      <c r="O54" s="231">
        <v>53671.15</v>
      </c>
      <c r="P54" s="97">
        <f>VLOOKUP(Table323[[#This Row],[Census Tract]],'Population and Diversity Data'!$B$2:$K$823,10,FALSE)</f>
        <v>4</v>
      </c>
      <c r="Q54" s="97" t="str">
        <f>VLOOKUP(Table323[[#This Row],[Census Tract]],'ES Energy Burden'!$B$2:$E$914,4,FALSE)</f>
        <v>No</v>
      </c>
    </row>
    <row r="55" spans="1:17" x14ac:dyDescent="0.2">
      <c r="A55" s="30" t="s">
        <v>2742</v>
      </c>
      <c r="B55" s="169">
        <v>9005250100</v>
      </c>
      <c r="C55" s="232" t="s">
        <v>944</v>
      </c>
      <c r="D55" s="182">
        <v>53683.671110999996</v>
      </c>
      <c r="E55" s="182">
        <v>79010.035000000003</v>
      </c>
      <c r="F55" s="13">
        <f>[1]!Table323[[#This Row],[Single Family]]+[1]!Table323[[#This Row],[2-4 Units]]+[1]!Table323[[#This Row],[&gt;4 Units]]</f>
        <v>19</v>
      </c>
      <c r="G55" s="30">
        <v>19</v>
      </c>
      <c r="H55" s="30">
        <v>0</v>
      </c>
      <c r="I55" s="30">
        <v>0</v>
      </c>
      <c r="J55" s="231">
        <v>51674.07</v>
      </c>
      <c r="K55">
        <f t="shared" si="0"/>
        <v>1</v>
      </c>
      <c r="L55" s="30">
        <v>1</v>
      </c>
      <c r="M55" s="30">
        <v>0</v>
      </c>
      <c r="N55" s="30">
        <v>0</v>
      </c>
      <c r="O55" s="231">
        <v>10322.83</v>
      </c>
      <c r="P55" s="97">
        <f>VLOOKUP(Table323[[#This Row],[Census Tract]],'Population and Diversity Data'!$B$2:$K$823,10,FALSE)</f>
        <v>2</v>
      </c>
      <c r="Q55" s="97" t="str">
        <f>VLOOKUP(Table323[[#This Row],[Census Tract]],'ES Energy Burden'!$B$2:$E$914,4,FALSE)</f>
        <v>No</v>
      </c>
    </row>
    <row r="56" spans="1:17" x14ac:dyDescent="0.2">
      <c r="A56" s="30" t="s">
        <v>2742</v>
      </c>
      <c r="B56" s="169">
        <v>9005268100</v>
      </c>
      <c r="C56" s="232" t="s">
        <v>944</v>
      </c>
      <c r="D56" s="182">
        <v>551.12715000000003</v>
      </c>
      <c r="E56" s="182">
        <v>0</v>
      </c>
      <c r="F56" s="13">
        <f>[1]!Table323[[#This Row],[Single Family]]+[1]!Table323[[#This Row],[2-4 Units]]+[1]!Table323[[#This Row],[&gt;4 Units]]</f>
        <v>0</v>
      </c>
      <c r="G56" s="30">
        <v>0</v>
      </c>
      <c r="H56" s="30">
        <v>0</v>
      </c>
      <c r="I56" s="30">
        <v>0</v>
      </c>
      <c r="J56" s="231">
        <v>0</v>
      </c>
      <c r="K56">
        <f t="shared" si="0"/>
        <v>0</v>
      </c>
      <c r="L56" s="30">
        <v>0</v>
      </c>
      <c r="M56" s="30">
        <v>0</v>
      </c>
      <c r="N56" s="30">
        <v>0</v>
      </c>
      <c r="O56" s="231">
        <v>0</v>
      </c>
      <c r="P56" s="97">
        <f>VLOOKUP(Table323[[#This Row],[Census Tract]],'Population and Diversity Data'!$B$2:$K$823,10,FALSE)</f>
        <v>1</v>
      </c>
      <c r="Q56" s="97" t="str">
        <f>VLOOKUP(Table323[[#This Row],[Census Tract]],'ES Energy Burden'!$B$2:$E$914,4,FALSE)</f>
        <v>No</v>
      </c>
    </row>
    <row r="57" spans="1:17" x14ac:dyDescent="0.2">
      <c r="A57" s="30" t="s">
        <v>2743</v>
      </c>
      <c r="B57" s="169">
        <v>9003405100</v>
      </c>
      <c r="C57" s="232" t="s">
        <v>944</v>
      </c>
      <c r="D57" s="182">
        <v>44185.742244000001</v>
      </c>
      <c r="E57" s="182">
        <v>15566.26</v>
      </c>
      <c r="F57" s="13">
        <f>[1]!Table323[[#This Row],[Single Family]]+[1]!Table323[[#This Row],[2-4 Units]]+[1]!Table323[[#This Row],[&gt;4 Units]]</f>
        <v>0</v>
      </c>
      <c r="G57" s="30">
        <v>0</v>
      </c>
      <c r="H57" s="30">
        <v>0</v>
      </c>
      <c r="I57" s="30">
        <v>0</v>
      </c>
      <c r="J57" s="231">
        <v>5106.17</v>
      </c>
      <c r="K57">
        <f t="shared" si="0"/>
        <v>7</v>
      </c>
      <c r="L57" s="30">
        <v>1</v>
      </c>
      <c r="M57" s="30">
        <v>6</v>
      </c>
      <c r="N57" s="30">
        <v>0</v>
      </c>
      <c r="O57" s="231">
        <v>1410.45</v>
      </c>
      <c r="P57" s="97">
        <f>VLOOKUP(Table323[[#This Row],[Census Tract]],'Population and Diversity Data'!$B$2:$K$823,10,FALSE)</f>
        <v>4</v>
      </c>
      <c r="Q57" s="97" t="str">
        <f>VLOOKUP(Table323[[#This Row],[Census Tract]],'ES Energy Burden'!$B$2:$E$914,4,FALSE)</f>
        <v>No</v>
      </c>
    </row>
    <row r="58" spans="1:17" x14ac:dyDescent="0.2">
      <c r="A58" s="30" t="s">
        <v>2743</v>
      </c>
      <c r="B58" s="169">
        <v>9003405200</v>
      </c>
      <c r="C58" s="232" t="s">
        <v>944</v>
      </c>
      <c r="D58" s="182">
        <v>46721.628450000004</v>
      </c>
      <c r="E58" s="182">
        <v>92427.28</v>
      </c>
      <c r="F58" s="13">
        <f>[1]!Table323[[#This Row],[Single Family]]+[1]!Table323[[#This Row],[2-4 Units]]+[1]!Table323[[#This Row],[&gt;4 Units]]</f>
        <v>0</v>
      </c>
      <c r="G58" s="30">
        <v>0</v>
      </c>
      <c r="H58" s="30">
        <v>0</v>
      </c>
      <c r="I58" s="30">
        <v>0</v>
      </c>
      <c r="J58" s="231">
        <v>11278.79</v>
      </c>
      <c r="K58">
        <f t="shared" si="0"/>
        <v>26</v>
      </c>
      <c r="L58" s="30">
        <v>3</v>
      </c>
      <c r="M58" s="30">
        <v>0</v>
      </c>
      <c r="N58" s="30">
        <v>23</v>
      </c>
      <c r="O58" s="231">
        <v>60219.91</v>
      </c>
      <c r="P58" s="97">
        <f>VLOOKUP(Table323[[#This Row],[Census Tract]],'Population and Diversity Data'!$B$2:$K$823,10,FALSE)</f>
        <v>2</v>
      </c>
      <c r="Q58" s="97" t="str">
        <f>VLOOKUP(Table323[[#This Row],[Census Tract]],'ES Energy Burden'!$B$2:$E$914,4,FALSE)</f>
        <v>No</v>
      </c>
    </row>
    <row r="59" spans="1:17" x14ac:dyDescent="0.2">
      <c r="A59" s="30" t="s">
        <v>2743</v>
      </c>
      <c r="B59" s="169">
        <v>9003405300</v>
      </c>
      <c r="C59" s="232" t="s">
        <v>936</v>
      </c>
      <c r="D59" s="182">
        <v>60907.212870000003</v>
      </c>
      <c r="E59" s="182">
        <v>52851.06</v>
      </c>
      <c r="F59" s="13">
        <f>[1]!Table323[[#This Row],[Single Family]]+[1]!Table323[[#This Row],[2-4 Units]]+[1]!Table323[[#This Row],[&gt;4 Units]]</f>
        <v>1</v>
      </c>
      <c r="G59" s="30">
        <v>1</v>
      </c>
      <c r="H59" s="30">
        <v>0</v>
      </c>
      <c r="I59" s="30">
        <v>0</v>
      </c>
      <c r="J59" s="231">
        <v>15721.71</v>
      </c>
      <c r="K59">
        <f t="shared" si="0"/>
        <v>51</v>
      </c>
      <c r="L59" s="30">
        <v>7</v>
      </c>
      <c r="M59" s="30">
        <v>0</v>
      </c>
      <c r="N59" s="30">
        <v>44</v>
      </c>
      <c r="O59" s="231">
        <v>15492.19</v>
      </c>
      <c r="P59" s="97">
        <f>VLOOKUP(Table323[[#This Row],[Census Tract]],'Population and Diversity Data'!$B$2:$K$823,10,FALSE)</f>
        <v>3</v>
      </c>
      <c r="Q59" s="97" t="str">
        <f>VLOOKUP(Table323[[#This Row],[Census Tract]],'ES Energy Burden'!$B$2:$E$914,4,FALSE)</f>
        <v>No</v>
      </c>
    </row>
    <row r="60" spans="1:17" x14ac:dyDescent="0.2">
      <c r="A60" s="30" t="s">
        <v>2743</v>
      </c>
      <c r="B60" s="169">
        <v>9003405401</v>
      </c>
      <c r="C60" s="232" t="s">
        <v>944</v>
      </c>
      <c r="D60" s="182">
        <v>40952.529135000004</v>
      </c>
      <c r="E60" s="182">
        <v>56769.62</v>
      </c>
      <c r="F60" s="13">
        <f>[1]!Table323[[#This Row],[Single Family]]+[1]!Table323[[#This Row],[2-4 Units]]+[1]!Table323[[#This Row],[&gt;4 Units]]</f>
        <v>1</v>
      </c>
      <c r="G60" s="30">
        <v>1</v>
      </c>
      <c r="H60" s="30">
        <v>0</v>
      </c>
      <c r="I60" s="30">
        <v>0</v>
      </c>
      <c r="J60" s="231">
        <v>17364.849999999999</v>
      </c>
      <c r="K60">
        <f t="shared" si="0"/>
        <v>3</v>
      </c>
      <c r="L60" s="30">
        <v>3</v>
      </c>
      <c r="M60" s="30">
        <v>0</v>
      </c>
      <c r="N60" s="30">
        <v>0</v>
      </c>
      <c r="O60" s="231">
        <v>5728.95</v>
      </c>
      <c r="P60" s="97">
        <f>VLOOKUP(Table323[[#This Row],[Census Tract]],'Population and Diversity Data'!$B$2:$K$823,10,FALSE)</f>
        <v>4</v>
      </c>
      <c r="Q60" s="97" t="str">
        <f>VLOOKUP(Table323[[#This Row],[Census Tract]],'ES Energy Burden'!$B$2:$E$914,4,FALSE)</f>
        <v>No</v>
      </c>
    </row>
    <row r="61" spans="1:17" x14ac:dyDescent="0.2">
      <c r="A61" s="30" t="s">
        <v>2743</v>
      </c>
      <c r="B61" s="169">
        <v>9003405402</v>
      </c>
      <c r="C61" s="232" t="s">
        <v>944</v>
      </c>
      <c r="D61" s="182">
        <v>46575.665849999998</v>
      </c>
      <c r="E61" s="182">
        <v>31981.48</v>
      </c>
      <c r="F61" s="13">
        <f>[1]!Table323[[#This Row],[Single Family]]+[1]!Table323[[#This Row],[2-4 Units]]+[1]!Table323[[#This Row],[&gt;4 Units]]</f>
        <v>0</v>
      </c>
      <c r="G61" s="30">
        <v>0</v>
      </c>
      <c r="H61" s="30">
        <v>0</v>
      </c>
      <c r="I61" s="30">
        <v>0</v>
      </c>
      <c r="J61" s="231">
        <v>3152.87</v>
      </c>
      <c r="K61">
        <f t="shared" si="0"/>
        <v>319</v>
      </c>
      <c r="L61" s="30">
        <v>15</v>
      </c>
      <c r="M61" s="30">
        <v>1</v>
      </c>
      <c r="N61" s="30">
        <v>303</v>
      </c>
      <c r="O61" s="231">
        <v>23612.95</v>
      </c>
      <c r="P61" s="97">
        <f>VLOOKUP(Table323[[#This Row],[Census Tract]],'Population and Diversity Data'!$B$2:$K$823,10,FALSE)</f>
        <v>5</v>
      </c>
      <c r="Q61" s="97" t="str">
        <f>VLOOKUP(Table323[[#This Row],[Census Tract]],'ES Energy Burden'!$B$2:$E$914,4,FALSE)</f>
        <v>No</v>
      </c>
    </row>
    <row r="62" spans="1:17" x14ac:dyDescent="0.2">
      <c r="A62" s="30" t="s">
        <v>2743</v>
      </c>
      <c r="B62" s="169">
        <v>9003405500</v>
      </c>
      <c r="C62" s="232" t="s">
        <v>944</v>
      </c>
      <c r="D62" s="182">
        <v>55656.162450000003</v>
      </c>
      <c r="E62" s="182">
        <v>36117.394999999997</v>
      </c>
      <c r="F62" s="13">
        <f>[1]!Table323[[#This Row],[Single Family]]+[1]!Table323[[#This Row],[2-4 Units]]+[1]!Table323[[#This Row],[&gt;4 Units]]</f>
        <v>1</v>
      </c>
      <c r="G62" s="30">
        <v>1</v>
      </c>
      <c r="H62" s="30">
        <v>0</v>
      </c>
      <c r="I62" s="30">
        <v>0</v>
      </c>
      <c r="J62" s="231">
        <v>6811.4</v>
      </c>
      <c r="K62">
        <f t="shared" si="0"/>
        <v>8</v>
      </c>
      <c r="L62" s="30">
        <v>8</v>
      </c>
      <c r="M62" s="30">
        <v>0</v>
      </c>
      <c r="N62" s="30">
        <v>0</v>
      </c>
      <c r="O62" s="231">
        <v>17667.88</v>
      </c>
      <c r="P62" s="97">
        <f>VLOOKUP(Table323[[#This Row],[Census Tract]],'Population and Diversity Data'!$B$2:$K$823,10,FALSE)</f>
        <v>2</v>
      </c>
      <c r="Q62" s="97" t="str">
        <f>VLOOKUP(Table323[[#This Row],[Census Tract]],'ES Energy Burden'!$B$2:$E$914,4,FALSE)</f>
        <v>No</v>
      </c>
    </row>
    <row r="63" spans="1:17" x14ac:dyDescent="0.2">
      <c r="A63" s="30" t="s">
        <v>2743</v>
      </c>
      <c r="B63" s="169">
        <v>9003405600</v>
      </c>
      <c r="C63" s="232" t="s">
        <v>944</v>
      </c>
      <c r="D63" s="182">
        <v>71352.386847000002</v>
      </c>
      <c r="E63" s="182">
        <v>58739.99</v>
      </c>
      <c r="F63" s="13">
        <f>[1]!Table323[[#This Row],[Single Family]]+[1]!Table323[[#This Row],[2-4 Units]]+[1]!Table323[[#This Row],[&gt;4 Units]]</f>
        <v>0</v>
      </c>
      <c r="G63" s="30">
        <v>0</v>
      </c>
      <c r="H63" s="30">
        <v>0</v>
      </c>
      <c r="I63" s="30">
        <v>0</v>
      </c>
      <c r="J63" s="231">
        <v>7675.57</v>
      </c>
      <c r="K63">
        <f t="shared" si="0"/>
        <v>47</v>
      </c>
      <c r="L63" s="30">
        <v>4</v>
      </c>
      <c r="M63" s="30">
        <v>3</v>
      </c>
      <c r="N63" s="30">
        <v>40</v>
      </c>
      <c r="O63" s="231">
        <v>44204.800000000003</v>
      </c>
      <c r="P63" s="97">
        <f>VLOOKUP(Table323[[#This Row],[Census Tract]],'Population and Diversity Data'!$B$2:$K$823,10,FALSE)</f>
        <v>3</v>
      </c>
      <c r="Q63" s="97" t="str">
        <f>VLOOKUP(Table323[[#This Row],[Census Tract]],'ES Energy Burden'!$B$2:$E$914,4,FALSE)</f>
        <v>No</v>
      </c>
    </row>
    <row r="64" spans="1:17" x14ac:dyDescent="0.2">
      <c r="A64" s="30" t="s">
        <v>2743</v>
      </c>
      <c r="B64" s="169">
        <v>9003405700</v>
      </c>
      <c r="C64" s="232" t="s">
        <v>944</v>
      </c>
      <c r="D64" s="182">
        <v>19042.999500000002</v>
      </c>
      <c r="E64" s="182">
        <v>10392.27</v>
      </c>
      <c r="F64" s="13">
        <f>[1]!Table323[[#This Row],[Single Family]]+[1]!Table323[[#This Row],[2-4 Units]]+[1]!Table323[[#This Row],[&gt;4 Units]]</f>
        <v>0</v>
      </c>
      <c r="G64" s="30">
        <v>0</v>
      </c>
      <c r="H64" s="30">
        <v>0</v>
      </c>
      <c r="I64" s="30">
        <v>0</v>
      </c>
      <c r="J64" s="231">
        <v>372.83</v>
      </c>
      <c r="K64">
        <f t="shared" si="0"/>
        <v>83</v>
      </c>
      <c r="L64" s="30">
        <v>0</v>
      </c>
      <c r="M64" s="30">
        <v>3</v>
      </c>
      <c r="N64" s="30">
        <v>80</v>
      </c>
      <c r="O64" s="231">
        <v>9092.26</v>
      </c>
      <c r="P64" s="97">
        <f>VLOOKUP(Table323[[#This Row],[Census Tract]],'Population and Diversity Data'!$B$2:$K$823,10,FALSE)</f>
        <v>3</v>
      </c>
      <c r="Q64" s="97" t="str">
        <f>VLOOKUP(Table323[[#This Row],[Census Tract]],'ES Energy Burden'!$B$2:$E$914,4,FALSE)</f>
        <v>Yes</v>
      </c>
    </row>
    <row r="65" spans="1:17" x14ac:dyDescent="0.2">
      <c r="A65" s="30" t="s">
        <v>2743</v>
      </c>
      <c r="B65" s="169">
        <v>9003405800</v>
      </c>
      <c r="C65" s="232" t="s">
        <v>944</v>
      </c>
      <c r="D65" s="182">
        <v>94235.151339000004</v>
      </c>
      <c r="E65" s="182">
        <v>112987.94</v>
      </c>
      <c r="F65" s="13">
        <f>[1]!Table323[[#This Row],[Single Family]]+[1]!Table323[[#This Row],[2-4 Units]]+[1]!Table323[[#This Row],[&gt;4 Units]]</f>
        <v>0</v>
      </c>
      <c r="G65" s="30">
        <v>0</v>
      </c>
      <c r="H65" s="30">
        <v>0</v>
      </c>
      <c r="I65" s="30">
        <v>0</v>
      </c>
      <c r="J65" s="231">
        <v>12067.05</v>
      </c>
      <c r="K65">
        <f t="shared" si="0"/>
        <v>13</v>
      </c>
      <c r="L65" s="30">
        <v>11</v>
      </c>
      <c r="M65" s="30">
        <v>2</v>
      </c>
      <c r="N65" s="30">
        <v>0</v>
      </c>
      <c r="O65" s="231">
        <v>42735.66</v>
      </c>
      <c r="P65" s="97">
        <f>VLOOKUP(Table323[[#This Row],[Census Tract]],'Population and Diversity Data'!$B$2:$K$823,10,FALSE)</f>
        <v>2</v>
      </c>
      <c r="Q65" s="97" t="str">
        <f>VLOOKUP(Table323[[#This Row],[Census Tract]],'ES Energy Burden'!$B$2:$E$914,4,FALSE)</f>
        <v>No</v>
      </c>
    </row>
    <row r="66" spans="1:17" x14ac:dyDescent="0.2">
      <c r="A66" s="30" t="s">
        <v>2743</v>
      </c>
      <c r="B66" s="169">
        <v>9003405900</v>
      </c>
      <c r="C66" s="232" t="s">
        <v>944</v>
      </c>
      <c r="D66" s="182">
        <v>55139.653842</v>
      </c>
      <c r="E66" s="182">
        <v>107530.97</v>
      </c>
      <c r="F66" s="13">
        <f>[1]!Table323[[#This Row],[Single Family]]+[1]!Table323[[#This Row],[2-4 Units]]+[1]!Table323[[#This Row],[&gt;4 Units]]</f>
        <v>0</v>
      </c>
      <c r="G66" s="30">
        <v>0</v>
      </c>
      <c r="H66" s="30">
        <v>0</v>
      </c>
      <c r="I66" s="30">
        <v>0</v>
      </c>
      <c r="J66" s="231">
        <v>37046.54</v>
      </c>
      <c r="K66">
        <f t="shared" si="0"/>
        <v>7</v>
      </c>
      <c r="L66" s="30">
        <v>7</v>
      </c>
      <c r="M66" s="30">
        <v>0</v>
      </c>
      <c r="N66" s="30">
        <v>0</v>
      </c>
      <c r="O66" s="231">
        <v>28298.66</v>
      </c>
      <c r="P66" s="97">
        <f>VLOOKUP(Table323[[#This Row],[Census Tract]],'Population and Diversity Data'!$B$2:$K$823,10,FALSE)</f>
        <v>1</v>
      </c>
      <c r="Q66" s="97" t="str">
        <f>VLOOKUP(Table323[[#This Row],[Census Tract]],'ES Energy Burden'!$B$2:$E$914,4,FALSE)</f>
        <v>No</v>
      </c>
    </row>
    <row r="67" spans="1:17" x14ac:dyDescent="0.2">
      <c r="A67" s="30" t="s">
        <v>2743</v>
      </c>
      <c r="B67" s="169">
        <v>9003406001</v>
      </c>
      <c r="C67" s="232" t="s">
        <v>944</v>
      </c>
      <c r="D67" s="182">
        <v>365004.42197100003</v>
      </c>
      <c r="E67" s="182">
        <v>1099852.73</v>
      </c>
      <c r="F67" s="13">
        <f>[1]!Table323[[#This Row],[Single Family]]+[1]!Table323[[#This Row],[2-4 Units]]+[1]!Table323[[#This Row],[&gt;4 Units]]</f>
        <v>0</v>
      </c>
      <c r="G67" s="30">
        <v>0</v>
      </c>
      <c r="H67" s="30">
        <v>0</v>
      </c>
      <c r="I67" s="30">
        <v>0</v>
      </c>
      <c r="J67" s="231">
        <v>22450.15</v>
      </c>
      <c r="K67">
        <f t="shared" si="0"/>
        <v>5</v>
      </c>
      <c r="L67" s="30">
        <v>5</v>
      </c>
      <c r="M67" s="30">
        <v>0</v>
      </c>
      <c r="N67" s="30">
        <v>0</v>
      </c>
      <c r="O67" s="231">
        <v>13826.81</v>
      </c>
      <c r="P67" s="97">
        <f>VLOOKUP(Table323[[#This Row],[Census Tract]],'Population and Diversity Data'!$B$2:$K$823,10,FALSE)</f>
        <v>4</v>
      </c>
      <c r="Q67" s="97" t="str">
        <f>VLOOKUP(Table323[[#This Row],[Census Tract]],'ES Energy Burden'!$B$2:$E$914,4,FALSE)</f>
        <v>No</v>
      </c>
    </row>
    <row r="68" spans="1:17" x14ac:dyDescent="0.2">
      <c r="A68" s="30" t="s">
        <v>2743</v>
      </c>
      <c r="B68" s="169">
        <v>9003406002</v>
      </c>
      <c r="C68" s="232" t="s">
        <v>944</v>
      </c>
      <c r="D68" s="182">
        <v>56447.842920000003</v>
      </c>
      <c r="E68" s="182">
        <v>47458.38</v>
      </c>
      <c r="F68" s="13">
        <f>[1]!Table323[[#This Row],[Single Family]]+[1]!Table323[[#This Row],[2-4 Units]]+[1]!Table323[[#This Row],[&gt;4 Units]]</f>
        <v>348</v>
      </c>
      <c r="G68" s="30">
        <v>346</v>
      </c>
      <c r="H68" s="30">
        <v>2</v>
      </c>
      <c r="I68" s="30">
        <v>0</v>
      </c>
      <c r="J68" s="231">
        <v>479485.18999999901</v>
      </c>
      <c r="K68">
        <f t="shared" si="0"/>
        <v>57</v>
      </c>
      <c r="L68" s="30">
        <v>47</v>
      </c>
      <c r="M68" s="30">
        <v>10</v>
      </c>
      <c r="N68" s="30">
        <v>0</v>
      </c>
      <c r="O68" s="231">
        <v>601855.89</v>
      </c>
      <c r="P68" s="97">
        <f>VLOOKUP(Table323[[#This Row],[Census Tract]],'Population and Diversity Data'!$B$2:$K$823,10,FALSE)</f>
        <v>2</v>
      </c>
      <c r="Q68" s="97" t="str">
        <f>VLOOKUP(Table323[[#This Row],[Census Tract]],'ES Energy Burden'!$B$2:$E$914,4,FALSE)</f>
        <v>No</v>
      </c>
    </row>
    <row r="69" spans="1:17" x14ac:dyDescent="0.2">
      <c r="A69" s="30" t="s">
        <v>2743</v>
      </c>
      <c r="B69" s="169">
        <v>9003406100</v>
      </c>
      <c r="C69" s="232" t="s">
        <v>944</v>
      </c>
      <c r="D69" s="182">
        <v>29087.602740000002</v>
      </c>
      <c r="E69" s="182">
        <v>26130.1</v>
      </c>
      <c r="F69" s="13">
        <f>[1]!Table323[[#This Row],[Single Family]]+[1]!Table323[[#This Row],[2-4 Units]]+[1]!Table323[[#This Row],[&gt;4 Units]]</f>
        <v>0</v>
      </c>
      <c r="G69" s="30">
        <v>0</v>
      </c>
      <c r="H69" s="30">
        <v>0</v>
      </c>
      <c r="I69" s="30">
        <v>0</v>
      </c>
      <c r="J69" s="231">
        <v>0</v>
      </c>
      <c r="K69" s="13">
        <f t="shared" si="0"/>
        <v>5</v>
      </c>
      <c r="L69" s="30">
        <v>3</v>
      </c>
      <c r="M69" s="30">
        <v>2</v>
      </c>
      <c r="N69" s="30">
        <v>0</v>
      </c>
      <c r="O69" s="231">
        <v>25129.42</v>
      </c>
      <c r="P69" s="97">
        <f>VLOOKUP(Table323[[#This Row],[Census Tract]],'Population and Diversity Data'!$B$2:$K$823,10,FALSE)</f>
        <v>4</v>
      </c>
      <c r="Q69" s="97" t="str">
        <f>VLOOKUP(Table323[[#This Row],[Census Tract]],'ES Energy Burden'!$B$2:$E$914,4,FALSE)</f>
        <v>No</v>
      </c>
    </row>
    <row r="70" spans="1:17" x14ac:dyDescent="0.2">
      <c r="A70" s="30" t="s">
        <v>2743</v>
      </c>
      <c r="B70" s="169">
        <v>9003410101</v>
      </c>
      <c r="C70" s="232" t="s">
        <v>944</v>
      </c>
      <c r="D70" s="182">
        <v>213.85308000000001</v>
      </c>
      <c r="E70" s="182">
        <v>0</v>
      </c>
      <c r="F70" s="13">
        <f>[1]!Table323[[#This Row],[Single Family]]+[1]!Table323[[#This Row],[2-4 Units]]+[1]!Table323[[#This Row],[&gt;4 Units]]</f>
        <v>0</v>
      </c>
      <c r="G70" s="30">
        <v>0</v>
      </c>
      <c r="H70" s="30">
        <v>0</v>
      </c>
      <c r="I70" s="30">
        <v>0</v>
      </c>
      <c r="J70" s="231">
        <v>0</v>
      </c>
      <c r="K70">
        <f t="shared" ref="K70:K133" si="1">L70+M70+N70</f>
        <v>0</v>
      </c>
      <c r="L70" s="30">
        <v>0</v>
      </c>
      <c r="M70" s="30">
        <v>0</v>
      </c>
      <c r="N70" s="30">
        <v>0</v>
      </c>
      <c r="O70" s="231">
        <v>0</v>
      </c>
      <c r="P70" s="97">
        <f>VLOOKUP(Table323[[#This Row],[Census Tract]],'Population and Diversity Data'!$B$2:$K$823,10,FALSE)</f>
        <v>1</v>
      </c>
      <c r="Q70" s="97" t="str">
        <f>VLOOKUP(Table323[[#This Row],[Census Tract]],'ES Energy Burden'!$B$2:$E$914,4,FALSE)</f>
        <v>No</v>
      </c>
    </row>
    <row r="71" spans="1:17" x14ac:dyDescent="0.2">
      <c r="A71" s="30" t="s">
        <v>2743</v>
      </c>
      <c r="B71" s="169">
        <v>9003420500</v>
      </c>
      <c r="C71" s="232" t="s">
        <v>944</v>
      </c>
      <c r="D71" s="182">
        <v>198.69171</v>
      </c>
      <c r="E71" s="182">
        <v>0</v>
      </c>
      <c r="F71" s="13">
        <f>[1]!Table323[[#This Row],[Single Family]]+[1]!Table323[[#This Row],[2-4 Units]]+[1]!Table323[[#This Row],[&gt;4 Units]]</f>
        <v>0</v>
      </c>
      <c r="G71" s="30">
        <v>0</v>
      </c>
      <c r="H71" s="30">
        <v>0</v>
      </c>
      <c r="I71" s="30">
        <v>0</v>
      </c>
      <c r="J71" s="231">
        <v>0</v>
      </c>
      <c r="K71">
        <f t="shared" si="1"/>
        <v>0</v>
      </c>
      <c r="L71" s="30">
        <v>0</v>
      </c>
      <c r="M71" s="30">
        <v>0</v>
      </c>
      <c r="N71" s="30">
        <v>0</v>
      </c>
      <c r="O71" s="231">
        <v>0</v>
      </c>
      <c r="P71" s="97">
        <f>VLOOKUP(Table323[[#This Row],[Census Tract]],'Population and Diversity Data'!$B$2:$K$823,10,FALSE)</f>
        <v>4</v>
      </c>
      <c r="Q71" s="97" t="str">
        <f>VLOOKUP(Table323[[#This Row],[Census Tract]],'ES Energy Burden'!$B$2:$E$914,4,FALSE)</f>
        <v>No</v>
      </c>
    </row>
    <row r="72" spans="1:17" x14ac:dyDescent="0.2">
      <c r="A72" s="30" t="s">
        <v>2743</v>
      </c>
      <c r="B72" s="169">
        <v>9003430601</v>
      </c>
      <c r="C72" s="232" t="s">
        <v>944</v>
      </c>
      <c r="D72" s="182">
        <v>596.66922</v>
      </c>
      <c r="E72" s="182">
        <v>807.58</v>
      </c>
      <c r="F72" s="13">
        <f>[1]!Table323[[#This Row],[Single Family]]+[1]!Table323[[#This Row],[2-4 Units]]+[1]!Table323[[#This Row],[&gt;4 Units]]</f>
        <v>0</v>
      </c>
      <c r="G72" s="30">
        <v>0</v>
      </c>
      <c r="H72" s="30">
        <v>0</v>
      </c>
      <c r="I72" s="30">
        <v>0</v>
      </c>
      <c r="J72" s="231">
        <v>0</v>
      </c>
      <c r="K72">
        <f t="shared" si="1"/>
        <v>0</v>
      </c>
      <c r="L72" s="30">
        <v>0</v>
      </c>
      <c r="M72" s="30">
        <v>0</v>
      </c>
      <c r="N72" s="30">
        <v>0</v>
      </c>
      <c r="O72" s="231">
        <v>0</v>
      </c>
      <c r="P72" s="97">
        <f>VLOOKUP(Table323[[#This Row],[Census Tract]],'Population and Diversity Data'!$B$2:$K$823,10,FALSE)</f>
        <v>2</v>
      </c>
      <c r="Q72" s="97" t="str">
        <f>VLOOKUP(Table323[[#This Row],[Census Tract]],'ES Energy Burden'!$B$2:$E$914,4,FALSE)</f>
        <v>No</v>
      </c>
    </row>
    <row r="73" spans="1:17" x14ac:dyDescent="0.2">
      <c r="A73" s="30" t="s">
        <v>2743</v>
      </c>
      <c r="B73" s="169">
        <v>9005425400</v>
      </c>
      <c r="C73" s="232" t="s">
        <v>944</v>
      </c>
      <c r="D73" s="182">
        <v>35.746830000000003</v>
      </c>
      <c r="E73" s="182">
        <v>0</v>
      </c>
      <c r="F73" s="13">
        <f>[1]!Table323[[#This Row],[Single Family]]+[1]!Table323[[#This Row],[2-4 Units]]+[1]!Table323[[#This Row],[&gt;4 Units]]</f>
        <v>0</v>
      </c>
      <c r="G73" s="30">
        <v>0</v>
      </c>
      <c r="H73" s="30">
        <v>0</v>
      </c>
      <c r="I73" s="30">
        <v>0</v>
      </c>
      <c r="J73" s="231">
        <v>0</v>
      </c>
      <c r="K73">
        <f t="shared" si="1"/>
        <v>0</v>
      </c>
      <c r="L73" s="30">
        <v>0</v>
      </c>
      <c r="M73" s="30">
        <v>0</v>
      </c>
      <c r="N73" s="30">
        <v>0</v>
      </c>
      <c r="O73" s="231">
        <v>0</v>
      </c>
      <c r="P73" s="97">
        <f>VLOOKUP(Table323[[#This Row],[Census Tract]],'Population and Diversity Data'!$B$2:$K$823,10,FALSE)</f>
        <v>2</v>
      </c>
      <c r="Q73" s="97" t="str">
        <f>VLOOKUP(Table323[[#This Row],[Census Tract]],'ES Energy Burden'!$B$2:$E$914,4,FALSE)</f>
        <v>No</v>
      </c>
    </row>
    <row r="74" spans="1:17" x14ac:dyDescent="0.2">
      <c r="A74" s="30" t="s">
        <v>2744</v>
      </c>
      <c r="B74" s="169">
        <v>9001205100</v>
      </c>
      <c r="C74" s="232" t="s">
        <v>944</v>
      </c>
      <c r="D74" s="182">
        <v>53352.115277999997</v>
      </c>
      <c r="E74" s="182">
        <v>69296.89</v>
      </c>
      <c r="F74" s="13">
        <f>[1]!Table323[[#This Row],[Single Family]]+[1]!Table323[[#This Row],[2-4 Units]]+[1]!Table323[[#This Row],[&gt;4 Units]]</f>
        <v>0</v>
      </c>
      <c r="G74" s="30">
        <v>0</v>
      </c>
      <c r="H74" s="30">
        <v>0</v>
      </c>
      <c r="I74" s="30">
        <v>0</v>
      </c>
      <c r="J74" s="231">
        <v>12009.64</v>
      </c>
      <c r="K74">
        <f t="shared" si="1"/>
        <v>1</v>
      </c>
      <c r="L74" s="30">
        <v>1</v>
      </c>
      <c r="M74" s="30">
        <v>0</v>
      </c>
      <c r="N74" s="30">
        <v>0</v>
      </c>
      <c r="O74" s="231">
        <v>20646.55</v>
      </c>
      <c r="P74" s="97">
        <f>VLOOKUP(Table323[[#This Row],[Census Tract]],'Population and Diversity Data'!$B$2:$K$823,10,FALSE)</f>
        <v>3</v>
      </c>
      <c r="Q74" s="97" t="str">
        <f>VLOOKUP(Table323[[#This Row],[Census Tract]],'ES Energy Burden'!$B$2:$E$914,4,FALSE)</f>
        <v>No</v>
      </c>
    </row>
    <row r="75" spans="1:17" x14ac:dyDescent="0.2">
      <c r="A75" s="30" t="s">
        <v>2744</v>
      </c>
      <c r="B75" s="169">
        <v>9001205200</v>
      </c>
      <c r="C75" s="232" t="s">
        <v>944</v>
      </c>
      <c r="D75" s="182">
        <v>100095.50577600001</v>
      </c>
      <c r="E75" s="182">
        <v>54837.415000000001</v>
      </c>
      <c r="F75" s="13">
        <f>[1]!Table323[[#This Row],[Single Family]]+[1]!Table323[[#This Row],[2-4 Units]]+[1]!Table323[[#This Row],[&gt;4 Units]]</f>
        <v>0</v>
      </c>
      <c r="G75" s="30">
        <v>0</v>
      </c>
      <c r="H75" s="30">
        <v>0</v>
      </c>
      <c r="I75" s="30">
        <v>0</v>
      </c>
      <c r="J75" s="231">
        <v>13986.41</v>
      </c>
      <c r="K75">
        <f t="shared" si="1"/>
        <v>0</v>
      </c>
      <c r="L75" s="30">
        <v>0</v>
      </c>
      <c r="M75" s="30">
        <v>0</v>
      </c>
      <c r="N75" s="30">
        <v>0</v>
      </c>
      <c r="O75" s="231">
        <v>0</v>
      </c>
      <c r="P75" s="97">
        <f>VLOOKUP(Table323[[#This Row],[Census Tract]],'Population and Diversity Data'!$B$2:$K$823,10,FALSE)</f>
        <v>1</v>
      </c>
      <c r="Q75" s="97" t="str">
        <f>VLOOKUP(Table323[[#This Row],[Census Tract]],'ES Energy Burden'!$B$2:$E$914,4,FALSE)</f>
        <v>No</v>
      </c>
    </row>
    <row r="76" spans="1:17" x14ac:dyDescent="0.2">
      <c r="A76" s="30" t="s">
        <v>2744</v>
      </c>
      <c r="B76" s="169">
        <v>9001205300</v>
      </c>
      <c r="C76" s="232" t="s">
        <v>944</v>
      </c>
      <c r="D76" s="182">
        <v>186256.992852</v>
      </c>
      <c r="E76" s="182">
        <v>295576.09999999998</v>
      </c>
      <c r="F76" s="13">
        <f>[1]!Table323[[#This Row],[Single Family]]+[1]!Table323[[#This Row],[2-4 Units]]+[1]!Table323[[#This Row],[&gt;4 Units]]</f>
        <v>186</v>
      </c>
      <c r="G76" s="30">
        <v>136</v>
      </c>
      <c r="H76" s="30">
        <v>0</v>
      </c>
      <c r="I76" s="30">
        <v>50</v>
      </c>
      <c r="J76" s="231">
        <v>249546.25</v>
      </c>
      <c r="K76">
        <f t="shared" si="1"/>
        <v>4</v>
      </c>
      <c r="L76" s="30">
        <v>3</v>
      </c>
      <c r="M76" s="30">
        <v>1</v>
      </c>
      <c r="N76" s="30">
        <v>0</v>
      </c>
      <c r="O76" s="231">
        <v>40016</v>
      </c>
      <c r="P76" s="97">
        <f>VLOOKUP(Table323[[#This Row],[Census Tract]],'Population and Diversity Data'!$B$2:$K$823,10,FALSE)</f>
        <v>4</v>
      </c>
      <c r="Q76" s="97" t="str">
        <f>VLOOKUP(Table323[[#This Row],[Census Tract]],'ES Energy Burden'!$B$2:$E$914,4,FALSE)</f>
        <v>No</v>
      </c>
    </row>
    <row r="77" spans="1:17" x14ac:dyDescent="0.2">
      <c r="A77" s="30" t="s">
        <v>2744</v>
      </c>
      <c r="B77" s="169">
        <v>9001211400</v>
      </c>
      <c r="C77" s="232" t="s">
        <v>944</v>
      </c>
      <c r="D77" s="182">
        <v>518.33627999999999</v>
      </c>
      <c r="E77" s="182">
        <v>0</v>
      </c>
      <c r="F77" s="13">
        <f>[1]!Table323[[#This Row],[Single Family]]+[1]!Table323[[#This Row],[2-4 Units]]+[1]!Table323[[#This Row],[&gt;4 Units]]</f>
        <v>0</v>
      </c>
      <c r="G77" s="30">
        <v>0</v>
      </c>
      <c r="H77" s="30">
        <v>0</v>
      </c>
      <c r="I77" s="30">
        <v>0</v>
      </c>
      <c r="J77" s="231">
        <v>0</v>
      </c>
      <c r="K77">
        <f t="shared" si="1"/>
        <v>0</v>
      </c>
      <c r="L77" s="30">
        <v>0</v>
      </c>
      <c r="M77" s="30">
        <v>0</v>
      </c>
      <c r="N77" s="30">
        <v>0</v>
      </c>
      <c r="O77" s="231">
        <v>0</v>
      </c>
      <c r="P77" s="97">
        <f>VLOOKUP(Table323[[#This Row],[Census Tract]],'Population and Diversity Data'!$B$2:$K$823,10,FALSE)</f>
        <v>4</v>
      </c>
      <c r="Q77" s="97" t="str">
        <f>VLOOKUP(Table323[[#This Row],[Census Tract]],'ES Energy Burden'!$B$2:$E$914,4,FALSE)</f>
        <v>No</v>
      </c>
    </row>
    <row r="78" spans="1:17" x14ac:dyDescent="0.2">
      <c r="A78" s="30" t="s">
        <v>2744</v>
      </c>
      <c r="B78" s="169">
        <v>9005253400</v>
      </c>
      <c r="C78" s="232" t="s">
        <v>944</v>
      </c>
      <c r="D78" s="182">
        <v>675.32094000000006</v>
      </c>
      <c r="E78" s="182">
        <v>592.5</v>
      </c>
      <c r="F78" s="13">
        <f>[1]!Table323[[#This Row],[Single Family]]+[1]!Table323[[#This Row],[2-4 Units]]+[1]!Table323[[#This Row],[&gt;4 Units]]</f>
        <v>0</v>
      </c>
      <c r="G78" s="30">
        <v>0</v>
      </c>
      <c r="H78" s="30">
        <v>0</v>
      </c>
      <c r="I78" s="30">
        <v>0</v>
      </c>
      <c r="J78" s="231">
        <v>0</v>
      </c>
      <c r="K78">
        <f t="shared" si="1"/>
        <v>0</v>
      </c>
      <c r="L78" s="30">
        <v>0</v>
      </c>
      <c r="M78" s="30">
        <v>0</v>
      </c>
      <c r="N78" s="30">
        <v>0</v>
      </c>
      <c r="O78" s="231">
        <v>0</v>
      </c>
      <c r="P78" s="97">
        <f>VLOOKUP(Table323[[#This Row],[Census Tract]],'Population and Diversity Data'!$B$2:$K$823,10,FALSE)</f>
        <v>2</v>
      </c>
      <c r="Q78" s="97" t="str">
        <f>VLOOKUP(Table323[[#This Row],[Census Tract]],'ES Energy Burden'!$B$2:$E$914,4,FALSE)</f>
        <v>No</v>
      </c>
    </row>
    <row r="79" spans="1:17" x14ac:dyDescent="0.2">
      <c r="A79" s="30" t="s">
        <v>2745</v>
      </c>
      <c r="B79" s="169">
        <v>9015905100</v>
      </c>
      <c r="C79" s="232" t="s">
        <v>944</v>
      </c>
      <c r="D79" s="182">
        <v>124340.094564</v>
      </c>
      <c r="E79" s="182">
        <v>136144.45250000001</v>
      </c>
      <c r="F79" s="13">
        <f>[1]!Table323[[#This Row],[Single Family]]+[1]!Table323[[#This Row],[2-4 Units]]+[1]!Table323[[#This Row],[&gt;4 Units]]</f>
        <v>37</v>
      </c>
      <c r="G79" s="30">
        <v>37</v>
      </c>
      <c r="H79" s="30">
        <v>0</v>
      </c>
      <c r="I79" s="30">
        <v>0</v>
      </c>
      <c r="J79" s="231">
        <v>72574.14</v>
      </c>
      <c r="K79">
        <f t="shared" si="1"/>
        <v>14</v>
      </c>
      <c r="L79" s="30">
        <v>14</v>
      </c>
      <c r="M79" s="30">
        <v>0</v>
      </c>
      <c r="N79" s="30">
        <v>0</v>
      </c>
      <c r="O79" s="231">
        <v>34655.040000000001</v>
      </c>
      <c r="P79" s="97">
        <f>VLOOKUP(Table323[[#This Row],[Census Tract]],'Population and Diversity Data'!$B$2:$K$823,10,FALSE)</f>
        <v>4</v>
      </c>
      <c r="Q79" s="97" t="str">
        <f>VLOOKUP(Table323[[#This Row],[Census Tract]],'ES Energy Burden'!$B$2:$E$914,4,FALSE)</f>
        <v>No</v>
      </c>
    </row>
    <row r="80" spans="1:17" x14ac:dyDescent="0.2">
      <c r="A80" s="30" t="s">
        <v>2746</v>
      </c>
      <c r="B80" s="169">
        <v>9003410101</v>
      </c>
      <c r="C80" s="232" t="s">
        <v>944</v>
      </c>
      <c r="D80" s="182">
        <v>124163.655147</v>
      </c>
      <c r="E80" s="182">
        <v>178954.95250000001</v>
      </c>
      <c r="F80" s="13">
        <f>[1]!Table323[[#This Row],[Single Family]]+[1]!Table323[[#This Row],[2-4 Units]]+[1]!Table323[[#This Row],[&gt;4 Units]]</f>
        <v>81</v>
      </c>
      <c r="G80" s="30">
        <v>81</v>
      </c>
      <c r="H80" s="30">
        <v>0</v>
      </c>
      <c r="I80" s="30">
        <v>0</v>
      </c>
      <c r="J80" s="231">
        <v>121866.03</v>
      </c>
      <c r="K80">
        <f t="shared" si="1"/>
        <v>6</v>
      </c>
      <c r="L80" s="30">
        <v>6</v>
      </c>
      <c r="M80" s="30">
        <v>0</v>
      </c>
      <c r="N80" s="30">
        <v>0</v>
      </c>
      <c r="O80" s="231">
        <v>42146.1</v>
      </c>
      <c r="P80" s="97">
        <f>VLOOKUP(Table323[[#This Row],[Census Tract]],'Population and Diversity Data'!$B$2:$K$823,10,FALSE)</f>
        <v>1</v>
      </c>
      <c r="Q80" s="97" t="str">
        <f>VLOOKUP(Table323[[#This Row],[Census Tract]],'ES Energy Burden'!$B$2:$E$914,4,FALSE)</f>
        <v>No</v>
      </c>
    </row>
    <row r="81" spans="1:17" x14ac:dyDescent="0.2">
      <c r="A81" s="30" t="s">
        <v>2746</v>
      </c>
      <c r="B81" s="169">
        <v>9003410102</v>
      </c>
      <c r="C81" s="232" t="s">
        <v>944</v>
      </c>
      <c r="D81" s="182">
        <v>55157.587632000002</v>
      </c>
      <c r="E81" s="182">
        <v>47973.574999999997</v>
      </c>
      <c r="F81" s="13">
        <f>[1]!Table323[[#This Row],[Single Family]]+[1]!Table323[[#This Row],[2-4 Units]]+[1]!Table323[[#This Row],[&gt;4 Units]]</f>
        <v>0</v>
      </c>
      <c r="G81" s="30">
        <v>0</v>
      </c>
      <c r="H81" s="30">
        <v>0</v>
      </c>
      <c r="I81" s="30">
        <v>0</v>
      </c>
      <c r="J81" s="231">
        <v>15967.98</v>
      </c>
      <c r="K81">
        <f t="shared" si="1"/>
        <v>1</v>
      </c>
      <c r="L81" s="30">
        <v>1</v>
      </c>
      <c r="M81" s="30">
        <v>0</v>
      </c>
      <c r="N81" s="30">
        <v>0</v>
      </c>
      <c r="O81" s="231">
        <v>5753.7</v>
      </c>
      <c r="P81" s="97">
        <f>VLOOKUP(Table323[[#This Row],[Census Tract]],'Population and Diversity Data'!$B$2:$K$823,10,FALSE)</f>
        <v>2</v>
      </c>
      <c r="Q81" s="97" t="str">
        <f>VLOOKUP(Table323[[#This Row],[Census Tract]],'ES Energy Burden'!$B$2:$E$914,4,FALSE)</f>
        <v>No</v>
      </c>
    </row>
    <row r="82" spans="1:17" x14ac:dyDescent="0.2">
      <c r="A82" s="30" t="s">
        <v>2746</v>
      </c>
      <c r="B82" s="169">
        <v>9003460302</v>
      </c>
      <c r="C82" s="232" t="s">
        <v>944</v>
      </c>
      <c r="D82" s="182">
        <v>88.746420000000001</v>
      </c>
      <c r="E82" s="182">
        <v>0</v>
      </c>
      <c r="F82" s="13">
        <f>[1]!Table323[[#This Row],[Single Family]]+[1]!Table323[[#This Row],[2-4 Units]]+[1]!Table323[[#This Row],[&gt;4 Units]]</f>
        <v>0</v>
      </c>
      <c r="G82" s="30">
        <v>0</v>
      </c>
      <c r="H82" s="30">
        <v>0</v>
      </c>
      <c r="I82" s="30">
        <v>0</v>
      </c>
      <c r="J82" s="231">
        <v>0</v>
      </c>
      <c r="K82">
        <f t="shared" si="1"/>
        <v>0</v>
      </c>
      <c r="L82" s="30">
        <v>0</v>
      </c>
      <c r="M82" s="30">
        <v>0</v>
      </c>
      <c r="N82" s="30">
        <v>0</v>
      </c>
      <c r="O82" s="231">
        <v>0</v>
      </c>
      <c r="P82" s="97">
        <f>VLOOKUP(Table323[[#This Row],[Census Tract]],'Population and Diversity Data'!$B$2:$K$823,10,FALSE)</f>
        <v>3</v>
      </c>
      <c r="Q82" s="97" t="str">
        <f>VLOOKUP(Table323[[#This Row],[Census Tract]],'ES Energy Burden'!$B$2:$E$914,4,FALSE)</f>
        <v>No</v>
      </c>
    </row>
    <row r="83" spans="1:17" x14ac:dyDescent="0.2">
      <c r="A83" s="30" t="s">
        <v>2747</v>
      </c>
      <c r="B83" s="169">
        <v>9005260200</v>
      </c>
      <c r="C83" s="232" t="s">
        <v>944</v>
      </c>
      <c r="D83" s="182">
        <v>40.678260000000002</v>
      </c>
      <c r="E83" s="182">
        <v>3472.25</v>
      </c>
      <c r="F83" s="13">
        <f>[1]!Table323[[#This Row],[Single Family]]+[1]!Table323[[#This Row],[2-4 Units]]+[1]!Table323[[#This Row],[&gt;4 Units]]</f>
        <v>0</v>
      </c>
      <c r="G83" s="30">
        <v>0</v>
      </c>
      <c r="H83" s="30">
        <v>0</v>
      </c>
      <c r="I83" s="30">
        <v>0</v>
      </c>
      <c r="J83" s="231">
        <v>0</v>
      </c>
      <c r="K83">
        <f t="shared" si="1"/>
        <v>0</v>
      </c>
      <c r="L83" s="30">
        <v>0</v>
      </c>
      <c r="M83" s="30">
        <v>0</v>
      </c>
      <c r="N83" s="30">
        <v>0</v>
      </c>
      <c r="O83" s="231">
        <v>0</v>
      </c>
      <c r="P83" s="97">
        <f>VLOOKUP(Table323[[#This Row],[Census Tract]],'Population and Diversity Data'!$B$2:$K$823,10,FALSE)</f>
        <v>1</v>
      </c>
      <c r="Q83" s="97" t="str">
        <f>VLOOKUP(Table323[[#This Row],[Census Tract]],'ES Energy Burden'!$B$2:$E$914,4,FALSE)</f>
        <v>No</v>
      </c>
    </row>
    <row r="84" spans="1:17" x14ac:dyDescent="0.2">
      <c r="A84" s="30" t="s">
        <v>2747</v>
      </c>
      <c r="B84" s="169">
        <v>9005425600</v>
      </c>
      <c r="C84" s="232" t="s">
        <v>944</v>
      </c>
      <c r="D84" s="182">
        <v>25294.593113999999</v>
      </c>
      <c r="E84" s="182">
        <v>11922.48</v>
      </c>
      <c r="F84" s="13">
        <f>[1]!Table323[[#This Row],[Single Family]]+[1]!Table323[[#This Row],[2-4 Units]]+[1]!Table323[[#This Row],[&gt;4 Units]]</f>
        <v>5</v>
      </c>
      <c r="G84" s="30">
        <v>5</v>
      </c>
      <c r="H84" s="30">
        <v>0</v>
      </c>
      <c r="I84" s="30">
        <v>0</v>
      </c>
      <c r="J84" s="231">
        <v>8707.57</v>
      </c>
      <c r="K84">
        <f t="shared" si="1"/>
        <v>1</v>
      </c>
      <c r="L84" s="30">
        <v>1</v>
      </c>
      <c r="M84" s="30">
        <v>0</v>
      </c>
      <c r="N84" s="30">
        <v>0</v>
      </c>
      <c r="O84" s="231">
        <v>233.22</v>
      </c>
      <c r="P84" s="97">
        <f>VLOOKUP(Table323[[#This Row],[Census Tract]],'Population and Diversity Data'!$B$2:$K$823,10,FALSE)</f>
        <v>1</v>
      </c>
      <c r="Q84" s="97" t="str">
        <f>VLOOKUP(Table323[[#This Row],[Census Tract]],'ES Energy Burden'!$B$2:$E$914,4,FALSE)</f>
        <v>No</v>
      </c>
    </row>
    <row r="85" spans="1:17" x14ac:dyDescent="0.2">
      <c r="A85" s="30" t="s">
        <v>2748</v>
      </c>
      <c r="B85" s="169">
        <v>9015825000</v>
      </c>
      <c r="C85" s="232" t="s">
        <v>944</v>
      </c>
      <c r="D85" s="182">
        <v>762.06773999999996</v>
      </c>
      <c r="E85" s="182">
        <v>1000</v>
      </c>
      <c r="F85" s="13">
        <f>[1]!Table323[[#This Row],[Single Family]]+[1]!Table323[[#This Row],[2-4 Units]]+[1]!Table323[[#This Row],[&gt;4 Units]]</f>
        <v>0</v>
      </c>
      <c r="G85" s="30">
        <v>0</v>
      </c>
      <c r="H85" s="30">
        <v>0</v>
      </c>
      <c r="I85" s="30">
        <v>0</v>
      </c>
      <c r="J85" s="231">
        <v>0</v>
      </c>
      <c r="K85">
        <f t="shared" si="1"/>
        <v>0</v>
      </c>
      <c r="L85" s="30">
        <v>0</v>
      </c>
      <c r="M85" s="30">
        <v>0</v>
      </c>
      <c r="N85" s="30">
        <v>0</v>
      </c>
      <c r="O85" s="231">
        <v>0</v>
      </c>
      <c r="P85" s="97">
        <f>VLOOKUP(Table323[[#This Row],[Census Tract]],'Population and Diversity Data'!$B$2:$K$823,10,FALSE)</f>
        <v>2</v>
      </c>
      <c r="Q85" s="97" t="str">
        <f>VLOOKUP(Table323[[#This Row],[Census Tract]],'ES Energy Burden'!$B$2:$E$914,4,FALSE)</f>
        <v>No</v>
      </c>
    </row>
    <row r="86" spans="1:17" x14ac:dyDescent="0.2">
      <c r="A86" s="30" t="s">
        <v>2748</v>
      </c>
      <c r="B86" s="169">
        <v>9015906100</v>
      </c>
      <c r="C86" s="232" t="s">
        <v>944</v>
      </c>
      <c r="D86" s="182">
        <v>86587.008626999988</v>
      </c>
      <c r="E86" s="182">
        <v>126618.44500000001</v>
      </c>
      <c r="F86" s="13">
        <f>[1]!Table323[[#This Row],[Single Family]]+[1]!Table323[[#This Row],[2-4 Units]]+[1]!Table323[[#This Row],[&gt;4 Units]]</f>
        <v>15</v>
      </c>
      <c r="G86" s="30">
        <v>15</v>
      </c>
      <c r="H86" s="30">
        <v>0</v>
      </c>
      <c r="I86" s="30">
        <v>0</v>
      </c>
      <c r="J86" s="231">
        <v>29128.53</v>
      </c>
      <c r="K86">
        <f t="shared" si="1"/>
        <v>15</v>
      </c>
      <c r="L86" s="30">
        <v>9</v>
      </c>
      <c r="M86" s="30">
        <v>0</v>
      </c>
      <c r="N86" s="30">
        <v>6</v>
      </c>
      <c r="O86" s="231">
        <v>52105.8</v>
      </c>
      <c r="P86" s="97">
        <f>VLOOKUP(Table323[[#This Row],[Census Tract]],'Population and Diversity Data'!$B$2:$K$823,10,FALSE)</f>
        <v>1</v>
      </c>
      <c r="Q86" s="97" t="str">
        <f>VLOOKUP(Table323[[#This Row],[Census Tract]],'ES Energy Burden'!$B$2:$E$914,4,FALSE)</f>
        <v>No</v>
      </c>
    </row>
    <row r="87" spans="1:17" x14ac:dyDescent="0.2">
      <c r="A87" s="30" t="s">
        <v>2749</v>
      </c>
      <c r="B87" s="169">
        <v>9003464101</v>
      </c>
      <c r="C87" s="232" t="s">
        <v>944</v>
      </c>
      <c r="D87" s="182">
        <v>119844.65465699999</v>
      </c>
      <c r="E87" s="182">
        <v>274684.91499999998</v>
      </c>
      <c r="F87" s="13">
        <f>[1]!Table323[[#This Row],[Single Family]]+[1]!Table323[[#This Row],[2-4 Units]]+[1]!Table323[[#This Row],[&gt;4 Units]]</f>
        <v>44</v>
      </c>
      <c r="G87" s="30">
        <v>44</v>
      </c>
      <c r="H87" s="30">
        <v>0</v>
      </c>
      <c r="I87" s="30">
        <v>0</v>
      </c>
      <c r="J87" s="231">
        <v>106625.26</v>
      </c>
      <c r="K87">
        <f t="shared" si="1"/>
        <v>4</v>
      </c>
      <c r="L87" s="30">
        <v>4</v>
      </c>
      <c r="M87" s="30">
        <v>0</v>
      </c>
      <c r="N87" s="30">
        <v>0</v>
      </c>
      <c r="O87" s="231">
        <v>30703.06</v>
      </c>
      <c r="P87" s="97">
        <f>VLOOKUP(Table323[[#This Row],[Census Tract]],'Population and Diversity Data'!$B$2:$K$823,10,FALSE)</f>
        <v>1</v>
      </c>
      <c r="Q87" s="97" t="str">
        <f>VLOOKUP(Table323[[#This Row],[Census Tract]],'ES Energy Burden'!$B$2:$E$914,4,FALSE)</f>
        <v>No</v>
      </c>
    </row>
    <row r="88" spans="1:17" x14ac:dyDescent="0.2">
      <c r="A88" s="30" t="s">
        <v>2749</v>
      </c>
      <c r="B88" s="169">
        <v>9003464102</v>
      </c>
      <c r="C88" s="232" t="s">
        <v>944</v>
      </c>
      <c r="D88" s="182">
        <v>55597.683707999997</v>
      </c>
      <c r="E88" s="182">
        <v>44726.03</v>
      </c>
      <c r="F88" s="13">
        <f>[1]!Table323[[#This Row],[Single Family]]+[1]!Table323[[#This Row],[2-4 Units]]+[1]!Table323[[#This Row],[&gt;4 Units]]</f>
        <v>36</v>
      </c>
      <c r="G88" s="30">
        <v>36</v>
      </c>
      <c r="H88" s="30">
        <v>0</v>
      </c>
      <c r="I88" s="30">
        <v>0</v>
      </c>
      <c r="J88" s="231">
        <v>46171.26</v>
      </c>
      <c r="K88">
        <f t="shared" si="1"/>
        <v>1</v>
      </c>
      <c r="L88" s="30">
        <v>1</v>
      </c>
      <c r="M88" s="30">
        <v>0</v>
      </c>
      <c r="N88" s="30">
        <v>0</v>
      </c>
      <c r="O88" s="231">
        <v>2268.71</v>
      </c>
      <c r="P88" s="97">
        <f>VLOOKUP(Table323[[#This Row],[Census Tract]],'Population and Diversity Data'!$B$2:$K$823,10,FALSE)</f>
        <v>3</v>
      </c>
      <c r="Q88" s="97" t="str">
        <f>VLOOKUP(Table323[[#This Row],[Census Tract]],'ES Energy Burden'!$B$2:$E$914,4,FALSE)</f>
        <v>No</v>
      </c>
    </row>
    <row r="89" spans="1:17" x14ac:dyDescent="0.2">
      <c r="A89" s="30" t="s">
        <v>2749</v>
      </c>
      <c r="B89" s="169">
        <v>9003466102</v>
      </c>
      <c r="C89" s="232" t="s">
        <v>944</v>
      </c>
      <c r="D89" s="182">
        <v>47.9619</v>
      </c>
      <c r="E89" s="182">
        <v>0</v>
      </c>
      <c r="F89" s="13">
        <f>[1]!Table323[[#This Row],[Single Family]]+[1]!Table323[[#This Row],[2-4 Units]]+[1]!Table323[[#This Row],[&gt;4 Units]]</f>
        <v>0</v>
      </c>
      <c r="G89" s="30">
        <v>0</v>
      </c>
      <c r="H89" s="30">
        <v>0</v>
      </c>
      <c r="I89" s="30">
        <v>0</v>
      </c>
      <c r="J89" s="231">
        <v>0</v>
      </c>
      <c r="K89">
        <f t="shared" si="1"/>
        <v>0</v>
      </c>
      <c r="L89" s="30">
        <v>0</v>
      </c>
      <c r="M89" s="30">
        <v>0</v>
      </c>
      <c r="N89" s="30">
        <v>0</v>
      </c>
      <c r="O89" s="231">
        <v>0</v>
      </c>
      <c r="P89" s="97">
        <f>VLOOKUP(Table323[[#This Row],[Census Tract]],'Population and Diversity Data'!$B$2:$K$823,10,FALSE)</f>
        <v>2</v>
      </c>
      <c r="Q89" s="97" t="str">
        <f>VLOOKUP(Table323[[#This Row],[Census Tract]],'ES Energy Burden'!$B$2:$E$914,4,FALSE)</f>
        <v>No</v>
      </c>
    </row>
    <row r="90" spans="1:17" x14ac:dyDescent="0.2">
      <c r="A90" s="30" t="s">
        <v>2749</v>
      </c>
      <c r="B90" s="169">
        <v>9003466202</v>
      </c>
      <c r="C90" s="232" t="s">
        <v>944</v>
      </c>
      <c r="D90" s="182">
        <v>164.83341000000001</v>
      </c>
      <c r="E90" s="182">
        <v>0</v>
      </c>
      <c r="F90" s="13">
        <f>[1]!Table323[[#This Row],[Single Family]]+[1]!Table323[[#This Row],[2-4 Units]]+[1]!Table323[[#This Row],[&gt;4 Units]]</f>
        <v>0</v>
      </c>
      <c r="G90" s="30">
        <v>0</v>
      </c>
      <c r="H90" s="30">
        <v>0</v>
      </c>
      <c r="I90" s="30">
        <v>0</v>
      </c>
      <c r="J90" s="231">
        <v>0</v>
      </c>
      <c r="K90">
        <f t="shared" si="1"/>
        <v>0</v>
      </c>
      <c r="L90" s="30">
        <v>0</v>
      </c>
      <c r="M90" s="30">
        <v>0</v>
      </c>
      <c r="N90" s="30">
        <v>0</v>
      </c>
      <c r="O90" s="231">
        <v>0</v>
      </c>
      <c r="P90" s="97">
        <f>VLOOKUP(Table323[[#This Row],[Census Tract]],'Population and Diversity Data'!$B$2:$K$823,10,FALSE)</f>
        <v>2</v>
      </c>
      <c r="Q90" s="97" t="str">
        <f>VLOOKUP(Table323[[#This Row],[Census Tract]],'ES Energy Burden'!$B$2:$E$914,4,FALSE)</f>
        <v>No</v>
      </c>
    </row>
    <row r="91" spans="1:17" x14ac:dyDescent="0.2">
      <c r="A91" s="30" t="s">
        <v>2750</v>
      </c>
      <c r="B91" s="169">
        <v>9015815000</v>
      </c>
      <c r="C91" s="232" t="s">
        <v>944</v>
      </c>
      <c r="D91" s="182">
        <v>41601.085113000001</v>
      </c>
      <c r="E91" s="182">
        <v>52329.97</v>
      </c>
      <c r="F91" s="13">
        <f>[1]!Table323[[#This Row],[Single Family]]+[1]!Table323[[#This Row],[2-4 Units]]+[1]!Table323[[#This Row],[&gt;4 Units]]</f>
        <v>15</v>
      </c>
      <c r="G91" s="30">
        <v>15</v>
      </c>
      <c r="H91" s="30">
        <v>0</v>
      </c>
      <c r="I91" s="30">
        <v>0</v>
      </c>
      <c r="J91" s="231">
        <v>22409.03</v>
      </c>
      <c r="K91">
        <f t="shared" si="1"/>
        <v>3</v>
      </c>
      <c r="L91" s="30">
        <v>3</v>
      </c>
      <c r="M91" s="30">
        <v>0</v>
      </c>
      <c r="N91" s="30">
        <v>0</v>
      </c>
      <c r="O91" s="231">
        <v>11785.26</v>
      </c>
      <c r="P91" s="97">
        <f>VLOOKUP(Table323[[#This Row],[Census Tract]],'Population and Diversity Data'!$B$2:$K$823,10,FALSE)</f>
        <v>5</v>
      </c>
      <c r="Q91" s="97" t="str">
        <f>VLOOKUP(Table323[[#This Row],[Census Tract]],'ES Energy Burden'!$B$2:$E$914,4,FALSE)</f>
        <v>No</v>
      </c>
    </row>
    <row r="92" spans="1:17" x14ac:dyDescent="0.2">
      <c r="A92" s="30" t="s">
        <v>2751</v>
      </c>
      <c r="B92" s="169">
        <v>9009166002</v>
      </c>
      <c r="C92" s="232" t="s">
        <v>944</v>
      </c>
      <c r="D92" s="182">
        <v>442.79991000000001</v>
      </c>
      <c r="E92" s="182">
        <v>4194.04</v>
      </c>
      <c r="F92" s="13">
        <f>[1]!Table323[[#This Row],[Single Family]]+[1]!Table323[[#This Row],[2-4 Units]]+[1]!Table323[[#This Row],[&gt;4 Units]]</f>
        <v>0</v>
      </c>
      <c r="G92" s="30">
        <v>0</v>
      </c>
      <c r="H92" s="30">
        <v>0</v>
      </c>
      <c r="I92" s="30">
        <v>0</v>
      </c>
      <c r="J92" s="231">
        <v>2148.44</v>
      </c>
      <c r="K92">
        <f t="shared" si="1"/>
        <v>0</v>
      </c>
      <c r="L92" s="30">
        <v>0</v>
      </c>
      <c r="M92" s="30">
        <v>0</v>
      </c>
      <c r="N92" s="30">
        <v>0</v>
      </c>
      <c r="O92" s="231">
        <v>0</v>
      </c>
      <c r="P92" s="97">
        <f>VLOOKUP(Table323[[#This Row],[Census Tract]],'Population and Diversity Data'!$B$2:$K$823,10,FALSE)</f>
        <v>3</v>
      </c>
      <c r="Q92" s="97" t="str">
        <f>VLOOKUP(Table323[[#This Row],[Census Tract]],'ES Energy Burden'!$B$2:$E$914,4,FALSE)</f>
        <v>No</v>
      </c>
    </row>
    <row r="93" spans="1:17" x14ac:dyDescent="0.2">
      <c r="A93" s="30" t="s">
        <v>2751</v>
      </c>
      <c r="B93" s="169">
        <v>9009343101</v>
      </c>
      <c r="C93" s="232" t="s">
        <v>944</v>
      </c>
      <c r="D93" s="182">
        <v>48476.920485000002</v>
      </c>
      <c r="E93" s="182">
        <v>26051.73</v>
      </c>
      <c r="F93" s="13">
        <f>[1]!Table323[[#This Row],[Single Family]]+[1]!Table323[[#This Row],[2-4 Units]]+[1]!Table323[[#This Row],[&gt;4 Units]]</f>
        <v>0</v>
      </c>
      <c r="G93" s="30">
        <v>0</v>
      </c>
      <c r="H93" s="30">
        <v>0</v>
      </c>
      <c r="I93" s="30">
        <v>0</v>
      </c>
      <c r="J93" s="231">
        <v>6060.32</v>
      </c>
      <c r="K93">
        <f t="shared" si="1"/>
        <v>1</v>
      </c>
      <c r="L93" s="30">
        <v>1</v>
      </c>
      <c r="M93" s="30">
        <v>0</v>
      </c>
      <c r="N93" s="30">
        <v>0</v>
      </c>
      <c r="O93" s="231">
        <v>0</v>
      </c>
      <c r="P93" s="97">
        <f>VLOOKUP(Table323[[#This Row],[Census Tract]],'Population and Diversity Data'!$B$2:$K$823,10,FALSE)</f>
        <v>4</v>
      </c>
      <c r="Q93" s="97" t="str">
        <f>VLOOKUP(Table323[[#This Row],[Census Tract]],'ES Energy Burden'!$B$2:$E$914,4,FALSE)</f>
        <v>No</v>
      </c>
    </row>
    <row r="94" spans="1:17" x14ac:dyDescent="0.2">
      <c r="A94" s="30" t="s">
        <v>2751</v>
      </c>
      <c r="B94" s="169">
        <v>9009343102</v>
      </c>
      <c r="C94" s="232" t="s">
        <v>944</v>
      </c>
      <c r="D94" s="182">
        <v>47515.263620999998</v>
      </c>
      <c r="E94" s="182">
        <v>122001.39</v>
      </c>
      <c r="F94" s="13">
        <f>[1]!Table323[[#This Row],[Single Family]]+[1]!Table323[[#This Row],[2-4 Units]]+[1]!Table323[[#This Row],[&gt;4 Units]]</f>
        <v>0</v>
      </c>
      <c r="G94" s="30">
        <v>0</v>
      </c>
      <c r="H94" s="30">
        <v>0</v>
      </c>
      <c r="I94" s="30">
        <v>0</v>
      </c>
      <c r="J94" s="231">
        <v>37267.18</v>
      </c>
      <c r="K94">
        <f t="shared" si="1"/>
        <v>7</v>
      </c>
      <c r="L94" s="30">
        <v>5</v>
      </c>
      <c r="M94" s="30">
        <v>2</v>
      </c>
      <c r="N94" s="30">
        <v>0</v>
      </c>
      <c r="O94" s="231">
        <v>8767.01</v>
      </c>
      <c r="P94" s="97">
        <f>VLOOKUP(Table323[[#This Row],[Census Tract]],'Population and Diversity Data'!$B$2:$K$823,10,FALSE)</f>
        <v>3</v>
      </c>
      <c r="Q94" s="97" t="str">
        <f>VLOOKUP(Table323[[#This Row],[Census Tract]],'ES Energy Burden'!$B$2:$E$914,4,FALSE)</f>
        <v>No</v>
      </c>
    </row>
    <row r="95" spans="1:17" x14ac:dyDescent="0.2">
      <c r="A95" s="30" t="s">
        <v>2751</v>
      </c>
      <c r="B95" s="169">
        <v>9009343200</v>
      </c>
      <c r="C95" s="232" t="s">
        <v>944</v>
      </c>
      <c r="D95" s="182">
        <v>74003.539070999992</v>
      </c>
      <c r="E95" s="182">
        <v>123688.34</v>
      </c>
      <c r="F95" s="13">
        <f>[1]!Table323[[#This Row],[Single Family]]+[1]!Table323[[#This Row],[2-4 Units]]+[1]!Table323[[#This Row],[&gt;4 Units]]</f>
        <v>0</v>
      </c>
      <c r="G95" s="30">
        <v>0</v>
      </c>
      <c r="H95" s="30">
        <v>0</v>
      </c>
      <c r="I95" s="30">
        <v>0</v>
      </c>
      <c r="J95" s="231">
        <v>26570.93</v>
      </c>
      <c r="K95">
        <f t="shared" si="1"/>
        <v>12</v>
      </c>
      <c r="L95" s="30">
        <v>4</v>
      </c>
      <c r="M95" s="30">
        <v>0</v>
      </c>
      <c r="N95" s="30">
        <v>8</v>
      </c>
      <c r="O95" s="231">
        <v>40139.17</v>
      </c>
      <c r="P95" s="97">
        <f>VLOOKUP(Table323[[#This Row],[Census Tract]],'Population and Diversity Data'!$B$2:$K$823,10,FALSE)</f>
        <v>3</v>
      </c>
      <c r="Q95" s="97" t="str">
        <f>VLOOKUP(Table323[[#This Row],[Census Tract]],'ES Energy Burden'!$B$2:$E$914,4,FALSE)</f>
        <v>No</v>
      </c>
    </row>
    <row r="96" spans="1:17" x14ac:dyDescent="0.2">
      <c r="A96" s="30" t="s">
        <v>2751</v>
      </c>
      <c r="B96" s="169">
        <v>9009343300</v>
      </c>
      <c r="C96" s="232" t="s">
        <v>944</v>
      </c>
      <c r="D96" s="182">
        <v>224261.332008</v>
      </c>
      <c r="E96" s="182">
        <v>575184.91500000004</v>
      </c>
      <c r="F96" s="13">
        <f>[1]!Table323[[#This Row],[Single Family]]+[1]!Table323[[#This Row],[2-4 Units]]+[1]!Table323[[#This Row],[&gt;4 Units]]</f>
        <v>253</v>
      </c>
      <c r="G96" s="30">
        <v>251</v>
      </c>
      <c r="H96" s="30">
        <v>2</v>
      </c>
      <c r="I96" s="30">
        <v>0</v>
      </c>
      <c r="J96" s="231">
        <v>457740.46</v>
      </c>
      <c r="K96">
        <f t="shared" si="1"/>
        <v>19</v>
      </c>
      <c r="L96" s="30">
        <v>19</v>
      </c>
      <c r="M96" s="30">
        <v>0</v>
      </c>
      <c r="N96" s="30">
        <v>0</v>
      </c>
      <c r="O96" s="231">
        <v>104711.66</v>
      </c>
      <c r="P96" s="97">
        <f>VLOOKUP(Table323[[#This Row],[Census Tract]],'Population and Diversity Data'!$B$2:$K$823,10,FALSE)</f>
        <v>3</v>
      </c>
      <c r="Q96" s="97" t="str">
        <f>VLOOKUP(Table323[[#This Row],[Census Tract]],'ES Energy Burden'!$B$2:$E$914,4,FALSE)</f>
        <v>No</v>
      </c>
    </row>
    <row r="97" spans="1:17" x14ac:dyDescent="0.2">
      <c r="A97" s="30" t="s">
        <v>2751</v>
      </c>
      <c r="B97" s="169">
        <v>9009343400</v>
      </c>
      <c r="C97" s="232" t="s">
        <v>944</v>
      </c>
      <c r="D97" s="182">
        <v>82388.866811999993</v>
      </c>
      <c r="E97" s="182">
        <v>95688.06</v>
      </c>
      <c r="F97" s="13">
        <f>[1]!Table323[[#This Row],[Single Family]]+[1]!Table323[[#This Row],[2-4 Units]]+[1]!Table323[[#This Row],[&gt;4 Units]]</f>
        <v>1</v>
      </c>
      <c r="G97" s="30">
        <v>1</v>
      </c>
      <c r="H97" s="30">
        <v>0</v>
      </c>
      <c r="I97" s="30">
        <v>0</v>
      </c>
      <c r="J97" s="231">
        <v>37108.85</v>
      </c>
      <c r="K97">
        <f t="shared" si="1"/>
        <v>3</v>
      </c>
      <c r="L97" s="30">
        <v>3</v>
      </c>
      <c r="M97" s="30">
        <v>0</v>
      </c>
      <c r="N97" s="30">
        <v>0</v>
      </c>
      <c r="O97" s="231">
        <v>6843.66</v>
      </c>
      <c r="P97" s="97">
        <f>VLOOKUP(Table323[[#This Row],[Census Tract]],'Population and Diversity Data'!$B$2:$K$823,10,FALSE)</f>
        <v>4</v>
      </c>
      <c r="Q97" s="97" t="str">
        <f>VLOOKUP(Table323[[#This Row],[Census Tract]],'ES Energy Burden'!$B$2:$E$914,4,FALSE)</f>
        <v>No</v>
      </c>
    </row>
    <row r="98" spans="1:17" x14ac:dyDescent="0.2">
      <c r="A98" s="30" t="s">
        <v>2751</v>
      </c>
      <c r="B98" s="169">
        <v>9009347100</v>
      </c>
      <c r="C98" s="232" t="s">
        <v>944</v>
      </c>
      <c r="D98" s="182">
        <v>73.734780000000001</v>
      </c>
      <c r="E98" s="182">
        <v>0</v>
      </c>
      <c r="F98" s="13">
        <f>[1]!Table323[[#This Row],[Single Family]]+[1]!Table323[[#This Row],[2-4 Units]]+[1]!Table323[[#This Row],[&gt;4 Units]]</f>
        <v>0</v>
      </c>
      <c r="G98" s="30">
        <v>0</v>
      </c>
      <c r="H98" s="30">
        <v>0</v>
      </c>
      <c r="I98" s="30">
        <v>0</v>
      </c>
      <c r="J98" s="231">
        <v>0</v>
      </c>
      <c r="K98">
        <f t="shared" si="1"/>
        <v>0</v>
      </c>
      <c r="L98" s="30">
        <v>0</v>
      </c>
      <c r="M98" s="30">
        <v>0</v>
      </c>
      <c r="N98" s="30">
        <v>0</v>
      </c>
      <c r="O98" s="231">
        <v>0</v>
      </c>
      <c r="P98" s="97">
        <f>VLOOKUP(Table323[[#This Row],[Census Tract]],'Population and Diversity Data'!$B$2:$K$823,10,FALSE)</f>
        <v>1</v>
      </c>
      <c r="Q98" s="97" t="str">
        <f>VLOOKUP(Table323[[#This Row],[Census Tract]],'ES Energy Burden'!$B$2:$E$914,4,FALSE)</f>
        <v>No</v>
      </c>
    </row>
    <row r="99" spans="1:17" x14ac:dyDescent="0.2">
      <c r="A99" s="30" t="s">
        <v>2752</v>
      </c>
      <c r="B99" s="169">
        <v>9007600100</v>
      </c>
      <c r="C99" s="232" t="s">
        <v>944</v>
      </c>
      <c r="D99" s="182">
        <v>78714.444795000003</v>
      </c>
      <c r="E99" s="182">
        <v>244352.26500000001</v>
      </c>
      <c r="F99" s="13">
        <f>[1]!Table323[[#This Row],[Single Family]]+[1]!Table323[[#This Row],[2-4 Units]]+[1]!Table323[[#This Row],[&gt;4 Units]]</f>
        <v>128</v>
      </c>
      <c r="G99" s="30">
        <v>23</v>
      </c>
      <c r="H99" s="30">
        <v>0</v>
      </c>
      <c r="I99" s="30">
        <v>105</v>
      </c>
      <c r="J99" s="231">
        <v>131630.97</v>
      </c>
      <c r="K99">
        <f t="shared" si="1"/>
        <v>26</v>
      </c>
      <c r="L99" s="30">
        <v>2</v>
      </c>
      <c r="M99" s="30">
        <v>1</v>
      </c>
      <c r="N99" s="30">
        <v>23</v>
      </c>
      <c r="O99" s="231">
        <v>77962.960000000006</v>
      </c>
      <c r="P99" s="97">
        <f>VLOOKUP(Table323[[#This Row],[Census Tract]],'Population and Diversity Data'!$B$2:$K$823,10,FALSE)</f>
        <v>1</v>
      </c>
      <c r="Q99" s="97" t="str">
        <f>VLOOKUP(Table323[[#This Row],[Census Tract]],'ES Energy Burden'!$B$2:$E$914,4,FALSE)</f>
        <v>No</v>
      </c>
    </row>
    <row r="100" spans="1:17" x14ac:dyDescent="0.2">
      <c r="A100" s="30" t="s">
        <v>2753</v>
      </c>
      <c r="B100" s="169">
        <v>9007610100</v>
      </c>
      <c r="C100" s="232" t="s">
        <v>944</v>
      </c>
      <c r="D100" s="182">
        <v>27433.380870000001</v>
      </c>
      <c r="E100" s="182">
        <v>12373.37</v>
      </c>
      <c r="F100" s="13">
        <f>[1]!Table323[[#This Row],[Single Family]]+[1]!Table323[[#This Row],[2-4 Units]]+[1]!Table323[[#This Row],[&gt;4 Units]]</f>
        <v>1</v>
      </c>
      <c r="G100" s="30">
        <v>1</v>
      </c>
      <c r="H100" s="30">
        <v>0</v>
      </c>
      <c r="I100" s="30">
        <v>0</v>
      </c>
      <c r="J100" s="231">
        <v>2096.7399999999998</v>
      </c>
      <c r="K100">
        <f t="shared" si="1"/>
        <v>3</v>
      </c>
      <c r="L100" s="30">
        <v>3</v>
      </c>
      <c r="M100" s="30">
        <v>0</v>
      </c>
      <c r="N100" s="30">
        <v>0</v>
      </c>
      <c r="O100" s="231">
        <v>1069.1300000000001</v>
      </c>
      <c r="P100" s="97">
        <f>VLOOKUP(Table323[[#This Row],[Census Tract]],'Population and Diversity Data'!$B$2:$K$823,10,FALSE)</f>
        <v>1</v>
      </c>
      <c r="Q100" s="97" t="str">
        <f>VLOOKUP(Table323[[#This Row],[Census Tract]],'ES Energy Burden'!$B$2:$E$914,4,FALSE)</f>
        <v>No</v>
      </c>
    </row>
    <row r="101" spans="1:17" x14ac:dyDescent="0.2">
      <c r="A101" s="30" t="s">
        <v>2753</v>
      </c>
      <c r="B101" s="169">
        <v>9007610200</v>
      </c>
      <c r="C101" s="232" t="s">
        <v>944</v>
      </c>
      <c r="D101" s="182">
        <v>126998.722179</v>
      </c>
      <c r="E101" s="182">
        <v>181888.07500000001</v>
      </c>
      <c r="F101" s="13">
        <f>[1]!Table323[[#This Row],[Single Family]]+[1]!Table323[[#This Row],[2-4 Units]]+[1]!Table323[[#This Row],[&gt;4 Units]]</f>
        <v>0</v>
      </c>
      <c r="G101" s="30">
        <v>0</v>
      </c>
      <c r="H101" s="30">
        <v>0</v>
      </c>
      <c r="I101" s="30">
        <v>0</v>
      </c>
      <c r="J101" s="231">
        <v>5117.82</v>
      </c>
      <c r="K101">
        <f t="shared" si="1"/>
        <v>5</v>
      </c>
      <c r="L101" s="30">
        <v>4</v>
      </c>
      <c r="M101" s="30">
        <v>1</v>
      </c>
      <c r="N101" s="30">
        <v>0</v>
      </c>
      <c r="O101" s="231">
        <v>2917.14</v>
      </c>
      <c r="P101" s="97">
        <f>VLOOKUP(Table323[[#This Row],[Census Tract]],'Population and Diversity Data'!$B$2:$K$823,10,FALSE)</f>
        <v>2</v>
      </c>
      <c r="Q101" s="97" t="str">
        <f>VLOOKUP(Table323[[#This Row],[Census Tract]],'ES Energy Burden'!$B$2:$E$914,4,FALSE)</f>
        <v>No</v>
      </c>
    </row>
    <row r="102" spans="1:17" x14ac:dyDescent="0.2">
      <c r="A102" s="30" t="s">
        <v>2753</v>
      </c>
      <c r="B102" s="169">
        <v>9007610300</v>
      </c>
      <c r="C102" s="232" t="s">
        <v>944</v>
      </c>
      <c r="D102" s="182">
        <v>49179.506775000002</v>
      </c>
      <c r="E102" s="182">
        <v>18393.43</v>
      </c>
      <c r="F102" s="13">
        <f>[1]!Table323[[#This Row],[Single Family]]+[1]!Table323[[#This Row],[2-4 Units]]+[1]!Table323[[#This Row],[&gt;4 Units]]</f>
        <v>0</v>
      </c>
      <c r="G102" s="30">
        <v>0</v>
      </c>
      <c r="H102" s="30">
        <v>0</v>
      </c>
      <c r="I102" s="30">
        <v>0</v>
      </c>
      <c r="J102" s="231">
        <v>6566.8</v>
      </c>
      <c r="K102">
        <f t="shared" si="1"/>
        <v>50</v>
      </c>
      <c r="L102" s="30">
        <v>2</v>
      </c>
      <c r="M102" s="30">
        <v>0</v>
      </c>
      <c r="N102" s="30">
        <v>48</v>
      </c>
      <c r="O102" s="231">
        <v>1110.8800000000001</v>
      </c>
      <c r="P102" s="97">
        <f>VLOOKUP(Table323[[#This Row],[Census Tract]],'Population and Diversity Data'!$B$2:$K$823,10,FALSE)</f>
        <v>1</v>
      </c>
      <c r="Q102" s="97" t="str">
        <f>VLOOKUP(Table323[[#This Row],[Census Tract]],'ES Energy Burden'!$B$2:$E$914,4,FALSE)</f>
        <v>No</v>
      </c>
    </row>
    <row r="103" spans="1:17" x14ac:dyDescent="0.2">
      <c r="A103" s="30" t="s">
        <v>2753</v>
      </c>
      <c r="B103" s="169">
        <v>9007610400</v>
      </c>
      <c r="C103" s="232" t="s">
        <v>944</v>
      </c>
      <c r="D103" s="182">
        <v>39809.13048</v>
      </c>
      <c r="E103" s="182">
        <v>34100.764999999999</v>
      </c>
      <c r="F103" s="13">
        <f>[1]!Table323[[#This Row],[Single Family]]+[1]!Table323[[#This Row],[2-4 Units]]+[1]!Table323[[#This Row],[&gt;4 Units]]</f>
        <v>108</v>
      </c>
      <c r="G103" s="30">
        <v>108</v>
      </c>
      <c r="H103" s="30">
        <v>0</v>
      </c>
      <c r="I103" s="30">
        <v>0</v>
      </c>
      <c r="J103" s="231">
        <v>123872.33</v>
      </c>
      <c r="K103">
        <f t="shared" si="1"/>
        <v>7</v>
      </c>
      <c r="L103" s="30">
        <v>5</v>
      </c>
      <c r="M103" s="30">
        <v>2</v>
      </c>
      <c r="N103" s="30">
        <v>0</v>
      </c>
      <c r="O103" s="231">
        <v>12564.53</v>
      </c>
      <c r="P103" s="97">
        <f>VLOOKUP(Table323[[#This Row],[Census Tract]],'Population and Diversity Data'!$B$2:$K$823,10,FALSE)</f>
        <v>1</v>
      </c>
      <c r="Q103" s="97" t="str">
        <f>VLOOKUP(Table323[[#This Row],[Census Tract]],'ES Energy Burden'!$B$2:$E$914,4,FALSE)</f>
        <v>No</v>
      </c>
    </row>
    <row r="104" spans="1:17" x14ac:dyDescent="0.2">
      <c r="A104" s="30" t="s">
        <v>2754</v>
      </c>
      <c r="B104" s="169">
        <v>9007550201</v>
      </c>
      <c r="C104" s="232" t="s">
        <v>944</v>
      </c>
      <c r="D104" s="182">
        <v>229.68099000000001</v>
      </c>
      <c r="E104" s="182">
        <v>336.48</v>
      </c>
      <c r="F104" s="13">
        <f>[1]!Table323[[#This Row],[Single Family]]+[1]!Table323[[#This Row],[2-4 Units]]+[1]!Table323[[#This Row],[&gt;4 Units]]</f>
        <v>0</v>
      </c>
      <c r="G104" s="30">
        <v>0</v>
      </c>
      <c r="H104" s="30">
        <v>0</v>
      </c>
      <c r="I104" s="30">
        <v>0</v>
      </c>
      <c r="J104" s="231">
        <v>0</v>
      </c>
      <c r="K104">
        <f t="shared" si="1"/>
        <v>0</v>
      </c>
      <c r="L104" s="30">
        <v>0</v>
      </c>
      <c r="M104" s="30">
        <v>0</v>
      </c>
      <c r="N104" s="30">
        <v>0</v>
      </c>
      <c r="O104" s="231">
        <v>0</v>
      </c>
      <c r="P104" s="97">
        <f>VLOOKUP(Table323[[#This Row],[Census Tract]],'Population and Diversity Data'!$B$2:$K$823,10,FALSE)</f>
        <v>2</v>
      </c>
      <c r="Q104" s="97" t="str">
        <f>VLOOKUP(Table323[[#This Row],[Census Tract]],'ES Energy Burden'!$B$2:$E$914,4,FALSE)</f>
        <v>No</v>
      </c>
    </row>
    <row r="105" spans="1:17" x14ac:dyDescent="0.2">
      <c r="A105" s="30" t="s">
        <v>2754</v>
      </c>
      <c r="B105" s="169">
        <v>9007595101</v>
      </c>
      <c r="C105" s="232" t="s">
        <v>944</v>
      </c>
      <c r="D105" s="182">
        <v>814.00955999999996</v>
      </c>
      <c r="E105" s="182">
        <v>0</v>
      </c>
      <c r="F105" s="13">
        <f>[1]!Table323[[#This Row],[Single Family]]+[1]!Table323[[#This Row],[2-4 Units]]+[1]!Table323[[#This Row],[&gt;4 Units]]</f>
        <v>0</v>
      </c>
      <c r="G105" s="30">
        <v>0</v>
      </c>
      <c r="H105" s="30">
        <v>0</v>
      </c>
      <c r="I105" s="30">
        <v>0</v>
      </c>
      <c r="J105" s="231">
        <v>0</v>
      </c>
      <c r="K105">
        <f t="shared" si="1"/>
        <v>0</v>
      </c>
      <c r="L105" s="30">
        <v>0</v>
      </c>
      <c r="M105" s="30">
        <v>0</v>
      </c>
      <c r="N105" s="30">
        <v>0</v>
      </c>
      <c r="O105" s="231">
        <v>0</v>
      </c>
      <c r="P105" s="97">
        <f>VLOOKUP(Table323[[#This Row],[Census Tract]],'Population and Diversity Data'!$B$2:$K$823,10,FALSE)</f>
        <v>1</v>
      </c>
      <c r="Q105" s="97" t="str">
        <f>VLOOKUP(Table323[[#This Row],[Census Tract]],'ES Energy Burden'!$B$2:$E$914,4,FALSE)</f>
        <v>No</v>
      </c>
    </row>
    <row r="106" spans="1:17" x14ac:dyDescent="0.2">
      <c r="A106" s="30" t="s">
        <v>2754</v>
      </c>
      <c r="B106" s="169">
        <v>9011714101</v>
      </c>
      <c r="C106" s="232" t="s">
        <v>944</v>
      </c>
      <c r="D106" s="182">
        <v>117593.37330300001</v>
      </c>
      <c r="E106" s="182">
        <v>423731.32250000001</v>
      </c>
      <c r="F106" s="13">
        <f>[1]!Table323[[#This Row],[Single Family]]+[1]!Table323[[#This Row],[2-4 Units]]+[1]!Table323[[#This Row],[&gt;4 Units]]</f>
        <v>98</v>
      </c>
      <c r="G106" s="30">
        <v>97</v>
      </c>
      <c r="H106" s="30">
        <v>1</v>
      </c>
      <c r="I106" s="30">
        <v>0</v>
      </c>
      <c r="J106" s="231">
        <v>166424.92000000001</v>
      </c>
      <c r="K106">
        <f t="shared" si="1"/>
        <v>8</v>
      </c>
      <c r="L106" s="30">
        <v>7</v>
      </c>
      <c r="M106" s="30">
        <v>1</v>
      </c>
      <c r="N106" s="30">
        <v>0</v>
      </c>
      <c r="O106" s="231">
        <v>88106.94</v>
      </c>
      <c r="P106" s="97">
        <f>VLOOKUP(Table323[[#This Row],[Census Tract]],'Population and Diversity Data'!$B$2:$K$823,10,FALSE)</f>
        <v>1</v>
      </c>
      <c r="Q106" s="97" t="str">
        <f>VLOOKUP(Table323[[#This Row],[Census Tract]],'ES Energy Burden'!$B$2:$E$914,4,FALSE)</f>
        <v>No</v>
      </c>
    </row>
    <row r="107" spans="1:17" x14ac:dyDescent="0.2">
      <c r="A107" s="30" t="s">
        <v>2754</v>
      </c>
      <c r="B107" s="169">
        <v>9011714103</v>
      </c>
      <c r="C107" s="232" t="s">
        <v>944</v>
      </c>
      <c r="D107" s="182">
        <v>79994.61166200001</v>
      </c>
      <c r="E107" s="182">
        <v>58887.1</v>
      </c>
      <c r="F107" s="13">
        <f>[1]!Table323[[#This Row],[Single Family]]+[1]!Table323[[#This Row],[2-4 Units]]+[1]!Table323[[#This Row],[&gt;4 Units]]</f>
        <v>0</v>
      </c>
      <c r="G107" s="30">
        <v>0</v>
      </c>
      <c r="H107" s="30">
        <v>0</v>
      </c>
      <c r="I107" s="30">
        <v>0</v>
      </c>
      <c r="J107" s="231">
        <v>15488.56</v>
      </c>
      <c r="K107">
        <f t="shared" si="1"/>
        <v>1</v>
      </c>
      <c r="L107" s="30">
        <v>1</v>
      </c>
      <c r="M107" s="30">
        <v>0</v>
      </c>
      <c r="N107" s="30">
        <v>0</v>
      </c>
      <c r="O107" s="231">
        <v>1443.5</v>
      </c>
      <c r="P107" s="97">
        <f>VLOOKUP(Table323[[#This Row],[Census Tract]],'Population and Diversity Data'!$B$2:$K$823,10,FALSE)</f>
        <v>3</v>
      </c>
      <c r="Q107" s="97" t="str">
        <f>VLOOKUP(Table323[[#This Row],[Census Tract]],'ES Energy Burden'!$B$2:$E$914,4,FALSE)</f>
        <v>No</v>
      </c>
    </row>
    <row r="108" spans="1:17" x14ac:dyDescent="0.2">
      <c r="A108" s="30" t="s">
        <v>2754</v>
      </c>
      <c r="B108" s="169">
        <v>9011714104</v>
      </c>
      <c r="C108" s="232" t="s">
        <v>944</v>
      </c>
      <c r="D108" s="182">
        <v>58536.117570000002</v>
      </c>
      <c r="E108" s="182">
        <v>48666.21</v>
      </c>
      <c r="F108" s="13">
        <f>[1]!Table323[[#This Row],[Single Family]]+[1]!Table323[[#This Row],[2-4 Units]]+[1]!Table323[[#This Row],[&gt;4 Units]]</f>
        <v>0</v>
      </c>
      <c r="G108" s="30">
        <v>0</v>
      </c>
      <c r="H108" s="30">
        <v>0</v>
      </c>
      <c r="I108" s="30">
        <v>0</v>
      </c>
      <c r="J108" s="231">
        <v>12500.14</v>
      </c>
      <c r="K108">
        <f t="shared" si="1"/>
        <v>57</v>
      </c>
      <c r="L108" s="30">
        <v>0</v>
      </c>
      <c r="M108" s="30">
        <v>0</v>
      </c>
      <c r="N108" s="30">
        <v>57</v>
      </c>
      <c r="O108" s="231">
        <v>10680.64</v>
      </c>
      <c r="P108" s="97">
        <f>VLOOKUP(Table323[[#This Row],[Census Tract]],'Population and Diversity Data'!$B$2:$K$823,10,FALSE)</f>
        <v>1</v>
      </c>
      <c r="Q108" s="97" t="str">
        <f>VLOOKUP(Table323[[#This Row],[Census Tract]],'ES Energy Burden'!$B$2:$E$914,4,FALSE)</f>
        <v>No</v>
      </c>
    </row>
    <row r="109" spans="1:17" x14ac:dyDescent="0.2">
      <c r="A109" s="30" t="s">
        <v>2754</v>
      </c>
      <c r="B109" s="169">
        <v>9011715100</v>
      </c>
      <c r="C109" s="232" t="s">
        <v>944</v>
      </c>
      <c r="D109" s="182">
        <v>125.82633</v>
      </c>
      <c r="E109" s="182">
        <v>0</v>
      </c>
      <c r="F109" s="13">
        <f>[1]!Table323[[#This Row],[Single Family]]+[1]!Table323[[#This Row],[2-4 Units]]+[1]!Table323[[#This Row],[&gt;4 Units]]</f>
        <v>0</v>
      </c>
      <c r="G109" s="30">
        <v>0</v>
      </c>
      <c r="H109" s="30">
        <v>0</v>
      </c>
      <c r="I109" s="30">
        <v>0</v>
      </c>
      <c r="J109" s="231">
        <v>0</v>
      </c>
      <c r="K109">
        <f t="shared" si="1"/>
        <v>0</v>
      </c>
      <c r="L109" s="30">
        <v>0</v>
      </c>
      <c r="M109" s="30">
        <v>0</v>
      </c>
      <c r="N109" s="30">
        <v>0</v>
      </c>
      <c r="O109" s="231">
        <v>0</v>
      </c>
      <c r="P109" s="97">
        <f>VLOOKUP(Table323[[#This Row],[Census Tract]],'Population and Diversity Data'!$B$2:$K$823,10,FALSE)</f>
        <v>3</v>
      </c>
      <c r="Q109" s="97" t="str">
        <f>VLOOKUP(Table323[[#This Row],[Census Tract]],'ES Energy Burden'!$B$2:$E$914,4,FALSE)</f>
        <v>No</v>
      </c>
    </row>
    <row r="110" spans="1:17" x14ac:dyDescent="0.2">
      <c r="A110" s="30" t="s">
        <v>2754</v>
      </c>
      <c r="B110" s="169">
        <v>9011870100</v>
      </c>
      <c r="C110" s="232" t="s">
        <v>944</v>
      </c>
      <c r="D110" s="182">
        <v>625.55262000000005</v>
      </c>
      <c r="E110" s="182">
        <v>0</v>
      </c>
      <c r="F110" s="13">
        <f>[1]!Table323[[#This Row],[Single Family]]+[1]!Table323[[#This Row],[2-4 Units]]+[1]!Table323[[#This Row],[&gt;4 Units]]</f>
        <v>0</v>
      </c>
      <c r="G110" s="30">
        <v>0</v>
      </c>
      <c r="H110" s="30">
        <v>0</v>
      </c>
      <c r="I110" s="30">
        <v>0</v>
      </c>
      <c r="J110" s="231">
        <v>0</v>
      </c>
      <c r="K110">
        <f t="shared" si="1"/>
        <v>0</v>
      </c>
      <c r="L110" s="30">
        <v>0</v>
      </c>
      <c r="M110" s="30">
        <v>0</v>
      </c>
      <c r="N110" s="30">
        <v>0</v>
      </c>
      <c r="O110" s="231">
        <v>0</v>
      </c>
      <c r="P110" s="97">
        <f>VLOOKUP(Table323[[#This Row],[Census Tract]],'Population and Diversity Data'!$B$2:$K$823,10,FALSE)</f>
        <v>1</v>
      </c>
      <c r="Q110" s="97" t="str">
        <f>VLOOKUP(Table323[[#This Row],[Census Tract]],'ES Energy Burden'!$B$2:$E$914,4,FALSE)</f>
        <v>No</v>
      </c>
    </row>
    <row r="111" spans="1:17" x14ac:dyDescent="0.2">
      <c r="A111" s="30" t="s">
        <v>2754</v>
      </c>
      <c r="B111" s="169">
        <v>9013526101</v>
      </c>
      <c r="C111" s="232" t="s">
        <v>944</v>
      </c>
      <c r="D111" s="182">
        <v>599.91015000000004</v>
      </c>
      <c r="E111" s="182">
        <v>0</v>
      </c>
      <c r="F111" s="13">
        <f>[1]!Table323[[#This Row],[Single Family]]+[1]!Table323[[#This Row],[2-4 Units]]+[1]!Table323[[#This Row],[&gt;4 Units]]</f>
        <v>0</v>
      </c>
      <c r="G111" s="30">
        <v>0</v>
      </c>
      <c r="H111" s="30">
        <v>0</v>
      </c>
      <c r="I111" s="30">
        <v>0</v>
      </c>
      <c r="J111" s="231">
        <v>0</v>
      </c>
      <c r="K111">
        <f t="shared" si="1"/>
        <v>0</v>
      </c>
      <c r="L111" s="30">
        <v>0</v>
      </c>
      <c r="M111" s="30">
        <v>0</v>
      </c>
      <c r="N111" s="30">
        <v>0</v>
      </c>
      <c r="O111" s="231">
        <v>0</v>
      </c>
      <c r="P111" s="97">
        <f>VLOOKUP(Table323[[#This Row],[Census Tract]],'Population and Diversity Data'!$B$2:$K$823,10,FALSE)</f>
        <v>2</v>
      </c>
      <c r="Q111" s="97" t="str">
        <f>VLOOKUP(Table323[[#This Row],[Census Tract]],'ES Energy Burden'!$B$2:$E$914,4,FALSE)</f>
        <v>No</v>
      </c>
    </row>
    <row r="112" spans="1:17" x14ac:dyDescent="0.2">
      <c r="A112" s="30" t="s">
        <v>2755</v>
      </c>
      <c r="B112" s="169">
        <v>9005293100</v>
      </c>
      <c r="C112" s="232" t="s">
        <v>944</v>
      </c>
      <c r="D112" s="182">
        <v>28509.248879999999</v>
      </c>
      <c r="E112" s="182">
        <v>51367.13</v>
      </c>
      <c r="F112" s="13">
        <f>[1]!Table323[[#This Row],[Single Family]]+[1]!Table323[[#This Row],[2-4 Units]]+[1]!Table323[[#This Row],[&gt;4 Units]]</f>
        <v>6</v>
      </c>
      <c r="G112" s="30">
        <v>6</v>
      </c>
      <c r="H112" s="30">
        <v>0</v>
      </c>
      <c r="I112" s="30">
        <v>0</v>
      </c>
      <c r="J112" s="231">
        <v>10969.23</v>
      </c>
      <c r="K112">
        <f t="shared" si="1"/>
        <v>3</v>
      </c>
      <c r="L112" s="30">
        <v>3</v>
      </c>
      <c r="M112" s="30">
        <v>0</v>
      </c>
      <c r="N112" s="30">
        <v>0</v>
      </c>
      <c r="O112" s="231">
        <v>29548.59</v>
      </c>
      <c r="P112" s="97">
        <f>VLOOKUP(Table323[[#This Row],[Census Tract]],'Population and Diversity Data'!$B$2:$K$823,10,FALSE)</f>
        <v>1</v>
      </c>
      <c r="Q112" s="97" t="str">
        <f>VLOOKUP(Table323[[#This Row],[Census Tract]],'ES Energy Burden'!$B$2:$E$914,4,FALSE)</f>
        <v>No</v>
      </c>
    </row>
    <row r="113" spans="1:17" x14ac:dyDescent="0.2">
      <c r="A113" s="30" t="s">
        <v>2755</v>
      </c>
      <c r="B113" s="169">
        <v>9005320100</v>
      </c>
      <c r="C113" s="232" t="s">
        <v>944</v>
      </c>
      <c r="D113" s="182">
        <v>144.85169999999999</v>
      </c>
      <c r="E113" s="182">
        <v>0</v>
      </c>
      <c r="F113" s="13">
        <f>[1]!Table323[[#This Row],[Single Family]]+[1]!Table323[[#This Row],[2-4 Units]]+[1]!Table323[[#This Row],[&gt;4 Units]]</f>
        <v>0</v>
      </c>
      <c r="G113" s="30">
        <v>0</v>
      </c>
      <c r="H113" s="30">
        <v>0</v>
      </c>
      <c r="I113" s="30">
        <v>0</v>
      </c>
      <c r="J113" s="231">
        <v>0</v>
      </c>
      <c r="K113">
        <f t="shared" si="1"/>
        <v>0</v>
      </c>
      <c r="L113" s="30">
        <v>0</v>
      </c>
      <c r="M113" s="30">
        <v>0</v>
      </c>
      <c r="N113" s="30">
        <v>0</v>
      </c>
      <c r="O113" s="231">
        <v>0</v>
      </c>
      <c r="P113" s="97">
        <f>VLOOKUP(Table323[[#This Row],[Census Tract]],'Population and Diversity Data'!$B$2:$K$823,10,FALSE)</f>
        <v>1</v>
      </c>
      <c r="Q113" s="97" t="str">
        <f>VLOOKUP(Table323[[#This Row],[Census Tract]],'ES Energy Burden'!$B$2:$E$914,4,FALSE)</f>
        <v>No</v>
      </c>
    </row>
    <row r="114" spans="1:17" x14ac:dyDescent="0.2">
      <c r="A114" s="30" t="s">
        <v>2756</v>
      </c>
      <c r="B114" s="169">
        <v>9013850200</v>
      </c>
      <c r="C114" s="232" t="s">
        <v>944</v>
      </c>
      <c r="D114" s="182">
        <v>195.33968999999999</v>
      </c>
      <c r="E114" s="182">
        <v>0</v>
      </c>
      <c r="F114" s="13">
        <f>[1]!Table323[[#This Row],[Single Family]]+[1]!Table323[[#This Row],[2-4 Units]]+[1]!Table323[[#This Row],[&gt;4 Units]]</f>
        <v>0</v>
      </c>
      <c r="G114" s="30">
        <v>0</v>
      </c>
      <c r="H114" s="30">
        <v>0</v>
      </c>
      <c r="I114" s="30">
        <v>0</v>
      </c>
      <c r="J114" s="231">
        <v>0</v>
      </c>
      <c r="K114">
        <f t="shared" si="1"/>
        <v>0</v>
      </c>
      <c r="L114" s="30">
        <v>0</v>
      </c>
      <c r="M114" s="30">
        <v>0</v>
      </c>
      <c r="N114" s="30">
        <v>0</v>
      </c>
      <c r="O114" s="231">
        <v>0</v>
      </c>
      <c r="P114" s="97">
        <f>VLOOKUP(Table323[[#This Row],[Census Tract]],'Population and Diversity Data'!$B$2:$K$823,10,FALSE)</f>
        <v>1</v>
      </c>
      <c r="Q114" s="97" t="str">
        <f>VLOOKUP(Table323[[#This Row],[Census Tract]],'ES Energy Burden'!$B$2:$E$914,4,FALSE)</f>
        <v>No</v>
      </c>
    </row>
    <row r="115" spans="1:17" x14ac:dyDescent="0.2">
      <c r="A115" s="30" t="s">
        <v>2756</v>
      </c>
      <c r="B115" s="169">
        <v>9013860100</v>
      </c>
      <c r="C115" s="232" t="s">
        <v>944</v>
      </c>
      <c r="D115" s="182">
        <v>94643.113425000003</v>
      </c>
      <c r="E115" s="182">
        <v>139434.28</v>
      </c>
      <c r="F115" s="13">
        <f>[1]!Table323[[#This Row],[Single Family]]+[1]!Table323[[#This Row],[2-4 Units]]+[1]!Table323[[#This Row],[&gt;4 Units]]</f>
        <v>32</v>
      </c>
      <c r="G115" s="30">
        <v>32</v>
      </c>
      <c r="H115" s="30">
        <v>0</v>
      </c>
      <c r="I115" s="30">
        <v>0</v>
      </c>
      <c r="J115" s="231">
        <v>70288.479999999996</v>
      </c>
      <c r="K115">
        <f t="shared" si="1"/>
        <v>6</v>
      </c>
      <c r="L115" s="30">
        <v>6</v>
      </c>
      <c r="M115" s="30">
        <v>0</v>
      </c>
      <c r="N115" s="30">
        <v>0</v>
      </c>
      <c r="O115" s="231">
        <v>36467.879999999997</v>
      </c>
      <c r="P115" s="97">
        <f>VLOOKUP(Table323[[#This Row],[Census Tract]],'Population and Diversity Data'!$B$2:$K$823,10,FALSE)</f>
        <v>1</v>
      </c>
      <c r="Q115" s="97" t="str">
        <f>VLOOKUP(Table323[[#This Row],[Census Tract]],'ES Energy Burden'!$B$2:$E$914,4,FALSE)</f>
        <v>No</v>
      </c>
    </row>
    <row r="116" spans="1:17" x14ac:dyDescent="0.2">
      <c r="A116" s="30" t="s">
        <v>2757</v>
      </c>
      <c r="B116" s="169">
        <v>9005262100</v>
      </c>
      <c r="C116" s="232" t="s">
        <v>944</v>
      </c>
      <c r="D116" s="182">
        <v>89.524050000000003</v>
      </c>
      <c r="E116" s="182">
        <v>7136.625</v>
      </c>
      <c r="F116" s="13">
        <f>[1]!Table323[[#This Row],[Single Family]]+[1]!Table323[[#This Row],[2-4 Units]]+[1]!Table323[[#This Row],[&gt;4 Units]]</f>
        <v>0</v>
      </c>
      <c r="G116" s="30">
        <v>0</v>
      </c>
      <c r="H116" s="30">
        <v>0</v>
      </c>
      <c r="I116" s="30">
        <v>0</v>
      </c>
      <c r="J116" s="231">
        <v>0</v>
      </c>
      <c r="K116">
        <f t="shared" si="1"/>
        <v>0</v>
      </c>
      <c r="L116" s="30">
        <v>0</v>
      </c>
      <c r="M116" s="30">
        <v>0</v>
      </c>
      <c r="N116" s="30">
        <v>0</v>
      </c>
      <c r="O116" s="231">
        <v>0</v>
      </c>
      <c r="P116" s="97">
        <f>VLOOKUP(Table323[[#This Row],[Census Tract]],'Population and Diversity Data'!$B$2:$K$823,10,FALSE)</f>
        <v>1</v>
      </c>
      <c r="Q116" s="97" t="str">
        <f>VLOOKUP(Table323[[#This Row],[Census Tract]],'ES Energy Burden'!$B$2:$E$914,4,FALSE)</f>
        <v>No</v>
      </c>
    </row>
    <row r="117" spans="1:17" x14ac:dyDescent="0.2">
      <c r="A117" s="30" t="s">
        <v>2757</v>
      </c>
      <c r="B117" s="169">
        <v>9005263200</v>
      </c>
      <c r="C117" s="232" t="s">
        <v>944</v>
      </c>
      <c r="D117" s="182">
        <v>42407.151255000004</v>
      </c>
      <c r="E117" s="182">
        <v>40542.03</v>
      </c>
      <c r="F117" s="13">
        <f>[1]!Table323[[#This Row],[Single Family]]+[1]!Table323[[#This Row],[2-4 Units]]+[1]!Table323[[#This Row],[&gt;4 Units]]</f>
        <v>18</v>
      </c>
      <c r="G117" s="30">
        <v>18</v>
      </c>
      <c r="H117" s="30">
        <v>0</v>
      </c>
      <c r="I117" s="30">
        <v>0</v>
      </c>
      <c r="J117" s="231">
        <v>29653.88</v>
      </c>
      <c r="K117" s="13">
        <f>L117+M117+N117</f>
        <v>1</v>
      </c>
      <c r="L117" s="30">
        <v>1</v>
      </c>
      <c r="M117" s="30">
        <v>0</v>
      </c>
      <c r="N117" s="30">
        <v>0</v>
      </c>
      <c r="O117" s="231">
        <v>2759.78</v>
      </c>
      <c r="P117" s="97">
        <f>VLOOKUP(Table323[[#This Row],[Census Tract]],'Population and Diversity Data'!$B$2:$K$823,10,FALSE)</f>
        <v>3</v>
      </c>
      <c r="Q117" s="97" t="str">
        <f>VLOOKUP(Table323[[#This Row],[Census Tract]],'ES Energy Burden'!$B$2:$E$914,4,FALSE)</f>
        <v>No</v>
      </c>
    </row>
    <row r="118" spans="1:17" x14ac:dyDescent="0.2">
      <c r="A118" s="30" t="s">
        <v>2757</v>
      </c>
      <c r="B118" s="169">
        <v>9005265100</v>
      </c>
      <c r="C118" s="232" t="s">
        <v>944</v>
      </c>
      <c r="D118" s="182">
        <v>238.478835</v>
      </c>
      <c r="E118" s="182">
        <v>0</v>
      </c>
      <c r="F118" s="13">
        <f>[1]!Table323[[#This Row],[Single Family]]+[1]!Table323[[#This Row],[2-4 Units]]+[1]!Table323[[#This Row],[&gt;4 Units]]</f>
        <v>0</v>
      </c>
      <c r="G118" s="30">
        <v>0</v>
      </c>
      <c r="H118" s="30">
        <v>0</v>
      </c>
      <c r="I118" s="30">
        <v>0</v>
      </c>
      <c r="J118" s="231">
        <v>0</v>
      </c>
      <c r="K118">
        <f t="shared" si="1"/>
        <v>0</v>
      </c>
      <c r="L118" s="30">
        <v>0</v>
      </c>
      <c r="M118" s="30">
        <v>0</v>
      </c>
      <c r="N118" s="30">
        <v>0</v>
      </c>
      <c r="O118" s="231">
        <v>0</v>
      </c>
      <c r="P118" s="97">
        <f>VLOOKUP(Table323[[#This Row],[Census Tract]],'Population and Diversity Data'!$B$2:$K$823,10,FALSE)</f>
        <v>1</v>
      </c>
      <c r="Q118" s="97" t="str">
        <f>VLOOKUP(Table323[[#This Row],[Census Tract]],'ES Energy Burden'!$B$2:$E$914,4,FALSE)</f>
        <v>No</v>
      </c>
    </row>
    <row r="119" spans="1:17" x14ac:dyDescent="0.2">
      <c r="A119" s="30" t="s">
        <v>2758</v>
      </c>
      <c r="B119" s="169">
        <v>9013850100</v>
      </c>
      <c r="C119" s="232" t="s">
        <v>944</v>
      </c>
      <c r="D119" s="182">
        <v>69517.807463999998</v>
      </c>
      <c r="E119" s="182">
        <v>47972.65</v>
      </c>
      <c r="F119" s="13">
        <f>[1]!Table323[[#This Row],[Single Family]]+[1]!Table323[[#This Row],[2-4 Units]]+[1]!Table323[[#This Row],[&gt;4 Units]]</f>
        <v>0</v>
      </c>
      <c r="G119" s="30">
        <v>0</v>
      </c>
      <c r="H119" s="30">
        <v>0</v>
      </c>
      <c r="I119" s="30">
        <v>0</v>
      </c>
      <c r="J119" s="231">
        <v>11102.08</v>
      </c>
      <c r="K119">
        <f t="shared" si="1"/>
        <v>5</v>
      </c>
      <c r="L119" s="30">
        <v>5</v>
      </c>
      <c r="M119" s="30">
        <v>0</v>
      </c>
      <c r="N119" s="30">
        <v>0</v>
      </c>
      <c r="O119" s="231">
        <v>11217.47</v>
      </c>
      <c r="P119" s="97">
        <f>VLOOKUP(Table323[[#This Row],[Census Tract]],'Population and Diversity Data'!$B$2:$K$823,10,FALSE)</f>
        <v>3</v>
      </c>
      <c r="Q119" s="97" t="str">
        <f>VLOOKUP(Table323[[#This Row],[Census Tract]],'ES Energy Burden'!$B$2:$E$914,4,FALSE)</f>
        <v>No</v>
      </c>
    </row>
    <row r="120" spans="1:17" x14ac:dyDescent="0.2">
      <c r="A120" s="30" t="s">
        <v>2758</v>
      </c>
      <c r="B120" s="169">
        <v>9013850200</v>
      </c>
      <c r="C120" s="232" t="s">
        <v>944</v>
      </c>
      <c r="D120" s="182">
        <v>143871.544719</v>
      </c>
      <c r="E120" s="182">
        <v>226875.35750000001</v>
      </c>
      <c r="F120" s="13">
        <f>[1]!Table323[[#This Row],[Single Family]]+[1]!Table323[[#This Row],[2-4 Units]]+[1]!Table323[[#This Row],[&gt;4 Units]]</f>
        <v>59</v>
      </c>
      <c r="G120" s="30">
        <v>59</v>
      </c>
      <c r="H120" s="30">
        <v>0</v>
      </c>
      <c r="I120" s="30">
        <v>0</v>
      </c>
      <c r="J120" s="231">
        <v>108375.11</v>
      </c>
      <c r="K120">
        <f t="shared" si="1"/>
        <v>14</v>
      </c>
      <c r="L120" s="30">
        <v>14</v>
      </c>
      <c r="M120" s="30">
        <v>0</v>
      </c>
      <c r="N120" s="30">
        <v>0</v>
      </c>
      <c r="O120" s="231">
        <v>63154.82</v>
      </c>
      <c r="P120" s="97">
        <f>VLOOKUP(Table323[[#This Row],[Census Tract]],'Population and Diversity Data'!$B$2:$K$823,10,FALSE)</f>
        <v>1</v>
      </c>
      <c r="Q120" s="97" t="str">
        <f>VLOOKUP(Table323[[#This Row],[Census Tract]],'ES Energy Burden'!$B$2:$E$914,4,FALSE)</f>
        <v>No</v>
      </c>
    </row>
    <row r="121" spans="1:17" x14ac:dyDescent="0.2">
      <c r="A121" s="30" t="s">
        <v>2759</v>
      </c>
      <c r="B121" s="169">
        <v>9007570100</v>
      </c>
      <c r="C121" s="232" t="s">
        <v>944</v>
      </c>
      <c r="D121" s="182">
        <v>58215.299310000002</v>
      </c>
      <c r="E121" s="182">
        <v>45411.05</v>
      </c>
      <c r="F121" s="13">
        <f>[1]!Table323[[#This Row],[Single Family]]+[1]!Table323[[#This Row],[2-4 Units]]+[1]!Table323[[#This Row],[&gt;4 Units]]</f>
        <v>0</v>
      </c>
      <c r="G121" s="30">
        <v>0</v>
      </c>
      <c r="H121" s="30">
        <v>0</v>
      </c>
      <c r="I121" s="30">
        <v>0</v>
      </c>
      <c r="J121" s="231">
        <v>11177.28</v>
      </c>
      <c r="K121">
        <f t="shared" si="1"/>
        <v>4</v>
      </c>
      <c r="L121" s="30">
        <v>2</v>
      </c>
      <c r="M121" s="30">
        <v>2</v>
      </c>
      <c r="N121" s="30">
        <v>0</v>
      </c>
      <c r="O121" s="231">
        <v>12566.82</v>
      </c>
      <c r="P121" s="97">
        <f>VLOOKUP(Table323[[#This Row],[Census Tract]],'Population and Diversity Data'!$B$2:$K$823,10,FALSE)</f>
        <v>2</v>
      </c>
      <c r="Q121" s="97" t="str">
        <f>VLOOKUP(Table323[[#This Row],[Census Tract]],'ES Energy Burden'!$B$2:$E$914,4,FALSE)</f>
        <v>No</v>
      </c>
    </row>
    <row r="122" spans="1:17" x14ac:dyDescent="0.2">
      <c r="A122" s="30" t="s">
        <v>2759</v>
      </c>
      <c r="B122" s="169">
        <v>9007570200</v>
      </c>
      <c r="C122" s="232" t="s">
        <v>944</v>
      </c>
      <c r="D122" s="182">
        <v>114498.595239</v>
      </c>
      <c r="E122" s="182">
        <v>170661.32500000001</v>
      </c>
      <c r="F122" s="13">
        <f>[1]!Table323[[#This Row],[Single Family]]+[1]!Table323[[#This Row],[2-4 Units]]+[1]!Table323[[#This Row],[&gt;4 Units]]</f>
        <v>0</v>
      </c>
      <c r="G122" s="30">
        <v>0</v>
      </c>
      <c r="H122" s="30">
        <v>0</v>
      </c>
      <c r="I122" s="30">
        <v>0</v>
      </c>
      <c r="J122" s="231">
        <v>8292.73</v>
      </c>
      <c r="K122">
        <f t="shared" si="1"/>
        <v>1</v>
      </c>
      <c r="L122" s="30">
        <v>1</v>
      </c>
      <c r="M122" s="30">
        <v>0</v>
      </c>
      <c r="N122" s="30">
        <v>0</v>
      </c>
      <c r="O122" s="231">
        <v>630.69000000000005</v>
      </c>
      <c r="P122" s="97">
        <f>VLOOKUP(Table323[[#This Row],[Census Tract]],'Population and Diversity Data'!$B$2:$K$823,10,FALSE)</f>
        <v>2</v>
      </c>
      <c r="Q122" s="97" t="str">
        <f>VLOOKUP(Table323[[#This Row],[Census Tract]],'ES Energy Burden'!$B$2:$E$914,4,FALSE)</f>
        <v>No</v>
      </c>
    </row>
    <row r="123" spans="1:17" x14ac:dyDescent="0.2">
      <c r="A123" s="30" t="s">
        <v>2759</v>
      </c>
      <c r="B123" s="169">
        <v>9007570300</v>
      </c>
      <c r="C123" s="232" t="s">
        <v>944</v>
      </c>
      <c r="D123" s="182">
        <v>69745.22898</v>
      </c>
      <c r="E123" s="182">
        <v>69480.884999999995</v>
      </c>
      <c r="F123" s="13">
        <f>[1]!Table323[[#This Row],[Single Family]]+[1]!Table323[[#This Row],[2-4 Units]]+[1]!Table323[[#This Row],[&gt;4 Units]]</f>
        <v>89</v>
      </c>
      <c r="G123" s="30">
        <v>89</v>
      </c>
      <c r="H123" s="30">
        <v>0</v>
      </c>
      <c r="I123" s="30">
        <v>0</v>
      </c>
      <c r="J123" s="231">
        <v>150446.14000000001</v>
      </c>
      <c r="K123">
        <f t="shared" si="1"/>
        <v>12</v>
      </c>
      <c r="L123" s="30">
        <v>7</v>
      </c>
      <c r="M123" s="30">
        <v>5</v>
      </c>
      <c r="N123" s="30">
        <v>0</v>
      </c>
      <c r="O123" s="231">
        <v>37225.629999999997</v>
      </c>
      <c r="P123" s="97">
        <f>VLOOKUP(Table323[[#This Row],[Census Tract]],'Population and Diversity Data'!$B$2:$K$823,10,FALSE)</f>
        <v>2</v>
      </c>
      <c r="Q123" s="97" t="str">
        <f>VLOOKUP(Table323[[#This Row],[Census Tract]],'ES Energy Burden'!$B$2:$E$914,4,FALSE)</f>
        <v>No</v>
      </c>
    </row>
    <row r="124" spans="1:17" x14ac:dyDescent="0.2">
      <c r="A124" s="30" t="s">
        <v>2760</v>
      </c>
      <c r="B124" s="169">
        <v>9001200301</v>
      </c>
      <c r="C124" s="232" t="s">
        <v>944</v>
      </c>
      <c r="D124" s="182">
        <v>200.73480000000001</v>
      </c>
      <c r="E124" s="182">
        <v>0</v>
      </c>
      <c r="F124" s="13">
        <f>[1]!Table323[[#This Row],[Single Family]]+[1]!Table323[[#This Row],[2-4 Units]]+[1]!Table323[[#This Row],[&gt;4 Units]]</f>
        <v>0</v>
      </c>
      <c r="G124" s="30">
        <v>0</v>
      </c>
      <c r="H124" s="30">
        <v>0</v>
      </c>
      <c r="I124" s="30">
        <v>0</v>
      </c>
      <c r="J124" s="231">
        <v>0</v>
      </c>
      <c r="K124">
        <f t="shared" si="1"/>
        <v>0</v>
      </c>
      <c r="L124" s="30">
        <v>0</v>
      </c>
      <c r="M124" s="30">
        <v>0</v>
      </c>
      <c r="N124" s="30">
        <v>0</v>
      </c>
      <c r="O124" s="231">
        <v>0</v>
      </c>
      <c r="P124" s="97">
        <f>VLOOKUP(Table323[[#This Row],[Census Tract]],'Population and Diversity Data'!$B$2:$K$823,10,FALSE)</f>
        <v>4</v>
      </c>
      <c r="Q124" s="97" t="str">
        <f>VLOOKUP(Table323[[#This Row],[Census Tract]],'ES Energy Burden'!$B$2:$E$914,4,FALSE)</f>
        <v>No</v>
      </c>
    </row>
    <row r="125" spans="1:17" x14ac:dyDescent="0.2">
      <c r="A125" s="30" t="s">
        <v>2760</v>
      </c>
      <c r="B125" s="169">
        <v>9001210100</v>
      </c>
      <c r="C125" s="232" t="s">
        <v>944</v>
      </c>
      <c r="D125" s="182">
        <v>49665.408155999998</v>
      </c>
      <c r="E125" s="182">
        <v>1712.48</v>
      </c>
      <c r="F125" s="13">
        <f>[1]!Table323[[#This Row],[Single Family]]+[1]!Table323[[#This Row],[2-4 Units]]+[1]!Table323[[#This Row],[&gt;4 Units]]</f>
        <v>0</v>
      </c>
      <c r="G125" s="30">
        <v>0</v>
      </c>
      <c r="H125" s="30">
        <v>0</v>
      </c>
      <c r="I125" s="30">
        <v>0</v>
      </c>
      <c r="J125" s="231">
        <v>142.68</v>
      </c>
      <c r="K125">
        <f t="shared" si="1"/>
        <v>4</v>
      </c>
      <c r="L125" s="30">
        <v>0</v>
      </c>
      <c r="M125" s="30">
        <v>4</v>
      </c>
      <c r="N125" s="30">
        <v>0</v>
      </c>
      <c r="O125" s="231">
        <v>1284.4100000000001</v>
      </c>
      <c r="P125" s="97">
        <f>VLOOKUP(Table323[[#This Row],[Census Tract]],'Population and Diversity Data'!$B$2:$K$823,10,FALSE)</f>
        <v>5</v>
      </c>
      <c r="Q125" s="97" t="str">
        <f>VLOOKUP(Table323[[#This Row],[Census Tract]],'ES Energy Burden'!$B$2:$E$914,4,FALSE)</f>
        <v>No</v>
      </c>
    </row>
    <row r="126" spans="1:17" x14ac:dyDescent="0.2">
      <c r="A126" s="30" t="s">
        <v>2760</v>
      </c>
      <c r="B126" s="169">
        <v>9001210200</v>
      </c>
      <c r="C126" s="232" t="s">
        <v>944</v>
      </c>
      <c r="D126" s="182">
        <v>37690.02594</v>
      </c>
      <c r="E126" s="182">
        <v>17698.78</v>
      </c>
      <c r="F126" s="13">
        <f>[1]!Table323[[#This Row],[Single Family]]+[1]!Table323[[#This Row],[2-4 Units]]+[1]!Table323[[#This Row],[&gt;4 Units]]</f>
        <v>0</v>
      </c>
      <c r="G126" s="30">
        <v>0</v>
      </c>
      <c r="H126" s="30">
        <v>0</v>
      </c>
      <c r="I126" s="30">
        <v>0</v>
      </c>
      <c r="J126" s="231">
        <v>97.39</v>
      </c>
      <c r="K126">
        <f t="shared" si="1"/>
        <v>5</v>
      </c>
      <c r="L126" s="30">
        <v>1</v>
      </c>
      <c r="M126" s="30">
        <v>4</v>
      </c>
      <c r="N126" s="30">
        <v>0</v>
      </c>
      <c r="O126" s="231">
        <v>9505.31</v>
      </c>
      <c r="P126" s="97">
        <f>VLOOKUP(Table323[[#This Row],[Census Tract]],'Population and Diversity Data'!$B$2:$K$823,10,FALSE)</f>
        <v>5</v>
      </c>
      <c r="Q126" s="97" t="str">
        <f>VLOOKUP(Table323[[#This Row],[Census Tract]],'ES Energy Burden'!$B$2:$E$914,4,FALSE)</f>
        <v>Yes</v>
      </c>
    </row>
    <row r="127" spans="1:17" x14ac:dyDescent="0.2">
      <c r="A127" s="30" t="s">
        <v>2760</v>
      </c>
      <c r="B127" s="169">
        <v>9001210300</v>
      </c>
      <c r="C127" s="232" t="s">
        <v>944</v>
      </c>
      <c r="D127" s="182">
        <v>42556.109420999994</v>
      </c>
      <c r="E127" s="182">
        <v>16005.42</v>
      </c>
      <c r="F127" s="13">
        <f>[1]!Table323[[#This Row],[Single Family]]+[1]!Table323[[#This Row],[2-4 Units]]+[1]!Table323[[#This Row],[&gt;4 Units]]</f>
        <v>0</v>
      </c>
      <c r="G127" s="30">
        <v>0</v>
      </c>
      <c r="H127" s="30">
        <v>0</v>
      </c>
      <c r="I127" s="30">
        <v>0</v>
      </c>
      <c r="J127" s="231">
        <v>26.21</v>
      </c>
      <c r="K127">
        <f t="shared" si="1"/>
        <v>4</v>
      </c>
      <c r="L127" s="30">
        <v>3</v>
      </c>
      <c r="M127" s="30">
        <v>1</v>
      </c>
      <c r="N127" s="30">
        <v>0</v>
      </c>
      <c r="O127" s="231">
        <v>7902.8</v>
      </c>
      <c r="P127" s="97">
        <f>VLOOKUP(Table323[[#This Row],[Census Tract]],'Population and Diversity Data'!$B$2:$K$823,10,FALSE)</f>
        <v>5</v>
      </c>
      <c r="Q127" s="97" t="str">
        <f>VLOOKUP(Table323[[#This Row],[Census Tract]],'ES Energy Burden'!$B$2:$E$914,4,FALSE)</f>
        <v>No</v>
      </c>
    </row>
    <row r="128" spans="1:17" x14ac:dyDescent="0.2">
      <c r="A128" s="30" t="s">
        <v>2760</v>
      </c>
      <c r="B128" s="169">
        <v>9001210400</v>
      </c>
      <c r="C128" s="232" t="s">
        <v>944</v>
      </c>
      <c r="D128" s="182">
        <v>512513.35806299996</v>
      </c>
      <c r="E128" s="182">
        <v>616926.07250000001</v>
      </c>
      <c r="F128" s="13">
        <f>[1]!Table323[[#This Row],[Single Family]]+[1]!Table323[[#This Row],[2-4 Units]]+[1]!Table323[[#This Row],[&gt;4 Units]]</f>
        <v>0</v>
      </c>
      <c r="G128" s="30">
        <v>0</v>
      </c>
      <c r="H128" s="30">
        <v>0</v>
      </c>
      <c r="I128" s="30">
        <v>0</v>
      </c>
      <c r="J128" s="231">
        <v>9950.4599999999991</v>
      </c>
      <c r="K128">
        <f t="shared" si="1"/>
        <v>4</v>
      </c>
      <c r="L128" s="30">
        <v>1</v>
      </c>
      <c r="M128" s="30">
        <v>3</v>
      </c>
      <c r="N128" s="30">
        <v>0</v>
      </c>
      <c r="O128" s="231">
        <v>2793.92</v>
      </c>
      <c r="P128" s="97">
        <f>VLOOKUP(Table323[[#This Row],[Census Tract]],'Population and Diversity Data'!$B$2:$K$823,10,FALSE)</f>
        <v>5</v>
      </c>
      <c r="Q128" s="97" t="str">
        <f>VLOOKUP(Table323[[#This Row],[Census Tract]],'ES Energy Burden'!$B$2:$E$914,4,FALSE)</f>
        <v>No</v>
      </c>
    </row>
    <row r="129" spans="1:17" x14ac:dyDescent="0.2">
      <c r="A129" s="30" t="s">
        <v>2760</v>
      </c>
      <c r="B129" s="169">
        <v>9001210500</v>
      </c>
      <c r="C129" s="232" t="s">
        <v>944</v>
      </c>
      <c r="D129" s="182">
        <v>102946.17515699999</v>
      </c>
      <c r="E129" s="182">
        <v>79060.45</v>
      </c>
      <c r="F129" s="13">
        <f>[1]!Table323[[#This Row],[Single Family]]+[1]!Table323[[#This Row],[2-4 Units]]+[1]!Table323[[#This Row],[&gt;4 Units]]</f>
        <v>304</v>
      </c>
      <c r="G129" s="30">
        <v>299</v>
      </c>
      <c r="H129" s="30">
        <v>5</v>
      </c>
      <c r="I129" s="30">
        <v>0</v>
      </c>
      <c r="J129" s="231">
        <v>464650.69</v>
      </c>
      <c r="K129">
        <f t="shared" si="1"/>
        <v>37</v>
      </c>
      <c r="L129" s="30">
        <v>29</v>
      </c>
      <c r="M129" s="30">
        <v>8</v>
      </c>
      <c r="N129" s="30">
        <v>0</v>
      </c>
      <c r="O129" s="231">
        <v>151985.1</v>
      </c>
      <c r="P129" s="97">
        <f>VLOOKUP(Table323[[#This Row],[Census Tract]],'Population and Diversity Data'!$B$2:$K$823,10,FALSE)</f>
        <v>4</v>
      </c>
      <c r="Q129" s="97" t="str">
        <f>VLOOKUP(Table323[[#This Row],[Census Tract]],'ES Energy Burden'!$B$2:$E$914,4,FALSE)</f>
        <v>No</v>
      </c>
    </row>
    <row r="130" spans="1:17" x14ac:dyDescent="0.2">
      <c r="A130" s="30" t="s">
        <v>2760</v>
      </c>
      <c r="B130" s="169">
        <v>9001210600</v>
      </c>
      <c r="C130" s="232" t="s">
        <v>936</v>
      </c>
      <c r="D130" s="182">
        <v>47467.861035000002</v>
      </c>
      <c r="E130" s="182">
        <v>14178.85</v>
      </c>
      <c r="F130" s="13">
        <f>[1]!Table323[[#This Row],[Single Family]]+[1]!Table323[[#This Row],[2-4 Units]]+[1]!Table323[[#This Row],[&gt;4 Units]]</f>
        <v>0</v>
      </c>
      <c r="G130" s="30">
        <v>0</v>
      </c>
      <c r="H130" s="30">
        <v>0</v>
      </c>
      <c r="I130" s="30">
        <v>0</v>
      </c>
      <c r="J130" s="231">
        <v>4065.64</v>
      </c>
      <c r="K130">
        <f t="shared" si="1"/>
        <v>4</v>
      </c>
      <c r="L130" s="30">
        <v>2</v>
      </c>
      <c r="M130" s="30">
        <v>2</v>
      </c>
      <c r="N130" s="30">
        <v>0</v>
      </c>
      <c r="O130" s="231">
        <v>14074.15</v>
      </c>
      <c r="P130" s="97">
        <f>VLOOKUP(Table323[[#This Row],[Census Tract]],'Population and Diversity Data'!$B$2:$K$823,10,FALSE)</f>
        <v>5</v>
      </c>
      <c r="Q130" s="97" t="str">
        <f>VLOOKUP(Table323[[#This Row],[Census Tract]],'ES Energy Burden'!$B$2:$E$914,4,FALSE)</f>
        <v>No</v>
      </c>
    </row>
    <row r="131" spans="1:17" x14ac:dyDescent="0.2">
      <c r="A131" s="30" t="s">
        <v>2760</v>
      </c>
      <c r="B131" s="169">
        <v>9001210701</v>
      </c>
      <c r="C131" s="232" t="s">
        <v>944</v>
      </c>
      <c r="D131" s="182">
        <v>61984.930287000003</v>
      </c>
      <c r="E131" s="182">
        <v>84620.01</v>
      </c>
      <c r="F131" s="13">
        <f>[1]!Table323[[#This Row],[Single Family]]+[1]!Table323[[#This Row],[2-4 Units]]+[1]!Table323[[#This Row],[&gt;4 Units]]</f>
        <v>0</v>
      </c>
      <c r="G131" s="30">
        <v>0</v>
      </c>
      <c r="H131" s="30">
        <v>0</v>
      </c>
      <c r="I131" s="30">
        <v>0</v>
      </c>
      <c r="J131" s="231">
        <v>7629.35</v>
      </c>
      <c r="K131">
        <f t="shared" si="1"/>
        <v>83</v>
      </c>
      <c r="L131" s="30">
        <v>0</v>
      </c>
      <c r="M131" s="30">
        <v>2</v>
      </c>
      <c r="N131" s="30">
        <v>81</v>
      </c>
      <c r="O131" s="231">
        <v>72784.259999999995</v>
      </c>
      <c r="P131" s="97">
        <f>VLOOKUP(Table323[[#This Row],[Census Tract]],'Population and Diversity Data'!$B$2:$K$823,10,FALSE)</f>
        <v>5</v>
      </c>
      <c r="Q131" s="97" t="str">
        <f>VLOOKUP(Table323[[#This Row],[Census Tract]],'ES Energy Burden'!$B$2:$E$914,4,FALSE)</f>
        <v>No</v>
      </c>
    </row>
    <row r="132" spans="1:17" x14ac:dyDescent="0.2">
      <c r="A132" s="30" t="s">
        <v>2760</v>
      </c>
      <c r="B132" s="169">
        <v>9001210702</v>
      </c>
      <c r="C132" s="232" t="s">
        <v>944</v>
      </c>
      <c r="D132" s="182">
        <v>40550.669754000002</v>
      </c>
      <c r="E132" s="182">
        <v>6646.4849999999997</v>
      </c>
      <c r="F132" s="13">
        <f>[1]!Table323[[#This Row],[Single Family]]+[1]!Table323[[#This Row],[2-4 Units]]+[1]!Table323[[#This Row],[&gt;4 Units]]</f>
        <v>0</v>
      </c>
      <c r="G132" s="30">
        <v>0</v>
      </c>
      <c r="H132" s="30">
        <v>0</v>
      </c>
      <c r="I132" s="30">
        <v>0</v>
      </c>
      <c r="J132" s="231">
        <v>310.75</v>
      </c>
      <c r="K132">
        <f t="shared" si="1"/>
        <v>1</v>
      </c>
      <c r="L132" s="30">
        <v>0</v>
      </c>
      <c r="M132" s="30">
        <v>1</v>
      </c>
      <c r="N132" s="30">
        <v>0</v>
      </c>
      <c r="O132" s="231">
        <v>562.64</v>
      </c>
      <c r="P132" s="97">
        <f>VLOOKUP(Table323[[#This Row],[Census Tract]],'Population and Diversity Data'!$B$2:$K$823,10,FALSE)</f>
        <v>5</v>
      </c>
      <c r="Q132" s="97" t="str">
        <f>VLOOKUP(Table323[[#This Row],[Census Tract]],'ES Energy Burden'!$B$2:$E$914,4,FALSE)</f>
        <v>No</v>
      </c>
    </row>
    <row r="133" spans="1:17" x14ac:dyDescent="0.2">
      <c r="A133" s="30" t="s">
        <v>2760</v>
      </c>
      <c r="B133" s="169">
        <v>9001210800</v>
      </c>
      <c r="C133" s="232" t="s">
        <v>944</v>
      </c>
      <c r="D133" s="182">
        <v>64267.028490000004</v>
      </c>
      <c r="E133" s="182">
        <v>63624.959999999999</v>
      </c>
      <c r="F133" s="13">
        <f>[1]!Table323[[#This Row],[Single Family]]+[1]!Table323[[#This Row],[2-4 Units]]+[1]!Table323[[#This Row],[&gt;4 Units]]</f>
        <v>0</v>
      </c>
      <c r="G133" s="30">
        <v>0</v>
      </c>
      <c r="H133" s="30">
        <v>0</v>
      </c>
      <c r="I133" s="30">
        <v>0</v>
      </c>
      <c r="J133" s="231">
        <v>26251.4</v>
      </c>
      <c r="K133">
        <f t="shared" si="1"/>
        <v>4</v>
      </c>
      <c r="L133" s="30">
        <v>4</v>
      </c>
      <c r="M133" s="30">
        <v>0</v>
      </c>
      <c r="N133" s="30">
        <v>0</v>
      </c>
      <c r="O133" s="231">
        <v>6891.5</v>
      </c>
      <c r="P133" s="97">
        <f>VLOOKUP(Table323[[#This Row],[Census Tract]],'Population and Diversity Data'!$B$2:$K$823,10,FALSE)</f>
        <v>4</v>
      </c>
      <c r="Q133" s="97" t="str">
        <f>VLOOKUP(Table323[[#This Row],[Census Tract]],'ES Energy Burden'!$B$2:$E$914,4,FALSE)</f>
        <v>No</v>
      </c>
    </row>
    <row r="134" spans="1:17" x14ac:dyDescent="0.2">
      <c r="A134" s="30" t="s">
        <v>2760</v>
      </c>
      <c r="B134" s="169">
        <v>9001210900</v>
      </c>
      <c r="C134" s="232" t="s">
        <v>944</v>
      </c>
      <c r="D134" s="182">
        <v>74198.912570999993</v>
      </c>
      <c r="E134" s="182">
        <v>66178.91</v>
      </c>
      <c r="F134" s="13">
        <f>[1]!Table323[[#This Row],[Single Family]]+[1]!Table323[[#This Row],[2-4 Units]]+[1]!Table323[[#This Row],[&gt;4 Units]]</f>
        <v>0</v>
      </c>
      <c r="G134" s="30">
        <v>0</v>
      </c>
      <c r="H134" s="30">
        <v>0</v>
      </c>
      <c r="I134" s="30">
        <v>0</v>
      </c>
      <c r="J134" s="231">
        <v>32497.42</v>
      </c>
      <c r="K134">
        <f t="shared" ref="K134:K197" si="2">L134+M134+N134</f>
        <v>3</v>
      </c>
      <c r="L134" s="30">
        <v>1</v>
      </c>
      <c r="M134" s="30">
        <v>2</v>
      </c>
      <c r="N134" s="30">
        <v>0</v>
      </c>
      <c r="O134" s="231">
        <v>9898.9</v>
      </c>
      <c r="P134" s="97">
        <f>VLOOKUP(Table323[[#This Row],[Census Tract]],'Population and Diversity Data'!$B$2:$K$823,10,FALSE)</f>
        <v>4</v>
      </c>
      <c r="Q134" s="97" t="str">
        <f>VLOOKUP(Table323[[#This Row],[Census Tract]],'ES Energy Burden'!$B$2:$E$914,4,FALSE)</f>
        <v>No</v>
      </c>
    </row>
    <row r="135" spans="1:17" x14ac:dyDescent="0.2">
      <c r="A135" s="30" t="s">
        <v>2760</v>
      </c>
      <c r="B135" s="169">
        <v>9001211000</v>
      </c>
      <c r="C135" s="232" t="s">
        <v>944</v>
      </c>
      <c r="D135" s="182">
        <v>53136.210414000001</v>
      </c>
      <c r="E135" s="182">
        <v>21357.1</v>
      </c>
      <c r="F135" s="13">
        <f>[1]!Table323[[#This Row],[Single Family]]+[1]!Table323[[#This Row],[2-4 Units]]+[1]!Table323[[#This Row],[&gt;4 Units]]</f>
        <v>0</v>
      </c>
      <c r="G135" s="30">
        <v>0</v>
      </c>
      <c r="H135" s="30">
        <v>0</v>
      </c>
      <c r="I135" s="30">
        <v>0</v>
      </c>
      <c r="J135" s="231">
        <v>822.86</v>
      </c>
      <c r="K135">
        <f t="shared" si="2"/>
        <v>3</v>
      </c>
      <c r="L135" s="30">
        <v>3</v>
      </c>
      <c r="M135" s="30">
        <v>0</v>
      </c>
      <c r="N135" s="30">
        <v>0</v>
      </c>
      <c r="O135" s="231">
        <v>1813.94</v>
      </c>
      <c r="P135" s="97">
        <f>VLOOKUP(Table323[[#This Row],[Census Tract]],'Population and Diversity Data'!$B$2:$K$823,10,FALSE)</f>
        <v>5</v>
      </c>
      <c r="Q135" s="97" t="str">
        <f>VLOOKUP(Table323[[#This Row],[Census Tract]],'ES Energy Burden'!$B$2:$E$914,4,FALSE)</f>
        <v>No</v>
      </c>
    </row>
    <row r="136" spans="1:17" x14ac:dyDescent="0.2">
      <c r="A136" s="30" t="s">
        <v>2760</v>
      </c>
      <c r="B136" s="169">
        <v>9001211100</v>
      </c>
      <c r="C136" s="232" t="s">
        <v>944</v>
      </c>
      <c r="D136" s="182">
        <v>510.3861</v>
      </c>
      <c r="E136" s="182">
        <v>211.05</v>
      </c>
      <c r="F136" s="13">
        <f>[1]!Table323[[#This Row],[Single Family]]+[1]!Table323[[#This Row],[2-4 Units]]+[1]!Table323[[#This Row],[&gt;4 Units]]</f>
        <v>0</v>
      </c>
      <c r="G136" s="30">
        <v>0</v>
      </c>
      <c r="H136" s="30">
        <v>0</v>
      </c>
      <c r="I136" s="30">
        <v>0</v>
      </c>
      <c r="J136" s="231">
        <v>0</v>
      </c>
      <c r="K136">
        <f t="shared" si="2"/>
        <v>1</v>
      </c>
      <c r="L136" s="30">
        <v>1</v>
      </c>
      <c r="M136" s="30">
        <v>0</v>
      </c>
      <c r="N136" s="30">
        <v>0</v>
      </c>
      <c r="O136" s="231">
        <v>211.04</v>
      </c>
      <c r="P136" s="97" t="e">
        <f>VLOOKUP(Table323[[#This Row],[Census Tract]],'Population and Diversity Data'!$B$2:$K$823,10,FALSE)</f>
        <v>#N/A</v>
      </c>
      <c r="Q136" s="97" t="e">
        <f>VLOOKUP(Table323[[#This Row],[Census Tract]],'ES Energy Burden'!$B$2:$E$914,4,FALSE)</f>
        <v>#N/A</v>
      </c>
    </row>
    <row r="137" spans="1:17" x14ac:dyDescent="0.2">
      <c r="A137" s="30" t="s">
        <v>2760</v>
      </c>
      <c r="B137" s="169">
        <v>9001211200</v>
      </c>
      <c r="C137" s="232" t="s">
        <v>944</v>
      </c>
      <c r="D137" s="182">
        <v>73265.709237000003</v>
      </c>
      <c r="E137" s="182">
        <v>33889.339999999997</v>
      </c>
      <c r="F137" s="13">
        <f>[1]!Table323[[#This Row],[Single Family]]+[1]!Table323[[#This Row],[2-4 Units]]+[1]!Table323[[#This Row],[&gt;4 Units]]</f>
        <v>2</v>
      </c>
      <c r="G137" s="30">
        <v>2</v>
      </c>
      <c r="H137" s="30">
        <v>0</v>
      </c>
      <c r="I137" s="30">
        <v>0</v>
      </c>
      <c r="J137" s="231">
        <v>8886.15</v>
      </c>
      <c r="K137">
        <f t="shared" si="2"/>
        <v>4</v>
      </c>
      <c r="L137" s="30">
        <v>3</v>
      </c>
      <c r="M137" s="30">
        <v>1</v>
      </c>
      <c r="N137" s="30">
        <v>0</v>
      </c>
      <c r="O137" s="231">
        <v>4108.4799999999996</v>
      </c>
      <c r="P137" s="97">
        <f>VLOOKUP(Table323[[#This Row],[Census Tract]],'Population and Diversity Data'!$B$2:$K$823,10,FALSE)</f>
        <v>5</v>
      </c>
      <c r="Q137" s="97" t="str">
        <f>VLOOKUP(Table323[[#This Row],[Census Tract]],'ES Energy Burden'!$B$2:$E$914,4,FALSE)</f>
        <v>No</v>
      </c>
    </row>
    <row r="138" spans="1:17" x14ac:dyDescent="0.2">
      <c r="A138" s="30" t="s">
        <v>2760</v>
      </c>
      <c r="B138" s="169">
        <v>9001211300</v>
      </c>
      <c r="C138" s="232" t="s">
        <v>944</v>
      </c>
      <c r="D138" s="182">
        <v>47380.371380999997</v>
      </c>
      <c r="E138" s="182">
        <v>21328.87</v>
      </c>
      <c r="F138" s="13">
        <f>[1]!Table323[[#This Row],[Single Family]]+[1]!Table323[[#This Row],[2-4 Units]]+[1]!Table323[[#This Row],[&gt;4 Units]]</f>
        <v>0</v>
      </c>
      <c r="G138" s="30">
        <v>0</v>
      </c>
      <c r="H138" s="30">
        <v>0</v>
      </c>
      <c r="I138" s="30">
        <v>0</v>
      </c>
      <c r="J138" s="231">
        <v>3946.84</v>
      </c>
      <c r="K138">
        <f t="shared" si="2"/>
        <v>2</v>
      </c>
      <c r="L138" s="30">
        <v>2</v>
      </c>
      <c r="M138" s="30">
        <v>0</v>
      </c>
      <c r="N138" s="30">
        <v>0</v>
      </c>
      <c r="O138" s="231">
        <v>3585.1</v>
      </c>
      <c r="P138" s="97">
        <f>VLOOKUP(Table323[[#This Row],[Census Tract]],'Population and Diversity Data'!$B$2:$K$823,10,FALSE)</f>
        <v>3</v>
      </c>
      <c r="Q138" s="97" t="str">
        <f>VLOOKUP(Table323[[#This Row],[Census Tract]],'ES Energy Burden'!$B$2:$E$914,4,FALSE)</f>
        <v>No</v>
      </c>
    </row>
    <row r="139" spans="1:17" x14ac:dyDescent="0.2">
      <c r="A139" s="30" t="s">
        <v>2760</v>
      </c>
      <c r="B139" s="169">
        <v>9001211400</v>
      </c>
      <c r="C139" s="232" t="s">
        <v>944</v>
      </c>
      <c r="D139" s="182">
        <v>52618.105490999995</v>
      </c>
      <c r="E139" s="182">
        <v>28844.46</v>
      </c>
      <c r="F139" s="13">
        <f>[1]!Table323[[#This Row],[Single Family]]+[1]!Table323[[#This Row],[2-4 Units]]+[1]!Table323[[#This Row],[&gt;4 Units]]</f>
        <v>0</v>
      </c>
      <c r="G139" s="30">
        <v>0</v>
      </c>
      <c r="H139" s="30">
        <v>0</v>
      </c>
      <c r="I139" s="30">
        <v>0</v>
      </c>
      <c r="J139" s="231">
        <v>13.02</v>
      </c>
      <c r="K139">
        <f t="shared" si="2"/>
        <v>85</v>
      </c>
      <c r="L139" s="30">
        <v>4</v>
      </c>
      <c r="M139" s="30">
        <v>1</v>
      </c>
      <c r="N139" s="30">
        <v>80</v>
      </c>
      <c r="O139" s="231">
        <v>17526.939999999999</v>
      </c>
      <c r="P139" s="97">
        <f>VLOOKUP(Table323[[#This Row],[Census Tract]],'Population and Diversity Data'!$B$2:$K$823,10,FALSE)</f>
        <v>4</v>
      </c>
      <c r="Q139" s="97" t="str">
        <f>VLOOKUP(Table323[[#This Row],[Census Tract]],'ES Energy Burden'!$B$2:$E$914,4,FALSE)</f>
        <v>No</v>
      </c>
    </row>
    <row r="140" spans="1:17" x14ac:dyDescent="0.2">
      <c r="A140" s="30" t="s">
        <v>2760</v>
      </c>
      <c r="B140" s="169">
        <v>9001220200</v>
      </c>
      <c r="C140" s="232" t="s">
        <v>944</v>
      </c>
      <c r="D140" s="182">
        <v>14.359590000000001</v>
      </c>
      <c r="E140" s="182">
        <v>0</v>
      </c>
      <c r="F140" s="13">
        <f>[1]!Table323[[#This Row],[Single Family]]+[1]!Table323[[#This Row],[2-4 Units]]+[1]!Table323[[#This Row],[&gt;4 Units]]</f>
        <v>0</v>
      </c>
      <c r="G140" s="30">
        <v>0</v>
      </c>
      <c r="H140" s="30">
        <v>0</v>
      </c>
      <c r="I140" s="30">
        <v>0</v>
      </c>
      <c r="J140" s="231">
        <v>0</v>
      </c>
      <c r="K140">
        <f t="shared" si="2"/>
        <v>0</v>
      </c>
      <c r="L140" s="30">
        <v>0</v>
      </c>
      <c r="M140" s="30">
        <v>0</v>
      </c>
      <c r="N140" s="30">
        <v>0</v>
      </c>
      <c r="O140" s="231">
        <v>0</v>
      </c>
      <c r="P140" s="97">
        <f>VLOOKUP(Table323[[#This Row],[Census Tract]],'Population and Diversity Data'!$B$2:$K$823,10,FALSE)</f>
        <v>3</v>
      </c>
      <c r="Q140" s="97" t="str">
        <f>VLOOKUP(Table323[[#This Row],[Census Tract]],'ES Energy Burden'!$B$2:$E$914,4,FALSE)</f>
        <v>No</v>
      </c>
    </row>
    <row r="141" spans="1:17" x14ac:dyDescent="0.2">
      <c r="A141" s="30" t="s">
        <v>2760</v>
      </c>
      <c r="B141" s="169">
        <v>9001240100</v>
      </c>
      <c r="C141" s="232" t="s">
        <v>944</v>
      </c>
      <c r="D141" s="182">
        <v>12.5097</v>
      </c>
      <c r="E141" s="182">
        <v>0</v>
      </c>
      <c r="F141" s="13">
        <f>[1]!Table323[[#This Row],[Single Family]]+[1]!Table323[[#This Row],[2-4 Units]]+[1]!Table323[[#This Row],[&gt;4 Units]]</f>
        <v>0</v>
      </c>
      <c r="G141" s="30">
        <v>0</v>
      </c>
      <c r="H141" s="30">
        <v>0</v>
      </c>
      <c r="I141" s="30">
        <v>0</v>
      </c>
      <c r="J141" s="231">
        <v>0</v>
      </c>
      <c r="K141">
        <f t="shared" si="2"/>
        <v>0</v>
      </c>
      <c r="L141" s="30">
        <v>0</v>
      </c>
      <c r="M141" s="30">
        <v>0</v>
      </c>
      <c r="N141" s="30">
        <v>0</v>
      </c>
      <c r="O141" s="231">
        <v>0</v>
      </c>
      <c r="P141" s="97">
        <f>VLOOKUP(Table323[[#This Row],[Census Tract]],'Population and Diversity Data'!$B$2:$K$823,10,FALSE)</f>
        <v>1</v>
      </c>
      <c r="Q141" s="97" t="str">
        <f>VLOOKUP(Table323[[#This Row],[Census Tract]],'ES Energy Burden'!$B$2:$E$914,4,FALSE)</f>
        <v>No</v>
      </c>
    </row>
    <row r="142" spans="1:17" x14ac:dyDescent="0.2">
      <c r="A142" s="30" t="s">
        <v>2760</v>
      </c>
      <c r="B142" s="169">
        <v>9001245200</v>
      </c>
      <c r="C142" s="232" t="s">
        <v>944</v>
      </c>
      <c r="D142" s="182">
        <v>119.98686000000001</v>
      </c>
      <c r="E142" s="182">
        <v>0</v>
      </c>
      <c r="F142" s="13">
        <f>[1]!Table323[[#This Row],[Single Family]]+[1]!Table323[[#This Row],[2-4 Units]]+[1]!Table323[[#This Row],[&gt;4 Units]]</f>
        <v>0</v>
      </c>
      <c r="G142" s="30">
        <v>0</v>
      </c>
      <c r="H142" s="30">
        <v>0</v>
      </c>
      <c r="I142" s="30">
        <v>0</v>
      </c>
      <c r="J142" s="231">
        <v>0</v>
      </c>
      <c r="K142">
        <f t="shared" si="2"/>
        <v>0</v>
      </c>
      <c r="L142" s="30">
        <v>0</v>
      </c>
      <c r="M142" s="30">
        <v>0</v>
      </c>
      <c r="N142" s="30">
        <v>0</v>
      </c>
      <c r="O142" s="231">
        <v>0</v>
      </c>
      <c r="P142" s="97">
        <f>VLOOKUP(Table323[[#This Row],[Census Tract]],'Population and Diversity Data'!$B$2:$K$823,10,FALSE)</f>
        <v>3</v>
      </c>
      <c r="Q142" s="97" t="str">
        <f>VLOOKUP(Table323[[#This Row],[Census Tract]],'ES Energy Burden'!$B$2:$E$914,4,FALSE)</f>
        <v>No</v>
      </c>
    </row>
    <row r="143" spans="1:17" x14ac:dyDescent="0.2">
      <c r="A143" s="30" t="s">
        <v>2760</v>
      </c>
      <c r="B143" s="169">
        <v>9001245600</v>
      </c>
      <c r="C143" s="232" t="s">
        <v>944</v>
      </c>
      <c r="D143" s="182">
        <v>1568.13195</v>
      </c>
      <c r="E143" s="182">
        <v>0</v>
      </c>
      <c r="F143" s="13">
        <f>[1]!Table323[[#This Row],[Single Family]]+[1]!Table323[[#This Row],[2-4 Units]]+[1]!Table323[[#This Row],[&gt;4 Units]]</f>
        <v>0</v>
      </c>
      <c r="G143" s="30">
        <v>0</v>
      </c>
      <c r="H143" s="30">
        <v>0</v>
      </c>
      <c r="I143" s="30">
        <v>0</v>
      </c>
      <c r="J143" s="231">
        <v>0</v>
      </c>
      <c r="K143">
        <f t="shared" si="2"/>
        <v>0</v>
      </c>
      <c r="L143" s="30">
        <v>0</v>
      </c>
      <c r="M143" s="30">
        <v>0</v>
      </c>
      <c r="N143" s="30">
        <v>0</v>
      </c>
      <c r="O143" s="231">
        <v>0</v>
      </c>
      <c r="P143" s="97">
        <f>VLOOKUP(Table323[[#This Row],[Census Tract]],'Population and Diversity Data'!$B$2:$K$823,10,FALSE)</f>
        <v>3</v>
      </c>
      <c r="Q143" s="97" t="str">
        <f>VLOOKUP(Table323[[#This Row],[Census Tract]],'ES Energy Burden'!$B$2:$E$914,4,FALSE)</f>
        <v>No</v>
      </c>
    </row>
    <row r="144" spans="1:17" x14ac:dyDescent="0.2">
      <c r="A144" s="30" t="s">
        <v>2761</v>
      </c>
      <c r="B144" s="169">
        <v>9001030100</v>
      </c>
      <c r="C144" s="232" t="s">
        <v>944</v>
      </c>
      <c r="D144" s="182">
        <v>80986.744860000006</v>
      </c>
      <c r="E144" s="182">
        <v>33785.24</v>
      </c>
      <c r="F144" s="13">
        <f>[1]!Table323[[#This Row],[Single Family]]+[1]!Table323[[#This Row],[2-4 Units]]+[1]!Table323[[#This Row],[&gt;4 Units]]</f>
        <v>0</v>
      </c>
      <c r="G144" s="30">
        <v>0</v>
      </c>
      <c r="H144" s="30">
        <v>0</v>
      </c>
      <c r="I144" s="30">
        <v>0</v>
      </c>
      <c r="J144" s="231">
        <v>11587.77</v>
      </c>
      <c r="K144">
        <f t="shared" si="2"/>
        <v>0</v>
      </c>
      <c r="L144" s="30">
        <v>0</v>
      </c>
      <c r="M144" s="30">
        <v>0</v>
      </c>
      <c r="N144" s="30">
        <v>0</v>
      </c>
      <c r="O144" s="231">
        <v>0</v>
      </c>
      <c r="P144" s="97">
        <f>VLOOKUP(Table323[[#This Row],[Census Tract]],'Population and Diversity Data'!$B$2:$K$823,10,FALSE)</f>
        <v>1</v>
      </c>
      <c r="Q144" s="97" t="str">
        <f>VLOOKUP(Table323[[#This Row],[Census Tract]],'ES Energy Burden'!$B$2:$E$914,4,FALSE)</f>
        <v>No</v>
      </c>
    </row>
    <row r="145" spans="1:17" x14ac:dyDescent="0.2">
      <c r="A145" s="30" t="s">
        <v>2761</v>
      </c>
      <c r="B145" s="169">
        <v>9001030200</v>
      </c>
      <c r="C145" s="232" t="s">
        <v>944</v>
      </c>
      <c r="D145" s="182">
        <v>54310.350570000002</v>
      </c>
      <c r="E145" s="182">
        <v>27065.39</v>
      </c>
      <c r="F145" s="13">
        <f>[1]!Table323[[#This Row],[Single Family]]+[1]!Table323[[#This Row],[2-4 Units]]+[1]!Table323[[#This Row],[&gt;4 Units]]</f>
        <v>0</v>
      </c>
      <c r="G145" s="30">
        <v>0</v>
      </c>
      <c r="H145" s="30">
        <v>0</v>
      </c>
      <c r="I145" s="30">
        <v>0</v>
      </c>
      <c r="J145" s="231">
        <v>19752.02</v>
      </c>
      <c r="K145">
        <f t="shared" si="2"/>
        <v>0</v>
      </c>
      <c r="L145" s="30">
        <v>0</v>
      </c>
      <c r="M145" s="30">
        <v>0</v>
      </c>
      <c r="N145" s="30">
        <v>0</v>
      </c>
      <c r="O145" s="231">
        <v>0</v>
      </c>
      <c r="P145" s="97">
        <f>VLOOKUP(Table323[[#This Row],[Census Tract]],'Population and Diversity Data'!$B$2:$K$823,10,FALSE)</f>
        <v>3</v>
      </c>
      <c r="Q145" s="97" t="str">
        <f>VLOOKUP(Table323[[#This Row],[Census Tract]],'ES Energy Burden'!$B$2:$E$914,4,FALSE)</f>
        <v>No</v>
      </c>
    </row>
    <row r="146" spans="1:17" x14ac:dyDescent="0.2">
      <c r="A146" s="30" t="s">
        <v>2761</v>
      </c>
      <c r="B146" s="169">
        <v>9001030300</v>
      </c>
      <c r="C146" s="232" t="s">
        <v>944</v>
      </c>
      <c r="D146" s="182">
        <v>93291.261630000008</v>
      </c>
      <c r="E146" s="182">
        <v>36540.699999999997</v>
      </c>
      <c r="F146" s="13">
        <f>[1]!Table323[[#This Row],[Single Family]]+[1]!Table323[[#This Row],[2-4 Units]]+[1]!Table323[[#This Row],[&gt;4 Units]]</f>
        <v>0</v>
      </c>
      <c r="G146" s="30">
        <v>0</v>
      </c>
      <c r="H146" s="30">
        <v>0</v>
      </c>
      <c r="I146" s="30">
        <v>0</v>
      </c>
      <c r="J146" s="231">
        <v>7508.88</v>
      </c>
      <c r="K146">
        <f t="shared" si="2"/>
        <v>0</v>
      </c>
      <c r="L146" s="30">
        <v>0</v>
      </c>
      <c r="M146" s="30">
        <v>0</v>
      </c>
      <c r="N146" s="30">
        <v>0</v>
      </c>
      <c r="O146" s="231">
        <v>0</v>
      </c>
      <c r="P146" s="97">
        <f>VLOOKUP(Table323[[#This Row],[Census Tract]],'Population and Diversity Data'!$B$2:$K$823,10,FALSE)</f>
        <v>1</v>
      </c>
      <c r="Q146" s="97" t="str">
        <f>VLOOKUP(Table323[[#This Row],[Census Tract]],'ES Energy Burden'!$B$2:$E$914,4,FALSE)</f>
        <v>No</v>
      </c>
    </row>
    <row r="147" spans="1:17" x14ac:dyDescent="0.2">
      <c r="A147" s="30" t="s">
        <v>2761</v>
      </c>
      <c r="B147" s="169">
        <v>9001030400</v>
      </c>
      <c r="C147" s="232" t="s">
        <v>944</v>
      </c>
      <c r="D147" s="182">
        <v>49707.346080000003</v>
      </c>
      <c r="E147" s="182">
        <v>29355.96</v>
      </c>
      <c r="F147" s="13">
        <f>[1]!Table323[[#This Row],[Single Family]]+[1]!Table323[[#This Row],[2-4 Units]]+[1]!Table323[[#This Row],[&gt;4 Units]]</f>
        <v>124</v>
      </c>
      <c r="G147" s="30">
        <v>122</v>
      </c>
      <c r="H147" s="30">
        <v>2</v>
      </c>
      <c r="I147" s="30">
        <v>0</v>
      </c>
      <c r="J147" s="231">
        <v>231953.86</v>
      </c>
      <c r="K147">
        <f t="shared" si="2"/>
        <v>1</v>
      </c>
      <c r="L147" s="30">
        <v>1</v>
      </c>
      <c r="M147" s="30">
        <v>0</v>
      </c>
      <c r="N147" s="30">
        <v>0</v>
      </c>
      <c r="O147" s="231">
        <v>1424.01</v>
      </c>
      <c r="P147" s="97">
        <f>VLOOKUP(Table323[[#This Row],[Census Tract]],'Population and Diversity Data'!$B$2:$K$823,10,FALSE)</f>
        <v>3</v>
      </c>
      <c r="Q147" s="97" t="str">
        <f>VLOOKUP(Table323[[#This Row],[Census Tract]],'ES Energy Burden'!$B$2:$E$914,4,FALSE)</f>
        <v>No</v>
      </c>
    </row>
    <row r="148" spans="1:17" x14ac:dyDescent="0.2">
      <c r="A148" s="30" t="s">
        <v>2761</v>
      </c>
      <c r="B148" s="169">
        <v>9001030500</v>
      </c>
      <c r="C148" s="232" t="s">
        <v>944</v>
      </c>
      <c r="D148" s="182">
        <v>251919.38129399999</v>
      </c>
      <c r="E148" s="182">
        <v>339693.55499999999</v>
      </c>
      <c r="F148" s="13">
        <f>[1]!Table323[[#This Row],[Single Family]]+[1]!Table323[[#This Row],[2-4 Units]]+[1]!Table323[[#This Row],[&gt;4 Units]]</f>
        <v>1</v>
      </c>
      <c r="G148" s="30">
        <v>1</v>
      </c>
      <c r="H148" s="30">
        <v>0</v>
      </c>
      <c r="I148" s="30">
        <v>0</v>
      </c>
      <c r="J148" s="231">
        <v>17755.03</v>
      </c>
      <c r="K148">
        <f t="shared" si="2"/>
        <v>0</v>
      </c>
      <c r="L148" s="30">
        <v>0</v>
      </c>
      <c r="M148" s="30">
        <v>0</v>
      </c>
      <c r="N148" s="30">
        <v>0</v>
      </c>
      <c r="O148" s="231">
        <v>0</v>
      </c>
      <c r="P148" s="97">
        <f>VLOOKUP(Table323[[#This Row],[Census Tract]],'Population and Diversity Data'!$B$2:$K$823,10,FALSE)</f>
        <v>3</v>
      </c>
      <c r="Q148" s="97" t="str">
        <f>VLOOKUP(Table323[[#This Row],[Census Tract]],'ES Energy Burden'!$B$2:$E$914,4,FALSE)</f>
        <v>No</v>
      </c>
    </row>
    <row r="149" spans="1:17" x14ac:dyDescent="0.2">
      <c r="A149" s="30" t="s">
        <v>2762</v>
      </c>
      <c r="B149" s="169">
        <v>9007620100</v>
      </c>
      <c r="C149" s="232" t="s">
        <v>944</v>
      </c>
      <c r="D149" s="182">
        <v>87178.565291999999</v>
      </c>
      <c r="E149" s="182">
        <v>75616.62</v>
      </c>
      <c r="F149" s="13">
        <f>[1]!Table323[[#This Row],[Single Family]]+[1]!Table323[[#This Row],[2-4 Units]]+[1]!Table323[[#This Row],[&gt;4 Units]]</f>
        <v>15</v>
      </c>
      <c r="G149" s="30">
        <v>15</v>
      </c>
      <c r="H149" s="30">
        <v>0</v>
      </c>
      <c r="I149" s="30">
        <v>0</v>
      </c>
      <c r="J149" s="231">
        <v>43386.98</v>
      </c>
      <c r="K149">
        <f t="shared" si="2"/>
        <v>0</v>
      </c>
      <c r="L149" s="30">
        <v>0</v>
      </c>
      <c r="M149" s="30">
        <v>0</v>
      </c>
      <c r="N149" s="30">
        <v>0</v>
      </c>
      <c r="O149" s="231">
        <v>0</v>
      </c>
      <c r="P149" s="97">
        <f>VLOOKUP(Table323[[#This Row],[Census Tract]],'Population and Diversity Data'!$B$2:$K$823,10,FALSE)</f>
        <v>1</v>
      </c>
      <c r="Q149" s="97" t="str">
        <f>VLOOKUP(Table323[[#This Row],[Census Tract]],'ES Energy Burden'!$B$2:$E$914,4,FALSE)</f>
        <v>No</v>
      </c>
    </row>
    <row r="150" spans="1:17" x14ac:dyDescent="0.2">
      <c r="A150" s="30" t="s">
        <v>2763</v>
      </c>
      <c r="B150" s="169">
        <v>9007585100</v>
      </c>
      <c r="C150" s="232" t="s">
        <v>944</v>
      </c>
      <c r="D150" s="182">
        <v>126645.1599</v>
      </c>
      <c r="E150" s="182">
        <v>164083.505</v>
      </c>
      <c r="F150" s="13">
        <f>[1]!Table323[[#This Row],[Single Family]]+[1]!Table323[[#This Row],[2-4 Units]]+[1]!Table323[[#This Row],[&gt;4 Units]]</f>
        <v>46</v>
      </c>
      <c r="G150" s="30">
        <v>46</v>
      </c>
      <c r="H150" s="30">
        <v>0</v>
      </c>
      <c r="I150" s="30">
        <v>0</v>
      </c>
      <c r="J150" s="231">
        <v>85722.71</v>
      </c>
      <c r="K150">
        <f t="shared" si="2"/>
        <v>10</v>
      </c>
      <c r="L150" s="30">
        <v>10</v>
      </c>
      <c r="M150" s="30">
        <v>0</v>
      </c>
      <c r="N150" s="30">
        <v>0</v>
      </c>
      <c r="O150" s="231">
        <v>24028.9</v>
      </c>
      <c r="P150" s="97">
        <f>VLOOKUP(Table323[[#This Row],[Census Tract]],'Population and Diversity Data'!$B$2:$K$823,10,FALSE)</f>
        <v>1</v>
      </c>
      <c r="Q150" s="97" t="str">
        <f>VLOOKUP(Table323[[#This Row],[Census Tract]],'ES Energy Burden'!$B$2:$E$914,4,FALSE)</f>
        <v>No</v>
      </c>
    </row>
    <row r="151" spans="1:17" x14ac:dyDescent="0.2">
      <c r="A151" s="30" t="s">
        <v>2763</v>
      </c>
      <c r="B151" s="169">
        <v>9009190303</v>
      </c>
      <c r="C151" s="232" t="s">
        <v>944</v>
      </c>
      <c r="D151" s="182">
        <v>65.311260000000004</v>
      </c>
      <c r="E151" s="182">
        <v>0</v>
      </c>
      <c r="F151" s="13">
        <f>[1]!Table323[[#This Row],[Single Family]]+[1]!Table323[[#This Row],[2-4 Units]]+[1]!Table323[[#This Row],[&gt;4 Units]]</f>
        <v>0</v>
      </c>
      <c r="G151" s="30">
        <v>0</v>
      </c>
      <c r="H151" s="30">
        <v>0</v>
      </c>
      <c r="I151" s="30">
        <v>0</v>
      </c>
      <c r="J151" s="231">
        <v>0</v>
      </c>
      <c r="K151">
        <f t="shared" si="2"/>
        <v>0</v>
      </c>
      <c r="L151" s="30">
        <v>0</v>
      </c>
      <c r="M151" s="30">
        <v>0</v>
      </c>
      <c r="N151" s="30">
        <v>0</v>
      </c>
      <c r="O151" s="231">
        <v>0</v>
      </c>
      <c r="P151" s="97">
        <f>VLOOKUP(Table323[[#This Row],[Census Tract]],'Population and Diversity Data'!$B$2:$K$823,10,FALSE)</f>
        <v>2</v>
      </c>
      <c r="Q151" s="97" t="str">
        <f>VLOOKUP(Table323[[#This Row],[Census Tract]],'ES Energy Burden'!$B$2:$E$914,4,FALSE)</f>
        <v>No</v>
      </c>
    </row>
    <row r="152" spans="1:17" x14ac:dyDescent="0.2">
      <c r="A152" s="30" t="s">
        <v>2764</v>
      </c>
      <c r="B152" s="169">
        <v>9003470100</v>
      </c>
      <c r="C152" s="232" t="s">
        <v>944</v>
      </c>
      <c r="D152" s="182">
        <v>91943.269488000005</v>
      </c>
      <c r="E152" s="182">
        <v>244559.94500000001</v>
      </c>
      <c r="F152" s="13">
        <f>[1]!Table323[[#This Row],[Single Family]]+[1]!Table323[[#This Row],[2-4 Units]]+[1]!Table323[[#This Row],[&gt;4 Units]]</f>
        <v>46</v>
      </c>
      <c r="G152" s="30">
        <v>46</v>
      </c>
      <c r="H152" s="30">
        <v>0</v>
      </c>
      <c r="I152" s="30">
        <v>0</v>
      </c>
      <c r="J152" s="231">
        <v>116987.76</v>
      </c>
      <c r="K152">
        <f t="shared" si="2"/>
        <v>54</v>
      </c>
      <c r="L152" s="30">
        <v>10</v>
      </c>
      <c r="M152" s="30">
        <v>0</v>
      </c>
      <c r="N152" s="30">
        <v>44</v>
      </c>
      <c r="O152" s="231">
        <v>82420.399999999994</v>
      </c>
      <c r="P152" s="97">
        <f>VLOOKUP(Table323[[#This Row],[Census Tract]],'Population and Diversity Data'!$B$2:$K$823,10,FALSE)</f>
        <v>3</v>
      </c>
      <c r="Q152" s="97" t="str">
        <f>VLOOKUP(Table323[[#This Row],[Census Tract]],'ES Energy Burden'!$B$2:$E$914,4,FALSE)</f>
        <v>No</v>
      </c>
    </row>
    <row r="153" spans="1:17" x14ac:dyDescent="0.2">
      <c r="A153" s="30" t="s">
        <v>2764</v>
      </c>
      <c r="B153" s="169">
        <v>9003477101</v>
      </c>
      <c r="C153" s="232" t="s">
        <v>944</v>
      </c>
      <c r="D153" s="182">
        <v>100.43019</v>
      </c>
      <c r="E153" s="182">
        <v>0</v>
      </c>
      <c r="F153" s="13">
        <f>[1]!Table323[[#This Row],[Single Family]]+[1]!Table323[[#This Row],[2-4 Units]]+[1]!Table323[[#This Row],[&gt;4 Units]]</f>
        <v>0</v>
      </c>
      <c r="G153" s="30">
        <v>0</v>
      </c>
      <c r="H153" s="30">
        <v>0</v>
      </c>
      <c r="I153" s="30">
        <v>0</v>
      </c>
      <c r="J153" s="231">
        <v>0</v>
      </c>
      <c r="K153">
        <f t="shared" si="2"/>
        <v>0</v>
      </c>
      <c r="L153" s="30">
        <v>0</v>
      </c>
      <c r="M153" s="30">
        <v>0</v>
      </c>
      <c r="N153" s="30">
        <v>0</v>
      </c>
      <c r="O153" s="231">
        <v>0</v>
      </c>
      <c r="P153" s="97">
        <f>VLOOKUP(Table323[[#This Row],[Census Tract]],'Population and Diversity Data'!$B$2:$K$823,10,FALSE)</f>
        <v>1</v>
      </c>
      <c r="Q153" s="97" t="str">
        <f>VLOOKUP(Table323[[#This Row],[Census Tract]],'ES Energy Burden'!$B$2:$E$914,4,FALSE)</f>
        <v>No</v>
      </c>
    </row>
    <row r="154" spans="1:17" x14ac:dyDescent="0.2">
      <c r="A154" s="30" t="s">
        <v>2765</v>
      </c>
      <c r="B154" s="169">
        <v>9007595101</v>
      </c>
      <c r="C154" s="232" t="s">
        <v>944</v>
      </c>
      <c r="D154" s="182">
        <v>90655.912200000006</v>
      </c>
      <c r="E154" s="182">
        <v>153560.51</v>
      </c>
      <c r="F154" s="13">
        <f>[1]!Table323[[#This Row],[Single Family]]+[1]!Table323[[#This Row],[2-4 Units]]+[1]!Table323[[#This Row],[&gt;4 Units]]</f>
        <v>0</v>
      </c>
      <c r="G154" s="30">
        <v>0</v>
      </c>
      <c r="H154" s="30">
        <v>0</v>
      </c>
      <c r="I154" s="30">
        <v>0</v>
      </c>
      <c r="J154" s="231">
        <v>3608.94</v>
      </c>
      <c r="K154">
        <f t="shared" si="2"/>
        <v>2</v>
      </c>
      <c r="L154" s="30">
        <v>2</v>
      </c>
      <c r="M154" s="30">
        <v>0</v>
      </c>
      <c r="N154" s="30">
        <v>0</v>
      </c>
      <c r="O154" s="231">
        <v>1960.01</v>
      </c>
      <c r="P154" s="97">
        <f>VLOOKUP(Table323[[#This Row],[Census Tract]],'Population and Diversity Data'!$B$2:$K$823,10,FALSE)</f>
        <v>1</v>
      </c>
      <c r="Q154" s="97" t="str">
        <f>VLOOKUP(Table323[[#This Row],[Census Tract]],'ES Energy Burden'!$B$2:$E$914,4,FALSE)</f>
        <v>No</v>
      </c>
    </row>
    <row r="155" spans="1:17" x14ac:dyDescent="0.2">
      <c r="A155" s="30" t="s">
        <v>2765</v>
      </c>
      <c r="B155" s="169">
        <v>9007595102</v>
      </c>
      <c r="C155" s="232" t="s">
        <v>944</v>
      </c>
      <c r="D155" s="182">
        <v>79929.454962000003</v>
      </c>
      <c r="E155" s="182">
        <v>78324.72</v>
      </c>
      <c r="F155" s="13">
        <f>[1]!Table323[[#This Row],[Single Family]]+[1]!Table323[[#This Row],[2-4 Units]]+[1]!Table323[[#This Row],[&gt;4 Units]]</f>
        <v>72</v>
      </c>
      <c r="G155" s="30">
        <v>72</v>
      </c>
      <c r="H155" s="30">
        <v>0</v>
      </c>
      <c r="I155" s="30">
        <v>0</v>
      </c>
      <c r="J155" s="231">
        <v>125861.92</v>
      </c>
      <c r="K155">
        <f t="shared" si="2"/>
        <v>8</v>
      </c>
      <c r="L155" s="30">
        <v>7</v>
      </c>
      <c r="M155" s="30">
        <v>1</v>
      </c>
      <c r="N155" s="30">
        <v>0</v>
      </c>
      <c r="O155" s="231">
        <v>51496.07</v>
      </c>
      <c r="P155" s="97">
        <f>VLOOKUP(Table323[[#This Row],[Census Tract]],'Population and Diversity Data'!$B$2:$K$823,10,FALSE)</f>
        <v>1</v>
      </c>
      <c r="Q155" s="97" t="str">
        <f>VLOOKUP(Table323[[#This Row],[Census Tract]],'ES Energy Burden'!$B$2:$E$914,4,FALSE)</f>
        <v>No</v>
      </c>
    </row>
    <row r="156" spans="1:17" x14ac:dyDescent="0.2">
      <c r="A156" s="30" t="s">
        <v>2766</v>
      </c>
      <c r="B156" s="169">
        <v>9007550100</v>
      </c>
      <c r="C156" s="232" t="s">
        <v>944</v>
      </c>
      <c r="D156" s="182">
        <v>150359.903001</v>
      </c>
      <c r="E156" s="182">
        <v>225048.13500000001</v>
      </c>
      <c r="F156" s="13">
        <f>[1]!Table323[[#This Row],[Single Family]]+[1]!Table323[[#This Row],[2-4 Units]]+[1]!Table323[[#This Row],[&gt;4 Units]]</f>
        <v>74</v>
      </c>
      <c r="G156" s="30">
        <v>74</v>
      </c>
      <c r="H156" s="30">
        <v>0</v>
      </c>
      <c r="I156" s="30">
        <v>0</v>
      </c>
      <c r="J156" s="231">
        <v>117814.45</v>
      </c>
      <c r="K156">
        <f t="shared" si="2"/>
        <v>12</v>
      </c>
      <c r="L156" s="30">
        <v>12</v>
      </c>
      <c r="M156" s="30">
        <v>0</v>
      </c>
      <c r="N156" s="30">
        <v>0</v>
      </c>
      <c r="O156" s="231">
        <v>35744.39</v>
      </c>
      <c r="P156" s="97">
        <f>VLOOKUP(Table323[[#This Row],[Census Tract]],'Population and Diversity Data'!$B$2:$K$823,10,FALSE)</f>
        <v>3</v>
      </c>
      <c r="Q156" s="97" t="str">
        <f>VLOOKUP(Table323[[#This Row],[Census Tract]],'ES Energy Burden'!$B$2:$E$914,4,FALSE)</f>
        <v>No</v>
      </c>
    </row>
    <row r="157" spans="1:17" x14ac:dyDescent="0.2">
      <c r="A157" s="30" t="s">
        <v>2766</v>
      </c>
      <c r="B157" s="169">
        <v>9007550201</v>
      </c>
      <c r="C157" s="232" t="s">
        <v>944</v>
      </c>
      <c r="D157" s="182">
        <v>44913.348417000001</v>
      </c>
      <c r="E157" s="182">
        <v>34559.279999999999</v>
      </c>
      <c r="F157" s="13">
        <f>[1]!Table323[[#This Row],[Single Family]]+[1]!Table323[[#This Row],[2-4 Units]]+[1]!Table323[[#This Row],[&gt;4 Units]]</f>
        <v>1</v>
      </c>
      <c r="G157" s="30">
        <v>1</v>
      </c>
      <c r="H157" s="30">
        <v>0</v>
      </c>
      <c r="I157" s="30">
        <v>0</v>
      </c>
      <c r="J157" s="231">
        <v>8876.16</v>
      </c>
      <c r="K157">
        <f t="shared" si="2"/>
        <v>2</v>
      </c>
      <c r="L157" s="30">
        <v>2</v>
      </c>
      <c r="M157" s="30">
        <v>0</v>
      </c>
      <c r="N157" s="30">
        <v>0</v>
      </c>
      <c r="O157" s="231">
        <v>10267.42</v>
      </c>
      <c r="P157" s="97">
        <f>VLOOKUP(Table323[[#This Row],[Census Tract]],'Population and Diversity Data'!$B$2:$K$823,10,FALSE)</f>
        <v>2</v>
      </c>
      <c r="Q157" s="97" t="str">
        <f>VLOOKUP(Table323[[#This Row],[Census Tract]],'ES Energy Burden'!$B$2:$E$914,4,FALSE)</f>
        <v>No</v>
      </c>
    </row>
    <row r="158" spans="1:17" x14ac:dyDescent="0.2">
      <c r="A158" s="30" t="s">
        <v>2766</v>
      </c>
      <c r="B158" s="169">
        <v>9007550202</v>
      </c>
      <c r="C158" s="232" t="s">
        <v>944</v>
      </c>
      <c r="D158" s="182">
        <v>43204.613235000004</v>
      </c>
      <c r="E158" s="182">
        <v>34676.71</v>
      </c>
      <c r="F158" s="13">
        <f>[1]!Table323[[#This Row],[Single Family]]+[1]!Table323[[#This Row],[2-4 Units]]+[1]!Table323[[#This Row],[&gt;4 Units]]</f>
        <v>0</v>
      </c>
      <c r="G158" s="30">
        <v>0</v>
      </c>
      <c r="H158" s="30">
        <v>0</v>
      </c>
      <c r="I158" s="30">
        <v>0</v>
      </c>
      <c r="J158" s="231">
        <v>13800.9</v>
      </c>
      <c r="K158">
        <f t="shared" si="2"/>
        <v>1</v>
      </c>
      <c r="L158" s="30">
        <v>1</v>
      </c>
      <c r="M158" s="30">
        <v>0</v>
      </c>
      <c r="N158" s="30">
        <v>0</v>
      </c>
      <c r="O158" s="231">
        <v>340.8</v>
      </c>
      <c r="P158" s="97">
        <f>VLOOKUP(Table323[[#This Row],[Census Tract]],'Population and Diversity Data'!$B$2:$K$823,10,FALSE)</f>
        <v>1</v>
      </c>
      <c r="Q158" s="97" t="str">
        <f>VLOOKUP(Table323[[#This Row],[Census Tract]],'ES Energy Burden'!$B$2:$E$914,4,FALSE)</f>
        <v>No</v>
      </c>
    </row>
    <row r="159" spans="1:17" x14ac:dyDescent="0.2">
      <c r="A159" s="30" t="s">
        <v>2766</v>
      </c>
      <c r="B159" s="169">
        <v>9007590100</v>
      </c>
      <c r="C159" s="232" t="s">
        <v>944</v>
      </c>
      <c r="D159" s="182">
        <v>417.77568000000002</v>
      </c>
      <c r="E159" s="182">
        <v>0</v>
      </c>
      <c r="F159" s="13">
        <f>[1]!Table323[[#This Row],[Single Family]]+[1]!Table323[[#This Row],[2-4 Units]]+[1]!Table323[[#This Row],[&gt;4 Units]]</f>
        <v>0</v>
      </c>
      <c r="G159" s="30">
        <v>0</v>
      </c>
      <c r="H159" s="30">
        <v>0</v>
      </c>
      <c r="I159" s="30">
        <v>0</v>
      </c>
      <c r="J159" s="231">
        <v>0</v>
      </c>
      <c r="K159">
        <f t="shared" si="2"/>
        <v>0</v>
      </c>
      <c r="L159" s="30">
        <v>0</v>
      </c>
      <c r="M159" s="30">
        <v>0</v>
      </c>
      <c r="N159" s="30">
        <v>0</v>
      </c>
      <c r="O159" s="231">
        <v>0</v>
      </c>
      <c r="P159" s="97">
        <f>VLOOKUP(Table323[[#This Row],[Census Tract]],'Population and Diversity Data'!$B$2:$K$823,10,FALSE)</f>
        <v>1</v>
      </c>
      <c r="Q159" s="97" t="str">
        <f>VLOOKUP(Table323[[#This Row],[Census Tract]],'ES Energy Burden'!$B$2:$E$914,4,FALSE)</f>
        <v>No</v>
      </c>
    </row>
    <row r="160" spans="1:17" x14ac:dyDescent="0.2">
      <c r="A160" s="30" t="s">
        <v>2767</v>
      </c>
      <c r="B160" s="169">
        <v>9003510100</v>
      </c>
      <c r="C160" s="232" t="s">
        <v>944</v>
      </c>
      <c r="D160" s="182">
        <v>17095.802388</v>
      </c>
      <c r="E160" s="182">
        <v>7398.88</v>
      </c>
      <c r="F160" s="13">
        <f>[1]!Table323[[#This Row],[Single Family]]+[1]!Table323[[#This Row],[2-4 Units]]+[1]!Table323[[#This Row],[&gt;4 Units]]</f>
        <v>0</v>
      </c>
      <c r="G160" s="30">
        <v>0</v>
      </c>
      <c r="H160" s="30">
        <v>0</v>
      </c>
      <c r="I160" s="30">
        <v>0</v>
      </c>
      <c r="J160" s="231">
        <v>240.69</v>
      </c>
      <c r="K160">
        <f t="shared" si="2"/>
        <v>4</v>
      </c>
      <c r="L160" s="30">
        <v>3</v>
      </c>
      <c r="M160" s="30">
        <v>1</v>
      </c>
      <c r="N160" s="30">
        <v>0</v>
      </c>
      <c r="O160" s="231">
        <v>4710.16</v>
      </c>
      <c r="P160" s="97">
        <f>VLOOKUP(Table323[[#This Row],[Census Tract]],'Population and Diversity Data'!$B$2:$K$823,10,FALSE)</f>
        <v>4</v>
      </c>
      <c r="Q160" s="97" t="str">
        <f>VLOOKUP(Table323[[#This Row],[Census Tract]],'ES Energy Burden'!$B$2:$E$914,4,FALSE)</f>
        <v>No</v>
      </c>
    </row>
    <row r="161" spans="1:17" x14ac:dyDescent="0.2">
      <c r="A161" s="30" t="s">
        <v>2767</v>
      </c>
      <c r="B161" s="169">
        <v>9003510200</v>
      </c>
      <c r="C161" s="232" t="s">
        <v>944</v>
      </c>
      <c r="D161" s="182">
        <v>14390.598600000001</v>
      </c>
      <c r="E161" s="182">
        <v>14628.72</v>
      </c>
      <c r="F161" s="13">
        <f>[1]!Table323[[#This Row],[Single Family]]+[1]!Table323[[#This Row],[2-4 Units]]+[1]!Table323[[#This Row],[&gt;4 Units]]</f>
        <v>227</v>
      </c>
      <c r="G161" s="30">
        <v>221</v>
      </c>
      <c r="H161" s="30">
        <v>6</v>
      </c>
      <c r="I161" s="30">
        <v>0</v>
      </c>
      <c r="J161" s="231">
        <v>166664.84</v>
      </c>
      <c r="K161">
        <f t="shared" si="2"/>
        <v>190</v>
      </c>
      <c r="L161" s="30">
        <v>74</v>
      </c>
      <c r="M161" s="30">
        <v>31</v>
      </c>
      <c r="N161" s="30">
        <v>85</v>
      </c>
      <c r="O161" s="231">
        <v>186632.64</v>
      </c>
      <c r="P161" s="97">
        <f>VLOOKUP(Table323[[#This Row],[Census Tract]],'Population and Diversity Data'!$B$2:$K$823,10,FALSE)</f>
        <v>5</v>
      </c>
      <c r="Q161" s="97" t="str">
        <f>VLOOKUP(Table323[[#This Row],[Census Tract]],'ES Energy Burden'!$B$2:$E$914,4,FALSE)</f>
        <v>No</v>
      </c>
    </row>
    <row r="162" spans="1:17" x14ac:dyDescent="0.2">
      <c r="A162" s="30" t="s">
        <v>2767</v>
      </c>
      <c r="B162" s="169">
        <v>9003510300</v>
      </c>
      <c r="C162" s="232" t="s">
        <v>936</v>
      </c>
      <c r="D162" s="182">
        <v>27280.58382</v>
      </c>
      <c r="E162" s="182">
        <v>19424.63</v>
      </c>
      <c r="F162" s="13">
        <f>[1]!Table323[[#This Row],[Single Family]]+[1]!Table323[[#This Row],[2-4 Units]]+[1]!Table323[[#This Row],[&gt;4 Units]]</f>
        <v>0</v>
      </c>
      <c r="G162" s="30">
        <v>0</v>
      </c>
      <c r="H162" s="30">
        <v>0</v>
      </c>
      <c r="I162" s="30">
        <v>0</v>
      </c>
      <c r="J162" s="231">
        <v>22.22</v>
      </c>
      <c r="K162">
        <f t="shared" si="2"/>
        <v>11</v>
      </c>
      <c r="L162" s="30">
        <v>5</v>
      </c>
      <c r="M162" s="30">
        <v>6</v>
      </c>
      <c r="N162" s="30">
        <v>0</v>
      </c>
      <c r="O162" s="231">
        <v>13819.69</v>
      </c>
      <c r="P162" s="97">
        <f>VLOOKUP(Table323[[#This Row],[Census Tract]],'Population and Diversity Data'!$B$2:$K$823,10,FALSE)</f>
        <v>4</v>
      </c>
      <c r="Q162" s="97" t="str">
        <f>VLOOKUP(Table323[[#This Row],[Census Tract]],'ES Energy Burden'!$B$2:$E$914,4,FALSE)</f>
        <v>No</v>
      </c>
    </row>
    <row r="163" spans="1:17" x14ac:dyDescent="0.2">
      <c r="A163" s="30" t="s">
        <v>2767</v>
      </c>
      <c r="B163" s="169">
        <v>9003510400</v>
      </c>
      <c r="C163" s="232" t="s">
        <v>944</v>
      </c>
      <c r="D163" s="182">
        <v>34942.397363999997</v>
      </c>
      <c r="E163" s="182">
        <v>8252.76</v>
      </c>
      <c r="F163" s="13">
        <f>[1]!Table323[[#This Row],[Single Family]]+[1]!Table323[[#This Row],[2-4 Units]]+[1]!Table323[[#This Row],[&gt;4 Units]]</f>
        <v>0</v>
      </c>
      <c r="G163" s="30">
        <v>0</v>
      </c>
      <c r="H163" s="30">
        <v>0</v>
      </c>
      <c r="I163" s="30">
        <v>0</v>
      </c>
      <c r="J163" s="231">
        <v>0</v>
      </c>
      <c r="K163">
        <f t="shared" si="2"/>
        <v>11</v>
      </c>
      <c r="L163" s="30">
        <v>6</v>
      </c>
      <c r="M163" s="30">
        <v>5</v>
      </c>
      <c r="N163" s="30">
        <v>0</v>
      </c>
      <c r="O163" s="231">
        <v>6220.55</v>
      </c>
      <c r="P163" s="97">
        <f>VLOOKUP(Table323[[#This Row],[Census Tract]],'Population and Diversity Data'!$B$2:$K$823,10,FALSE)</f>
        <v>4</v>
      </c>
      <c r="Q163" s="97" t="str">
        <f>VLOOKUP(Table323[[#This Row],[Census Tract]],'ES Energy Burden'!$B$2:$E$914,4,FALSE)</f>
        <v>No</v>
      </c>
    </row>
    <row r="164" spans="1:17" x14ac:dyDescent="0.2">
      <c r="A164" s="30" t="s">
        <v>2767</v>
      </c>
      <c r="B164" s="169">
        <v>9003510500</v>
      </c>
      <c r="C164" s="232" t="s">
        <v>944</v>
      </c>
      <c r="D164" s="182">
        <v>28201.181820000002</v>
      </c>
      <c r="E164" s="182">
        <v>11501.27</v>
      </c>
      <c r="F164" s="13">
        <f>[1]!Table323[[#This Row],[Single Family]]+[1]!Table323[[#This Row],[2-4 Units]]+[1]!Table323[[#This Row],[&gt;4 Units]]</f>
        <v>0</v>
      </c>
      <c r="G164" s="30">
        <v>0</v>
      </c>
      <c r="H164" s="30">
        <v>0</v>
      </c>
      <c r="I164" s="30">
        <v>0</v>
      </c>
      <c r="J164" s="231">
        <v>0</v>
      </c>
      <c r="K164">
        <f t="shared" si="2"/>
        <v>6</v>
      </c>
      <c r="L164" s="30">
        <v>4</v>
      </c>
      <c r="M164" s="30">
        <v>2</v>
      </c>
      <c r="N164" s="30">
        <v>0</v>
      </c>
      <c r="O164" s="231">
        <v>7406.13</v>
      </c>
      <c r="P164" s="97">
        <f>VLOOKUP(Table323[[#This Row],[Census Tract]],'Population and Diversity Data'!$B$2:$K$823,10,FALSE)</f>
        <v>5</v>
      </c>
      <c r="Q164" s="97" t="str">
        <f>VLOOKUP(Table323[[#This Row],[Census Tract]],'ES Energy Burden'!$B$2:$E$914,4,FALSE)</f>
        <v>No</v>
      </c>
    </row>
    <row r="165" spans="1:17" x14ac:dyDescent="0.2">
      <c r="A165" s="30" t="s">
        <v>2767</v>
      </c>
      <c r="B165" s="169">
        <v>9003510600</v>
      </c>
      <c r="C165" s="232" t="s">
        <v>944</v>
      </c>
      <c r="D165" s="182">
        <v>35289.634758</v>
      </c>
      <c r="E165" s="182">
        <v>47826.95</v>
      </c>
      <c r="F165" s="13">
        <f>[1]!Table323[[#This Row],[Single Family]]+[1]!Table323[[#This Row],[2-4 Units]]+[1]!Table323[[#This Row],[&gt;4 Units]]</f>
        <v>1</v>
      </c>
      <c r="G165" s="30">
        <v>1</v>
      </c>
      <c r="H165" s="30">
        <v>0</v>
      </c>
      <c r="I165" s="30">
        <v>0</v>
      </c>
      <c r="J165" s="231">
        <v>18888.55</v>
      </c>
      <c r="K165">
        <f t="shared" si="2"/>
        <v>6</v>
      </c>
      <c r="L165" s="30">
        <v>4</v>
      </c>
      <c r="M165" s="30">
        <v>2</v>
      </c>
      <c r="N165" s="30">
        <v>0</v>
      </c>
      <c r="O165" s="231">
        <v>12915.33</v>
      </c>
      <c r="P165" s="97">
        <f>VLOOKUP(Table323[[#This Row],[Census Tract]],'Population and Diversity Data'!$B$2:$K$823,10,FALSE)</f>
        <v>5</v>
      </c>
      <c r="Q165" s="97" t="str">
        <f>VLOOKUP(Table323[[#This Row],[Census Tract]],'ES Energy Burden'!$B$2:$E$914,4,FALSE)</f>
        <v>No</v>
      </c>
    </row>
    <row r="166" spans="1:17" x14ac:dyDescent="0.2">
      <c r="A166" s="30" t="s">
        <v>2767</v>
      </c>
      <c r="B166" s="169">
        <v>9003510700</v>
      </c>
      <c r="C166" s="232" t="s">
        <v>944</v>
      </c>
      <c r="D166" s="182">
        <v>38132.383421999999</v>
      </c>
      <c r="E166" s="182">
        <v>20718.86</v>
      </c>
      <c r="F166" s="13">
        <f>[1]!Table323[[#This Row],[Single Family]]+[1]!Table323[[#This Row],[2-4 Units]]+[1]!Table323[[#This Row],[&gt;4 Units]]</f>
        <v>0</v>
      </c>
      <c r="G166" s="30">
        <v>0</v>
      </c>
      <c r="H166" s="30">
        <v>0</v>
      </c>
      <c r="I166" s="30">
        <v>0</v>
      </c>
      <c r="J166" s="231">
        <v>4718.22</v>
      </c>
      <c r="K166">
        <f t="shared" si="2"/>
        <v>13</v>
      </c>
      <c r="L166" s="30">
        <v>13</v>
      </c>
      <c r="M166" s="30">
        <v>0</v>
      </c>
      <c r="N166" s="30">
        <v>0</v>
      </c>
      <c r="O166" s="231">
        <v>7954.03</v>
      </c>
      <c r="P166" s="97">
        <f>VLOOKUP(Table323[[#This Row],[Census Tract]],'Population and Diversity Data'!$B$2:$K$823,10,FALSE)</f>
        <v>5</v>
      </c>
      <c r="Q166" s="97" t="str">
        <f>VLOOKUP(Table323[[#This Row],[Census Tract]],'ES Energy Burden'!$B$2:$E$914,4,FALSE)</f>
        <v>No</v>
      </c>
    </row>
    <row r="167" spans="1:17" x14ac:dyDescent="0.2">
      <c r="A167" s="30" t="s">
        <v>2767</v>
      </c>
      <c r="B167" s="169">
        <v>9003510800</v>
      </c>
      <c r="C167" s="232" t="s">
        <v>944</v>
      </c>
      <c r="D167" s="182">
        <v>22984.757669999999</v>
      </c>
      <c r="E167" s="182">
        <v>35333.4</v>
      </c>
      <c r="F167" s="13">
        <f>[1]!Table323[[#This Row],[Single Family]]+[1]!Table323[[#This Row],[2-4 Units]]+[1]!Table323[[#This Row],[&gt;4 Units]]</f>
        <v>0</v>
      </c>
      <c r="G167" s="30">
        <v>0</v>
      </c>
      <c r="H167" s="30">
        <v>0</v>
      </c>
      <c r="I167" s="30">
        <v>0</v>
      </c>
      <c r="J167" s="231">
        <v>1932.98</v>
      </c>
      <c r="K167">
        <f t="shared" si="2"/>
        <v>12</v>
      </c>
      <c r="L167" s="30">
        <v>11</v>
      </c>
      <c r="M167" s="30">
        <v>1</v>
      </c>
      <c r="N167" s="30">
        <v>0</v>
      </c>
      <c r="O167" s="231">
        <v>27699.02</v>
      </c>
      <c r="P167" s="97">
        <f>VLOOKUP(Table323[[#This Row],[Census Tract]],'Population and Diversity Data'!$B$2:$K$823,10,FALSE)</f>
        <v>3</v>
      </c>
      <c r="Q167" s="97" t="str">
        <f>VLOOKUP(Table323[[#This Row],[Census Tract]],'ES Energy Burden'!$B$2:$E$914,4,FALSE)</f>
        <v>No</v>
      </c>
    </row>
    <row r="168" spans="1:17" x14ac:dyDescent="0.2">
      <c r="A168" s="30" t="s">
        <v>2767</v>
      </c>
      <c r="B168" s="169">
        <v>9003510900</v>
      </c>
      <c r="C168" s="232" t="s">
        <v>944</v>
      </c>
      <c r="D168" s="182">
        <v>33499.131540000002</v>
      </c>
      <c r="E168" s="182">
        <v>46176.364999999998</v>
      </c>
      <c r="F168" s="13">
        <f>[1]!Table323[[#This Row],[Single Family]]+[1]!Table323[[#This Row],[2-4 Units]]+[1]!Table323[[#This Row],[&gt;4 Units]]</f>
        <v>1</v>
      </c>
      <c r="G168" s="30">
        <v>1</v>
      </c>
      <c r="H168" s="30">
        <v>0</v>
      </c>
      <c r="I168" s="30">
        <v>0</v>
      </c>
      <c r="J168" s="231">
        <v>5418.47</v>
      </c>
      <c r="K168">
        <f t="shared" si="2"/>
        <v>12</v>
      </c>
      <c r="L168" s="30">
        <v>12</v>
      </c>
      <c r="M168" s="30">
        <v>0</v>
      </c>
      <c r="N168" s="30">
        <v>0</v>
      </c>
      <c r="O168" s="231">
        <v>18393.75</v>
      </c>
      <c r="P168" s="97">
        <f>VLOOKUP(Table323[[#This Row],[Census Tract]],'Population and Diversity Data'!$B$2:$K$823,10,FALSE)</f>
        <v>4</v>
      </c>
      <c r="Q168" s="97" t="str">
        <f>VLOOKUP(Table323[[#This Row],[Census Tract]],'ES Energy Burden'!$B$2:$E$914,4,FALSE)</f>
        <v>No</v>
      </c>
    </row>
    <row r="169" spans="1:17" x14ac:dyDescent="0.2">
      <c r="A169" s="30" t="s">
        <v>2767</v>
      </c>
      <c r="B169" s="169">
        <v>9003511000</v>
      </c>
      <c r="C169" s="232" t="s">
        <v>944</v>
      </c>
      <c r="D169" s="182">
        <v>31599.164100000002</v>
      </c>
      <c r="E169" s="182">
        <v>44515.13</v>
      </c>
      <c r="F169" s="13">
        <f>[1]!Table323[[#This Row],[Single Family]]+[1]!Table323[[#This Row],[2-4 Units]]+[1]!Table323[[#This Row],[&gt;4 Units]]</f>
        <v>1</v>
      </c>
      <c r="G169" s="30">
        <v>1</v>
      </c>
      <c r="H169" s="30">
        <v>0</v>
      </c>
      <c r="I169" s="30">
        <v>0</v>
      </c>
      <c r="J169" s="231">
        <v>24877.93</v>
      </c>
      <c r="K169">
        <f t="shared" si="2"/>
        <v>7</v>
      </c>
      <c r="L169" s="30">
        <v>7</v>
      </c>
      <c r="M169" s="30">
        <v>0</v>
      </c>
      <c r="N169" s="30">
        <v>0</v>
      </c>
      <c r="O169" s="231">
        <v>10554.43</v>
      </c>
      <c r="P169" s="97">
        <f>VLOOKUP(Table323[[#This Row],[Census Tract]],'Population and Diversity Data'!$B$2:$K$823,10,FALSE)</f>
        <v>4</v>
      </c>
      <c r="Q169" s="97" t="str">
        <f>VLOOKUP(Table323[[#This Row],[Census Tract]],'ES Energy Burden'!$B$2:$E$914,4,FALSE)</f>
        <v>No</v>
      </c>
    </row>
    <row r="170" spans="1:17" x14ac:dyDescent="0.2">
      <c r="A170" s="30" t="s">
        <v>2767</v>
      </c>
      <c r="B170" s="169">
        <v>9003511100</v>
      </c>
      <c r="C170" s="232" t="s">
        <v>944</v>
      </c>
      <c r="D170" s="182">
        <v>227724.83710199999</v>
      </c>
      <c r="E170" s="182">
        <v>290015.76</v>
      </c>
      <c r="F170" s="13">
        <f>[1]!Table323[[#This Row],[Single Family]]+[1]!Table323[[#This Row],[2-4 Units]]+[1]!Table323[[#This Row],[&gt;4 Units]]</f>
        <v>0</v>
      </c>
      <c r="G170" s="30">
        <v>0</v>
      </c>
      <c r="H170" s="30">
        <v>0</v>
      </c>
      <c r="I170" s="30">
        <v>0</v>
      </c>
      <c r="J170" s="231">
        <v>832.22</v>
      </c>
      <c r="K170">
        <f t="shared" si="2"/>
        <v>3</v>
      </c>
      <c r="L170" s="30">
        <v>3</v>
      </c>
      <c r="M170" s="30">
        <v>0</v>
      </c>
      <c r="N170" s="30">
        <v>0</v>
      </c>
      <c r="O170" s="231">
        <v>1662.94</v>
      </c>
      <c r="P170" s="97">
        <f>VLOOKUP(Table323[[#This Row],[Census Tract]],'Population and Diversity Data'!$B$2:$K$823,10,FALSE)</f>
        <v>4</v>
      </c>
      <c r="Q170" s="97" t="str">
        <f>VLOOKUP(Table323[[#This Row],[Census Tract]],'ES Energy Burden'!$B$2:$E$914,4,FALSE)</f>
        <v>No</v>
      </c>
    </row>
    <row r="171" spans="1:17" x14ac:dyDescent="0.2">
      <c r="A171" s="30" t="s">
        <v>2767</v>
      </c>
      <c r="B171" s="169">
        <v>9003511200</v>
      </c>
      <c r="C171" s="232" t="s">
        <v>936</v>
      </c>
      <c r="D171" s="182">
        <v>21825.690494999999</v>
      </c>
      <c r="E171" s="182">
        <v>6911.54</v>
      </c>
      <c r="F171" s="13">
        <f>[1]!Table323[[#This Row],[Single Family]]+[1]!Table323[[#This Row],[2-4 Units]]+[1]!Table323[[#This Row],[&gt;4 Units]]</f>
        <v>0</v>
      </c>
      <c r="G171" s="30">
        <v>0</v>
      </c>
      <c r="H171" s="30">
        <v>0</v>
      </c>
      <c r="I171" s="30">
        <v>0</v>
      </c>
      <c r="J171" s="231">
        <v>939.06</v>
      </c>
      <c r="K171">
        <f t="shared" si="2"/>
        <v>9</v>
      </c>
      <c r="L171" s="30">
        <v>8</v>
      </c>
      <c r="M171" s="30">
        <v>1</v>
      </c>
      <c r="N171" s="30">
        <v>0</v>
      </c>
      <c r="O171" s="231">
        <v>1925.01</v>
      </c>
      <c r="P171" s="97">
        <f>VLOOKUP(Table323[[#This Row],[Census Tract]],'Population and Diversity Data'!$B$2:$K$823,10,FALSE)</f>
        <v>5</v>
      </c>
      <c r="Q171" s="97" t="str">
        <f>VLOOKUP(Table323[[#This Row],[Census Tract]],'ES Energy Burden'!$B$2:$E$914,4,FALSE)</f>
        <v>No</v>
      </c>
    </row>
    <row r="172" spans="1:17" x14ac:dyDescent="0.2">
      <c r="A172" s="30" t="s">
        <v>2767</v>
      </c>
      <c r="B172" s="169">
        <v>9003511300</v>
      </c>
      <c r="C172" s="232" t="s">
        <v>936</v>
      </c>
      <c r="D172" s="182">
        <v>22506.48141</v>
      </c>
      <c r="E172" s="182">
        <v>32046.06</v>
      </c>
      <c r="F172" s="13">
        <f>[1]!Table323[[#This Row],[Single Family]]+[1]!Table323[[#This Row],[2-4 Units]]+[1]!Table323[[#This Row],[&gt;4 Units]]</f>
        <v>1</v>
      </c>
      <c r="G172" s="30">
        <v>1</v>
      </c>
      <c r="H172" s="30">
        <v>0</v>
      </c>
      <c r="I172" s="30">
        <v>0</v>
      </c>
      <c r="J172" s="231">
        <v>4828.84</v>
      </c>
      <c r="K172">
        <f t="shared" si="2"/>
        <v>10</v>
      </c>
      <c r="L172" s="30">
        <v>7</v>
      </c>
      <c r="M172" s="30">
        <v>3</v>
      </c>
      <c r="N172" s="30">
        <v>0</v>
      </c>
      <c r="O172" s="231">
        <v>4127.76</v>
      </c>
      <c r="P172" s="97">
        <f>VLOOKUP(Table323[[#This Row],[Census Tract]],'Population and Diversity Data'!$B$2:$K$823,10,FALSE)</f>
        <v>4</v>
      </c>
      <c r="Q172" s="97" t="str">
        <f>VLOOKUP(Table323[[#This Row],[Census Tract]],'ES Energy Burden'!$B$2:$E$914,4,FALSE)</f>
        <v>No</v>
      </c>
    </row>
    <row r="173" spans="1:17" x14ac:dyDescent="0.2">
      <c r="A173" s="30" t="s">
        <v>2767</v>
      </c>
      <c r="B173" s="169">
        <v>9003511400</v>
      </c>
      <c r="C173" s="232" t="s">
        <v>944</v>
      </c>
      <c r="D173" s="182">
        <v>20366.008949999999</v>
      </c>
      <c r="E173" s="182">
        <v>28760.78</v>
      </c>
      <c r="F173" s="13">
        <f>[1]!Table323[[#This Row],[Single Family]]+[1]!Table323[[#This Row],[2-4 Units]]+[1]!Table323[[#This Row],[&gt;4 Units]]</f>
        <v>0</v>
      </c>
      <c r="G173" s="30">
        <v>0</v>
      </c>
      <c r="H173" s="30">
        <v>0</v>
      </c>
      <c r="I173" s="30">
        <v>0</v>
      </c>
      <c r="J173" s="231">
        <v>2840.79</v>
      </c>
      <c r="K173">
        <f t="shared" si="2"/>
        <v>5</v>
      </c>
      <c r="L173" s="30">
        <v>4</v>
      </c>
      <c r="M173" s="30">
        <v>1</v>
      </c>
      <c r="N173" s="30">
        <v>0</v>
      </c>
      <c r="O173" s="231">
        <v>15204.73</v>
      </c>
      <c r="P173" s="97">
        <f>VLOOKUP(Table323[[#This Row],[Census Tract]],'Population and Diversity Data'!$B$2:$K$823,10,FALSE)</f>
        <v>4</v>
      </c>
      <c r="Q173" s="97" t="str">
        <f>VLOOKUP(Table323[[#This Row],[Census Tract]],'ES Energy Burden'!$B$2:$E$914,4,FALSE)</f>
        <v>No</v>
      </c>
    </row>
    <row r="174" spans="1:17" x14ac:dyDescent="0.2">
      <c r="A174" s="30" t="s">
        <v>2767</v>
      </c>
      <c r="B174" s="169">
        <v>9003514102</v>
      </c>
      <c r="C174" s="232" t="s">
        <v>944</v>
      </c>
      <c r="D174" s="182">
        <v>840.70497</v>
      </c>
      <c r="E174" s="182">
        <v>0</v>
      </c>
      <c r="F174" s="13">
        <f>[1]!Table323[[#This Row],[Single Family]]+[1]!Table323[[#This Row],[2-4 Units]]+[1]!Table323[[#This Row],[&gt;4 Units]]</f>
        <v>0</v>
      </c>
      <c r="G174" s="30">
        <v>0</v>
      </c>
      <c r="H174" s="30">
        <v>0</v>
      </c>
      <c r="I174" s="30">
        <v>0</v>
      </c>
      <c r="J174" s="231">
        <v>0</v>
      </c>
      <c r="K174">
        <f t="shared" si="2"/>
        <v>0</v>
      </c>
      <c r="L174" s="30">
        <v>0</v>
      </c>
      <c r="M174" s="30">
        <v>0</v>
      </c>
      <c r="N174" s="30">
        <v>0</v>
      </c>
      <c r="O174" s="231">
        <v>0</v>
      </c>
      <c r="P174" s="97">
        <f>VLOOKUP(Table323[[#This Row],[Census Tract]],'Population and Diversity Data'!$B$2:$K$823,10,FALSE)</f>
        <v>5</v>
      </c>
      <c r="Q174" s="97" t="str">
        <f>VLOOKUP(Table323[[#This Row],[Census Tract]],'ES Energy Burden'!$B$2:$E$914,4,FALSE)</f>
        <v>No</v>
      </c>
    </row>
    <row r="175" spans="1:17" x14ac:dyDescent="0.2">
      <c r="A175" s="30" t="s">
        <v>2768</v>
      </c>
      <c r="B175" s="169">
        <v>9011695202</v>
      </c>
      <c r="C175" s="232" t="s">
        <v>944</v>
      </c>
      <c r="D175" s="182">
        <v>77.183400000000006</v>
      </c>
      <c r="E175" s="182">
        <v>82740.854999999996</v>
      </c>
      <c r="F175" s="13">
        <f>[1]!Table323[[#This Row],[Single Family]]+[1]!Table323[[#This Row],[2-4 Units]]+[1]!Table323[[#This Row],[&gt;4 Units]]</f>
        <v>0</v>
      </c>
      <c r="G175" s="30">
        <v>0</v>
      </c>
      <c r="H175" s="30">
        <v>0</v>
      </c>
      <c r="I175" s="30">
        <v>0</v>
      </c>
      <c r="J175" s="231">
        <v>0</v>
      </c>
      <c r="K175">
        <f t="shared" si="2"/>
        <v>0</v>
      </c>
      <c r="L175" s="30">
        <v>0</v>
      </c>
      <c r="M175" s="30">
        <v>0</v>
      </c>
      <c r="N175" s="30">
        <v>0</v>
      </c>
      <c r="O175" s="231">
        <v>0</v>
      </c>
      <c r="P175" s="97">
        <f>VLOOKUP(Table323[[#This Row],[Census Tract]],'Population and Diversity Data'!$B$2:$K$823,10,FALSE)</f>
        <v>3</v>
      </c>
      <c r="Q175" s="97" t="str">
        <f>VLOOKUP(Table323[[#This Row],[Census Tract]],'ES Energy Burden'!$B$2:$E$914,4,FALSE)</f>
        <v>No</v>
      </c>
    </row>
    <row r="176" spans="1:17" x14ac:dyDescent="0.2">
      <c r="A176" s="30" t="s">
        <v>2768</v>
      </c>
      <c r="B176" s="169">
        <v>9011716101</v>
      </c>
      <c r="C176" s="232" t="s">
        <v>944</v>
      </c>
      <c r="D176" s="182">
        <v>54338.724405000001</v>
      </c>
      <c r="E176" s="182">
        <v>52694.9</v>
      </c>
      <c r="F176" s="13">
        <f>[1]!Table323[[#This Row],[Single Family]]+[1]!Table323[[#This Row],[2-4 Units]]+[1]!Table323[[#This Row],[&gt;4 Units]]</f>
        <v>0</v>
      </c>
      <c r="G176" s="30">
        <v>0</v>
      </c>
      <c r="H176" s="30">
        <v>0</v>
      </c>
      <c r="I176" s="30">
        <v>0</v>
      </c>
      <c r="J176" s="231">
        <v>14410.34</v>
      </c>
      <c r="K176">
        <f t="shared" si="2"/>
        <v>1</v>
      </c>
      <c r="L176" s="30">
        <v>1</v>
      </c>
      <c r="M176" s="30">
        <v>0</v>
      </c>
      <c r="N176" s="30">
        <v>0</v>
      </c>
      <c r="O176" s="231">
        <v>791.09</v>
      </c>
      <c r="P176" s="97">
        <f>VLOOKUP(Table323[[#This Row],[Census Tract]],'Population and Diversity Data'!$B$2:$K$823,10,FALSE)</f>
        <v>5</v>
      </c>
      <c r="Q176" s="97" t="str">
        <f>VLOOKUP(Table323[[#This Row],[Census Tract]],'ES Energy Burden'!$B$2:$E$914,4,FALSE)</f>
        <v>No</v>
      </c>
    </row>
    <row r="177" spans="1:17" x14ac:dyDescent="0.2">
      <c r="A177" s="30" t="s">
        <v>2768</v>
      </c>
      <c r="B177" s="169">
        <v>9011716102</v>
      </c>
      <c r="C177" s="232" t="s">
        <v>944</v>
      </c>
      <c r="D177" s="182">
        <v>189903.894978</v>
      </c>
      <c r="E177" s="182">
        <v>326675.49</v>
      </c>
      <c r="F177" s="13">
        <f>[1]!Table323[[#This Row],[Single Family]]+[1]!Table323[[#This Row],[2-4 Units]]+[1]!Table323[[#This Row],[&gt;4 Units]]</f>
        <v>123</v>
      </c>
      <c r="G177" s="30">
        <v>122</v>
      </c>
      <c r="H177" s="30">
        <v>1</v>
      </c>
      <c r="I177" s="30">
        <v>0</v>
      </c>
      <c r="J177" s="231">
        <v>172924.06</v>
      </c>
      <c r="K177">
        <f t="shared" si="2"/>
        <v>8</v>
      </c>
      <c r="L177" s="30">
        <v>8</v>
      </c>
      <c r="M177" s="30">
        <v>0</v>
      </c>
      <c r="N177" s="30">
        <v>0</v>
      </c>
      <c r="O177" s="231">
        <v>66775.42</v>
      </c>
      <c r="P177" s="97">
        <f>VLOOKUP(Table323[[#This Row],[Census Tract]],'Population and Diversity Data'!$B$2:$K$823,10,FALSE)</f>
        <v>4</v>
      </c>
      <c r="Q177" s="97" t="str">
        <f>VLOOKUP(Table323[[#This Row],[Census Tract]],'ES Energy Burden'!$B$2:$E$914,4,FALSE)</f>
        <v>No</v>
      </c>
    </row>
    <row r="178" spans="1:17" x14ac:dyDescent="0.2">
      <c r="A178" s="30" t="s">
        <v>2768</v>
      </c>
      <c r="B178" s="169">
        <v>9011870701</v>
      </c>
      <c r="C178" s="232" t="s">
        <v>944</v>
      </c>
      <c r="D178" s="182">
        <v>28822.556489999999</v>
      </c>
      <c r="E178" s="182">
        <v>27715.48</v>
      </c>
      <c r="F178" s="13">
        <f>[1]!Table323[[#This Row],[Single Family]]+[1]!Table323[[#This Row],[2-4 Units]]+[1]!Table323[[#This Row],[&gt;4 Units]]</f>
        <v>0</v>
      </c>
      <c r="G178" s="30">
        <v>0</v>
      </c>
      <c r="H178" s="30">
        <v>0</v>
      </c>
      <c r="I178" s="30">
        <v>0</v>
      </c>
      <c r="J178" s="231">
        <v>9331.99</v>
      </c>
      <c r="K178">
        <f t="shared" si="2"/>
        <v>1</v>
      </c>
      <c r="L178" s="30">
        <v>1</v>
      </c>
      <c r="M178" s="30">
        <v>0</v>
      </c>
      <c r="N178" s="30">
        <v>0</v>
      </c>
      <c r="O178" s="231">
        <v>232.58</v>
      </c>
      <c r="P178" s="97">
        <f>VLOOKUP(Table323[[#This Row],[Census Tract]],'Population and Diversity Data'!$B$2:$K$823,10,FALSE)</f>
        <v>3</v>
      </c>
      <c r="Q178" s="97" t="str">
        <f>VLOOKUP(Table323[[#This Row],[Census Tract]],'ES Energy Burden'!$B$2:$E$914,4,FALSE)</f>
        <v>No</v>
      </c>
    </row>
    <row r="179" spans="1:17" x14ac:dyDescent="0.2">
      <c r="A179" s="30" t="s">
        <v>2768</v>
      </c>
      <c r="B179" s="169">
        <v>9011870703</v>
      </c>
      <c r="C179" s="232" t="s">
        <v>944</v>
      </c>
      <c r="D179" s="182">
        <v>24819.650519999999</v>
      </c>
      <c r="E179" s="182">
        <v>27992.54</v>
      </c>
      <c r="F179" s="13">
        <f>[1]!Table323[[#This Row],[Single Family]]+[1]!Table323[[#This Row],[2-4 Units]]+[1]!Table323[[#This Row],[&gt;4 Units]]</f>
        <v>0</v>
      </c>
      <c r="G179" s="30">
        <v>0</v>
      </c>
      <c r="H179" s="30">
        <v>0</v>
      </c>
      <c r="I179" s="30">
        <v>0</v>
      </c>
      <c r="J179" s="231">
        <v>13871.04</v>
      </c>
      <c r="K179">
        <f t="shared" si="2"/>
        <v>0</v>
      </c>
      <c r="L179" s="30">
        <v>0</v>
      </c>
      <c r="M179" s="30">
        <v>0</v>
      </c>
      <c r="N179" s="30">
        <v>0</v>
      </c>
      <c r="O179" s="231">
        <v>0</v>
      </c>
      <c r="P179" s="97">
        <f>VLOOKUP(Table323[[#This Row],[Census Tract]],'Population and Diversity Data'!$B$2:$K$823,10,FALSE)</f>
        <v>4</v>
      </c>
      <c r="Q179" s="97" t="str">
        <f>VLOOKUP(Table323[[#This Row],[Census Tract]],'ES Energy Burden'!$B$2:$E$914,4,FALSE)</f>
        <v>No</v>
      </c>
    </row>
    <row r="180" spans="1:17" x14ac:dyDescent="0.2">
      <c r="A180" s="30" t="s">
        <v>2768</v>
      </c>
      <c r="B180" s="169">
        <v>9011870704</v>
      </c>
      <c r="C180" s="232" t="s">
        <v>944</v>
      </c>
      <c r="D180" s="182">
        <v>64201.490702999996</v>
      </c>
      <c r="E180" s="182">
        <v>98140.645000000004</v>
      </c>
      <c r="F180" s="13">
        <f>[1]!Table323[[#This Row],[Single Family]]+[1]!Table323[[#This Row],[2-4 Units]]+[1]!Table323[[#This Row],[&gt;4 Units]]</f>
        <v>57</v>
      </c>
      <c r="G180" s="30">
        <v>57</v>
      </c>
      <c r="H180" s="30">
        <v>0</v>
      </c>
      <c r="I180" s="30">
        <v>0</v>
      </c>
      <c r="J180" s="231">
        <v>124469.46</v>
      </c>
      <c r="K180">
        <f t="shared" si="2"/>
        <v>9</v>
      </c>
      <c r="L180" s="30">
        <v>8</v>
      </c>
      <c r="M180" s="30">
        <v>1</v>
      </c>
      <c r="N180" s="30">
        <v>0</v>
      </c>
      <c r="O180" s="231">
        <v>17148.13</v>
      </c>
      <c r="P180" s="97">
        <f>VLOOKUP(Table323[[#This Row],[Census Tract]],'Population and Diversity Data'!$B$2:$K$823,10,FALSE)</f>
        <v>4</v>
      </c>
      <c r="Q180" s="97" t="str">
        <f>VLOOKUP(Table323[[#This Row],[Census Tract]],'ES Energy Burden'!$B$2:$E$914,4,FALSE)</f>
        <v>No</v>
      </c>
    </row>
    <row r="181" spans="1:17" x14ac:dyDescent="0.2">
      <c r="A181" s="30" t="s">
        <v>2769</v>
      </c>
      <c r="B181" s="169">
        <v>9003484100</v>
      </c>
      <c r="C181" s="232" t="s">
        <v>936</v>
      </c>
      <c r="D181" s="182">
        <v>117868.013865</v>
      </c>
      <c r="E181" s="182">
        <v>226940.83499999999</v>
      </c>
      <c r="F181" s="13">
        <f>[1]!Table323[[#This Row],[Single Family]]+[1]!Table323[[#This Row],[2-4 Units]]+[1]!Table323[[#This Row],[&gt;4 Units]]</f>
        <v>0</v>
      </c>
      <c r="G181" s="30">
        <v>0</v>
      </c>
      <c r="H181" s="30">
        <v>0</v>
      </c>
      <c r="I181" s="30">
        <v>0</v>
      </c>
      <c r="J181" s="231">
        <v>4776.4799999999996</v>
      </c>
      <c r="K181">
        <f t="shared" si="2"/>
        <v>13</v>
      </c>
      <c r="L181" s="30">
        <v>5</v>
      </c>
      <c r="M181" s="30">
        <v>3</v>
      </c>
      <c r="N181" s="30">
        <v>5</v>
      </c>
      <c r="O181" s="231">
        <v>8824.2999999999993</v>
      </c>
      <c r="P181" s="97">
        <f>VLOOKUP(Table323[[#This Row],[Census Tract]],'Population and Diversity Data'!$B$2:$K$823,10,FALSE)</f>
        <v>4</v>
      </c>
      <c r="Q181" s="97" t="str">
        <f>VLOOKUP(Table323[[#This Row],[Census Tract]],'ES Energy Burden'!$B$2:$E$914,4,FALSE)</f>
        <v>No</v>
      </c>
    </row>
    <row r="182" spans="1:17" x14ac:dyDescent="0.2">
      <c r="A182" s="30" t="s">
        <v>2769</v>
      </c>
      <c r="B182" s="169">
        <v>9003484200</v>
      </c>
      <c r="C182" s="232" t="s">
        <v>944</v>
      </c>
      <c r="D182" s="182">
        <v>55283.490759000008</v>
      </c>
      <c r="E182" s="182">
        <v>38043.410000000003</v>
      </c>
      <c r="F182" s="13">
        <f>[1]!Table323[[#This Row],[Single Family]]+[1]!Table323[[#This Row],[2-4 Units]]+[1]!Table323[[#This Row],[&gt;4 Units]]</f>
        <v>352</v>
      </c>
      <c r="G182" s="30">
        <v>52</v>
      </c>
      <c r="H182" s="30">
        <v>0</v>
      </c>
      <c r="I182" s="30">
        <v>300</v>
      </c>
      <c r="J182" s="231">
        <v>100359.38</v>
      </c>
      <c r="K182">
        <f t="shared" si="2"/>
        <v>219</v>
      </c>
      <c r="L182" s="30">
        <v>14</v>
      </c>
      <c r="M182" s="30">
        <v>2</v>
      </c>
      <c r="N182" s="30">
        <v>203</v>
      </c>
      <c r="O182" s="231">
        <v>110751.42</v>
      </c>
      <c r="P182" s="97">
        <f>VLOOKUP(Table323[[#This Row],[Census Tract]],'Population and Diversity Data'!$B$2:$K$823,10,FALSE)</f>
        <v>3</v>
      </c>
      <c r="Q182" s="97" t="str">
        <f>VLOOKUP(Table323[[#This Row],[Census Tract]],'ES Energy Burden'!$B$2:$E$914,4,FALSE)</f>
        <v>No</v>
      </c>
    </row>
    <row r="183" spans="1:17" x14ac:dyDescent="0.2">
      <c r="A183" s="30" t="s">
        <v>2769</v>
      </c>
      <c r="B183" s="169">
        <v>9003487100</v>
      </c>
      <c r="C183" s="232" t="s">
        <v>944</v>
      </c>
      <c r="D183" s="182">
        <v>125.92293000000001</v>
      </c>
      <c r="E183" s="182">
        <v>500</v>
      </c>
      <c r="F183" s="13">
        <f>[1]!Table323[[#This Row],[Single Family]]+[1]!Table323[[#This Row],[2-4 Units]]+[1]!Table323[[#This Row],[&gt;4 Units]]</f>
        <v>0</v>
      </c>
      <c r="G183" s="30">
        <v>0</v>
      </c>
      <c r="H183" s="30">
        <v>0</v>
      </c>
      <c r="I183" s="30">
        <v>0</v>
      </c>
      <c r="J183" s="231">
        <v>0</v>
      </c>
      <c r="K183">
        <f t="shared" si="2"/>
        <v>0</v>
      </c>
      <c r="L183" s="30">
        <v>0</v>
      </c>
      <c r="M183" s="30">
        <v>0</v>
      </c>
      <c r="N183" s="30">
        <v>0</v>
      </c>
      <c r="O183" s="231">
        <v>1000</v>
      </c>
      <c r="P183" s="97">
        <f>VLOOKUP(Table323[[#This Row],[Census Tract]],'Population and Diversity Data'!$B$2:$K$823,10,FALSE)</f>
        <v>3</v>
      </c>
      <c r="Q183" s="97" t="str">
        <f>VLOOKUP(Table323[[#This Row],[Census Tract]],'ES Energy Burden'!$B$2:$E$914,4,FALSE)</f>
        <v>No</v>
      </c>
    </row>
    <row r="184" spans="1:17" x14ac:dyDescent="0.2">
      <c r="A184" s="30" t="s">
        <v>2770</v>
      </c>
      <c r="B184" s="169">
        <v>9015902200</v>
      </c>
      <c r="C184" s="232" t="s">
        <v>944</v>
      </c>
      <c r="D184" s="182">
        <v>30168.211395000002</v>
      </c>
      <c r="E184" s="182">
        <v>27973.965</v>
      </c>
      <c r="F184" s="13">
        <f>[1]!Table323[[#This Row],[Single Family]]+[1]!Table323[[#This Row],[2-4 Units]]+[1]!Table323[[#This Row],[&gt;4 Units]]</f>
        <v>5</v>
      </c>
      <c r="G184" s="30">
        <v>5</v>
      </c>
      <c r="H184" s="30">
        <v>0</v>
      </c>
      <c r="I184" s="30">
        <v>0</v>
      </c>
      <c r="J184" s="231">
        <v>8882.1200000000008</v>
      </c>
      <c r="K184">
        <f t="shared" si="2"/>
        <v>1</v>
      </c>
      <c r="L184" s="30">
        <v>1</v>
      </c>
      <c r="M184" s="30">
        <v>0</v>
      </c>
      <c r="N184" s="30">
        <v>0</v>
      </c>
      <c r="O184" s="231">
        <v>356.22</v>
      </c>
      <c r="P184" s="97">
        <f>VLOOKUP(Table323[[#This Row],[Census Tract]],'Population and Diversity Data'!$B$2:$K$823,10,FALSE)</f>
        <v>2</v>
      </c>
      <c r="Q184" s="97" t="str">
        <f>VLOOKUP(Table323[[#This Row],[Census Tract]],'ES Energy Burden'!$B$2:$E$914,4,FALSE)</f>
        <v>No</v>
      </c>
    </row>
    <row r="185" spans="1:17" x14ac:dyDescent="0.2">
      <c r="A185" s="30" t="s">
        <v>2771</v>
      </c>
      <c r="B185" s="169">
        <v>9013535100</v>
      </c>
      <c r="C185" s="232" t="s">
        <v>944</v>
      </c>
      <c r="D185" s="182">
        <v>200520.93146399999</v>
      </c>
      <c r="E185" s="182">
        <v>265684.53999999998</v>
      </c>
      <c r="F185" s="13">
        <f>[1]!Table323[[#This Row],[Single Family]]+[1]!Table323[[#This Row],[2-4 Units]]+[1]!Table323[[#This Row],[&gt;4 Units]]</f>
        <v>102</v>
      </c>
      <c r="G185" s="30">
        <v>102</v>
      </c>
      <c r="H185" s="30">
        <v>0</v>
      </c>
      <c r="I185" s="30">
        <v>0</v>
      </c>
      <c r="J185" s="231">
        <v>167936.62</v>
      </c>
      <c r="K185">
        <f t="shared" si="2"/>
        <v>7</v>
      </c>
      <c r="L185" s="30">
        <v>7</v>
      </c>
      <c r="M185" s="30">
        <v>0</v>
      </c>
      <c r="N185" s="30">
        <v>0</v>
      </c>
      <c r="O185" s="231">
        <v>28645.03</v>
      </c>
      <c r="P185" s="97">
        <f>VLOOKUP(Table323[[#This Row],[Census Tract]],'Population and Diversity Data'!$B$2:$K$823,10,FALSE)</f>
        <v>4</v>
      </c>
      <c r="Q185" s="97" t="str">
        <f>VLOOKUP(Table323[[#This Row],[Census Tract]],'ES Energy Burden'!$B$2:$E$914,4,FALSE)</f>
        <v>No</v>
      </c>
    </row>
    <row r="186" spans="1:17" x14ac:dyDescent="0.2">
      <c r="A186" s="30" t="s">
        <v>2771</v>
      </c>
      <c r="B186" s="169">
        <v>9013535200</v>
      </c>
      <c r="C186" s="232" t="s">
        <v>944</v>
      </c>
      <c r="D186" s="182">
        <v>74165.317505999992</v>
      </c>
      <c r="E186" s="182">
        <v>57220.684999999998</v>
      </c>
      <c r="F186" s="13">
        <f>[1]!Table323[[#This Row],[Single Family]]+[1]!Table323[[#This Row],[2-4 Units]]+[1]!Table323[[#This Row],[&gt;4 Units]]</f>
        <v>1</v>
      </c>
      <c r="G186" s="30">
        <v>1</v>
      </c>
      <c r="H186" s="30">
        <v>0</v>
      </c>
      <c r="I186" s="30">
        <v>0</v>
      </c>
      <c r="J186" s="231">
        <v>12854.49</v>
      </c>
      <c r="K186">
        <f t="shared" si="2"/>
        <v>6</v>
      </c>
      <c r="L186" s="30">
        <v>6</v>
      </c>
      <c r="M186" s="30">
        <v>0</v>
      </c>
      <c r="N186" s="30">
        <v>0</v>
      </c>
      <c r="O186" s="231">
        <v>18772.14</v>
      </c>
      <c r="P186" s="97">
        <f>VLOOKUP(Table323[[#This Row],[Census Tract]],'Population and Diversity Data'!$B$2:$K$823,10,FALSE)</f>
        <v>5</v>
      </c>
      <c r="Q186" s="97" t="str">
        <f>VLOOKUP(Table323[[#This Row],[Census Tract]],'ES Energy Burden'!$B$2:$E$914,4,FALSE)</f>
        <v>No</v>
      </c>
    </row>
    <row r="187" spans="1:17" x14ac:dyDescent="0.2">
      <c r="A187" s="30" t="s">
        <v>2771</v>
      </c>
      <c r="B187" s="169">
        <v>9013538201</v>
      </c>
      <c r="C187" s="232" t="s">
        <v>944</v>
      </c>
      <c r="D187" s="182">
        <v>148.85577000000001</v>
      </c>
      <c r="E187" s="182">
        <v>0</v>
      </c>
      <c r="F187" s="13">
        <f>[1]!Table323[[#This Row],[Single Family]]+[1]!Table323[[#This Row],[2-4 Units]]+[1]!Table323[[#This Row],[&gt;4 Units]]</f>
        <v>0</v>
      </c>
      <c r="G187" s="30">
        <v>0</v>
      </c>
      <c r="H187" s="30">
        <v>0</v>
      </c>
      <c r="I187" s="30">
        <v>0</v>
      </c>
      <c r="J187" s="231">
        <v>0</v>
      </c>
      <c r="K187">
        <f t="shared" si="2"/>
        <v>0</v>
      </c>
      <c r="L187" s="30">
        <v>0</v>
      </c>
      <c r="M187" s="30">
        <v>0</v>
      </c>
      <c r="N187" s="30">
        <v>0</v>
      </c>
      <c r="O187" s="231">
        <v>0</v>
      </c>
      <c r="P187" s="97">
        <f>VLOOKUP(Table323[[#This Row],[Census Tract]],'Population and Diversity Data'!$B$2:$K$823,10,FALSE)</f>
        <v>3</v>
      </c>
      <c r="Q187" s="97" t="str">
        <f>VLOOKUP(Table323[[#This Row],[Census Tract]],'ES Energy Burden'!$B$2:$E$914,4,FALSE)</f>
        <v>No</v>
      </c>
    </row>
    <row r="188" spans="1:17" x14ac:dyDescent="0.2">
      <c r="A188" s="30" t="s">
        <v>2771</v>
      </c>
      <c r="B188" s="169">
        <v>9013538202</v>
      </c>
      <c r="C188" s="232" t="s">
        <v>944</v>
      </c>
      <c r="D188" s="182">
        <v>89.079689999999999</v>
      </c>
      <c r="E188" s="182">
        <v>0</v>
      </c>
      <c r="F188" s="13">
        <f>[1]!Table323[[#This Row],[Single Family]]+[1]!Table323[[#This Row],[2-4 Units]]+[1]!Table323[[#This Row],[&gt;4 Units]]</f>
        <v>0</v>
      </c>
      <c r="G188" s="30">
        <v>0</v>
      </c>
      <c r="H188" s="30">
        <v>0</v>
      </c>
      <c r="I188" s="30">
        <v>0</v>
      </c>
      <c r="J188" s="231">
        <v>0</v>
      </c>
      <c r="K188">
        <f t="shared" si="2"/>
        <v>0</v>
      </c>
      <c r="L188" s="30">
        <v>0</v>
      </c>
      <c r="M188" s="30">
        <v>0</v>
      </c>
      <c r="N188" s="30">
        <v>0</v>
      </c>
      <c r="O188" s="231">
        <v>0</v>
      </c>
      <c r="P188" s="97">
        <f>VLOOKUP(Table323[[#This Row],[Census Tract]],'Population and Diversity Data'!$B$2:$K$823,10,FALSE)</f>
        <v>1</v>
      </c>
      <c r="Q188" s="97" t="str">
        <f>VLOOKUP(Table323[[#This Row],[Census Tract]],'ES Energy Burden'!$B$2:$E$914,4,FALSE)</f>
        <v>No</v>
      </c>
    </row>
    <row r="189" spans="1:17" x14ac:dyDescent="0.2">
      <c r="A189" s="30" t="s">
        <v>2772</v>
      </c>
      <c r="B189" s="169">
        <v>9003480300</v>
      </c>
      <c r="C189" s="232" t="s">
        <v>944</v>
      </c>
      <c r="D189" s="182">
        <v>21248.164980000001</v>
      </c>
      <c r="E189" s="182">
        <v>25401.64</v>
      </c>
      <c r="F189" s="13">
        <f>[1]!Table323[[#This Row],[Single Family]]+[1]!Table323[[#This Row],[2-4 Units]]+[1]!Table323[[#This Row],[&gt;4 Units]]</f>
        <v>0</v>
      </c>
      <c r="G189" s="30">
        <v>0</v>
      </c>
      <c r="H189" s="30">
        <v>0</v>
      </c>
      <c r="I189" s="30">
        <v>0</v>
      </c>
      <c r="J189" s="231">
        <v>14176.88</v>
      </c>
      <c r="K189">
        <f t="shared" si="2"/>
        <v>1</v>
      </c>
      <c r="L189" s="30">
        <v>1</v>
      </c>
      <c r="M189" s="30">
        <v>0</v>
      </c>
      <c r="N189" s="30">
        <v>0</v>
      </c>
      <c r="O189" s="231">
        <v>268.76</v>
      </c>
      <c r="P189" s="97">
        <f>VLOOKUP(Table323[[#This Row],[Census Tract]],'Population and Diversity Data'!$B$2:$K$823,10,FALSE)</f>
        <v>2</v>
      </c>
      <c r="Q189" s="97" t="str">
        <f>VLOOKUP(Table323[[#This Row],[Census Tract]],'ES Energy Burden'!$B$2:$E$914,4,FALSE)</f>
        <v>No</v>
      </c>
    </row>
    <row r="190" spans="1:17" x14ac:dyDescent="0.2">
      <c r="A190" s="30" t="s">
        <v>2772</v>
      </c>
      <c r="B190" s="169">
        <v>9003480400</v>
      </c>
      <c r="C190" s="232" t="s">
        <v>944</v>
      </c>
      <c r="D190" s="182">
        <v>33116.427456000005</v>
      </c>
      <c r="E190" s="182">
        <v>30927.685000000001</v>
      </c>
      <c r="F190" s="13">
        <f>[1]!Table323[[#This Row],[Single Family]]+[1]!Table323[[#This Row],[2-4 Units]]+[1]!Table323[[#This Row],[&gt;4 Units]]</f>
        <v>0</v>
      </c>
      <c r="G190" s="30">
        <v>0</v>
      </c>
      <c r="H190" s="30">
        <v>0</v>
      </c>
      <c r="I190" s="30">
        <v>0</v>
      </c>
      <c r="J190" s="231">
        <v>7808.61</v>
      </c>
      <c r="K190">
        <f t="shared" si="2"/>
        <v>3</v>
      </c>
      <c r="L190" s="30">
        <v>3</v>
      </c>
      <c r="M190" s="30">
        <v>0</v>
      </c>
      <c r="N190" s="30">
        <v>0</v>
      </c>
      <c r="O190" s="231">
        <v>12133.13</v>
      </c>
      <c r="P190" s="97">
        <f>VLOOKUP(Table323[[#This Row],[Census Tract]],'Population and Diversity Data'!$B$2:$K$823,10,FALSE)</f>
        <v>3</v>
      </c>
      <c r="Q190" s="97" t="str">
        <f>VLOOKUP(Table323[[#This Row],[Census Tract]],'ES Energy Burden'!$B$2:$E$914,4,FALSE)</f>
        <v>No</v>
      </c>
    </row>
    <row r="191" spans="1:17" x14ac:dyDescent="0.2">
      <c r="A191" s="30" t="s">
        <v>2772</v>
      </c>
      <c r="B191" s="169">
        <v>9003480500</v>
      </c>
      <c r="C191" s="232" t="s">
        <v>944</v>
      </c>
      <c r="D191" s="182">
        <v>31011.767513999999</v>
      </c>
      <c r="E191" s="182">
        <v>25227.03</v>
      </c>
      <c r="F191" s="13">
        <f>[1]!Table323[[#This Row],[Single Family]]+[1]!Table323[[#This Row],[2-4 Units]]+[1]!Table323[[#This Row],[&gt;4 Units]]</f>
        <v>1</v>
      </c>
      <c r="G191" s="30">
        <v>1</v>
      </c>
      <c r="H191" s="30">
        <v>0</v>
      </c>
      <c r="I191" s="30">
        <v>0</v>
      </c>
      <c r="J191" s="231">
        <v>6896.87</v>
      </c>
      <c r="K191">
        <f t="shared" si="2"/>
        <v>4</v>
      </c>
      <c r="L191" s="30">
        <v>3</v>
      </c>
      <c r="M191" s="30">
        <v>1</v>
      </c>
      <c r="N191" s="30">
        <v>0</v>
      </c>
      <c r="O191" s="231">
        <v>3060.03</v>
      </c>
      <c r="P191" s="97">
        <f>VLOOKUP(Table323[[#This Row],[Census Tract]],'Population and Diversity Data'!$B$2:$K$823,10,FALSE)</f>
        <v>2</v>
      </c>
      <c r="Q191" s="97" t="str">
        <f>VLOOKUP(Table323[[#This Row],[Census Tract]],'ES Energy Burden'!$B$2:$E$914,4,FALSE)</f>
        <v>No</v>
      </c>
    </row>
    <row r="192" spans="1:17" x14ac:dyDescent="0.2">
      <c r="A192" s="30" t="s">
        <v>2772</v>
      </c>
      <c r="B192" s="169">
        <v>9003480600</v>
      </c>
      <c r="C192" s="232" t="s">
        <v>936</v>
      </c>
      <c r="D192" s="182">
        <v>29461.850460000001</v>
      </c>
      <c r="E192" s="182">
        <v>7427.78</v>
      </c>
      <c r="F192" s="13">
        <f>[1]!Table323[[#This Row],[Single Family]]+[1]!Table323[[#This Row],[2-4 Units]]+[1]!Table323[[#This Row],[&gt;4 Units]]</f>
        <v>0</v>
      </c>
      <c r="G192" s="30">
        <v>0</v>
      </c>
      <c r="H192" s="30">
        <v>0</v>
      </c>
      <c r="I192" s="30">
        <v>0</v>
      </c>
      <c r="J192" s="231">
        <v>4668</v>
      </c>
      <c r="K192">
        <f t="shared" si="2"/>
        <v>7</v>
      </c>
      <c r="L192" s="30">
        <v>3</v>
      </c>
      <c r="M192" s="30">
        <v>4</v>
      </c>
      <c r="N192" s="30">
        <v>0</v>
      </c>
      <c r="O192" s="231">
        <v>2334.56</v>
      </c>
      <c r="P192" s="97">
        <f>VLOOKUP(Table323[[#This Row],[Census Tract]],'Population and Diversity Data'!$B$2:$K$823,10,FALSE)</f>
        <v>5</v>
      </c>
      <c r="Q192" s="97" t="str">
        <f>VLOOKUP(Table323[[#This Row],[Census Tract]],'ES Energy Burden'!$B$2:$E$914,4,FALSE)</f>
        <v>No</v>
      </c>
    </row>
    <row r="193" spans="1:17" x14ac:dyDescent="0.2">
      <c r="A193" s="30" t="s">
        <v>2772</v>
      </c>
      <c r="B193" s="169">
        <v>9003480700</v>
      </c>
      <c r="C193" s="232" t="s">
        <v>944</v>
      </c>
      <c r="D193" s="182">
        <v>17377.392354</v>
      </c>
      <c r="E193" s="182">
        <v>13716.63</v>
      </c>
      <c r="F193" s="13">
        <f>[1]!Table323[[#This Row],[Single Family]]+[1]!Table323[[#This Row],[2-4 Units]]+[1]!Table323[[#This Row],[&gt;4 Units]]</f>
        <v>0</v>
      </c>
      <c r="G193" s="30">
        <v>0</v>
      </c>
      <c r="H193" s="30">
        <v>0</v>
      </c>
      <c r="I193" s="30">
        <v>0</v>
      </c>
      <c r="J193" s="231">
        <v>6010.84</v>
      </c>
      <c r="K193">
        <f t="shared" si="2"/>
        <v>3</v>
      </c>
      <c r="L193" s="30">
        <v>3</v>
      </c>
      <c r="M193" s="30">
        <v>0</v>
      </c>
      <c r="N193" s="30">
        <v>0</v>
      </c>
      <c r="O193" s="231">
        <v>1177.98</v>
      </c>
      <c r="P193" s="97">
        <f>VLOOKUP(Table323[[#This Row],[Census Tract]],'Population and Diversity Data'!$B$2:$K$823,10,FALSE)</f>
        <v>3</v>
      </c>
      <c r="Q193" s="97" t="str">
        <f>VLOOKUP(Table323[[#This Row],[Census Tract]],'ES Energy Burden'!$B$2:$E$914,4,FALSE)</f>
        <v>No</v>
      </c>
    </row>
    <row r="194" spans="1:17" x14ac:dyDescent="0.2">
      <c r="A194" s="30" t="s">
        <v>2772</v>
      </c>
      <c r="B194" s="169">
        <v>9003480800</v>
      </c>
      <c r="C194" s="232" t="s">
        <v>944</v>
      </c>
      <c r="D194" s="182">
        <v>46966.932075000004</v>
      </c>
      <c r="E194" s="182">
        <v>47701.66</v>
      </c>
      <c r="F194" s="13">
        <f>[1]!Table323[[#This Row],[Single Family]]+[1]!Table323[[#This Row],[2-4 Units]]+[1]!Table323[[#This Row],[&gt;4 Units]]</f>
        <v>0</v>
      </c>
      <c r="G194" s="30">
        <v>0</v>
      </c>
      <c r="H194" s="30">
        <v>0</v>
      </c>
      <c r="I194" s="30">
        <v>0</v>
      </c>
      <c r="J194" s="231">
        <v>15995.81</v>
      </c>
      <c r="K194">
        <f t="shared" si="2"/>
        <v>9</v>
      </c>
      <c r="L194" s="30">
        <v>1</v>
      </c>
      <c r="M194" s="30">
        <v>0</v>
      </c>
      <c r="N194" s="30">
        <v>8</v>
      </c>
      <c r="O194" s="231">
        <v>12066.84</v>
      </c>
      <c r="P194" s="97">
        <f>VLOOKUP(Table323[[#This Row],[Census Tract]],'Population and Diversity Data'!$B$2:$K$823,10,FALSE)</f>
        <v>3</v>
      </c>
      <c r="Q194" s="97" t="str">
        <f>VLOOKUP(Table323[[#This Row],[Census Tract]],'ES Energy Burden'!$B$2:$E$914,4,FALSE)</f>
        <v>No</v>
      </c>
    </row>
    <row r="195" spans="1:17" x14ac:dyDescent="0.2">
      <c r="A195" s="30" t="s">
        <v>2772</v>
      </c>
      <c r="B195" s="169">
        <v>9003480900</v>
      </c>
      <c r="C195" s="232" t="s">
        <v>944</v>
      </c>
      <c r="D195" s="182">
        <v>20318.598152999999</v>
      </c>
      <c r="E195" s="182">
        <v>56771.1</v>
      </c>
      <c r="F195" s="13">
        <f>[1]!Table323[[#This Row],[Single Family]]+[1]!Table323[[#This Row],[2-4 Units]]+[1]!Table323[[#This Row],[&gt;4 Units]]</f>
        <v>0</v>
      </c>
      <c r="G195" s="30">
        <v>0</v>
      </c>
      <c r="H195" s="30">
        <v>0</v>
      </c>
      <c r="I195" s="30">
        <v>0</v>
      </c>
      <c r="J195" s="231">
        <v>7522.88</v>
      </c>
      <c r="K195">
        <f t="shared" si="2"/>
        <v>3</v>
      </c>
      <c r="L195" s="30">
        <v>3</v>
      </c>
      <c r="M195" s="30">
        <v>0</v>
      </c>
      <c r="N195" s="30">
        <v>0</v>
      </c>
      <c r="O195" s="231">
        <v>38511.68</v>
      </c>
      <c r="P195" s="97">
        <f>VLOOKUP(Table323[[#This Row],[Census Tract]],'Population and Diversity Data'!$B$2:$K$823,10,FALSE)</f>
        <v>2</v>
      </c>
      <c r="Q195" s="97" t="str">
        <f>VLOOKUP(Table323[[#This Row],[Census Tract]],'ES Energy Burden'!$B$2:$E$914,4,FALSE)</f>
        <v>No</v>
      </c>
    </row>
    <row r="196" spans="1:17" x14ac:dyDescent="0.2">
      <c r="A196" s="30" t="s">
        <v>2772</v>
      </c>
      <c r="B196" s="169">
        <v>9003481000</v>
      </c>
      <c r="C196" s="232" t="s">
        <v>944</v>
      </c>
      <c r="D196" s="182">
        <v>38592.376199999999</v>
      </c>
      <c r="E196" s="182">
        <v>23707.200000000001</v>
      </c>
      <c r="F196" s="13">
        <f>[1]!Table323[[#This Row],[Single Family]]+[1]!Table323[[#This Row],[2-4 Units]]+[1]!Table323[[#This Row],[&gt;4 Units]]</f>
        <v>272</v>
      </c>
      <c r="G196" s="30">
        <v>269</v>
      </c>
      <c r="H196" s="30">
        <v>3</v>
      </c>
      <c r="I196" s="30">
        <v>0</v>
      </c>
      <c r="J196" s="231">
        <v>328944.78000000003</v>
      </c>
      <c r="K196">
        <f t="shared" si="2"/>
        <v>33</v>
      </c>
      <c r="L196" s="30">
        <v>31</v>
      </c>
      <c r="M196" s="30">
        <v>2</v>
      </c>
      <c r="N196" s="30">
        <v>0</v>
      </c>
      <c r="O196" s="231">
        <v>86678.8</v>
      </c>
      <c r="P196" s="97">
        <f>VLOOKUP(Table323[[#This Row],[Census Tract]],'Population and Diversity Data'!$B$2:$K$823,10,FALSE)</f>
        <v>1</v>
      </c>
      <c r="Q196" s="97" t="str">
        <f>VLOOKUP(Table323[[#This Row],[Census Tract]],'ES Energy Burden'!$B$2:$E$914,4,FALSE)</f>
        <v>No</v>
      </c>
    </row>
    <row r="197" spans="1:17" x14ac:dyDescent="0.2">
      <c r="A197" s="30" t="s">
        <v>2772</v>
      </c>
      <c r="B197" s="169">
        <v>9003481100</v>
      </c>
      <c r="C197" s="232" t="s">
        <v>944</v>
      </c>
      <c r="D197" s="182">
        <v>38324.079360000003</v>
      </c>
      <c r="E197" s="182">
        <v>36395.019999999997</v>
      </c>
      <c r="F197" s="13">
        <f>[1]!Table323[[#This Row],[Single Family]]+[1]!Table323[[#This Row],[2-4 Units]]+[1]!Table323[[#This Row],[&gt;4 Units]]</f>
        <v>1</v>
      </c>
      <c r="G197" s="30">
        <v>1</v>
      </c>
      <c r="H197" s="30">
        <v>0</v>
      </c>
      <c r="I197" s="30">
        <v>0</v>
      </c>
      <c r="J197" s="231">
        <v>16607.63</v>
      </c>
      <c r="K197">
        <f t="shared" si="2"/>
        <v>2</v>
      </c>
      <c r="L197" s="30">
        <v>2</v>
      </c>
      <c r="M197" s="30">
        <v>0</v>
      </c>
      <c r="N197" s="30">
        <v>0</v>
      </c>
      <c r="O197" s="231">
        <v>1378.62</v>
      </c>
      <c r="P197" s="97">
        <f>VLOOKUP(Table323[[#This Row],[Census Tract]],'Population and Diversity Data'!$B$2:$K$823,10,FALSE)</f>
        <v>2</v>
      </c>
      <c r="Q197" s="97" t="str">
        <f>VLOOKUP(Table323[[#This Row],[Census Tract]],'ES Energy Burden'!$B$2:$E$914,4,FALSE)</f>
        <v>No</v>
      </c>
    </row>
    <row r="198" spans="1:17" x14ac:dyDescent="0.2">
      <c r="A198" s="30" t="s">
        <v>2772</v>
      </c>
      <c r="B198" s="169">
        <v>9003481200</v>
      </c>
      <c r="C198" s="232" t="s">
        <v>944</v>
      </c>
      <c r="D198" s="182">
        <v>36800.439921000005</v>
      </c>
      <c r="E198" s="182">
        <v>31198.084999999999</v>
      </c>
      <c r="F198" s="13">
        <f>[1]!Table323[[#This Row],[Single Family]]+[1]!Table323[[#This Row],[2-4 Units]]+[1]!Table323[[#This Row],[&gt;4 Units]]</f>
        <v>0</v>
      </c>
      <c r="G198" s="30">
        <v>0</v>
      </c>
      <c r="H198" s="30">
        <v>0</v>
      </c>
      <c r="I198" s="30">
        <v>0</v>
      </c>
      <c r="J198" s="231">
        <v>7205.57</v>
      </c>
      <c r="K198">
        <f t="shared" ref="K198:K261" si="3">L198+M198+N198</f>
        <v>5</v>
      </c>
      <c r="L198" s="30">
        <v>5</v>
      </c>
      <c r="M198" s="30">
        <v>0</v>
      </c>
      <c r="N198" s="30">
        <v>0</v>
      </c>
      <c r="O198" s="231">
        <v>2768.42</v>
      </c>
      <c r="P198" s="97">
        <f>VLOOKUP(Table323[[#This Row],[Census Tract]],'Population and Diversity Data'!$B$2:$K$823,10,FALSE)</f>
        <v>3</v>
      </c>
      <c r="Q198" s="97" t="str">
        <f>VLOOKUP(Table323[[#This Row],[Census Tract]],'ES Energy Burden'!$B$2:$E$914,4,FALSE)</f>
        <v>No</v>
      </c>
    </row>
    <row r="199" spans="1:17" x14ac:dyDescent="0.2">
      <c r="A199" s="30" t="s">
        <v>2772</v>
      </c>
      <c r="B199" s="169">
        <v>9003481300</v>
      </c>
      <c r="C199" s="232" t="s">
        <v>944</v>
      </c>
      <c r="D199" s="182">
        <v>29139.315618000001</v>
      </c>
      <c r="E199" s="182">
        <v>35687.379999999997</v>
      </c>
      <c r="F199" s="13">
        <f>[1]!Table323[[#This Row],[Single Family]]+[1]!Table323[[#This Row],[2-4 Units]]+[1]!Table323[[#This Row],[&gt;4 Units]]</f>
        <v>0</v>
      </c>
      <c r="G199" s="30">
        <v>0</v>
      </c>
      <c r="H199" s="30">
        <v>0</v>
      </c>
      <c r="I199" s="30">
        <v>0</v>
      </c>
      <c r="J199" s="231">
        <v>6402.28</v>
      </c>
      <c r="K199">
        <f t="shared" si="3"/>
        <v>13</v>
      </c>
      <c r="L199" s="30">
        <v>3</v>
      </c>
      <c r="M199" s="30">
        <v>0</v>
      </c>
      <c r="N199" s="30">
        <v>10</v>
      </c>
      <c r="O199" s="231">
        <v>16519.79</v>
      </c>
      <c r="P199" s="97">
        <f>VLOOKUP(Table323[[#This Row],[Census Tract]],'Population and Diversity Data'!$B$2:$K$823,10,FALSE)</f>
        <v>1</v>
      </c>
      <c r="Q199" s="97" t="str">
        <f>VLOOKUP(Table323[[#This Row],[Census Tract]],'ES Energy Burden'!$B$2:$E$914,4,FALSE)</f>
        <v>No</v>
      </c>
    </row>
    <row r="200" spans="1:17" x14ac:dyDescent="0.2">
      <c r="A200" s="30" t="s">
        <v>2772</v>
      </c>
      <c r="B200" s="169">
        <v>9003484200</v>
      </c>
      <c r="C200" s="232" t="s">
        <v>944</v>
      </c>
      <c r="D200" s="182">
        <v>468.67905000000002</v>
      </c>
      <c r="E200" s="182">
        <v>0</v>
      </c>
      <c r="F200" s="13">
        <f>[1]!Table323[[#This Row],[Single Family]]+[1]!Table323[[#This Row],[2-4 Units]]+[1]!Table323[[#This Row],[&gt;4 Units]]</f>
        <v>0</v>
      </c>
      <c r="G200" s="30">
        <v>0</v>
      </c>
      <c r="H200" s="30">
        <v>0</v>
      </c>
      <c r="I200" s="30">
        <v>0</v>
      </c>
      <c r="J200" s="231">
        <v>0</v>
      </c>
      <c r="K200">
        <f t="shared" si="3"/>
        <v>0</v>
      </c>
      <c r="L200" s="30">
        <v>0</v>
      </c>
      <c r="M200" s="30">
        <v>0</v>
      </c>
      <c r="N200" s="30">
        <v>0</v>
      </c>
      <c r="O200" s="231">
        <v>0</v>
      </c>
      <c r="P200" s="97">
        <f>VLOOKUP(Table323[[#This Row],[Census Tract]],'Population and Diversity Data'!$B$2:$K$823,10,FALSE)</f>
        <v>3</v>
      </c>
      <c r="Q200" s="97" t="str">
        <f>VLOOKUP(Table323[[#This Row],[Census Tract]],'ES Energy Burden'!$B$2:$E$914,4,FALSE)</f>
        <v>No</v>
      </c>
    </row>
    <row r="201" spans="1:17" x14ac:dyDescent="0.2">
      <c r="A201" s="30" t="s">
        <v>2772</v>
      </c>
      <c r="B201" s="169">
        <v>9003524300</v>
      </c>
      <c r="C201" s="232" t="s">
        <v>944</v>
      </c>
      <c r="D201" s="182">
        <v>229546.22382300001</v>
      </c>
      <c r="E201" s="182">
        <v>444913</v>
      </c>
      <c r="F201" s="13">
        <f>[1]!Table323[[#This Row],[Single Family]]+[1]!Table323[[#This Row],[2-4 Units]]+[1]!Table323[[#This Row],[&gt;4 Units]]</f>
        <v>0</v>
      </c>
      <c r="G201" s="30">
        <v>0</v>
      </c>
      <c r="H201" s="30">
        <v>0</v>
      </c>
      <c r="I201" s="30">
        <v>0</v>
      </c>
      <c r="J201" s="231">
        <v>9778.91</v>
      </c>
      <c r="K201">
        <f t="shared" si="3"/>
        <v>24</v>
      </c>
      <c r="L201" s="30">
        <v>3</v>
      </c>
      <c r="M201" s="30">
        <v>1</v>
      </c>
      <c r="N201" s="30">
        <v>20</v>
      </c>
      <c r="O201" s="231">
        <v>1085.68</v>
      </c>
      <c r="P201" s="97">
        <f>VLOOKUP(Table323[[#This Row],[Census Tract]],'Population and Diversity Data'!$B$2:$K$823,10,FALSE)</f>
        <v>4</v>
      </c>
      <c r="Q201" s="97" t="str">
        <f>VLOOKUP(Table323[[#This Row],[Census Tract]],'ES Energy Burden'!$B$2:$E$914,4,FALSE)</f>
        <v>No</v>
      </c>
    </row>
    <row r="202" spans="1:17" x14ac:dyDescent="0.2">
      <c r="A202" s="30" t="s">
        <v>2773</v>
      </c>
      <c r="B202" s="169">
        <v>9007630100</v>
      </c>
      <c r="C202" s="232" t="s">
        <v>944</v>
      </c>
      <c r="D202" s="182">
        <v>145559.57948700001</v>
      </c>
      <c r="E202" s="182">
        <v>195969.81</v>
      </c>
      <c r="F202" s="13">
        <f>[1]!Table323[[#This Row],[Single Family]]+[1]!Table323[[#This Row],[2-4 Units]]+[1]!Table323[[#This Row],[&gt;4 Units]]</f>
        <v>39</v>
      </c>
      <c r="G202" s="30">
        <v>39</v>
      </c>
      <c r="H202" s="30">
        <v>0</v>
      </c>
      <c r="I202" s="30">
        <v>0</v>
      </c>
      <c r="J202" s="231">
        <v>98133.02</v>
      </c>
      <c r="K202">
        <f t="shared" si="3"/>
        <v>4</v>
      </c>
      <c r="L202" s="30">
        <v>3</v>
      </c>
      <c r="M202" s="30">
        <v>1</v>
      </c>
      <c r="N202" s="30">
        <v>0</v>
      </c>
      <c r="O202" s="231">
        <v>7083.78</v>
      </c>
      <c r="P202" s="97">
        <f>VLOOKUP(Table323[[#This Row],[Census Tract]],'Population and Diversity Data'!$B$2:$K$823,10,FALSE)</f>
        <v>2</v>
      </c>
      <c r="Q202" s="97" t="str">
        <f>VLOOKUP(Table323[[#This Row],[Census Tract]],'ES Energy Burden'!$B$2:$E$914,4,FALSE)</f>
        <v>No</v>
      </c>
    </row>
    <row r="203" spans="1:17" x14ac:dyDescent="0.2">
      <c r="A203" s="30" t="s">
        <v>2773</v>
      </c>
      <c r="B203" s="169">
        <v>9007670100</v>
      </c>
      <c r="C203" s="232" t="s">
        <v>944</v>
      </c>
      <c r="D203" s="182">
        <v>165.36954</v>
      </c>
      <c r="E203" s="182">
        <v>0</v>
      </c>
      <c r="F203" s="13">
        <f>[1]!Table323[[#This Row],[Single Family]]+[1]!Table323[[#This Row],[2-4 Units]]+[1]!Table323[[#This Row],[&gt;4 Units]]</f>
        <v>0</v>
      </c>
      <c r="G203" s="30">
        <v>0</v>
      </c>
      <c r="H203" s="30">
        <v>0</v>
      </c>
      <c r="I203" s="30">
        <v>0</v>
      </c>
      <c r="J203" s="231">
        <v>0</v>
      </c>
      <c r="K203">
        <f t="shared" si="3"/>
        <v>0</v>
      </c>
      <c r="L203" s="30">
        <v>0</v>
      </c>
      <c r="M203" s="30">
        <v>0</v>
      </c>
      <c r="N203" s="30">
        <v>0</v>
      </c>
      <c r="O203" s="231">
        <v>0</v>
      </c>
      <c r="P203" s="97">
        <f>VLOOKUP(Table323[[#This Row],[Census Tract]],'Population and Diversity Data'!$B$2:$K$823,10,FALSE)</f>
        <v>2</v>
      </c>
      <c r="Q203" s="97" t="str">
        <f>VLOOKUP(Table323[[#This Row],[Census Tract]],'ES Energy Burden'!$B$2:$E$914,4,FALSE)</f>
        <v>No</v>
      </c>
    </row>
    <row r="204" spans="1:17" x14ac:dyDescent="0.2">
      <c r="A204" s="30" t="s">
        <v>2774</v>
      </c>
      <c r="B204" s="169">
        <v>9003406002</v>
      </c>
      <c r="C204" s="232" t="s">
        <v>944</v>
      </c>
      <c r="D204" s="182">
        <v>393.05090999999999</v>
      </c>
      <c r="E204" s="182">
        <v>21630.89</v>
      </c>
      <c r="F204" s="13">
        <f>[1]!Table323[[#This Row],[Single Family]]+[1]!Table323[[#This Row],[2-4 Units]]+[1]!Table323[[#This Row],[&gt;4 Units]]</f>
        <v>0</v>
      </c>
      <c r="G204" s="30">
        <v>0</v>
      </c>
      <c r="H204" s="30">
        <v>0</v>
      </c>
      <c r="I204" s="30">
        <v>0</v>
      </c>
      <c r="J204" s="231">
        <v>0</v>
      </c>
      <c r="K204">
        <f t="shared" si="3"/>
        <v>0</v>
      </c>
      <c r="L204" s="30">
        <v>0</v>
      </c>
      <c r="M204" s="30">
        <v>0</v>
      </c>
      <c r="N204" s="30">
        <v>0</v>
      </c>
      <c r="O204" s="231">
        <v>0</v>
      </c>
      <c r="P204" s="97">
        <f>VLOOKUP(Table323[[#This Row],[Census Tract]],'Population and Diversity Data'!$B$2:$K$823,10,FALSE)</f>
        <v>2</v>
      </c>
      <c r="Q204" s="97" t="str">
        <f>VLOOKUP(Table323[[#This Row],[Census Tract]],'ES Energy Burden'!$B$2:$E$914,4,FALSE)</f>
        <v>No</v>
      </c>
    </row>
    <row r="205" spans="1:17" x14ac:dyDescent="0.2">
      <c r="A205" s="30" t="s">
        <v>2774</v>
      </c>
      <c r="B205" s="169">
        <v>9003410102</v>
      </c>
      <c r="C205" s="232" t="s">
        <v>944</v>
      </c>
      <c r="D205" s="182">
        <v>35.911050000000003</v>
      </c>
      <c r="E205" s="182">
        <v>0</v>
      </c>
      <c r="F205" s="13">
        <f>[1]!Table323[[#This Row],[Single Family]]+[1]!Table323[[#This Row],[2-4 Units]]+[1]!Table323[[#This Row],[&gt;4 Units]]</f>
        <v>0</v>
      </c>
      <c r="G205" s="30">
        <v>0</v>
      </c>
      <c r="H205" s="30">
        <v>0</v>
      </c>
      <c r="I205" s="30">
        <v>0</v>
      </c>
      <c r="J205" s="231">
        <v>0</v>
      </c>
      <c r="K205">
        <f t="shared" si="3"/>
        <v>0</v>
      </c>
      <c r="L205" s="30">
        <v>0</v>
      </c>
      <c r="M205" s="30">
        <v>0</v>
      </c>
      <c r="N205" s="30">
        <v>0</v>
      </c>
      <c r="O205" s="231">
        <v>0</v>
      </c>
      <c r="P205" s="97">
        <f>VLOOKUP(Table323[[#This Row],[Census Tract]],'Population and Diversity Data'!$B$2:$K$823,10,FALSE)</f>
        <v>2</v>
      </c>
      <c r="Q205" s="97" t="str">
        <f>VLOOKUP(Table323[[#This Row],[Census Tract]],'ES Energy Burden'!$B$2:$E$914,4,FALSE)</f>
        <v>No</v>
      </c>
    </row>
    <row r="206" spans="1:17" x14ac:dyDescent="0.2">
      <c r="A206" s="30" t="s">
        <v>2774</v>
      </c>
      <c r="B206" s="169">
        <v>9003420600</v>
      </c>
      <c r="C206" s="232" t="s">
        <v>944</v>
      </c>
      <c r="D206" s="182">
        <v>138176.202402</v>
      </c>
      <c r="E206" s="182">
        <v>207955.245</v>
      </c>
      <c r="F206" s="13">
        <f>[1]!Table323[[#This Row],[Single Family]]+[1]!Table323[[#This Row],[2-4 Units]]+[1]!Table323[[#This Row],[&gt;4 Units]]</f>
        <v>0</v>
      </c>
      <c r="G206" s="30">
        <v>0</v>
      </c>
      <c r="H206" s="30">
        <v>0</v>
      </c>
      <c r="I206" s="30">
        <v>0</v>
      </c>
      <c r="J206" s="231">
        <v>0</v>
      </c>
      <c r="K206">
        <f t="shared" si="3"/>
        <v>1</v>
      </c>
      <c r="L206" s="30">
        <v>1</v>
      </c>
      <c r="M206" s="30">
        <v>0</v>
      </c>
      <c r="N206" s="30">
        <v>0</v>
      </c>
      <c r="O206" s="231">
        <v>178.14</v>
      </c>
      <c r="P206" s="97">
        <f>VLOOKUP(Table323[[#This Row],[Census Tract]],'Population and Diversity Data'!$B$2:$K$823,10,FALSE)</f>
        <v>3</v>
      </c>
      <c r="Q206" s="97" t="str">
        <f>VLOOKUP(Table323[[#This Row],[Census Tract]],'ES Energy Burden'!$B$2:$E$914,4,FALSE)</f>
        <v>No</v>
      </c>
    </row>
    <row r="207" spans="1:17" x14ac:dyDescent="0.2">
      <c r="A207" s="30" t="s">
        <v>2774</v>
      </c>
      <c r="B207" s="169">
        <v>9003460100</v>
      </c>
      <c r="C207" s="232" t="s">
        <v>944</v>
      </c>
      <c r="D207" s="182">
        <v>35116.892705999999</v>
      </c>
      <c r="E207" s="182">
        <v>77123.25</v>
      </c>
      <c r="F207" s="13">
        <f>[1]!Table323[[#This Row],[Single Family]]+[1]!Table323[[#This Row],[2-4 Units]]+[1]!Table323[[#This Row],[&gt;4 Units]]</f>
        <v>0</v>
      </c>
      <c r="G207" s="30">
        <v>0</v>
      </c>
      <c r="H207" s="30">
        <v>0</v>
      </c>
      <c r="I207" s="30">
        <v>0</v>
      </c>
      <c r="J207" s="231">
        <v>19475.97</v>
      </c>
      <c r="K207">
        <f t="shared" si="3"/>
        <v>0</v>
      </c>
      <c r="L207" s="30">
        <v>0</v>
      </c>
      <c r="M207" s="30">
        <v>0</v>
      </c>
      <c r="N207" s="30">
        <v>0</v>
      </c>
      <c r="O207" s="231">
        <v>0</v>
      </c>
      <c r="P207" s="97">
        <f>VLOOKUP(Table323[[#This Row],[Census Tract]],'Population and Diversity Data'!$B$2:$K$823,10,FALSE)</f>
        <v>3</v>
      </c>
      <c r="Q207" s="97" t="str">
        <f>VLOOKUP(Table323[[#This Row],[Census Tract]],'ES Energy Burden'!$B$2:$E$914,4,FALSE)</f>
        <v>No</v>
      </c>
    </row>
    <row r="208" spans="1:17" x14ac:dyDescent="0.2">
      <c r="A208" s="30" t="s">
        <v>2774</v>
      </c>
      <c r="B208" s="169">
        <v>9003460202</v>
      </c>
      <c r="C208" s="232" t="s">
        <v>944</v>
      </c>
      <c r="D208" s="182">
        <v>54784.272102000003</v>
      </c>
      <c r="E208" s="182">
        <v>34054.135000000002</v>
      </c>
      <c r="F208" s="13">
        <f>[1]!Table323[[#This Row],[Single Family]]+[1]!Table323[[#This Row],[2-4 Units]]+[1]!Table323[[#This Row],[&gt;4 Units]]</f>
        <v>0</v>
      </c>
      <c r="G208" s="30">
        <v>0</v>
      </c>
      <c r="H208" s="30">
        <v>0</v>
      </c>
      <c r="I208" s="30">
        <v>0</v>
      </c>
      <c r="J208" s="231">
        <v>19897.560000000001</v>
      </c>
      <c r="K208">
        <f t="shared" si="3"/>
        <v>1</v>
      </c>
      <c r="L208" s="30">
        <v>1</v>
      </c>
      <c r="M208" s="30">
        <v>0</v>
      </c>
      <c r="N208" s="30">
        <v>0</v>
      </c>
      <c r="O208" s="231">
        <v>243.28</v>
      </c>
      <c r="P208" s="97">
        <f>VLOOKUP(Table323[[#This Row],[Census Tract]],'Population and Diversity Data'!$B$2:$K$823,10,FALSE)</f>
        <v>4</v>
      </c>
      <c r="Q208" s="97" t="str">
        <f>VLOOKUP(Table323[[#This Row],[Census Tract]],'ES Energy Burden'!$B$2:$E$914,4,FALSE)</f>
        <v>No</v>
      </c>
    </row>
    <row r="209" spans="1:17" x14ac:dyDescent="0.2">
      <c r="A209" s="30" t="s">
        <v>2774</v>
      </c>
      <c r="B209" s="169">
        <v>9003460203</v>
      </c>
      <c r="C209" s="232" t="s">
        <v>944</v>
      </c>
      <c r="D209" s="182">
        <v>58971.537239999998</v>
      </c>
      <c r="E209" s="182">
        <v>25225.73</v>
      </c>
      <c r="F209" s="13">
        <f>[1]!Table323[[#This Row],[Single Family]]+[1]!Table323[[#This Row],[2-4 Units]]+[1]!Table323[[#This Row],[&gt;4 Units]]</f>
        <v>133</v>
      </c>
      <c r="G209" s="30">
        <v>133</v>
      </c>
      <c r="H209" s="30">
        <v>0</v>
      </c>
      <c r="I209" s="30">
        <v>0</v>
      </c>
      <c r="J209" s="231">
        <v>153736.79999999999</v>
      </c>
      <c r="K209">
        <f t="shared" si="3"/>
        <v>6</v>
      </c>
      <c r="L209" s="30">
        <v>6</v>
      </c>
      <c r="M209" s="30">
        <v>0</v>
      </c>
      <c r="N209" s="30">
        <v>0</v>
      </c>
      <c r="O209" s="231">
        <v>65762.45</v>
      </c>
      <c r="P209" s="97">
        <f>VLOOKUP(Table323[[#This Row],[Census Tract]],'Population and Diversity Data'!$B$2:$K$823,10,FALSE)</f>
        <v>5</v>
      </c>
      <c r="Q209" s="97" t="str">
        <f>VLOOKUP(Table323[[#This Row],[Census Tract]],'ES Energy Burden'!$B$2:$E$914,4,FALSE)</f>
        <v>No</v>
      </c>
    </row>
    <row r="210" spans="1:17" x14ac:dyDescent="0.2">
      <c r="A210" s="30" t="s">
        <v>2774</v>
      </c>
      <c r="B210" s="169">
        <v>9003460204</v>
      </c>
      <c r="C210" s="232" t="s">
        <v>944</v>
      </c>
      <c r="D210" s="182">
        <v>63185.050047000004</v>
      </c>
      <c r="E210" s="182">
        <v>66048.755000000005</v>
      </c>
      <c r="F210" s="13">
        <f>[1]!Table323[[#This Row],[Single Family]]+[1]!Table323[[#This Row],[2-4 Units]]+[1]!Table323[[#This Row],[&gt;4 Units]]</f>
        <v>0</v>
      </c>
      <c r="G210" s="30">
        <v>0</v>
      </c>
      <c r="H210" s="30">
        <v>0</v>
      </c>
      <c r="I210" s="30">
        <v>0</v>
      </c>
      <c r="J210" s="231">
        <v>5722.16</v>
      </c>
      <c r="K210">
        <f t="shared" si="3"/>
        <v>3</v>
      </c>
      <c r="L210" s="30">
        <v>2</v>
      </c>
      <c r="M210" s="30">
        <v>1</v>
      </c>
      <c r="N210" s="30">
        <v>0</v>
      </c>
      <c r="O210" s="231">
        <v>38175.58</v>
      </c>
      <c r="P210" s="97">
        <f>VLOOKUP(Table323[[#This Row],[Census Tract]],'Population and Diversity Data'!$B$2:$K$823,10,FALSE)</f>
        <v>4</v>
      </c>
      <c r="Q210" s="97" t="str">
        <f>VLOOKUP(Table323[[#This Row],[Census Tract]],'ES Energy Burden'!$B$2:$E$914,4,FALSE)</f>
        <v>No</v>
      </c>
    </row>
    <row r="211" spans="1:17" x14ac:dyDescent="0.2">
      <c r="A211" s="30" t="s">
        <v>2774</v>
      </c>
      <c r="B211" s="169">
        <v>9003460301</v>
      </c>
      <c r="C211" s="232" t="s">
        <v>944</v>
      </c>
      <c r="D211" s="182">
        <v>51069.916127999997</v>
      </c>
      <c r="E211" s="182">
        <v>114046.76</v>
      </c>
      <c r="F211" s="13">
        <f>[1]!Table323[[#This Row],[Single Family]]+[1]!Table323[[#This Row],[2-4 Units]]+[1]!Table323[[#This Row],[&gt;4 Units]]</f>
        <v>39</v>
      </c>
      <c r="G211" s="30">
        <v>39</v>
      </c>
      <c r="H211" s="30">
        <v>0</v>
      </c>
      <c r="I211" s="30">
        <v>0</v>
      </c>
      <c r="J211" s="231">
        <v>66346.97</v>
      </c>
      <c r="K211">
        <f t="shared" si="3"/>
        <v>62</v>
      </c>
      <c r="L211" s="30">
        <v>1</v>
      </c>
      <c r="M211" s="30">
        <v>1</v>
      </c>
      <c r="N211" s="30">
        <v>60</v>
      </c>
      <c r="O211" s="231">
        <v>70471.22</v>
      </c>
      <c r="P211" s="97">
        <f>VLOOKUP(Table323[[#This Row],[Census Tract]],'Population and Diversity Data'!$B$2:$K$823,10,FALSE)</f>
        <v>3</v>
      </c>
      <c r="Q211" s="97" t="str">
        <f>VLOOKUP(Table323[[#This Row],[Census Tract]],'ES Energy Burden'!$B$2:$E$914,4,FALSE)</f>
        <v>No</v>
      </c>
    </row>
    <row r="212" spans="1:17" x14ac:dyDescent="0.2">
      <c r="A212" s="30" t="s">
        <v>2774</v>
      </c>
      <c r="B212" s="169">
        <v>9003460302</v>
      </c>
      <c r="C212" s="232" t="s">
        <v>944</v>
      </c>
      <c r="D212" s="182">
        <v>37557.588789000001</v>
      </c>
      <c r="E212" s="182">
        <v>27330.294999999998</v>
      </c>
      <c r="F212" s="13">
        <f>[1]!Table323[[#This Row],[Single Family]]+[1]!Table323[[#This Row],[2-4 Units]]+[1]!Table323[[#This Row],[&gt;4 Units]]</f>
        <v>0</v>
      </c>
      <c r="G212" s="30">
        <v>0</v>
      </c>
      <c r="H212" s="30">
        <v>0</v>
      </c>
      <c r="I212" s="30">
        <v>0</v>
      </c>
      <c r="J212" s="231">
        <v>13951.23</v>
      </c>
      <c r="K212">
        <f t="shared" si="3"/>
        <v>1</v>
      </c>
      <c r="L212" s="30">
        <v>1</v>
      </c>
      <c r="M212" s="30">
        <v>0</v>
      </c>
      <c r="N212" s="30">
        <v>0</v>
      </c>
      <c r="O212" s="231">
        <v>4913.6000000000004</v>
      </c>
      <c r="P212" s="97">
        <f>VLOOKUP(Table323[[#This Row],[Census Tract]],'Population and Diversity Data'!$B$2:$K$823,10,FALSE)</f>
        <v>3</v>
      </c>
      <c r="Q212" s="97" t="str">
        <f>VLOOKUP(Table323[[#This Row],[Census Tract]],'ES Energy Burden'!$B$2:$E$914,4,FALSE)</f>
        <v>No</v>
      </c>
    </row>
    <row r="213" spans="1:17" x14ac:dyDescent="0.2">
      <c r="A213" s="30" t="s">
        <v>2774</v>
      </c>
      <c r="B213" s="169">
        <v>9003496200</v>
      </c>
      <c r="C213" s="232" t="s">
        <v>944</v>
      </c>
      <c r="D213" s="182">
        <v>82.89246</v>
      </c>
      <c r="E213" s="182">
        <v>0</v>
      </c>
      <c r="F213" s="13">
        <f>[1]!Table323[[#This Row],[Single Family]]+[1]!Table323[[#This Row],[2-4 Units]]+[1]!Table323[[#This Row],[&gt;4 Units]]</f>
        <v>0</v>
      </c>
      <c r="G213" s="30">
        <v>0</v>
      </c>
      <c r="H213" s="30">
        <v>0</v>
      </c>
      <c r="I213" s="30">
        <v>0</v>
      </c>
      <c r="J213" s="231">
        <v>0</v>
      </c>
      <c r="K213">
        <f t="shared" si="3"/>
        <v>0</v>
      </c>
      <c r="L213" s="30">
        <v>0</v>
      </c>
      <c r="M213" s="30">
        <v>0</v>
      </c>
      <c r="N213" s="30">
        <v>0</v>
      </c>
      <c r="O213" s="231">
        <v>0</v>
      </c>
      <c r="P213" s="97">
        <f>VLOOKUP(Table323[[#This Row],[Census Tract]],'Population and Diversity Data'!$B$2:$K$823,10,FALSE)</f>
        <v>5</v>
      </c>
      <c r="Q213" s="97" t="str">
        <f>VLOOKUP(Table323[[#This Row],[Census Tract]],'ES Energy Burden'!$B$2:$E$914,4,FALSE)</f>
        <v>No</v>
      </c>
    </row>
    <row r="214" spans="1:17" x14ac:dyDescent="0.2">
      <c r="A214" s="30" t="s">
        <v>2775</v>
      </c>
      <c r="B214" s="169">
        <v>9011712100</v>
      </c>
      <c r="C214" s="232" t="s">
        <v>944</v>
      </c>
      <c r="D214" s="182">
        <v>33482.483978999997</v>
      </c>
      <c r="E214" s="182">
        <v>57481.254999999997</v>
      </c>
      <c r="F214" s="13">
        <f>[1]!Table323[[#This Row],[Single Family]]+[1]!Table323[[#This Row],[2-4 Units]]+[1]!Table323[[#This Row],[&gt;4 Units]]</f>
        <v>16</v>
      </c>
      <c r="G214" s="30">
        <v>16</v>
      </c>
      <c r="H214" s="30">
        <v>0</v>
      </c>
      <c r="I214" s="30">
        <v>0</v>
      </c>
      <c r="J214" s="231">
        <v>40381.32</v>
      </c>
      <c r="K214">
        <f t="shared" si="3"/>
        <v>2</v>
      </c>
      <c r="L214" s="30">
        <v>2</v>
      </c>
      <c r="M214" s="30">
        <v>0</v>
      </c>
      <c r="N214" s="30">
        <v>0</v>
      </c>
      <c r="O214" s="231">
        <v>4032.85</v>
      </c>
      <c r="P214" s="97">
        <f>VLOOKUP(Table323[[#This Row],[Census Tract]],'Population and Diversity Data'!$B$2:$K$823,10,FALSE)</f>
        <v>1</v>
      </c>
      <c r="Q214" s="97" t="str">
        <f>VLOOKUP(Table323[[#This Row],[Census Tract]],'ES Energy Burden'!$B$2:$E$914,4,FALSE)</f>
        <v>No</v>
      </c>
    </row>
    <row r="215" spans="1:17" x14ac:dyDescent="0.2">
      <c r="A215" s="30" t="s">
        <v>2775</v>
      </c>
      <c r="B215" s="169">
        <v>9011870100</v>
      </c>
      <c r="C215" s="232" t="s">
        <v>944</v>
      </c>
      <c r="D215" s="182">
        <v>72.295439999999999</v>
      </c>
      <c r="E215" s="182">
        <v>0</v>
      </c>
      <c r="F215" s="13">
        <f>[1]!Table323[[#This Row],[Single Family]]+[1]!Table323[[#This Row],[2-4 Units]]+[1]!Table323[[#This Row],[&gt;4 Units]]</f>
        <v>0</v>
      </c>
      <c r="G215" s="30">
        <v>0</v>
      </c>
      <c r="H215" s="30">
        <v>0</v>
      </c>
      <c r="I215" s="30">
        <v>0</v>
      </c>
      <c r="J215" s="231">
        <v>0</v>
      </c>
      <c r="K215">
        <f t="shared" si="3"/>
        <v>0</v>
      </c>
      <c r="L215" s="30">
        <v>0</v>
      </c>
      <c r="M215" s="30">
        <v>0</v>
      </c>
      <c r="N215" s="30">
        <v>0</v>
      </c>
      <c r="O215" s="231">
        <v>0</v>
      </c>
      <c r="P215" s="97">
        <f>VLOOKUP(Table323[[#This Row],[Census Tract]],'Population and Diversity Data'!$B$2:$K$823,10,FALSE)</f>
        <v>1</v>
      </c>
      <c r="Q215" s="97" t="str">
        <f>VLOOKUP(Table323[[#This Row],[Census Tract]],'ES Energy Burden'!$B$2:$E$914,4,FALSE)</f>
        <v>No</v>
      </c>
    </row>
    <row r="216" spans="1:17" x14ac:dyDescent="0.2">
      <c r="A216" s="30" t="s">
        <v>2776</v>
      </c>
      <c r="B216" s="169">
        <v>9003510700</v>
      </c>
      <c r="C216" s="232" t="s">
        <v>944</v>
      </c>
      <c r="D216" s="182">
        <v>74.39649</v>
      </c>
      <c r="E216" s="182">
        <v>22211.535</v>
      </c>
      <c r="F216" s="13">
        <f>[1]!Table323[[#This Row],[Single Family]]+[1]!Table323[[#This Row],[2-4 Units]]+[1]!Table323[[#This Row],[&gt;4 Units]]</f>
        <v>0</v>
      </c>
      <c r="G216" s="30">
        <v>0</v>
      </c>
      <c r="H216" s="30">
        <v>0</v>
      </c>
      <c r="I216" s="30">
        <v>0</v>
      </c>
      <c r="J216" s="231">
        <v>0</v>
      </c>
      <c r="K216">
        <f t="shared" si="3"/>
        <v>0</v>
      </c>
      <c r="L216" s="30">
        <v>0</v>
      </c>
      <c r="M216" s="30">
        <v>0</v>
      </c>
      <c r="N216" s="30">
        <v>0</v>
      </c>
      <c r="O216" s="231">
        <v>0</v>
      </c>
      <c r="P216" s="97">
        <f>VLOOKUP(Table323[[#This Row],[Census Tract]],'Population and Diversity Data'!$B$2:$K$823,10,FALSE)</f>
        <v>5</v>
      </c>
      <c r="Q216" s="97" t="str">
        <f>VLOOKUP(Table323[[#This Row],[Census Tract]],'ES Energy Burden'!$B$2:$E$914,4,FALSE)</f>
        <v>No</v>
      </c>
    </row>
    <row r="217" spans="1:17" x14ac:dyDescent="0.2">
      <c r="A217" s="30" t="s">
        <v>2776</v>
      </c>
      <c r="B217" s="169">
        <v>9003520100</v>
      </c>
      <c r="C217" s="232" t="s">
        <v>944</v>
      </c>
      <c r="D217" s="182">
        <v>58461.325020000004</v>
      </c>
      <c r="E217" s="182">
        <v>55031.58</v>
      </c>
      <c r="F217" s="13">
        <f>[1]!Table323[[#This Row],[Single Family]]+[1]!Table323[[#This Row],[2-4 Units]]+[1]!Table323[[#This Row],[&gt;4 Units]]</f>
        <v>0</v>
      </c>
      <c r="G217" s="30">
        <v>0</v>
      </c>
      <c r="H217" s="30">
        <v>0</v>
      </c>
      <c r="I217" s="30">
        <v>0</v>
      </c>
      <c r="J217" s="231">
        <v>18901.34</v>
      </c>
      <c r="K217">
        <f t="shared" si="3"/>
        <v>2</v>
      </c>
      <c r="L217" s="30">
        <v>2</v>
      </c>
      <c r="M217" s="30">
        <v>0</v>
      </c>
      <c r="N217" s="30">
        <v>0</v>
      </c>
      <c r="O217" s="231">
        <v>6892.43</v>
      </c>
      <c r="P217" s="97">
        <f>VLOOKUP(Table323[[#This Row],[Census Tract]],'Population and Diversity Data'!$B$2:$K$823,10,FALSE)</f>
        <v>4</v>
      </c>
      <c r="Q217" s="97" t="str">
        <f>VLOOKUP(Table323[[#This Row],[Census Tract]],'ES Energy Burden'!$B$2:$E$914,4,FALSE)</f>
        <v>No</v>
      </c>
    </row>
    <row r="218" spans="1:17" x14ac:dyDescent="0.2">
      <c r="A218" s="30" t="s">
        <v>2776</v>
      </c>
      <c r="B218" s="169">
        <v>9003520201</v>
      </c>
      <c r="C218" s="232" t="s">
        <v>944</v>
      </c>
      <c r="D218" s="182">
        <v>50053.257156</v>
      </c>
      <c r="E218" s="182">
        <v>32587.47</v>
      </c>
      <c r="F218" s="13">
        <f>[1]!Table323[[#This Row],[Single Family]]+[1]!Table323[[#This Row],[2-4 Units]]+[1]!Table323[[#This Row],[&gt;4 Units]]</f>
        <v>0</v>
      </c>
      <c r="G218" s="30">
        <v>0</v>
      </c>
      <c r="H218" s="30">
        <v>0</v>
      </c>
      <c r="I218" s="30">
        <v>0</v>
      </c>
      <c r="J218" s="231">
        <v>9105.2800000000007</v>
      </c>
      <c r="K218">
        <f t="shared" si="3"/>
        <v>1</v>
      </c>
      <c r="L218" s="30">
        <v>1</v>
      </c>
      <c r="M218" s="30">
        <v>0</v>
      </c>
      <c r="N218" s="30">
        <v>0</v>
      </c>
      <c r="O218" s="231">
        <v>1059.1099999999999</v>
      </c>
      <c r="P218" s="97">
        <f>VLOOKUP(Table323[[#This Row],[Census Tract]],'Population and Diversity Data'!$B$2:$K$823,10,FALSE)</f>
        <v>4</v>
      </c>
      <c r="Q218" s="97" t="str">
        <f>VLOOKUP(Table323[[#This Row],[Census Tract]],'ES Energy Burden'!$B$2:$E$914,4,FALSE)</f>
        <v>No</v>
      </c>
    </row>
    <row r="219" spans="1:17" x14ac:dyDescent="0.2">
      <c r="A219" s="30" t="s">
        <v>2776</v>
      </c>
      <c r="B219" s="169">
        <v>9003520202</v>
      </c>
      <c r="C219" s="232" t="s">
        <v>944</v>
      </c>
      <c r="D219" s="182">
        <v>54415.591440000004</v>
      </c>
      <c r="E219" s="182">
        <v>34077.245000000003</v>
      </c>
      <c r="F219" s="13">
        <f>[1]!Table323[[#This Row],[Single Family]]+[1]!Table323[[#This Row],[2-4 Units]]+[1]!Table323[[#This Row],[&gt;4 Units]]</f>
        <v>0</v>
      </c>
      <c r="G219" s="30">
        <v>0</v>
      </c>
      <c r="H219" s="30">
        <v>0</v>
      </c>
      <c r="I219" s="30">
        <v>0</v>
      </c>
      <c r="J219" s="231">
        <v>8945.01</v>
      </c>
      <c r="K219">
        <f t="shared" si="3"/>
        <v>0</v>
      </c>
      <c r="L219" s="30">
        <v>0</v>
      </c>
      <c r="M219" s="30">
        <v>0</v>
      </c>
      <c r="N219" s="30">
        <v>0</v>
      </c>
      <c r="O219" s="231">
        <v>0</v>
      </c>
      <c r="P219" s="97">
        <f>VLOOKUP(Table323[[#This Row],[Census Tract]],'Population and Diversity Data'!$B$2:$K$823,10,FALSE)</f>
        <v>2</v>
      </c>
      <c r="Q219" s="97" t="str">
        <f>VLOOKUP(Table323[[#This Row],[Census Tract]],'ES Energy Burden'!$B$2:$E$914,4,FALSE)</f>
        <v>No</v>
      </c>
    </row>
    <row r="220" spans="1:17" x14ac:dyDescent="0.2">
      <c r="A220" s="30" t="s">
        <v>2776</v>
      </c>
      <c r="B220" s="169">
        <v>9003520301</v>
      </c>
      <c r="C220" s="232" t="s">
        <v>944</v>
      </c>
      <c r="D220" s="182">
        <v>54077.215164000001</v>
      </c>
      <c r="E220" s="182">
        <v>53736.13</v>
      </c>
      <c r="F220" s="13">
        <f>[1]!Table323[[#This Row],[Single Family]]+[1]!Table323[[#This Row],[2-4 Units]]+[1]!Table323[[#This Row],[&gt;4 Units]]</f>
        <v>0</v>
      </c>
      <c r="G220" s="30">
        <v>0</v>
      </c>
      <c r="H220" s="30">
        <v>0</v>
      </c>
      <c r="I220" s="30">
        <v>0</v>
      </c>
      <c r="J220" s="231">
        <v>28278.65</v>
      </c>
      <c r="K220">
        <f t="shared" si="3"/>
        <v>4</v>
      </c>
      <c r="L220" s="30">
        <v>4</v>
      </c>
      <c r="M220" s="30">
        <v>0</v>
      </c>
      <c r="N220" s="30">
        <v>0</v>
      </c>
      <c r="O220" s="231">
        <v>1188.0999999999999</v>
      </c>
      <c r="P220" s="97">
        <f>VLOOKUP(Table323[[#This Row],[Census Tract]],'Population and Diversity Data'!$B$2:$K$823,10,FALSE)</f>
        <v>4</v>
      </c>
      <c r="Q220" s="97" t="str">
        <f>VLOOKUP(Table323[[#This Row],[Census Tract]],'ES Energy Burden'!$B$2:$E$914,4,FALSE)</f>
        <v>No</v>
      </c>
    </row>
    <row r="221" spans="1:17" x14ac:dyDescent="0.2">
      <c r="A221" s="30" t="s">
        <v>2776</v>
      </c>
      <c r="B221" s="169">
        <v>9003520302</v>
      </c>
      <c r="C221" s="232" t="s">
        <v>944</v>
      </c>
      <c r="D221" s="182">
        <v>35264.351640000001</v>
      </c>
      <c r="E221" s="182">
        <v>16508.41</v>
      </c>
      <c r="F221" s="13">
        <f>[1]!Table323[[#This Row],[Single Family]]+[1]!Table323[[#This Row],[2-4 Units]]+[1]!Table323[[#This Row],[&gt;4 Units]]</f>
        <v>0</v>
      </c>
      <c r="G221" s="30">
        <v>0</v>
      </c>
      <c r="H221" s="30">
        <v>0</v>
      </c>
      <c r="I221" s="30">
        <v>0</v>
      </c>
      <c r="J221" s="231">
        <v>2671.8</v>
      </c>
      <c r="K221">
        <f t="shared" si="3"/>
        <v>3</v>
      </c>
      <c r="L221" s="30">
        <v>3</v>
      </c>
      <c r="M221" s="30">
        <v>0</v>
      </c>
      <c r="N221" s="30">
        <v>0</v>
      </c>
      <c r="O221" s="231">
        <v>4872.2700000000004</v>
      </c>
      <c r="P221" s="97">
        <f>VLOOKUP(Table323[[#This Row],[Census Tract]],'Population and Diversity Data'!$B$2:$K$823,10,FALSE)</f>
        <v>5</v>
      </c>
      <c r="Q221" s="97" t="str">
        <f>VLOOKUP(Table323[[#This Row],[Census Tract]],'ES Energy Burden'!$B$2:$E$914,4,FALSE)</f>
        <v>No</v>
      </c>
    </row>
    <row r="222" spans="1:17" x14ac:dyDescent="0.2">
      <c r="A222" s="30" t="s">
        <v>2776</v>
      </c>
      <c r="B222" s="169">
        <v>9003520400</v>
      </c>
      <c r="C222" s="232" t="s">
        <v>944</v>
      </c>
      <c r="D222" s="182">
        <v>264751.90448700002</v>
      </c>
      <c r="E222" s="182">
        <v>358511.56</v>
      </c>
      <c r="F222" s="13">
        <f>[1]!Table323[[#This Row],[Single Family]]+[1]!Table323[[#This Row],[2-4 Units]]+[1]!Table323[[#This Row],[&gt;4 Units]]</f>
        <v>0</v>
      </c>
      <c r="G222" s="30">
        <v>0</v>
      </c>
      <c r="H222" s="30">
        <v>0</v>
      </c>
      <c r="I222" s="30">
        <v>0</v>
      </c>
      <c r="J222" s="231">
        <v>13399.13</v>
      </c>
      <c r="K222">
        <f t="shared" si="3"/>
        <v>3</v>
      </c>
      <c r="L222" s="30">
        <v>3</v>
      </c>
      <c r="M222" s="30">
        <v>0</v>
      </c>
      <c r="N222" s="30">
        <v>0</v>
      </c>
      <c r="O222" s="231">
        <v>4266.93</v>
      </c>
      <c r="P222" s="97">
        <f>VLOOKUP(Table323[[#This Row],[Census Tract]],'Population and Diversity Data'!$B$2:$K$823,10,FALSE)</f>
        <v>3</v>
      </c>
      <c r="Q222" s="97" t="str">
        <f>VLOOKUP(Table323[[#This Row],[Census Tract]],'ES Energy Burden'!$B$2:$E$914,4,FALSE)</f>
        <v>No</v>
      </c>
    </row>
    <row r="223" spans="1:17" x14ac:dyDescent="0.2">
      <c r="A223" s="30" t="s">
        <v>2776</v>
      </c>
      <c r="B223" s="169">
        <v>9003520501</v>
      </c>
      <c r="C223" s="232" t="s">
        <v>944</v>
      </c>
      <c r="D223" s="182">
        <v>59047.810185000002</v>
      </c>
      <c r="E223" s="182">
        <v>23370.735000000001</v>
      </c>
      <c r="F223" s="13">
        <f>[1]!Table323[[#This Row],[Single Family]]+[1]!Table323[[#This Row],[2-4 Units]]+[1]!Table323[[#This Row],[&gt;4 Units]]</f>
        <v>251</v>
      </c>
      <c r="G223" s="30">
        <v>248</v>
      </c>
      <c r="H223" s="30">
        <v>3</v>
      </c>
      <c r="I223" s="30">
        <v>0</v>
      </c>
      <c r="J223" s="231">
        <v>288249.65000000002</v>
      </c>
      <c r="K223">
        <f t="shared" si="3"/>
        <v>5</v>
      </c>
      <c r="L223" s="30">
        <v>4</v>
      </c>
      <c r="M223" s="30">
        <v>1</v>
      </c>
      <c r="N223" s="30">
        <v>0</v>
      </c>
      <c r="O223" s="231">
        <v>46519.88</v>
      </c>
      <c r="P223" s="97">
        <f>VLOOKUP(Table323[[#This Row],[Census Tract]],'Population and Diversity Data'!$B$2:$K$823,10,FALSE)</f>
        <v>3</v>
      </c>
      <c r="Q223" s="97" t="str">
        <f>VLOOKUP(Table323[[#This Row],[Census Tract]],'ES Energy Burden'!$B$2:$E$914,4,FALSE)</f>
        <v>No</v>
      </c>
    </row>
    <row r="224" spans="1:17" x14ac:dyDescent="0.2">
      <c r="A224" s="30" t="s">
        <v>2776</v>
      </c>
      <c r="B224" s="169">
        <v>9007560100</v>
      </c>
      <c r="C224" s="232" t="s">
        <v>944</v>
      </c>
      <c r="D224" s="182">
        <v>236.43816000000001</v>
      </c>
      <c r="E224" s="182">
        <v>0</v>
      </c>
      <c r="F224" s="13">
        <f>[1]!Table323[[#This Row],[Single Family]]+[1]!Table323[[#This Row],[2-4 Units]]+[1]!Table323[[#This Row],[&gt;4 Units]]</f>
        <v>0</v>
      </c>
      <c r="G224" s="30">
        <v>0</v>
      </c>
      <c r="H224" s="30">
        <v>0</v>
      </c>
      <c r="I224" s="30">
        <v>0</v>
      </c>
      <c r="J224" s="231">
        <v>0</v>
      </c>
      <c r="K224">
        <f t="shared" si="3"/>
        <v>0</v>
      </c>
      <c r="L224" s="30">
        <v>0</v>
      </c>
      <c r="M224" s="30">
        <v>0</v>
      </c>
      <c r="N224" s="30">
        <v>0</v>
      </c>
      <c r="O224" s="231">
        <v>0</v>
      </c>
      <c r="P224" s="97">
        <f>VLOOKUP(Table323[[#This Row],[Census Tract]],'Population and Diversity Data'!$B$2:$K$823,10,FALSE)</f>
        <v>1</v>
      </c>
      <c r="Q224" s="97" t="str">
        <f>VLOOKUP(Table323[[#This Row],[Census Tract]],'ES Energy Burden'!$B$2:$E$914,4,FALSE)</f>
        <v>No</v>
      </c>
    </row>
    <row r="225" spans="1:17" x14ac:dyDescent="0.2">
      <c r="A225" s="30" t="s">
        <v>2777</v>
      </c>
      <c r="B225" s="169">
        <v>9005296100</v>
      </c>
      <c r="C225" s="232" t="s">
        <v>944</v>
      </c>
      <c r="D225" s="182">
        <v>76677.479235000006</v>
      </c>
      <c r="E225" s="182">
        <v>173384.595</v>
      </c>
      <c r="F225" s="13">
        <f>[1]!Table323[[#This Row],[Single Family]]+[1]!Table323[[#This Row],[2-4 Units]]+[1]!Table323[[#This Row],[&gt;4 Units]]</f>
        <v>38</v>
      </c>
      <c r="G225" s="30">
        <v>38</v>
      </c>
      <c r="H225" s="30">
        <v>0</v>
      </c>
      <c r="I225" s="30">
        <v>0</v>
      </c>
      <c r="J225" s="231">
        <v>72335.070000000007</v>
      </c>
      <c r="K225">
        <f t="shared" si="3"/>
        <v>4</v>
      </c>
      <c r="L225" s="30">
        <v>4</v>
      </c>
      <c r="M225" s="30">
        <v>0</v>
      </c>
      <c r="N225" s="30">
        <v>0</v>
      </c>
      <c r="O225" s="231">
        <v>71856.33</v>
      </c>
      <c r="P225" s="97">
        <f>VLOOKUP(Table323[[#This Row],[Census Tract]],'Population and Diversity Data'!$B$2:$K$823,10,FALSE)</f>
        <v>3</v>
      </c>
      <c r="Q225" s="97" t="str">
        <f>VLOOKUP(Table323[[#This Row],[Census Tract]],'ES Energy Burden'!$B$2:$E$914,4,FALSE)</f>
        <v>No</v>
      </c>
    </row>
    <row r="226" spans="1:17" x14ac:dyDescent="0.2">
      <c r="A226" s="30" t="s">
        <v>2778</v>
      </c>
      <c r="B226" s="169">
        <v>9003330100</v>
      </c>
      <c r="C226" s="232" t="s">
        <v>944</v>
      </c>
      <c r="D226" s="182">
        <v>45.397170000000003</v>
      </c>
      <c r="E226" s="182">
        <v>13499.575000000001</v>
      </c>
      <c r="F226" s="13">
        <f>[1]!Table323[[#This Row],[Single Family]]+[1]!Table323[[#This Row],[2-4 Units]]+[1]!Table323[[#This Row],[&gt;4 Units]]</f>
        <v>0</v>
      </c>
      <c r="G226" s="30">
        <v>0</v>
      </c>
      <c r="H226" s="30">
        <v>0</v>
      </c>
      <c r="I226" s="30">
        <v>0</v>
      </c>
      <c r="J226" s="231">
        <v>0</v>
      </c>
      <c r="K226">
        <f t="shared" si="3"/>
        <v>0</v>
      </c>
      <c r="L226" s="30">
        <v>0</v>
      </c>
      <c r="M226" s="30">
        <v>0</v>
      </c>
      <c r="N226" s="30">
        <v>0</v>
      </c>
      <c r="O226" s="231">
        <v>0</v>
      </c>
      <c r="P226" s="97">
        <f>VLOOKUP(Table323[[#This Row],[Census Tract]],'Population and Diversity Data'!$B$2:$K$823,10,FALSE)</f>
        <v>3</v>
      </c>
      <c r="Q226" s="97" t="str">
        <f>VLOOKUP(Table323[[#This Row],[Census Tract]],'ES Energy Burden'!$B$2:$E$914,4,FALSE)</f>
        <v>No</v>
      </c>
    </row>
    <row r="227" spans="1:17" x14ac:dyDescent="0.2">
      <c r="A227" s="30" t="s">
        <v>2778</v>
      </c>
      <c r="B227" s="169">
        <v>9003468101</v>
      </c>
      <c r="C227" s="232" t="s">
        <v>944</v>
      </c>
      <c r="D227" s="182">
        <v>152310.299505</v>
      </c>
      <c r="E227" s="182">
        <v>196532.41500000001</v>
      </c>
      <c r="F227" s="13">
        <f>[1]!Table323[[#This Row],[Single Family]]+[1]!Table323[[#This Row],[2-4 Units]]+[1]!Table323[[#This Row],[&gt;4 Units]]</f>
        <v>0</v>
      </c>
      <c r="G227" s="30">
        <v>0</v>
      </c>
      <c r="H227" s="30">
        <v>0</v>
      </c>
      <c r="I227" s="30">
        <v>0</v>
      </c>
      <c r="J227" s="231">
        <v>14119.23</v>
      </c>
      <c r="K227">
        <f t="shared" si="3"/>
        <v>0</v>
      </c>
      <c r="L227" s="30">
        <v>0</v>
      </c>
      <c r="M227" s="30">
        <v>0</v>
      </c>
      <c r="N227" s="30">
        <v>0</v>
      </c>
      <c r="O227" s="231">
        <v>0</v>
      </c>
      <c r="P227" s="97">
        <f>VLOOKUP(Table323[[#This Row],[Census Tract]],'Population and Diversity Data'!$B$2:$K$823,10,FALSE)</f>
        <v>1</v>
      </c>
      <c r="Q227" s="97" t="str">
        <f>VLOOKUP(Table323[[#This Row],[Census Tract]],'ES Energy Burden'!$B$2:$E$914,4,FALSE)</f>
        <v>No</v>
      </c>
    </row>
    <row r="228" spans="1:17" x14ac:dyDescent="0.2">
      <c r="A228" s="30" t="s">
        <v>2778</v>
      </c>
      <c r="B228" s="169">
        <v>9003468102</v>
      </c>
      <c r="C228" s="232" t="s">
        <v>944</v>
      </c>
      <c r="D228" s="182">
        <v>47838.119175</v>
      </c>
      <c r="E228" s="182">
        <v>48002.415000000001</v>
      </c>
      <c r="F228" s="13">
        <f>[1]!Table323[[#This Row],[Single Family]]+[1]!Table323[[#This Row],[2-4 Units]]+[1]!Table323[[#This Row],[&gt;4 Units]]</f>
        <v>25</v>
      </c>
      <c r="G228" s="30">
        <v>25</v>
      </c>
      <c r="H228" s="30">
        <v>0</v>
      </c>
      <c r="I228" s="30">
        <v>0</v>
      </c>
      <c r="J228" s="231">
        <v>40500.959999999999</v>
      </c>
      <c r="K228">
        <f t="shared" si="3"/>
        <v>2</v>
      </c>
      <c r="L228" s="30">
        <v>2</v>
      </c>
      <c r="M228" s="30">
        <v>0</v>
      </c>
      <c r="N228" s="30">
        <v>0</v>
      </c>
      <c r="O228" s="231">
        <v>14505.65</v>
      </c>
      <c r="P228" s="97">
        <f>VLOOKUP(Table323[[#This Row],[Census Tract]],'Population and Diversity Data'!$B$2:$K$823,10,FALSE)</f>
        <v>2</v>
      </c>
      <c r="Q228" s="97" t="str">
        <f>VLOOKUP(Table323[[#This Row],[Census Tract]],'ES Energy Burden'!$B$2:$E$914,4,FALSE)</f>
        <v>No</v>
      </c>
    </row>
    <row r="229" spans="1:17" x14ac:dyDescent="0.2">
      <c r="A229" s="30" t="s">
        <v>2778</v>
      </c>
      <c r="B229" s="169">
        <v>9003470100</v>
      </c>
      <c r="C229" s="232" t="s">
        <v>944</v>
      </c>
      <c r="D229" s="182">
        <v>433.53113999999999</v>
      </c>
      <c r="E229" s="182">
        <v>0</v>
      </c>
      <c r="F229" s="13">
        <f>[1]!Table323[[#This Row],[Single Family]]+[1]!Table323[[#This Row],[2-4 Units]]+[1]!Table323[[#This Row],[&gt;4 Units]]</f>
        <v>63</v>
      </c>
      <c r="G229" s="30">
        <v>61</v>
      </c>
      <c r="H229" s="30">
        <v>2</v>
      </c>
      <c r="I229" s="30">
        <v>0</v>
      </c>
      <c r="J229" s="231">
        <v>106886.9</v>
      </c>
      <c r="K229">
        <f t="shared" si="3"/>
        <v>5</v>
      </c>
      <c r="L229" s="30">
        <v>5</v>
      </c>
      <c r="M229" s="30">
        <v>0</v>
      </c>
      <c r="N229" s="30">
        <v>0</v>
      </c>
      <c r="O229" s="231">
        <v>13849.16</v>
      </c>
      <c r="P229" s="97">
        <f>VLOOKUP(Table323[[#This Row],[Census Tract]],'Population and Diversity Data'!$B$2:$K$823,10,FALSE)</f>
        <v>3</v>
      </c>
      <c r="Q229" s="97" t="str">
        <f>VLOOKUP(Table323[[#This Row],[Census Tract]],'ES Energy Burden'!$B$2:$E$914,4,FALSE)</f>
        <v>No</v>
      </c>
    </row>
    <row r="230" spans="1:17" x14ac:dyDescent="0.2">
      <c r="A230" s="30" t="s">
        <v>2779</v>
      </c>
      <c r="B230" s="169">
        <v>9001010101</v>
      </c>
      <c r="C230" s="232" t="s">
        <v>944</v>
      </c>
      <c r="D230" s="182">
        <v>141392.73027599999</v>
      </c>
      <c r="E230" s="182">
        <v>84065.02</v>
      </c>
      <c r="F230" s="13">
        <f>[1]!Table323[[#This Row],[Single Family]]+[1]!Table323[[#This Row],[2-4 Units]]+[1]!Table323[[#This Row],[&gt;4 Units]]</f>
        <v>0</v>
      </c>
      <c r="G230" s="30">
        <v>0</v>
      </c>
      <c r="H230" s="30">
        <v>0</v>
      </c>
      <c r="I230" s="30">
        <v>0</v>
      </c>
      <c r="J230" s="231">
        <v>8783.0400000000009</v>
      </c>
      <c r="K230">
        <f t="shared" si="3"/>
        <v>0</v>
      </c>
      <c r="L230" s="30">
        <v>0</v>
      </c>
      <c r="M230" s="30">
        <v>0</v>
      </c>
      <c r="N230" s="30">
        <v>0</v>
      </c>
      <c r="O230" s="231">
        <v>0</v>
      </c>
      <c r="P230" s="97">
        <f>VLOOKUP(Table323[[#This Row],[Census Tract]],'Population and Diversity Data'!$B$2:$K$823,10,FALSE)</f>
        <v>2</v>
      </c>
      <c r="Q230" s="97" t="str">
        <f>VLOOKUP(Table323[[#This Row],[Census Tract]],'ES Energy Burden'!$B$2:$E$914,4,FALSE)</f>
        <v>No</v>
      </c>
    </row>
    <row r="231" spans="1:17" x14ac:dyDescent="0.2">
      <c r="A231" s="30" t="s">
        <v>2779</v>
      </c>
      <c r="B231" s="169">
        <v>9001010102</v>
      </c>
      <c r="C231" s="232" t="s">
        <v>944</v>
      </c>
      <c r="D231" s="182">
        <v>176810.88457200001</v>
      </c>
      <c r="E231" s="182">
        <v>23505.93</v>
      </c>
      <c r="F231" s="13">
        <f>[1]!Table323[[#This Row],[Single Family]]+[1]!Table323[[#This Row],[2-4 Units]]+[1]!Table323[[#This Row],[&gt;4 Units]]</f>
        <v>130</v>
      </c>
      <c r="G231" s="30">
        <v>128</v>
      </c>
      <c r="H231" s="30">
        <v>2</v>
      </c>
      <c r="I231" s="30">
        <v>0</v>
      </c>
      <c r="J231" s="231">
        <v>150083.51999999999</v>
      </c>
      <c r="K231">
        <f t="shared" si="3"/>
        <v>2</v>
      </c>
      <c r="L231" s="30">
        <v>1</v>
      </c>
      <c r="M231" s="30">
        <v>1</v>
      </c>
      <c r="N231" s="30">
        <v>0</v>
      </c>
      <c r="O231" s="231">
        <v>43424.4</v>
      </c>
      <c r="P231" s="97">
        <f>VLOOKUP(Table323[[#This Row],[Census Tract]],'Population and Diversity Data'!$B$2:$K$823,10,FALSE)</f>
        <v>3</v>
      </c>
      <c r="Q231" s="97" t="str">
        <f>VLOOKUP(Table323[[#This Row],[Census Tract]],'ES Energy Burden'!$B$2:$E$914,4,FALSE)</f>
        <v>No</v>
      </c>
    </row>
    <row r="232" spans="1:17" x14ac:dyDescent="0.2">
      <c r="A232" s="30" t="s">
        <v>2779</v>
      </c>
      <c r="B232" s="169">
        <v>9001010201</v>
      </c>
      <c r="C232" s="232" t="s">
        <v>944</v>
      </c>
      <c r="D232" s="182">
        <v>111301.79067</v>
      </c>
      <c r="E232" s="182">
        <v>7785.25</v>
      </c>
      <c r="F232" s="13">
        <f>[1]!Table323[[#This Row],[Single Family]]+[1]!Table323[[#This Row],[2-4 Units]]+[1]!Table323[[#This Row],[&gt;4 Units]]</f>
        <v>0</v>
      </c>
      <c r="G232" s="30">
        <v>0</v>
      </c>
      <c r="H232" s="30">
        <v>0</v>
      </c>
      <c r="I232" s="30">
        <v>0</v>
      </c>
      <c r="J232" s="231">
        <v>338.8</v>
      </c>
      <c r="K232">
        <f t="shared" si="3"/>
        <v>0</v>
      </c>
      <c r="L232" s="30">
        <v>0</v>
      </c>
      <c r="M232" s="30">
        <v>0</v>
      </c>
      <c r="N232" s="30">
        <v>0</v>
      </c>
      <c r="O232" s="231">
        <v>0</v>
      </c>
      <c r="P232" s="97">
        <f>VLOOKUP(Table323[[#This Row],[Census Tract]],'Population and Diversity Data'!$B$2:$K$823,10,FALSE)</f>
        <v>3</v>
      </c>
      <c r="Q232" s="97" t="str">
        <f>VLOOKUP(Table323[[#This Row],[Census Tract]],'ES Energy Burden'!$B$2:$E$914,4,FALSE)</f>
        <v>No</v>
      </c>
    </row>
    <row r="233" spans="1:17" x14ac:dyDescent="0.2">
      <c r="A233" s="30" t="s">
        <v>2779</v>
      </c>
      <c r="B233" s="169">
        <v>9001010202</v>
      </c>
      <c r="C233" s="232" t="s">
        <v>944</v>
      </c>
      <c r="D233" s="182">
        <v>664333.64827200002</v>
      </c>
      <c r="E233" s="182">
        <v>317582.77750000003</v>
      </c>
      <c r="F233" s="13">
        <f>[1]!Table323[[#This Row],[Single Family]]+[1]!Table323[[#This Row],[2-4 Units]]+[1]!Table323[[#This Row],[&gt;4 Units]]</f>
        <v>1</v>
      </c>
      <c r="G233" s="30">
        <v>1</v>
      </c>
      <c r="H233" s="30">
        <v>0</v>
      </c>
      <c r="I233" s="30">
        <v>0</v>
      </c>
      <c r="J233" s="231">
        <v>3280.02</v>
      </c>
      <c r="K233">
        <f t="shared" si="3"/>
        <v>0</v>
      </c>
      <c r="L233" s="30">
        <v>0</v>
      </c>
      <c r="M233" s="30">
        <v>0</v>
      </c>
      <c r="N233" s="30">
        <v>0</v>
      </c>
      <c r="O233" s="231">
        <v>0</v>
      </c>
      <c r="P233" s="97">
        <f>VLOOKUP(Table323[[#This Row],[Census Tract]],'Population and Diversity Data'!$B$2:$K$823,10,FALSE)</f>
        <v>4</v>
      </c>
      <c r="Q233" s="97" t="str">
        <f>VLOOKUP(Table323[[#This Row],[Census Tract]],'ES Energy Burden'!$B$2:$E$914,4,FALSE)</f>
        <v>No</v>
      </c>
    </row>
    <row r="234" spans="1:17" x14ac:dyDescent="0.2">
      <c r="A234" s="30" t="s">
        <v>2779</v>
      </c>
      <c r="B234" s="169">
        <v>9001010300</v>
      </c>
      <c r="C234" s="232" t="s">
        <v>944</v>
      </c>
      <c r="D234" s="182">
        <v>130533.600666</v>
      </c>
      <c r="E234" s="182">
        <v>15902.12</v>
      </c>
      <c r="F234" s="13">
        <f>[1]!Table323[[#This Row],[Single Family]]+[1]!Table323[[#This Row],[2-4 Units]]+[1]!Table323[[#This Row],[&gt;4 Units]]</f>
        <v>0</v>
      </c>
      <c r="G234" s="30">
        <v>0</v>
      </c>
      <c r="H234" s="30">
        <v>0</v>
      </c>
      <c r="I234" s="30">
        <v>0</v>
      </c>
      <c r="J234" s="231">
        <v>500.9</v>
      </c>
      <c r="K234">
        <f t="shared" si="3"/>
        <v>1</v>
      </c>
      <c r="L234" s="30">
        <v>1</v>
      </c>
      <c r="M234" s="30">
        <v>0</v>
      </c>
      <c r="N234" s="30">
        <v>0</v>
      </c>
      <c r="O234" s="231">
        <v>686.41</v>
      </c>
      <c r="P234" s="97">
        <f>VLOOKUP(Table323[[#This Row],[Census Tract]],'Population and Diversity Data'!$B$2:$K$823,10,FALSE)</f>
        <v>2</v>
      </c>
      <c r="Q234" s="97" t="str">
        <f>VLOOKUP(Table323[[#This Row],[Census Tract]],'ES Energy Burden'!$B$2:$E$914,4,FALSE)</f>
        <v>No</v>
      </c>
    </row>
    <row r="235" spans="1:17" x14ac:dyDescent="0.2">
      <c r="A235" s="30" t="s">
        <v>2779</v>
      </c>
      <c r="B235" s="169">
        <v>9001010400</v>
      </c>
      <c r="C235" s="232" t="s">
        <v>944</v>
      </c>
      <c r="D235" s="182">
        <v>60916.462319999999</v>
      </c>
      <c r="E235" s="182">
        <v>8613.17</v>
      </c>
      <c r="F235" s="13">
        <f>[1]!Table323[[#This Row],[Single Family]]+[1]!Table323[[#This Row],[2-4 Units]]+[1]!Table323[[#This Row],[&gt;4 Units]]</f>
        <v>1</v>
      </c>
      <c r="G235" s="30">
        <v>1</v>
      </c>
      <c r="H235" s="30">
        <v>0</v>
      </c>
      <c r="I235" s="30">
        <v>0</v>
      </c>
      <c r="J235" s="231">
        <v>1196.92</v>
      </c>
      <c r="K235">
        <f t="shared" si="3"/>
        <v>1</v>
      </c>
      <c r="L235" s="30">
        <v>1</v>
      </c>
      <c r="M235" s="30">
        <v>0</v>
      </c>
      <c r="N235" s="30">
        <v>0</v>
      </c>
      <c r="O235" s="231">
        <v>61.86</v>
      </c>
      <c r="P235" s="97">
        <f>VLOOKUP(Table323[[#This Row],[Census Tract]],'Population and Diversity Data'!$B$2:$K$823,10,FALSE)</f>
        <v>3</v>
      </c>
      <c r="Q235" s="97" t="str">
        <f>VLOOKUP(Table323[[#This Row],[Census Tract]],'ES Energy Burden'!$B$2:$E$914,4,FALSE)</f>
        <v>No</v>
      </c>
    </row>
    <row r="236" spans="1:17" x14ac:dyDescent="0.2">
      <c r="A236" s="30" t="s">
        <v>2779</v>
      </c>
      <c r="B236" s="169">
        <v>9001010500</v>
      </c>
      <c r="C236" s="232" t="s">
        <v>944</v>
      </c>
      <c r="D236" s="182">
        <v>44654.533349999998</v>
      </c>
      <c r="E236" s="182">
        <v>2378.35</v>
      </c>
      <c r="F236" s="13">
        <f>[1]!Table323[[#This Row],[Single Family]]+[1]!Table323[[#This Row],[2-4 Units]]+[1]!Table323[[#This Row],[&gt;4 Units]]</f>
        <v>0</v>
      </c>
      <c r="G236" s="30">
        <v>0</v>
      </c>
      <c r="H236" s="30">
        <v>0</v>
      </c>
      <c r="I236" s="30">
        <v>0</v>
      </c>
      <c r="J236" s="231">
        <v>424.53</v>
      </c>
      <c r="K236">
        <f t="shared" si="3"/>
        <v>1</v>
      </c>
      <c r="L236" s="30">
        <v>0</v>
      </c>
      <c r="M236" s="30">
        <v>1</v>
      </c>
      <c r="N236" s="30">
        <v>0</v>
      </c>
      <c r="O236" s="231">
        <v>359.23</v>
      </c>
      <c r="P236" s="97">
        <f>VLOOKUP(Table323[[#This Row],[Census Tract]],'Population and Diversity Data'!$B$2:$K$823,10,FALSE)</f>
        <v>3</v>
      </c>
      <c r="Q236" s="97" t="str">
        <f>VLOOKUP(Table323[[#This Row],[Census Tract]],'ES Energy Burden'!$B$2:$E$914,4,FALSE)</f>
        <v>No</v>
      </c>
    </row>
    <row r="237" spans="1:17" x14ac:dyDescent="0.2">
      <c r="A237" s="30" t="s">
        <v>2779</v>
      </c>
      <c r="B237" s="169">
        <v>9001010600</v>
      </c>
      <c r="C237" s="232" t="s">
        <v>944</v>
      </c>
      <c r="D237" s="182">
        <v>23517.346313999999</v>
      </c>
      <c r="E237" s="182">
        <v>2758.89</v>
      </c>
      <c r="F237" s="13">
        <f>[1]!Table323[[#This Row],[Single Family]]+[1]!Table323[[#This Row],[2-4 Units]]+[1]!Table323[[#This Row],[&gt;4 Units]]</f>
        <v>0</v>
      </c>
      <c r="G237" s="30">
        <v>0</v>
      </c>
      <c r="H237" s="30">
        <v>0</v>
      </c>
      <c r="I237" s="30">
        <v>0</v>
      </c>
      <c r="J237" s="231">
        <v>13.18</v>
      </c>
      <c r="K237">
        <f t="shared" si="3"/>
        <v>0</v>
      </c>
      <c r="L237" s="30">
        <v>0</v>
      </c>
      <c r="M237" s="30">
        <v>0</v>
      </c>
      <c r="N237" s="30">
        <v>0</v>
      </c>
      <c r="O237" s="231">
        <v>0</v>
      </c>
      <c r="P237" s="97">
        <f>VLOOKUP(Table323[[#This Row],[Census Tract]],'Population and Diversity Data'!$B$2:$K$823,10,FALSE)</f>
        <v>3</v>
      </c>
      <c r="Q237" s="97" t="str">
        <f>VLOOKUP(Table323[[#This Row],[Census Tract]],'ES Energy Burden'!$B$2:$E$914,4,FALSE)</f>
        <v>No</v>
      </c>
    </row>
    <row r="238" spans="1:17" x14ac:dyDescent="0.2">
      <c r="A238" s="30" t="s">
        <v>2779</v>
      </c>
      <c r="B238" s="169">
        <v>9001010700</v>
      </c>
      <c r="C238" s="232" t="s">
        <v>944</v>
      </c>
      <c r="D238" s="182">
        <v>39745.541597999996</v>
      </c>
      <c r="E238" s="182">
        <v>3129.68</v>
      </c>
      <c r="F238" s="13">
        <f>[1]!Table323[[#This Row],[Single Family]]+[1]!Table323[[#This Row],[2-4 Units]]+[1]!Table323[[#This Row],[&gt;4 Units]]</f>
        <v>0</v>
      </c>
      <c r="G238" s="30">
        <v>0</v>
      </c>
      <c r="H238" s="30">
        <v>0</v>
      </c>
      <c r="I238" s="30">
        <v>0</v>
      </c>
      <c r="J238" s="231">
        <v>60.86</v>
      </c>
      <c r="K238">
        <f t="shared" si="3"/>
        <v>0</v>
      </c>
      <c r="L238" s="30">
        <v>0</v>
      </c>
      <c r="M238" s="30">
        <v>0</v>
      </c>
      <c r="N238" s="30">
        <v>0</v>
      </c>
      <c r="O238" s="231">
        <v>0</v>
      </c>
      <c r="P238" s="97">
        <f>VLOOKUP(Table323[[#This Row],[Census Tract]],'Population and Diversity Data'!$B$2:$K$823,10,FALSE)</f>
        <v>3</v>
      </c>
      <c r="Q238" s="97" t="str">
        <f>VLOOKUP(Table323[[#This Row],[Census Tract]],'ES Energy Burden'!$B$2:$E$914,4,FALSE)</f>
        <v>No</v>
      </c>
    </row>
    <row r="239" spans="1:17" x14ac:dyDescent="0.2">
      <c r="A239" s="30" t="s">
        <v>2779</v>
      </c>
      <c r="B239" s="169">
        <v>9001010800</v>
      </c>
      <c r="C239" s="232" t="s">
        <v>944</v>
      </c>
      <c r="D239" s="182">
        <v>40025.012159999998</v>
      </c>
      <c r="E239" s="182">
        <v>15845.91</v>
      </c>
      <c r="F239" s="13">
        <f>[1]!Table323[[#This Row],[Single Family]]+[1]!Table323[[#This Row],[2-4 Units]]+[1]!Table323[[#This Row],[&gt;4 Units]]</f>
        <v>0</v>
      </c>
      <c r="G239" s="30">
        <v>0</v>
      </c>
      <c r="H239" s="30">
        <v>0</v>
      </c>
      <c r="I239" s="30">
        <v>0</v>
      </c>
      <c r="J239" s="231">
        <v>2308.41</v>
      </c>
      <c r="K239">
        <f t="shared" si="3"/>
        <v>0</v>
      </c>
      <c r="L239" s="30">
        <v>0</v>
      </c>
      <c r="M239" s="30">
        <v>0</v>
      </c>
      <c r="N239" s="30">
        <v>0</v>
      </c>
      <c r="O239" s="231">
        <v>0</v>
      </c>
      <c r="P239" s="97">
        <f>VLOOKUP(Table323[[#This Row],[Census Tract]],'Population and Diversity Data'!$B$2:$K$823,10,FALSE)</f>
        <v>3</v>
      </c>
      <c r="Q239" s="97" t="str">
        <f>VLOOKUP(Table323[[#This Row],[Census Tract]],'ES Energy Burden'!$B$2:$E$914,4,FALSE)</f>
        <v>No</v>
      </c>
    </row>
    <row r="240" spans="1:17" x14ac:dyDescent="0.2">
      <c r="A240" s="30" t="s">
        <v>2779</v>
      </c>
      <c r="B240" s="169">
        <v>9001010900</v>
      </c>
      <c r="C240" s="232" t="s">
        <v>944</v>
      </c>
      <c r="D240" s="182">
        <v>59732.721089999999</v>
      </c>
      <c r="E240" s="182">
        <v>7675.62</v>
      </c>
      <c r="F240" s="13">
        <f>[1]!Table323[[#This Row],[Single Family]]+[1]!Table323[[#This Row],[2-4 Units]]+[1]!Table323[[#This Row],[&gt;4 Units]]</f>
        <v>0</v>
      </c>
      <c r="G240" s="30">
        <v>0</v>
      </c>
      <c r="H240" s="30">
        <v>0</v>
      </c>
      <c r="I240" s="30">
        <v>0</v>
      </c>
      <c r="J240" s="231">
        <v>456.99</v>
      </c>
      <c r="K240">
        <f t="shared" si="3"/>
        <v>0</v>
      </c>
      <c r="L240" s="30">
        <v>0</v>
      </c>
      <c r="M240" s="30">
        <v>0</v>
      </c>
      <c r="N240" s="30">
        <v>0</v>
      </c>
      <c r="O240" s="231">
        <v>0</v>
      </c>
      <c r="P240" s="97">
        <f>VLOOKUP(Table323[[#This Row],[Census Tract]],'Population and Diversity Data'!$B$2:$K$823,10,FALSE)</f>
        <v>5</v>
      </c>
      <c r="Q240" s="97" t="str">
        <f>VLOOKUP(Table323[[#This Row],[Census Tract]],'ES Energy Burden'!$B$2:$E$914,4,FALSE)</f>
        <v>No</v>
      </c>
    </row>
    <row r="241" spans="1:17" x14ac:dyDescent="0.2">
      <c r="A241" s="30" t="s">
        <v>2779</v>
      </c>
      <c r="B241" s="169">
        <v>9001011000</v>
      </c>
      <c r="C241" s="232" t="s">
        <v>944</v>
      </c>
      <c r="D241" s="182">
        <v>87643.639230000001</v>
      </c>
      <c r="E241" s="182">
        <v>8048.34</v>
      </c>
      <c r="F241" s="13">
        <f>[1]!Table323[[#This Row],[Single Family]]+[1]!Table323[[#This Row],[2-4 Units]]+[1]!Table323[[#This Row],[&gt;4 Units]]</f>
        <v>0</v>
      </c>
      <c r="G241" s="30">
        <v>0</v>
      </c>
      <c r="H241" s="30">
        <v>0</v>
      </c>
      <c r="I241" s="30">
        <v>0</v>
      </c>
      <c r="J241" s="231">
        <v>51.52</v>
      </c>
      <c r="K241">
        <f t="shared" si="3"/>
        <v>0</v>
      </c>
      <c r="L241" s="30">
        <v>0</v>
      </c>
      <c r="M241" s="30">
        <v>0</v>
      </c>
      <c r="N241" s="30">
        <v>0</v>
      </c>
      <c r="O241" s="231">
        <v>0</v>
      </c>
      <c r="P241" s="97">
        <f>VLOOKUP(Table323[[#This Row],[Census Tract]],'Population and Diversity Data'!$B$2:$K$823,10,FALSE)</f>
        <v>2</v>
      </c>
      <c r="Q241" s="97" t="str">
        <f>VLOOKUP(Table323[[#This Row],[Census Tract]],'ES Energy Burden'!$B$2:$E$914,4,FALSE)</f>
        <v>No</v>
      </c>
    </row>
    <row r="242" spans="1:17" x14ac:dyDescent="0.2">
      <c r="A242" s="30" t="s">
        <v>2779</v>
      </c>
      <c r="B242" s="169">
        <v>9001011100</v>
      </c>
      <c r="C242" s="232" t="s">
        <v>944</v>
      </c>
      <c r="D242" s="182">
        <v>92110.181729999997</v>
      </c>
      <c r="E242" s="182">
        <v>7329.38</v>
      </c>
      <c r="F242" s="13">
        <f>[1]!Table323[[#This Row],[Single Family]]+[1]!Table323[[#This Row],[2-4 Units]]+[1]!Table323[[#This Row],[&gt;4 Units]]</f>
        <v>0</v>
      </c>
      <c r="G242" s="30">
        <v>0</v>
      </c>
      <c r="H242" s="30">
        <v>0</v>
      </c>
      <c r="I242" s="30">
        <v>0</v>
      </c>
      <c r="J242" s="231">
        <v>418.44</v>
      </c>
      <c r="K242">
        <f t="shared" si="3"/>
        <v>0</v>
      </c>
      <c r="L242" s="30">
        <v>0</v>
      </c>
      <c r="M242" s="30">
        <v>0</v>
      </c>
      <c r="N242" s="30">
        <v>0</v>
      </c>
      <c r="O242" s="231">
        <v>0</v>
      </c>
      <c r="P242" s="97">
        <f>VLOOKUP(Table323[[#This Row],[Census Tract]],'Population and Diversity Data'!$B$2:$K$823,10,FALSE)</f>
        <v>3</v>
      </c>
      <c r="Q242" s="97" t="str">
        <f>VLOOKUP(Table323[[#This Row],[Census Tract]],'ES Energy Burden'!$B$2:$E$914,4,FALSE)</f>
        <v>No</v>
      </c>
    </row>
    <row r="243" spans="1:17" x14ac:dyDescent="0.2">
      <c r="A243" s="30" t="s">
        <v>2779</v>
      </c>
      <c r="B243" s="169">
        <v>9001011200</v>
      </c>
      <c r="C243" s="232" t="s">
        <v>944</v>
      </c>
      <c r="D243" s="182">
        <v>67084.731672000009</v>
      </c>
      <c r="E243" s="182">
        <v>1433.6</v>
      </c>
      <c r="F243" s="13">
        <f>[1]!Table323[[#This Row],[Single Family]]+[1]!Table323[[#This Row],[2-4 Units]]+[1]!Table323[[#This Row],[&gt;4 Units]]</f>
        <v>0</v>
      </c>
      <c r="G243" s="30">
        <v>0</v>
      </c>
      <c r="H243" s="30">
        <v>0</v>
      </c>
      <c r="I243" s="30">
        <v>0</v>
      </c>
      <c r="J243" s="231">
        <v>0</v>
      </c>
      <c r="K243">
        <f t="shared" si="3"/>
        <v>0</v>
      </c>
      <c r="L243" s="30">
        <v>0</v>
      </c>
      <c r="M243" s="30">
        <v>0</v>
      </c>
      <c r="N243" s="30">
        <v>0</v>
      </c>
      <c r="O243" s="231">
        <v>0</v>
      </c>
      <c r="P243" s="97">
        <f>VLOOKUP(Table323[[#This Row],[Census Tract]],'Population and Diversity Data'!$B$2:$K$823,10,FALSE)</f>
        <v>4</v>
      </c>
      <c r="Q243" s="97" t="str">
        <f>VLOOKUP(Table323[[#This Row],[Census Tract]],'ES Energy Burden'!$B$2:$E$914,4,FALSE)</f>
        <v>No</v>
      </c>
    </row>
    <row r="244" spans="1:17" x14ac:dyDescent="0.2">
      <c r="A244" s="30" t="s">
        <v>2779</v>
      </c>
      <c r="B244" s="169">
        <v>9001011300</v>
      </c>
      <c r="C244" s="232" t="s">
        <v>944</v>
      </c>
      <c r="D244" s="182">
        <v>35309.309280000001</v>
      </c>
      <c r="E244" s="182">
        <v>1255.0899999999999</v>
      </c>
      <c r="F244" s="13">
        <f>[1]!Table323[[#This Row],[Single Family]]+[1]!Table323[[#This Row],[2-4 Units]]+[1]!Table323[[#This Row],[&gt;4 Units]]</f>
        <v>166</v>
      </c>
      <c r="G244" s="30">
        <v>108</v>
      </c>
      <c r="H244" s="30">
        <v>3</v>
      </c>
      <c r="I244" s="30">
        <v>55</v>
      </c>
      <c r="J244" s="231">
        <v>86977.11</v>
      </c>
      <c r="K244">
        <f t="shared" si="3"/>
        <v>263</v>
      </c>
      <c r="L244" s="30">
        <v>2</v>
      </c>
      <c r="M244" s="30">
        <v>1</v>
      </c>
      <c r="N244" s="30">
        <v>260</v>
      </c>
      <c r="O244" s="231">
        <v>1132.8499999999999</v>
      </c>
      <c r="P244" s="97">
        <f>VLOOKUP(Table323[[#This Row],[Census Tract]],'Population and Diversity Data'!$B$2:$K$823,10,FALSE)</f>
        <v>5</v>
      </c>
      <c r="Q244" s="97" t="str">
        <f>VLOOKUP(Table323[[#This Row],[Census Tract]],'ES Energy Burden'!$B$2:$E$914,4,FALSE)</f>
        <v>No</v>
      </c>
    </row>
    <row r="245" spans="1:17" x14ac:dyDescent="0.2">
      <c r="A245" s="30" t="s">
        <v>2779</v>
      </c>
      <c r="B245" s="169">
        <v>9001020200</v>
      </c>
      <c r="C245" s="232" t="s">
        <v>944</v>
      </c>
      <c r="D245" s="182">
        <v>8792.2711799999997</v>
      </c>
      <c r="E245" s="182">
        <v>77</v>
      </c>
      <c r="F245" s="13">
        <f>[1]!Table323[[#This Row],[Single Family]]+[1]!Table323[[#This Row],[2-4 Units]]+[1]!Table323[[#This Row],[&gt;4 Units]]</f>
        <v>0</v>
      </c>
      <c r="G245" s="30">
        <v>0</v>
      </c>
      <c r="H245" s="30">
        <v>0</v>
      </c>
      <c r="I245" s="30">
        <v>0</v>
      </c>
      <c r="J245" s="231">
        <v>0</v>
      </c>
      <c r="K245">
        <f t="shared" si="3"/>
        <v>0</v>
      </c>
      <c r="L245" s="30">
        <v>0</v>
      </c>
      <c r="M245" s="30">
        <v>0</v>
      </c>
      <c r="N245" s="30">
        <v>0</v>
      </c>
      <c r="O245" s="231">
        <v>0</v>
      </c>
      <c r="P245" s="97">
        <f>VLOOKUP(Table323[[#This Row],[Census Tract]],'Population and Diversity Data'!$B$2:$K$823,10,FALSE)</f>
        <v>4</v>
      </c>
      <c r="Q245" s="97" t="str">
        <f>VLOOKUP(Table323[[#This Row],[Census Tract]],'ES Energy Burden'!$B$2:$E$914,4,FALSE)</f>
        <v>No</v>
      </c>
    </row>
    <row r="246" spans="1:17" x14ac:dyDescent="0.2">
      <c r="A246" s="30" t="s">
        <v>2779</v>
      </c>
      <c r="B246" s="169">
        <v>9001021400</v>
      </c>
      <c r="C246" s="232" t="s">
        <v>944</v>
      </c>
      <c r="D246" s="182">
        <v>633.09708000000001</v>
      </c>
      <c r="E246" s="182">
        <v>105</v>
      </c>
      <c r="F246" s="13">
        <f>[1]!Table323[[#This Row],[Single Family]]+[1]!Table323[[#This Row],[2-4 Units]]+[1]!Table323[[#This Row],[&gt;4 Units]]</f>
        <v>0</v>
      </c>
      <c r="G246" s="30">
        <v>0</v>
      </c>
      <c r="H246" s="30">
        <v>0</v>
      </c>
      <c r="I246" s="30">
        <v>0</v>
      </c>
      <c r="J246" s="231">
        <v>0</v>
      </c>
      <c r="K246">
        <f t="shared" si="3"/>
        <v>0</v>
      </c>
      <c r="L246" s="30">
        <v>0</v>
      </c>
      <c r="M246" s="30">
        <v>0</v>
      </c>
      <c r="N246" s="30">
        <v>0</v>
      </c>
      <c r="O246" s="231">
        <v>0</v>
      </c>
      <c r="P246" s="97">
        <f>VLOOKUP(Table323[[#This Row],[Census Tract]],'Population and Diversity Data'!$B$2:$K$823,10,FALSE)</f>
        <v>4</v>
      </c>
      <c r="Q246" s="97" t="str">
        <f>VLOOKUP(Table323[[#This Row],[Census Tract]],'ES Energy Burden'!$B$2:$E$914,4,FALSE)</f>
        <v>No</v>
      </c>
    </row>
    <row r="247" spans="1:17" x14ac:dyDescent="0.2">
      <c r="A247" s="119" t="s">
        <v>2780</v>
      </c>
      <c r="B247" s="169">
        <v>9011709100</v>
      </c>
      <c r="C247" s="232" t="s">
        <v>944</v>
      </c>
      <c r="D247" s="182">
        <v>116285.206443</v>
      </c>
      <c r="E247" s="182">
        <v>470072.58500000002</v>
      </c>
      <c r="F247" s="13">
        <f>[1]!Table323[[#This Row],[Single Family]]+[1]!Table323[[#This Row],[2-4 Units]]+[1]!Table323[[#This Row],[&gt;4 Units]]</f>
        <v>41</v>
      </c>
      <c r="G247" s="30">
        <v>41</v>
      </c>
      <c r="H247" s="30">
        <v>0</v>
      </c>
      <c r="I247" s="30">
        <v>0</v>
      </c>
      <c r="J247" s="231">
        <v>88298</v>
      </c>
      <c r="K247">
        <f t="shared" si="3"/>
        <v>9</v>
      </c>
      <c r="L247" s="30">
        <v>9</v>
      </c>
      <c r="M247" s="30">
        <v>0</v>
      </c>
      <c r="N247" s="30">
        <v>0</v>
      </c>
      <c r="O247" s="231">
        <v>74554.149999999994</v>
      </c>
      <c r="P247" s="97">
        <f>VLOOKUP(Table323[[#This Row],[Census Tract]],'Population and Diversity Data'!$B$2:$K$823,10,FALSE)</f>
        <v>3</v>
      </c>
      <c r="Q247" s="97" t="str">
        <f>VLOOKUP(Table323[[#This Row],[Census Tract]],'ES Energy Burden'!$B$2:$E$914,4,FALSE)</f>
        <v>No</v>
      </c>
    </row>
    <row r="248" spans="1:17" x14ac:dyDescent="0.2">
      <c r="A248" s="119" t="s">
        <v>2780</v>
      </c>
      <c r="B248" s="169">
        <v>9011709200</v>
      </c>
      <c r="C248" s="232" t="s">
        <v>936</v>
      </c>
      <c r="D248" s="182">
        <v>14157.543372</v>
      </c>
      <c r="E248" s="182">
        <v>7324.16</v>
      </c>
      <c r="F248" s="13">
        <f>[1]!Table323[[#This Row],[Single Family]]+[1]!Table323[[#This Row],[2-4 Units]]+[1]!Table323[[#This Row],[&gt;4 Units]]</f>
        <v>0</v>
      </c>
      <c r="G248" s="30">
        <v>0</v>
      </c>
      <c r="H248" s="30">
        <v>0</v>
      </c>
      <c r="I248" s="30">
        <v>0</v>
      </c>
      <c r="J248" s="231">
        <v>2299.64</v>
      </c>
      <c r="K248">
        <f t="shared" si="3"/>
        <v>0</v>
      </c>
      <c r="L248" s="30">
        <v>0</v>
      </c>
      <c r="M248" s="30">
        <v>0</v>
      </c>
      <c r="N248" s="30">
        <v>0</v>
      </c>
      <c r="O248" s="231">
        <v>0</v>
      </c>
      <c r="P248" s="97">
        <f>VLOOKUP(Table323[[#This Row],[Census Tract]],'Population and Diversity Data'!$B$2:$K$823,10,FALSE)</f>
        <v>5</v>
      </c>
      <c r="Q248" s="97" t="str">
        <f>VLOOKUP(Table323[[#This Row],[Census Tract]],'ES Energy Burden'!$B$2:$E$914,4,FALSE)</f>
        <v>No</v>
      </c>
    </row>
    <row r="249" spans="1:17" x14ac:dyDescent="0.2">
      <c r="A249" s="30" t="s">
        <v>2781</v>
      </c>
      <c r="B249" s="169">
        <v>9011702100</v>
      </c>
      <c r="C249" s="232" t="s">
        <v>944</v>
      </c>
      <c r="D249" s="182">
        <v>807.47456999999997</v>
      </c>
      <c r="E249" s="182">
        <v>0</v>
      </c>
      <c r="F249" s="13">
        <f>[1]!Table323[[#This Row],[Single Family]]+[1]!Table323[[#This Row],[2-4 Units]]+[1]!Table323[[#This Row],[&gt;4 Units]]</f>
        <v>0</v>
      </c>
      <c r="G249" s="30">
        <v>0</v>
      </c>
      <c r="H249" s="30">
        <v>0</v>
      </c>
      <c r="I249" s="30">
        <v>0</v>
      </c>
      <c r="J249" s="231">
        <v>0</v>
      </c>
      <c r="K249">
        <f t="shared" si="3"/>
        <v>0</v>
      </c>
      <c r="L249" s="30">
        <v>0</v>
      </c>
      <c r="M249" s="30">
        <v>0</v>
      </c>
      <c r="N249" s="30">
        <v>0</v>
      </c>
      <c r="O249" s="231">
        <v>0</v>
      </c>
      <c r="P249" s="97">
        <f>VLOOKUP(Table323[[#This Row],[Census Tract]],'Population and Diversity Data'!$B$2:$K$823,10,FALSE)</f>
        <v>4</v>
      </c>
      <c r="Q249" s="97" t="str">
        <f>VLOOKUP(Table323[[#This Row],[Census Tract]],'ES Energy Burden'!$B$2:$E$914,4,FALSE)</f>
        <v>No</v>
      </c>
    </row>
    <row r="250" spans="1:17" x14ac:dyDescent="0.2">
      <c r="A250" s="30" t="s">
        <v>2781</v>
      </c>
      <c r="B250" s="169">
        <v>9011702400</v>
      </c>
      <c r="C250" s="232" t="s">
        <v>944</v>
      </c>
      <c r="D250" s="182">
        <v>98.039339999999996</v>
      </c>
      <c r="E250" s="182">
        <v>0</v>
      </c>
      <c r="F250" s="13">
        <f>[1]!Table323[[#This Row],[Single Family]]+[1]!Table323[[#This Row],[2-4 Units]]+[1]!Table323[[#This Row],[&gt;4 Units]]</f>
        <v>0</v>
      </c>
      <c r="G250" s="30">
        <v>0</v>
      </c>
      <c r="H250" s="30">
        <v>0</v>
      </c>
      <c r="I250" s="30">
        <v>0</v>
      </c>
      <c r="J250" s="231">
        <v>0</v>
      </c>
      <c r="K250">
        <f t="shared" si="3"/>
        <v>0</v>
      </c>
      <c r="L250" s="30">
        <v>0</v>
      </c>
      <c r="M250" s="30">
        <v>0</v>
      </c>
      <c r="N250" s="30">
        <v>0</v>
      </c>
      <c r="O250" s="231">
        <v>0</v>
      </c>
      <c r="P250" s="97">
        <f>VLOOKUP(Table323[[#This Row],[Census Tract]],'Population and Diversity Data'!$B$2:$K$823,10,FALSE)</f>
        <v>5</v>
      </c>
      <c r="Q250" s="97" t="str">
        <f>VLOOKUP(Table323[[#This Row],[Census Tract]],'ES Energy Burden'!$B$2:$E$914,4,FALSE)</f>
        <v>No</v>
      </c>
    </row>
    <row r="251" spans="1:17" x14ac:dyDescent="0.2">
      <c r="A251" s="30" t="s">
        <v>2781</v>
      </c>
      <c r="B251" s="169">
        <v>9011702600</v>
      </c>
      <c r="C251" s="232" t="s">
        <v>944</v>
      </c>
      <c r="D251" s="182">
        <v>24.04374</v>
      </c>
      <c r="E251" s="182">
        <v>0</v>
      </c>
      <c r="F251" s="13">
        <f>[1]!Table323[[#This Row],[Single Family]]+[1]!Table323[[#This Row],[2-4 Units]]+[1]!Table323[[#This Row],[&gt;4 Units]]</f>
        <v>0</v>
      </c>
      <c r="G251" s="30">
        <v>0</v>
      </c>
      <c r="H251" s="30">
        <v>0</v>
      </c>
      <c r="I251" s="30">
        <v>0</v>
      </c>
      <c r="J251" s="231">
        <v>0</v>
      </c>
      <c r="K251">
        <f t="shared" si="3"/>
        <v>0</v>
      </c>
      <c r="L251" s="30">
        <v>0</v>
      </c>
      <c r="M251" s="30">
        <v>0</v>
      </c>
      <c r="N251" s="30">
        <v>0</v>
      </c>
      <c r="O251" s="231">
        <v>0</v>
      </c>
      <c r="P251" s="97">
        <f>VLOOKUP(Table323[[#This Row],[Census Tract]],'Population and Diversity Data'!$B$2:$K$823,10,FALSE)</f>
        <v>3</v>
      </c>
      <c r="Q251" s="97" t="str">
        <f>VLOOKUP(Table323[[#This Row],[Census Tract]],'ES Energy Burden'!$B$2:$E$914,4,FALSE)</f>
        <v>No</v>
      </c>
    </row>
    <row r="252" spans="1:17" x14ac:dyDescent="0.2">
      <c r="A252" s="30" t="s">
        <v>2781</v>
      </c>
      <c r="B252" s="169">
        <v>9011702700</v>
      </c>
      <c r="C252" s="232" t="s">
        <v>944</v>
      </c>
      <c r="D252" s="182">
        <v>1837.5686700000001</v>
      </c>
      <c r="E252" s="182">
        <v>660.59</v>
      </c>
      <c r="F252" s="13">
        <f>[1]!Table323[[#This Row],[Single Family]]+[1]!Table323[[#This Row],[2-4 Units]]+[1]!Table323[[#This Row],[&gt;4 Units]]</f>
        <v>0</v>
      </c>
      <c r="G252" s="30">
        <v>0</v>
      </c>
      <c r="H252" s="30">
        <v>0</v>
      </c>
      <c r="I252" s="30">
        <v>0</v>
      </c>
      <c r="J252" s="231">
        <v>0</v>
      </c>
      <c r="K252">
        <f t="shared" si="3"/>
        <v>0</v>
      </c>
      <c r="L252" s="30">
        <v>0</v>
      </c>
      <c r="M252" s="30">
        <v>0</v>
      </c>
      <c r="N252" s="30">
        <v>0</v>
      </c>
      <c r="O252" s="231">
        <v>0</v>
      </c>
      <c r="P252" s="97">
        <f>VLOOKUP(Table323[[#This Row],[Census Tract]],'Population and Diversity Data'!$B$2:$K$823,10,FALSE)</f>
        <v>5</v>
      </c>
      <c r="Q252" s="97" t="str">
        <f>VLOOKUP(Table323[[#This Row],[Census Tract]],'ES Energy Burden'!$B$2:$E$914,4,FALSE)</f>
        <v>No</v>
      </c>
    </row>
    <row r="253" spans="1:17" x14ac:dyDescent="0.2">
      <c r="A253" s="30" t="s">
        <v>2781</v>
      </c>
      <c r="B253" s="169">
        <v>9011702800</v>
      </c>
      <c r="C253" s="232" t="s">
        <v>944</v>
      </c>
      <c r="D253" s="182">
        <v>2615.9473200000002</v>
      </c>
      <c r="E253" s="182">
        <v>2581.37</v>
      </c>
      <c r="F253" s="13">
        <f>[1]!Table323[[#This Row],[Single Family]]+[1]!Table323[[#This Row],[2-4 Units]]+[1]!Table323[[#This Row],[&gt;4 Units]]</f>
        <v>0</v>
      </c>
      <c r="G253" s="30">
        <v>0</v>
      </c>
      <c r="H253" s="30">
        <v>0</v>
      </c>
      <c r="I253" s="30">
        <v>0</v>
      </c>
      <c r="J253" s="231">
        <v>0</v>
      </c>
      <c r="K253">
        <f t="shared" si="3"/>
        <v>0</v>
      </c>
      <c r="L253" s="30">
        <v>0</v>
      </c>
      <c r="M253" s="30">
        <v>0</v>
      </c>
      <c r="N253" s="30">
        <v>0</v>
      </c>
      <c r="O253" s="231">
        <v>0</v>
      </c>
      <c r="P253" s="97">
        <f>VLOOKUP(Table323[[#This Row],[Census Tract]],'Population and Diversity Data'!$B$2:$K$823,10,FALSE)</f>
        <v>5</v>
      </c>
      <c r="Q253" s="97" t="str">
        <f>VLOOKUP(Table323[[#This Row],[Census Tract]],'ES Energy Burden'!$B$2:$E$914,4,FALSE)</f>
        <v>No</v>
      </c>
    </row>
    <row r="254" spans="1:17" x14ac:dyDescent="0.2">
      <c r="A254" s="30" t="s">
        <v>2781</v>
      </c>
      <c r="B254" s="169">
        <v>9011702900</v>
      </c>
      <c r="C254" s="232" t="s">
        <v>944</v>
      </c>
      <c r="D254" s="182">
        <v>20660.035200000002</v>
      </c>
      <c r="E254" s="182">
        <v>13564.31</v>
      </c>
      <c r="F254" s="13">
        <f>[1]!Table323[[#This Row],[Single Family]]+[1]!Table323[[#This Row],[2-4 Units]]+[1]!Table323[[#This Row],[&gt;4 Units]]</f>
        <v>25</v>
      </c>
      <c r="G254" s="30">
        <v>25</v>
      </c>
      <c r="H254" s="30">
        <v>0</v>
      </c>
      <c r="I254" s="30">
        <v>0</v>
      </c>
      <c r="J254" s="231">
        <v>28160.9</v>
      </c>
      <c r="K254">
        <f t="shared" si="3"/>
        <v>46</v>
      </c>
      <c r="L254" s="30">
        <v>0</v>
      </c>
      <c r="M254" s="30">
        <v>0</v>
      </c>
      <c r="N254" s="30">
        <v>46</v>
      </c>
      <c r="O254" s="231">
        <v>2816.21</v>
      </c>
      <c r="P254" s="97">
        <f>VLOOKUP(Table323[[#This Row],[Census Tract]],'Population and Diversity Data'!$B$2:$K$823,10,FALSE)</f>
        <v>2</v>
      </c>
      <c r="Q254" s="97" t="str">
        <f>VLOOKUP(Table323[[#This Row],[Census Tract]],'ES Energy Burden'!$B$2:$E$914,4,FALSE)</f>
        <v>No</v>
      </c>
    </row>
    <row r="255" spans="1:17" x14ac:dyDescent="0.2">
      <c r="A255" s="30" t="s">
        <v>2781</v>
      </c>
      <c r="B255" s="169">
        <v>9011703000</v>
      </c>
      <c r="C255" s="232" t="s">
        <v>944</v>
      </c>
      <c r="D255" s="182">
        <v>36.080100000000002</v>
      </c>
      <c r="E255" s="182">
        <v>0</v>
      </c>
      <c r="F255" s="13">
        <f>[1]!Table323[[#This Row],[Single Family]]+[1]!Table323[[#This Row],[2-4 Units]]+[1]!Table323[[#This Row],[&gt;4 Units]]</f>
        <v>0</v>
      </c>
      <c r="G255" s="30">
        <v>0</v>
      </c>
      <c r="H255" s="30">
        <v>0</v>
      </c>
      <c r="I255" s="30">
        <v>0</v>
      </c>
      <c r="J255" s="231">
        <v>0</v>
      </c>
      <c r="K255">
        <f t="shared" si="3"/>
        <v>0</v>
      </c>
      <c r="L255" s="30">
        <v>0</v>
      </c>
      <c r="M255" s="30">
        <v>0</v>
      </c>
      <c r="N255" s="30">
        <v>0</v>
      </c>
      <c r="O255" s="231">
        <v>0</v>
      </c>
      <c r="P255" s="97">
        <f>VLOOKUP(Table323[[#This Row],[Census Tract]],'Population and Diversity Data'!$B$2:$K$823,10,FALSE)</f>
        <v>2</v>
      </c>
      <c r="Q255" s="97" t="str">
        <f>VLOOKUP(Table323[[#This Row],[Census Tract]],'ES Energy Burden'!$B$2:$E$914,4,FALSE)</f>
        <v>No</v>
      </c>
    </row>
    <row r="256" spans="1:17" x14ac:dyDescent="0.2">
      <c r="A256" s="30" t="s">
        <v>2781</v>
      </c>
      <c r="B256" s="169">
        <v>9011870200</v>
      </c>
      <c r="C256" s="232" t="s">
        <v>936</v>
      </c>
      <c r="D256" s="182">
        <v>241109.830185</v>
      </c>
      <c r="E256" s="182">
        <v>432965.52</v>
      </c>
      <c r="F256" s="13">
        <f>[1]!Table323[[#This Row],[Single Family]]+[1]!Table323[[#This Row],[2-4 Units]]+[1]!Table323[[#This Row],[&gt;4 Units]]</f>
        <v>0</v>
      </c>
      <c r="G256" s="30">
        <v>0</v>
      </c>
      <c r="H256" s="30">
        <v>0</v>
      </c>
      <c r="I256" s="30">
        <v>0</v>
      </c>
      <c r="J256" s="231">
        <v>0</v>
      </c>
      <c r="K256">
        <f t="shared" si="3"/>
        <v>0</v>
      </c>
      <c r="L256" s="30">
        <v>0</v>
      </c>
      <c r="M256" s="30">
        <v>0</v>
      </c>
      <c r="N256" s="30">
        <v>0</v>
      </c>
      <c r="O256" s="231">
        <v>0</v>
      </c>
      <c r="P256" s="97">
        <f>VLOOKUP(Table323[[#This Row],[Census Tract]],'Population and Diversity Data'!$B$2:$K$823,10,FALSE)</f>
        <v>4</v>
      </c>
      <c r="Q256" s="97" t="e">
        <f>VLOOKUP(Table323[[#This Row],[Census Tract]],'ES Energy Burden'!$B$2:$E$914,4,FALSE)</f>
        <v>#N/A</v>
      </c>
    </row>
    <row r="257" spans="1:17" x14ac:dyDescent="0.2">
      <c r="A257" s="30" t="s">
        <v>2782</v>
      </c>
      <c r="B257" s="169">
        <v>9009190100</v>
      </c>
      <c r="C257" s="232" t="s">
        <v>944</v>
      </c>
      <c r="D257" s="182">
        <v>43672.442204999999</v>
      </c>
      <c r="E257" s="182">
        <v>43882.18</v>
      </c>
      <c r="F257" s="13">
        <f>[1]!Table323[[#This Row],[Single Family]]+[1]!Table323[[#This Row],[2-4 Units]]+[1]!Table323[[#This Row],[&gt;4 Units]]</f>
        <v>242</v>
      </c>
      <c r="G257" s="30">
        <v>242</v>
      </c>
      <c r="H257" s="30">
        <v>0</v>
      </c>
      <c r="I257" s="30">
        <v>0</v>
      </c>
      <c r="J257" s="231">
        <v>385404.98</v>
      </c>
      <c r="K257">
        <f t="shared" si="3"/>
        <v>10</v>
      </c>
      <c r="L257" s="30">
        <v>10</v>
      </c>
      <c r="M257" s="30">
        <v>0</v>
      </c>
      <c r="N257" s="30">
        <v>0</v>
      </c>
      <c r="O257" s="231">
        <v>60109.46</v>
      </c>
      <c r="P257" s="97">
        <f>VLOOKUP(Table323[[#This Row],[Census Tract]],'Population and Diversity Data'!$B$2:$K$823,10,FALSE)</f>
        <v>2</v>
      </c>
      <c r="Q257" s="97" t="str">
        <f>VLOOKUP(Table323[[#This Row],[Census Tract]],'ES Energy Burden'!$B$2:$E$914,4,FALSE)</f>
        <v>No</v>
      </c>
    </row>
    <row r="258" spans="1:17" x14ac:dyDescent="0.2">
      <c r="A258" s="30" t="s">
        <v>2782</v>
      </c>
      <c r="B258" s="169">
        <v>9009190200</v>
      </c>
      <c r="C258" s="232" t="s">
        <v>944</v>
      </c>
      <c r="D258" s="182">
        <v>59868.95607</v>
      </c>
      <c r="E258" s="182">
        <v>57093.065000000002</v>
      </c>
      <c r="F258" s="13">
        <f>[1]!Table323[[#This Row],[Single Family]]+[1]!Table323[[#This Row],[2-4 Units]]+[1]!Table323[[#This Row],[&gt;4 Units]]</f>
        <v>0</v>
      </c>
      <c r="G258" s="30">
        <v>0</v>
      </c>
      <c r="H258" s="30">
        <v>0</v>
      </c>
      <c r="I258" s="30">
        <v>0</v>
      </c>
      <c r="J258" s="231">
        <v>22247.85</v>
      </c>
      <c r="K258">
        <f t="shared" si="3"/>
        <v>0</v>
      </c>
      <c r="L258" s="30">
        <v>0</v>
      </c>
      <c r="M258" s="30">
        <v>0</v>
      </c>
      <c r="N258" s="30">
        <v>0</v>
      </c>
      <c r="O258" s="231">
        <v>0</v>
      </c>
      <c r="P258" s="97">
        <f>VLOOKUP(Table323[[#This Row],[Census Tract]],'Population and Diversity Data'!$B$2:$K$823,10,FALSE)</f>
        <v>3</v>
      </c>
      <c r="Q258" s="97" t="str">
        <f>VLOOKUP(Table323[[#This Row],[Census Tract]],'ES Energy Burden'!$B$2:$E$914,4,FALSE)</f>
        <v>No</v>
      </c>
    </row>
    <row r="259" spans="1:17" x14ac:dyDescent="0.2">
      <c r="A259" s="30" t="s">
        <v>2782</v>
      </c>
      <c r="B259" s="169">
        <v>9009190301</v>
      </c>
      <c r="C259" s="232" t="s">
        <v>944</v>
      </c>
      <c r="D259" s="182">
        <v>228549.54897600002</v>
      </c>
      <c r="E259" s="182">
        <v>567840.30249999999</v>
      </c>
      <c r="F259" s="13">
        <f>[1]!Table323[[#This Row],[Single Family]]+[1]!Table323[[#This Row],[2-4 Units]]+[1]!Table323[[#This Row],[&gt;4 Units]]</f>
        <v>1</v>
      </c>
      <c r="G259" s="30">
        <v>1</v>
      </c>
      <c r="H259" s="30">
        <v>0</v>
      </c>
      <c r="I259" s="30">
        <v>0</v>
      </c>
      <c r="J259" s="231">
        <v>33406.17</v>
      </c>
      <c r="K259">
        <f t="shared" si="3"/>
        <v>5</v>
      </c>
      <c r="L259" s="30">
        <v>5</v>
      </c>
      <c r="M259" s="30">
        <v>0</v>
      </c>
      <c r="N259" s="30">
        <v>0</v>
      </c>
      <c r="O259" s="231">
        <v>35472.01</v>
      </c>
      <c r="P259" s="97">
        <f>VLOOKUP(Table323[[#This Row],[Census Tract]],'Population and Diversity Data'!$B$2:$K$823,10,FALSE)</f>
        <v>3</v>
      </c>
      <c r="Q259" s="97" t="str">
        <f>VLOOKUP(Table323[[#This Row],[Census Tract]],'ES Energy Burden'!$B$2:$E$914,4,FALSE)</f>
        <v>No</v>
      </c>
    </row>
    <row r="260" spans="1:17" x14ac:dyDescent="0.2">
      <c r="A260" s="30" t="s">
        <v>2782</v>
      </c>
      <c r="B260" s="169">
        <v>9009190302</v>
      </c>
      <c r="C260" s="232" t="s">
        <v>944</v>
      </c>
      <c r="D260" s="182">
        <v>67232.588115000006</v>
      </c>
      <c r="E260" s="182">
        <v>57196.65</v>
      </c>
      <c r="F260" s="13">
        <f>[1]!Table323[[#This Row],[Single Family]]+[1]!Table323[[#This Row],[2-4 Units]]+[1]!Table323[[#This Row],[&gt;4 Units]]</f>
        <v>0</v>
      </c>
      <c r="G260" s="30">
        <v>0</v>
      </c>
      <c r="H260" s="30">
        <v>0</v>
      </c>
      <c r="I260" s="30">
        <v>0</v>
      </c>
      <c r="J260" s="231">
        <v>13286.05</v>
      </c>
      <c r="K260">
        <f t="shared" si="3"/>
        <v>1</v>
      </c>
      <c r="L260" s="30">
        <v>1</v>
      </c>
      <c r="M260" s="30">
        <v>0</v>
      </c>
      <c r="N260" s="30">
        <v>0</v>
      </c>
      <c r="O260" s="231">
        <v>1569.24</v>
      </c>
      <c r="P260" s="97">
        <f>VLOOKUP(Table323[[#This Row],[Census Tract]],'Population and Diversity Data'!$B$2:$K$823,10,FALSE)</f>
        <v>2</v>
      </c>
      <c r="Q260" s="97" t="str">
        <f>VLOOKUP(Table323[[#This Row],[Census Tract]],'ES Energy Burden'!$B$2:$E$914,4,FALSE)</f>
        <v>No</v>
      </c>
    </row>
    <row r="261" spans="1:17" x14ac:dyDescent="0.2">
      <c r="A261" s="30" t="s">
        <v>2782</v>
      </c>
      <c r="B261" s="169">
        <v>9009190303</v>
      </c>
      <c r="C261" s="232" t="s">
        <v>944</v>
      </c>
      <c r="D261" s="182">
        <v>46999.486275000003</v>
      </c>
      <c r="E261" s="182">
        <v>51159.535000000003</v>
      </c>
      <c r="F261" s="13">
        <f>[1]!Table323[[#This Row],[Single Family]]+[1]!Table323[[#This Row],[2-4 Units]]+[1]!Table323[[#This Row],[&gt;4 Units]]</f>
        <v>0</v>
      </c>
      <c r="G261" s="30">
        <v>0</v>
      </c>
      <c r="H261" s="30">
        <v>0</v>
      </c>
      <c r="I261" s="30">
        <v>0</v>
      </c>
      <c r="J261" s="231">
        <v>16764.55</v>
      </c>
      <c r="K261">
        <f t="shared" si="3"/>
        <v>2</v>
      </c>
      <c r="L261" s="30">
        <v>2</v>
      </c>
      <c r="M261" s="30">
        <v>0</v>
      </c>
      <c r="N261" s="30">
        <v>0</v>
      </c>
      <c r="O261" s="231">
        <v>1965.95</v>
      </c>
      <c r="P261" s="97">
        <f>VLOOKUP(Table323[[#This Row],[Census Tract]],'Population and Diversity Data'!$B$2:$K$823,10,FALSE)</f>
        <v>2</v>
      </c>
      <c r="Q261" s="97" t="str">
        <f>VLOOKUP(Table323[[#This Row],[Census Tract]],'ES Energy Burden'!$B$2:$E$914,4,FALSE)</f>
        <v>No</v>
      </c>
    </row>
    <row r="262" spans="1:17" x14ac:dyDescent="0.2">
      <c r="A262" s="30" t="s">
        <v>2782</v>
      </c>
      <c r="B262" s="169">
        <v>9009194201</v>
      </c>
      <c r="C262" s="232" t="s">
        <v>944</v>
      </c>
      <c r="D262" s="182">
        <v>369.45152999999999</v>
      </c>
      <c r="E262" s="182">
        <v>0</v>
      </c>
      <c r="F262" s="13">
        <f>[1]!Table323[[#This Row],[Single Family]]+[1]!Table323[[#This Row],[2-4 Units]]+[1]!Table323[[#This Row],[&gt;4 Units]]</f>
        <v>0</v>
      </c>
      <c r="G262" s="30">
        <v>0</v>
      </c>
      <c r="H262" s="30">
        <v>0</v>
      </c>
      <c r="I262" s="30">
        <v>0</v>
      </c>
      <c r="J262" s="231">
        <v>0</v>
      </c>
      <c r="K262">
        <f t="shared" ref="K262:K325" si="4">L262+M262+N262</f>
        <v>0</v>
      </c>
      <c r="L262" s="30">
        <v>0</v>
      </c>
      <c r="M262" s="30">
        <v>0</v>
      </c>
      <c r="N262" s="30">
        <v>0</v>
      </c>
      <c r="O262" s="231">
        <v>0</v>
      </c>
      <c r="P262" s="97">
        <f>VLOOKUP(Table323[[#This Row],[Census Tract]],'Population and Diversity Data'!$B$2:$K$823,10,FALSE)</f>
        <v>3</v>
      </c>
      <c r="Q262" s="97" t="str">
        <f>VLOOKUP(Table323[[#This Row],[Census Tract]],'ES Energy Burden'!$B$2:$E$914,4,FALSE)</f>
        <v>No</v>
      </c>
    </row>
    <row r="263" spans="1:17" x14ac:dyDescent="0.2">
      <c r="A263" s="30" t="s">
        <v>2783</v>
      </c>
      <c r="B263" s="169">
        <v>9007590100</v>
      </c>
      <c r="C263" s="232" t="s">
        <v>944</v>
      </c>
      <c r="D263" s="182">
        <v>147879.598986</v>
      </c>
      <c r="E263" s="182">
        <v>200859.745</v>
      </c>
      <c r="F263" s="13">
        <f>[1]!Table323[[#This Row],[Single Family]]+[1]!Table323[[#This Row],[2-4 Units]]+[1]!Table323[[#This Row],[&gt;4 Units]]</f>
        <v>58</v>
      </c>
      <c r="G263" s="30">
        <v>58</v>
      </c>
      <c r="H263" s="30">
        <v>0</v>
      </c>
      <c r="I263" s="30">
        <v>0</v>
      </c>
      <c r="J263" s="231">
        <v>131945.91</v>
      </c>
      <c r="K263">
        <f t="shared" si="4"/>
        <v>28</v>
      </c>
      <c r="L263" s="30">
        <v>6</v>
      </c>
      <c r="M263" s="30">
        <v>0</v>
      </c>
      <c r="N263" s="30">
        <v>22</v>
      </c>
      <c r="O263" s="231">
        <v>28871.62</v>
      </c>
      <c r="P263" s="97">
        <f>VLOOKUP(Table323[[#This Row],[Census Tract]],'Population and Diversity Data'!$B$2:$K$823,10,FALSE)</f>
        <v>1</v>
      </c>
      <c r="Q263" s="97" t="str">
        <f>VLOOKUP(Table323[[#This Row],[Census Tract]],'ES Energy Burden'!$B$2:$E$914,4,FALSE)</f>
        <v>No</v>
      </c>
    </row>
    <row r="264" spans="1:17" x14ac:dyDescent="0.2">
      <c r="A264" s="30" t="s">
        <v>2784</v>
      </c>
      <c r="B264" s="169">
        <v>9015820000</v>
      </c>
      <c r="C264" s="232" t="s">
        <v>944</v>
      </c>
      <c r="D264" s="182">
        <v>33612.504198000002</v>
      </c>
      <c r="E264" s="182">
        <v>28052.445</v>
      </c>
      <c r="F264" s="13">
        <f>[1]!Table323[[#This Row],[Single Family]]+[1]!Table323[[#This Row],[2-4 Units]]+[1]!Table323[[#This Row],[&gt;4 Units]]</f>
        <v>4</v>
      </c>
      <c r="G264" s="30">
        <v>4</v>
      </c>
      <c r="H264" s="30">
        <v>0</v>
      </c>
      <c r="I264" s="30">
        <v>0</v>
      </c>
      <c r="J264" s="231">
        <v>11510.26</v>
      </c>
      <c r="K264">
        <f t="shared" si="4"/>
        <v>2</v>
      </c>
      <c r="L264" s="30">
        <v>2</v>
      </c>
      <c r="M264" s="30">
        <v>0</v>
      </c>
      <c r="N264" s="30">
        <v>0</v>
      </c>
      <c r="O264" s="231">
        <v>1718.51</v>
      </c>
      <c r="P264" s="97">
        <f>VLOOKUP(Table323[[#This Row],[Census Tract]],'Population and Diversity Data'!$B$2:$K$823,10,FALSE)</f>
        <v>4</v>
      </c>
      <c r="Q264" s="97" t="str">
        <f>VLOOKUP(Table323[[#This Row],[Census Tract]],'ES Energy Burden'!$B$2:$E$914,4,FALSE)</f>
        <v>No</v>
      </c>
    </row>
    <row r="265" spans="1:17" x14ac:dyDescent="0.2">
      <c r="A265" s="30" t="s">
        <v>979</v>
      </c>
      <c r="B265" s="169">
        <v>9003471100</v>
      </c>
      <c r="C265" s="232" t="s">
        <v>944</v>
      </c>
      <c r="D265" s="182">
        <v>15.71199</v>
      </c>
      <c r="E265" s="182">
        <v>0</v>
      </c>
      <c r="F265" s="13">
        <f>[1]!Table323[[#This Row],[Single Family]]+[1]!Table323[[#This Row],[2-4 Units]]+[1]!Table323[[#This Row],[&gt;4 Units]]</f>
        <v>0</v>
      </c>
      <c r="G265" s="30">
        <v>0</v>
      </c>
      <c r="H265" s="30">
        <v>0</v>
      </c>
      <c r="I265" s="30">
        <v>0</v>
      </c>
      <c r="J265" s="231">
        <v>0</v>
      </c>
      <c r="K265">
        <f t="shared" si="4"/>
        <v>0</v>
      </c>
      <c r="L265" s="30">
        <v>0</v>
      </c>
      <c r="M265" s="30">
        <v>0</v>
      </c>
      <c r="N265" s="30">
        <v>0</v>
      </c>
      <c r="O265" s="231">
        <v>0</v>
      </c>
      <c r="P265" s="97">
        <f>VLOOKUP(Table323[[#This Row],[Census Tract]],'Population and Diversity Data'!$B$2:$K$823,10,FALSE)</f>
        <v>3</v>
      </c>
      <c r="Q265" s="97" t="str">
        <f>VLOOKUP(Table323[[#This Row],[Census Tract]],'ES Energy Burden'!$B$2:$E$914,4,FALSE)</f>
        <v>No</v>
      </c>
    </row>
    <row r="266" spans="1:17" x14ac:dyDescent="0.2">
      <c r="A266" s="30" t="s">
        <v>979</v>
      </c>
      <c r="B266" s="169">
        <v>9003500100</v>
      </c>
      <c r="C266" s="232" t="s">
        <v>936</v>
      </c>
      <c r="D266" s="182">
        <v>16225.699140000001</v>
      </c>
      <c r="E266" s="182">
        <v>3414.78</v>
      </c>
      <c r="F266" s="13">
        <f>[1]!Table323[[#This Row],[Single Family]]+[1]!Table323[[#This Row],[2-4 Units]]+[1]!Table323[[#This Row],[&gt;4 Units]]</f>
        <v>0</v>
      </c>
      <c r="G266" s="30">
        <v>0</v>
      </c>
      <c r="H266" s="30">
        <v>0</v>
      </c>
      <c r="I266" s="30">
        <v>0</v>
      </c>
      <c r="J266" s="231">
        <v>0</v>
      </c>
      <c r="K266">
        <f t="shared" si="4"/>
        <v>20</v>
      </c>
      <c r="L266" s="30">
        <v>1</v>
      </c>
      <c r="M266" s="30">
        <v>3</v>
      </c>
      <c r="N266" s="30">
        <v>16</v>
      </c>
      <c r="O266" s="231">
        <v>3685.71</v>
      </c>
      <c r="P266" s="97">
        <f>VLOOKUP(Table323[[#This Row],[Census Tract]],'Population and Diversity Data'!$B$2:$K$823,10,FALSE)</f>
        <v>5</v>
      </c>
      <c r="Q266" s="97" t="str">
        <f>VLOOKUP(Table323[[#This Row],[Census Tract]],'ES Energy Burden'!$B$2:$E$914,4,FALSE)</f>
        <v>Yes</v>
      </c>
    </row>
    <row r="267" spans="1:17" x14ac:dyDescent="0.2">
      <c r="A267" s="30" t="s">
        <v>979</v>
      </c>
      <c r="B267" s="169">
        <v>9003500200</v>
      </c>
      <c r="C267" s="232" t="s">
        <v>944</v>
      </c>
      <c r="D267" s="182">
        <v>9887.69103</v>
      </c>
      <c r="E267" s="182">
        <v>1933.42</v>
      </c>
      <c r="F267" s="13">
        <f>[1]!Table323[[#This Row],[Single Family]]+[1]!Table323[[#This Row],[2-4 Units]]+[1]!Table323[[#This Row],[&gt;4 Units]]</f>
        <v>0</v>
      </c>
      <c r="G267" s="30">
        <v>0</v>
      </c>
      <c r="H267" s="30">
        <v>0</v>
      </c>
      <c r="I267" s="30">
        <v>0</v>
      </c>
      <c r="J267" s="231">
        <v>238.92</v>
      </c>
      <c r="K267">
        <f t="shared" si="4"/>
        <v>2</v>
      </c>
      <c r="L267" s="30">
        <v>0</v>
      </c>
      <c r="M267" s="30">
        <v>2</v>
      </c>
      <c r="N267" s="30">
        <v>0</v>
      </c>
      <c r="O267" s="231">
        <v>1582.42</v>
      </c>
      <c r="P267" s="97">
        <f>VLOOKUP(Table323[[#This Row],[Census Tract]],'Population and Diversity Data'!$B$2:$K$823,10,FALSE)</f>
        <v>5</v>
      </c>
      <c r="Q267" s="97" t="str">
        <f>VLOOKUP(Table323[[#This Row],[Census Tract]],'ES Energy Burden'!$B$2:$E$914,4,FALSE)</f>
        <v>Yes</v>
      </c>
    </row>
    <row r="268" spans="1:17" x14ac:dyDescent="0.2">
      <c r="A268" s="30" t="s">
        <v>979</v>
      </c>
      <c r="B268" s="169">
        <v>9003500300</v>
      </c>
      <c r="C268" s="232" t="s">
        <v>944</v>
      </c>
      <c r="D268" s="182">
        <v>11628.97848</v>
      </c>
      <c r="E268" s="182">
        <v>250.27</v>
      </c>
      <c r="F268" s="13">
        <f>[1]!Table323[[#This Row],[Single Family]]+[1]!Table323[[#This Row],[2-4 Units]]+[1]!Table323[[#This Row],[&gt;4 Units]]</f>
        <v>0</v>
      </c>
      <c r="G268" s="30">
        <v>0</v>
      </c>
      <c r="H268" s="30">
        <v>0</v>
      </c>
      <c r="I268" s="30">
        <v>0</v>
      </c>
      <c r="J268" s="231">
        <v>0</v>
      </c>
      <c r="K268">
        <f t="shared" si="4"/>
        <v>2</v>
      </c>
      <c r="L268" s="30">
        <v>0</v>
      </c>
      <c r="M268" s="30">
        <v>2</v>
      </c>
      <c r="N268" s="30">
        <v>0</v>
      </c>
      <c r="O268" s="231">
        <v>175.58</v>
      </c>
      <c r="P268" s="97">
        <f>VLOOKUP(Table323[[#This Row],[Census Tract]],'Population and Diversity Data'!$B$2:$K$823,10,FALSE)</f>
        <v>5</v>
      </c>
      <c r="Q268" s="97" t="e">
        <f>VLOOKUP(Table323[[#This Row],[Census Tract]],'ES Energy Burden'!$B$2:$E$914,4,FALSE)</f>
        <v>#N/A</v>
      </c>
    </row>
    <row r="269" spans="1:17" x14ac:dyDescent="0.2">
      <c r="A269" s="30" t="s">
        <v>979</v>
      </c>
      <c r="B269" s="169">
        <v>9003500400</v>
      </c>
      <c r="C269" s="232" t="s">
        <v>944</v>
      </c>
      <c r="D269" s="182">
        <v>11627.871443999999</v>
      </c>
      <c r="E269" s="182">
        <v>530.79999999999995</v>
      </c>
      <c r="F269" s="13">
        <f>[1]!Table323[[#This Row],[Single Family]]+[1]!Table323[[#This Row],[2-4 Units]]+[1]!Table323[[#This Row],[&gt;4 Units]]</f>
        <v>0</v>
      </c>
      <c r="G269" s="30">
        <v>0</v>
      </c>
      <c r="H269" s="30">
        <v>0</v>
      </c>
      <c r="I269" s="30">
        <v>0</v>
      </c>
      <c r="J269" s="231">
        <v>0</v>
      </c>
      <c r="K269">
        <f t="shared" si="4"/>
        <v>4</v>
      </c>
      <c r="L269" s="30">
        <v>0</v>
      </c>
      <c r="M269" s="30">
        <v>4</v>
      </c>
      <c r="N269" s="30">
        <v>0</v>
      </c>
      <c r="O269" s="231">
        <v>568.23</v>
      </c>
      <c r="P269" s="97">
        <f>VLOOKUP(Table323[[#This Row],[Census Tract]],'Population and Diversity Data'!$B$2:$K$823,10,FALSE)</f>
        <v>5</v>
      </c>
      <c r="Q269" s="97" t="str">
        <f>VLOOKUP(Table323[[#This Row],[Census Tract]],'ES Energy Burden'!$B$2:$E$914,4,FALSE)</f>
        <v>Yes</v>
      </c>
    </row>
    <row r="270" spans="1:17" x14ac:dyDescent="0.2">
      <c r="A270" s="30" t="s">
        <v>979</v>
      </c>
      <c r="B270" s="169">
        <v>9003500500</v>
      </c>
      <c r="C270" s="232" t="s">
        <v>944</v>
      </c>
      <c r="D270" s="182">
        <v>6738.7821899999999</v>
      </c>
      <c r="E270" s="182">
        <v>231</v>
      </c>
      <c r="F270" s="13">
        <f>[1]!Table323[[#This Row],[Single Family]]+[1]!Table323[[#This Row],[2-4 Units]]+[1]!Table323[[#This Row],[&gt;4 Units]]</f>
        <v>0</v>
      </c>
      <c r="G270" s="30">
        <v>0</v>
      </c>
      <c r="H270" s="30">
        <v>0</v>
      </c>
      <c r="I270" s="30">
        <v>0</v>
      </c>
      <c r="J270" s="231">
        <v>0</v>
      </c>
      <c r="K270">
        <f t="shared" si="4"/>
        <v>0</v>
      </c>
      <c r="L270" s="30">
        <v>0</v>
      </c>
      <c r="M270" s="30">
        <v>0</v>
      </c>
      <c r="N270" s="30">
        <v>0</v>
      </c>
      <c r="O270" s="231">
        <v>0</v>
      </c>
      <c r="P270" s="97">
        <f>VLOOKUP(Table323[[#This Row],[Census Tract]],'Population and Diversity Data'!$B$2:$K$823,10,FALSE)</f>
        <v>5</v>
      </c>
      <c r="Q270" s="97" t="str">
        <f>VLOOKUP(Table323[[#This Row],[Census Tract]],'ES Energy Burden'!$B$2:$E$914,4,FALSE)</f>
        <v>No</v>
      </c>
    </row>
    <row r="271" spans="1:17" x14ac:dyDescent="0.2">
      <c r="A271" s="30" t="s">
        <v>979</v>
      </c>
      <c r="B271" s="169">
        <v>9003500900</v>
      </c>
      <c r="C271" s="232" t="s">
        <v>944</v>
      </c>
      <c r="D271" s="182">
        <v>441629.26193400001</v>
      </c>
      <c r="E271" s="182">
        <v>1116356.625</v>
      </c>
      <c r="F271" s="13">
        <f>[1]!Table323[[#This Row],[Single Family]]+[1]!Table323[[#This Row],[2-4 Units]]+[1]!Table323[[#This Row],[&gt;4 Units]]</f>
        <v>0</v>
      </c>
      <c r="G271" s="30">
        <v>0</v>
      </c>
      <c r="H271" s="30">
        <v>0</v>
      </c>
      <c r="I271" s="30">
        <v>0</v>
      </c>
      <c r="J271" s="231">
        <v>0</v>
      </c>
      <c r="K271">
        <f t="shared" si="4"/>
        <v>2</v>
      </c>
      <c r="L271" s="30">
        <v>1</v>
      </c>
      <c r="M271" s="30">
        <v>1</v>
      </c>
      <c r="N271" s="30">
        <v>0</v>
      </c>
      <c r="O271" s="231">
        <v>650.97</v>
      </c>
      <c r="P271" s="97">
        <f>VLOOKUP(Table323[[#This Row],[Census Tract]],'Population and Diversity Data'!$B$2:$K$823,10,FALSE)</f>
        <v>5</v>
      </c>
      <c r="Q271" s="97" t="str">
        <f>VLOOKUP(Table323[[#This Row],[Census Tract]],'ES Energy Burden'!$B$2:$E$914,4,FALSE)</f>
        <v>Yes</v>
      </c>
    </row>
    <row r="272" spans="1:17" x14ac:dyDescent="0.2">
      <c r="A272" s="30" t="s">
        <v>979</v>
      </c>
      <c r="B272" s="169">
        <v>9003501200</v>
      </c>
      <c r="C272" s="232" t="s">
        <v>944</v>
      </c>
      <c r="D272" s="182">
        <v>14103.97674</v>
      </c>
      <c r="E272" s="182">
        <v>1903.16</v>
      </c>
      <c r="F272" s="13">
        <f>[1]!Table323[[#This Row],[Single Family]]+[1]!Table323[[#This Row],[2-4 Units]]+[1]!Table323[[#This Row],[&gt;4 Units]]</f>
        <v>0</v>
      </c>
      <c r="G272" s="30">
        <v>0</v>
      </c>
      <c r="H272" s="30">
        <v>0</v>
      </c>
      <c r="I272" s="30">
        <v>0</v>
      </c>
      <c r="J272" s="231">
        <v>0</v>
      </c>
      <c r="K272">
        <f t="shared" si="4"/>
        <v>9</v>
      </c>
      <c r="L272" s="30">
        <v>2</v>
      </c>
      <c r="M272" s="30">
        <v>7</v>
      </c>
      <c r="N272" s="30">
        <v>0</v>
      </c>
      <c r="O272" s="231">
        <v>1362.72</v>
      </c>
      <c r="P272" s="97">
        <f>VLOOKUP(Table323[[#This Row],[Census Tract]],'Population and Diversity Data'!$B$2:$K$823,10,FALSE)</f>
        <v>4</v>
      </c>
      <c r="Q272" s="97" t="str">
        <f>VLOOKUP(Table323[[#This Row],[Census Tract]],'ES Energy Burden'!$B$2:$E$914,4,FALSE)</f>
        <v>Yes</v>
      </c>
    </row>
    <row r="273" spans="1:17" x14ac:dyDescent="0.2">
      <c r="A273" s="30" t="s">
        <v>979</v>
      </c>
      <c r="B273" s="169">
        <v>9003501300</v>
      </c>
      <c r="C273" s="232" t="s">
        <v>936</v>
      </c>
      <c r="D273" s="182">
        <v>8398.3899930000007</v>
      </c>
      <c r="E273" s="182">
        <v>15374.87</v>
      </c>
      <c r="F273" s="13">
        <f>[1]!Table323[[#This Row],[Single Family]]+[1]!Table323[[#This Row],[2-4 Units]]+[1]!Table323[[#This Row],[&gt;4 Units]]</f>
        <v>0</v>
      </c>
      <c r="G273" s="30">
        <v>0</v>
      </c>
      <c r="H273" s="30">
        <v>0</v>
      </c>
      <c r="I273" s="30">
        <v>0</v>
      </c>
      <c r="J273" s="231">
        <v>0</v>
      </c>
      <c r="K273">
        <f t="shared" si="4"/>
        <v>34</v>
      </c>
      <c r="L273" s="30">
        <v>1</v>
      </c>
      <c r="M273" s="30">
        <v>3</v>
      </c>
      <c r="N273" s="30">
        <v>30</v>
      </c>
      <c r="O273" s="231">
        <v>15374.87</v>
      </c>
      <c r="P273" s="97">
        <f>VLOOKUP(Table323[[#This Row],[Census Tract]],'Population and Diversity Data'!$B$2:$K$823,10,FALSE)</f>
        <v>4</v>
      </c>
      <c r="Q273" s="97" t="str">
        <f>VLOOKUP(Table323[[#This Row],[Census Tract]],'ES Energy Burden'!$B$2:$E$914,4,FALSE)</f>
        <v>Yes</v>
      </c>
    </row>
    <row r="274" spans="1:17" x14ac:dyDescent="0.2">
      <c r="A274" s="30" t="s">
        <v>979</v>
      </c>
      <c r="B274" s="169">
        <v>9003501400</v>
      </c>
      <c r="C274" s="232" t="s">
        <v>936</v>
      </c>
      <c r="D274" s="182">
        <v>17261.758290000002</v>
      </c>
      <c r="E274" s="182">
        <v>6238.03</v>
      </c>
      <c r="F274" s="13">
        <f>[1]!Table323[[#This Row],[Single Family]]+[1]!Table323[[#This Row],[2-4 Units]]+[1]!Table323[[#This Row],[&gt;4 Units]]</f>
        <v>0</v>
      </c>
      <c r="G274" s="30">
        <v>0</v>
      </c>
      <c r="H274" s="30">
        <v>0</v>
      </c>
      <c r="I274" s="30">
        <v>0</v>
      </c>
      <c r="J274" s="231">
        <v>20.62</v>
      </c>
      <c r="K274">
        <f t="shared" si="4"/>
        <v>50</v>
      </c>
      <c r="L274" s="30">
        <v>0</v>
      </c>
      <c r="M274" s="30">
        <v>10</v>
      </c>
      <c r="N274" s="30">
        <v>40</v>
      </c>
      <c r="O274" s="231">
        <v>6048.97</v>
      </c>
      <c r="P274" s="97">
        <f>VLOOKUP(Table323[[#This Row],[Census Tract]],'Population and Diversity Data'!$B$2:$K$823,10,FALSE)</f>
        <v>4</v>
      </c>
      <c r="Q274" s="97" t="str">
        <f>VLOOKUP(Table323[[#This Row],[Census Tract]],'ES Energy Burden'!$B$2:$E$914,4,FALSE)</f>
        <v>Yes</v>
      </c>
    </row>
    <row r="275" spans="1:17" x14ac:dyDescent="0.2">
      <c r="A275" s="30" t="s">
        <v>979</v>
      </c>
      <c r="B275" s="169">
        <v>9003501500</v>
      </c>
      <c r="C275" s="232" t="s">
        <v>944</v>
      </c>
      <c r="D275" s="182">
        <v>21551.207391</v>
      </c>
      <c r="E275" s="182">
        <v>2502.5</v>
      </c>
      <c r="F275" s="13">
        <f>[1]!Table323[[#This Row],[Single Family]]+[1]!Table323[[#This Row],[2-4 Units]]+[1]!Table323[[#This Row],[&gt;4 Units]]</f>
        <v>0</v>
      </c>
      <c r="G275" s="30">
        <v>0</v>
      </c>
      <c r="H275" s="30">
        <v>0</v>
      </c>
      <c r="I275" s="30">
        <v>0</v>
      </c>
      <c r="J275" s="231">
        <v>0</v>
      </c>
      <c r="K275">
        <f t="shared" si="4"/>
        <v>16</v>
      </c>
      <c r="L275" s="30">
        <v>4</v>
      </c>
      <c r="M275" s="30">
        <v>12</v>
      </c>
      <c r="N275" s="30">
        <v>0</v>
      </c>
      <c r="O275" s="231">
        <v>2364.8200000000002</v>
      </c>
      <c r="P275" s="97">
        <f>VLOOKUP(Table323[[#This Row],[Census Tract]],'Population and Diversity Data'!$B$2:$K$823,10,FALSE)</f>
        <v>3</v>
      </c>
      <c r="Q275" s="97" t="str">
        <f>VLOOKUP(Table323[[#This Row],[Census Tract]],'ES Energy Burden'!$B$2:$E$914,4,FALSE)</f>
        <v>Yes</v>
      </c>
    </row>
    <row r="276" spans="1:17" x14ac:dyDescent="0.2">
      <c r="A276" s="30" t="s">
        <v>979</v>
      </c>
      <c r="B276" s="169">
        <v>9003501700</v>
      </c>
      <c r="C276" s="232" t="s">
        <v>944</v>
      </c>
      <c r="D276" s="182">
        <v>7155.1620000000003</v>
      </c>
      <c r="E276" s="182">
        <v>125.51</v>
      </c>
      <c r="F276" s="13">
        <f>[1]!Table323[[#This Row],[Single Family]]+[1]!Table323[[#This Row],[2-4 Units]]+[1]!Table323[[#This Row],[&gt;4 Units]]</f>
        <v>0</v>
      </c>
      <c r="G276" s="30">
        <v>0</v>
      </c>
      <c r="H276" s="30">
        <v>0</v>
      </c>
      <c r="I276" s="30">
        <v>0</v>
      </c>
      <c r="J276" s="231">
        <v>0</v>
      </c>
      <c r="K276">
        <f t="shared" si="4"/>
        <v>1</v>
      </c>
      <c r="L276" s="30">
        <v>0</v>
      </c>
      <c r="M276" s="30">
        <v>1</v>
      </c>
      <c r="N276" s="30">
        <v>0</v>
      </c>
      <c r="O276" s="231">
        <v>125.51</v>
      </c>
      <c r="P276" s="97">
        <f>VLOOKUP(Table323[[#This Row],[Census Tract]],'Population and Diversity Data'!$B$2:$K$823,10,FALSE)</f>
        <v>5</v>
      </c>
      <c r="Q276" s="97" t="str">
        <f>VLOOKUP(Table323[[#This Row],[Census Tract]],'ES Energy Burden'!$B$2:$E$914,4,FALSE)</f>
        <v>Yes</v>
      </c>
    </row>
    <row r="277" spans="1:17" x14ac:dyDescent="0.2">
      <c r="A277" s="30" t="s">
        <v>979</v>
      </c>
      <c r="B277" s="169">
        <v>9003501800</v>
      </c>
      <c r="C277" s="232" t="s">
        <v>944</v>
      </c>
      <c r="D277" s="182">
        <v>12538.790123999999</v>
      </c>
      <c r="E277" s="182">
        <v>24086.51</v>
      </c>
      <c r="F277" s="13">
        <f>[1]!Table323[[#This Row],[Single Family]]+[1]!Table323[[#This Row],[2-4 Units]]+[1]!Table323[[#This Row],[&gt;4 Units]]</f>
        <v>0</v>
      </c>
      <c r="G277" s="30">
        <v>0</v>
      </c>
      <c r="H277" s="30">
        <v>0</v>
      </c>
      <c r="I277" s="30">
        <v>0</v>
      </c>
      <c r="J277" s="231">
        <v>0</v>
      </c>
      <c r="K277">
        <f t="shared" si="4"/>
        <v>39</v>
      </c>
      <c r="L277" s="30">
        <v>2</v>
      </c>
      <c r="M277" s="30">
        <v>3</v>
      </c>
      <c r="N277" s="30">
        <v>34</v>
      </c>
      <c r="O277" s="231">
        <v>23703.22</v>
      </c>
      <c r="P277" s="97">
        <f>VLOOKUP(Table323[[#This Row],[Census Tract]],'Population and Diversity Data'!$B$2:$K$823,10,FALSE)</f>
        <v>5</v>
      </c>
      <c r="Q277" s="97" t="e">
        <f>VLOOKUP(Table323[[#This Row],[Census Tract]],'ES Energy Burden'!$B$2:$E$914,4,FALSE)</f>
        <v>#N/A</v>
      </c>
    </row>
    <row r="278" spans="1:17" x14ac:dyDescent="0.2">
      <c r="A278" s="30" t="s">
        <v>979</v>
      </c>
      <c r="B278" s="169">
        <v>9003502100</v>
      </c>
      <c r="C278" s="232" t="s">
        <v>944</v>
      </c>
      <c r="D278" s="182">
        <v>10140.710580000001</v>
      </c>
      <c r="E278" s="182">
        <v>196.43</v>
      </c>
      <c r="F278" s="13">
        <f>[1]!Table323[[#This Row],[Single Family]]+[1]!Table323[[#This Row],[2-4 Units]]+[1]!Table323[[#This Row],[&gt;4 Units]]</f>
        <v>0</v>
      </c>
      <c r="G278" s="30">
        <v>0</v>
      </c>
      <c r="H278" s="30">
        <v>0</v>
      </c>
      <c r="I278" s="30">
        <v>0</v>
      </c>
      <c r="J278" s="231">
        <v>0</v>
      </c>
      <c r="K278">
        <f t="shared" si="4"/>
        <v>2</v>
      </c>
      <c r="L278" s="30">
        <v>2</v>
      </c>
      <c r="M278" s="30">
        <v>0</v>
      </c>
      <c r="N278" s="30">
        <v>0</v>
      </c>
      <c r="O278" s="231">
        <v>383.22</v>
      </c>
      <c r="P278" s="97">
        <f>VLOOKUP(Table323[[#This Row],[Census Tract]],'Population and Diversity Data'!$B$2:$K$823,10,FALSE)</f>
        <v>5</v>
      </c>
      <c r="Q278" s="97" t="str">
        <f>VLOOKUP(Table323[[#This Row],[Census Tract]],'ES Energy Burden'!$B$2:$E$914,4,FALSE)</f>
        <v>No</v>
      </c>
    </row>
    <row r="279" spans="1:17" x14ac:dyDescent="0.2">
      <c r="A279" s="30" t="s">
        <v>979</v>
      </c>
      <c r="B279" s="169">
        <v>9003502300</v>
      </c>
      <c r="C279" s="232" t="s">
        <v>936</v>
      </c>
      <c r="D279" s="182">
        <v>34379.988299999997</v>
      </c>
      <c r="E279" s="182">
        <v>13878.08</v>
      </c>
      <c r="F279" s="13">
        <f>[1]!Table323[[#This Row],[Single Family]]+[1]!Table323[[#This Row],[2-4 Units]]+[1]!Table323[[#This Row],[&gt;4 Units]]</f>
        <v>1</v>
      </c>
      <c r="G279" s="30">
        <v>1</v>
      </c>
      <c r="H279" s="30">
        <v>0</v>
      </c>
      <c r="I279" s="30">
        <v>0</v>
      </c>
      <c r="J279" s="231">
        <v>51.52</v>
      </c>
      <c r="K279">
        <f t="shared" si="4"/>
        <v>18</v>
      </c>
      <c r="L279" s="30">
        <v>11</v>
      </c>
      <c r="M279" s="30">
        <v>7</v>
      </c>
      <c r="N279" s="30">
        <v>0</v>
      </c>
      <c r="O279" s="231">
        <v>12381.16</v>
      </c>
      <c r="P279" s="97">
        <f>VLOOKUP(Table323[[#This Row],[Census Tract]],'Population and Diversity Data'!$B$2:$K$823,10,FALSE)</f>
        <v>5</v>
      </c>
      <c r="Q279" s="97" t="str">
        <f>VLOOKUP(Table323[[#This Row],[Census Tract]],'ES Energy Burden'!$B$2:$E$914,4,FALSE)</f>
        <v>No</v>
      </c>
    </row>
    <row r="280" spans="1:17" x14ac:dyDescent="0.2">
      <c r="A280" s="30" t="s">
        <v>979</v>
      </c>
      <c r="B280" s="169">
        <v>9003502400</v>
      </c>
      <c r="C280" s="232" t="s">
        <v>936</v>
      </c>
      <c r="D280" s="182">
        <v>38627.038211999999</v>
      </c>
      <c r="E280" s="182">
        <v>4868.3599999999997</v>
      </c>
      <c r="F280" s="13">
        <f>[1]!Table323[[#This Row],[Single Family]]+[1]!Table323[[#This Row],[2-4 Units]]+[1]!Table323[[#This Row],[&gt;4 Units]]</f>
        <v>1</v>
      </c>
      <c r="G280" s="30">
        <v>1</v>
      </c>
      <c r="H280" s="30">
        <v>0</v>
      </c>
      <c r="I280" s="30">
        <v>0</v>
      </c>
      <c r="J280" s="231">
        <v>137.16</v>
      </c>
      <c r="K280">
        <f t="shared" si="4"/>
        <v>12</v>
      </c>
      <c r="L280" s="30">
        <v>2</v>
      </c>
      <c r="M280" s="30">
        <v>10</v>
      </c>
      <c r="N280" s="30">
        <v>0</v>
      </c>
      <c r="O280" s="231">
        <v>1941.39</v>
      </c>
      <c r="P280" s="97">
        <f>VLOOKUP(Table323[[#This Row],[Census Tract]],'Population and Diversity Data'!$B$2:$K$823,10,FALSE)</f>
        <v>5</v>
      </c>
      <c r="Q280" s="97" t="str">
        <f>VLOOKUP(Table323[[#This Row],[Census Tract]],'ES Energy Burden'!$B$2:$E$914,4,FALSE)</f>
        <v>Yes</v>
      </c>
    </row>
    <row r="281" spans="1:17" x14ac:dyDescent="0.2">
      <c r="A281" s="30" t="s">
        <v>979</v>
      </c>
      <c r="B281" s="169">
        <v>9003502500</v>
      </c>
      <c r="C281" s="232" t="s">
        <v>944</v>
      </c>
      <c r="D281" s="182">
        <v>10825.247160000001</v>
      </c>
      <c r="E281" s="182">
        <v>1648.5</v>
      </c>
      <c r="F281" s="13">
        <f>[1]!Table323[[#This Row],[Single Family]]+[1]!Table323[[#This Row],[2-4 Units]]+[1]!Table323[[#This Row],[&gt;4 Units]]</f>
        <v>0</v>
      </c>
      <c r="G281" s="30">
        <v>0</v>
      </c>
      <c r="H281" s="30">
        <v>0</v>
      </c>
      <c r="I281" s="30">
        <v>0</v>
      </c>
      <c r="J281" s="231">
        <v>0</v>
      </c>
      <c r="K281">
        <f t="shared" si="4"/>
        <v>6</v>
      </c>
      <c r="L281" s="30">
        <v>1</v>
      </c>
      <c r="M281" s="30">
        <v>5</v>
      </c>
      <c r="N281" s="30">
        <v>0</v>
      </c>
      <c r="O281" s="231">
        <v>1487.16</v>
      </c>
      <c r="P281" s="97">
        <f>VLOOKUP(Table323[[#This Row],[Census Tract]],'Population and Diversity Data'!$B$2:$K$823,10,FALSE)</f>
        <v>5</v>
      </c>
      <c r="Q281" s="97" t="str">
        <f>VLOOKUP(Table323[[#This Row],[Census Tract]],'ES Energy Burden'!$B$2:$E$914,4,FALSE)</f>
        <v>Yes</v>
      </c>
    </row>
    <row r="282" spans="1:17" x14ac:dyDescent="0.2">
      <c r="A282" s="30" t="s">
        <v>979</v>
      </c>
      <c r="B282" s="169">
        <v>9003502600</v>
      </c>
      <c r="C282" s="232" t="s">
        <v>944</v>
      </c>
      <c r="D282" s="182">
        <v>20582.632034999999</v>
      </c>
      <c r="E282" s="182">
        <v>27258.65</v>
      </c>
      <c r="F282" s="13">
        <f>[1]!Table323[[#This Row],[Single Family]]+[1]!Table323[[#This Row],[2-4 Units]]+[1]!Table323[[#This Row],[&gt;4 Units]]</f>
        <v>0</v>
      </c>
      <c r="G282" s="30">
        <v>0</v>
      </c>
      <c r="H282" s="30">
        <v>0</v>
      </c>
      <c r="I282" s="30">
        <v>0</v>
      </c>
      <c r="J282" s="231">
        <v>51.52</v>
      </c>
      <c r="K282">
        <f t="shared" si="4"/>
        <v>14</v>
      </c>
      <c r="L282" s="30">
        <v>6</v>
      </c>
      <c r="M282" s="30">
        <v>8</v>
      </c>
      <c r="N282" s="30">
        <v>0</v>
      </c>
      <c r="O282" s="231">
        <v>10769.69</v>
      </c>
      <c r="P282" s="97">
        <f>VLOOKUP(Table323[[#This Row],[Census Tract]],'Population and Diversity Data'!$B$2:$K$823,10,FALSE)</f>
        <v>5</v>
      </c>
      <c r="Q282" s="97" t="str">
        <f>VLOOKUP(Table323[[#This Row],[Census Tract]],'ES Energy Burden'!$B$2:$E$914,4,FALSE)</f>
        <v>Yes</v>
      </c>
    </row>
    <row r="283" spans="1:17" x14ac:dyDescent="0.2">
      <c r="A283" s="30" t="s">
        <v>979</v>
      </c>
      <c r="B283" s="169">
        <v>9003502700</v>
      </c>
      <c r="C283" s="232" t="s">
        <v>936</v>
      </c>
      <c r="D283" s="182">
        <v>19065.961320000002</v>
      </c>
      <c r="E283" s="182">
        <v>2277.9899999999998</v>
      </c>
      <c r="F283" s="13">
        <f>[1]!Table323[[#This Row],[Single Family]]+[1]!Table323[[#This Row],[2-4 Units]]+[1]!Table323[[#This Row],[&gt;4 Units]]</f>
        <v>0</v>
      </c>
      <c r="G283" s="30">
        <v>0</v>
      </c>
      <c r="H283" s="30">
        <v>0</v>
      </c>
      <c r="I283" s="30">
        <v>0</v>
      </c>
      <c r="J283" s="231">
        <v>0</v>
      </c>
      <c r="K283">
        <f t="shared" si="4"/>
        <v>3</v>
      </c>
      <c r="L283" s="30">
        <v>2</v>
      </c>
      <c r="M283" s="30">
        <v>1</v>
      </c>
      <c r="N283" s="30">
        <v>0</v>
      </c>
      <c r="O283" s="231">
        <v>2277.9899999999998</v>
      </c>
      <c r="P283" s="97">
        <f>VLOOKUP(Table323[[#This Row],[Census Tract]],'Population and Diversity Data'!$B$2:$K$823,10,FALSE)</f>
        <v>5</v>
      </c>
      <c r="Q283" s="97" t="str">
        <f>VLOOKUP(Table323[[#This Row],[Census Tract]],'ES Energy Burden'!$B$2:$E$914,4,FALSE)</f>
        <v>Yes</v>
      </c>
    </row>
    <row r="284" spans="1:17" x14ac:dyDescent="0.2">
      <c r="A284" s="30" t="s">
        <v>979</v>
      </c>
      <c r="B284" s="169">
        <v>9003502800</v>
      </c>
      <c r="C284" s="232" t="s">
        <v>936</v>
      </c>
      <c r="D284" s="182">
        <v>21049.97076</v>
      </c>
      <c r="E284" s="182">
        <v>1798.66</v>
      </c>
      <c r="F284" s="13">
        <f>[1]!Table323[[#This Row],[Single Family]]+[1]!Table323[[#This Row],[2-4 Units]]+[1]!Table323[[#This Row],[&gt;4 Units]]</f>
        <v>0</v>
      </c>
      <c r="G284" s="30">
        <v>0</v>
      </c>
      <c r="H284" s="30">
        <v>0</v>
      </c>
      <c r="I284" s="30">
        <v>0</v>
      </c>
      <c r="J284" s="231">
        <v>0</v>
      </c>
      <c r="K284">
        <f t="shared" si="4"/>
        <v>7</v>
      </c>
      <c r="L284" s="30">
        <v>2</v>
      </c>
      <c r="M284" s="30">
        <v>5</v>
      </c>
      <c r="N284" s="30">
        <v>0</v>
      </c>
      <c r="O284" s="231">
        <v>750.74</v>
      </c>
      <c r="P284" s="97">
        <f>VLOOKUP(Table323[[#This Row],[Census Tract]],'Population and Diversity Data'!$B$2:$K$823,10,FALSE)</f>
        <v>5</v>
      </c>
      <c r="Q284" s="97" t="e">
        <f>VLOOKUP(Table323[[#This Row],[Census Tract]],'ES Energy Burden'!$B$2:$E$914,4,FALSE)</f>
        <v>#N/A</v>
      </c>
    </row>
    <row r="285" spans="1:17" x14ac:dyDescent="0.2">
      <c r="A285" s="30" t="s">
        <v>979</v>
      </c>
      <c r="B285" s="169">
        <v>9003502900</v>
      </c>
      <c r="C285" s="232" t="s">
        <v>944</v>
      </c>
      <c r="D285" s="182">
        <v>12910.225335000001</v>
      </c>
      <c r="E285" s="182">
        <v>296.17</v>
      </c>
      <c r="F285" s="13">
        <f>[1]!Table323[[#This Row],[Single Family]]+[1]!Table323[[#This Row],[2-4 Units]]+[1]!Table323[[#This Row],[&gt;4 Units]]</f>
        <v>0</v>
      </c>
      <c r="G285" s="30">
        <v>0</v>
      </c>
      <c r="H285" s="30">
        <v>0</v>
      </c>
      <c r="I285" s="30">
        <v>0</v>
      </c>
      <c r="J285" s="231">
        <v>0</v>
      </c>
      <c r="K285">
        <f t="shared" si="4"/>
        <v>1</v>
      </c>
      <c r="L285" s="30">
        <v>1</v>
      </c>
      <c r="M285" s="30">
        <v>0</v>
      </c>
      <c r="N285" s="30">
        <v>0</v>
      </c>
      <c r="O285" s="231">
        <v>229.95</v>
      </c>
      <c r="P285" s="97">
        <f>VLOOKUP(Table323[[#This Row],[Census Tract]],'Population and Diversity Data'!$B$2:$K$823,10,FALSE)</f>
        <v>5</v>
      </c>
      <c r="Q285" s="97" t="str">
        <f>VLOOKUP(Table323[[#This Row],[Census Tract]],'ES Energy Burden'!$B$2:$E$914,4,FALSE)</f>
        <v>No</v>
      </c>
    </row>
    <row r="286" spans="1:17" x14ac:dyDescent="0.2">
      <c r="A286" s="30" t="s">
        <v>979</v>
      </c>
      <c r="B286" s="169">
        <v>9003503000</v>
      </c>
      <c r="C286" s="232" t="s">
        <v>936</v>
      </c>
      <c r="D286" s="182">
        <v>17912.302778999998</v>
      </c>
      <c r="E286" s="182">
        <v>159.18</v>
      </c>
      <c r="F286" s="13">
        <f>[1]!Table323[[#This Row],[Single Family]]+[1]!Table323[[#This Row],[2-4 Units]]+[1]!Table323[[#This Row],[&gt;4 Units]]</f>
        <v>0</v>
      </c>
      <c r="G286" s="30">
        <v>0</v>
      </c>
      <c r="H286" s="30">
        <v>0</v>
      </c>
      <c r="I286" s="30">
        <v>0</v>
      </c>
      <c r="J286" s="231">
        <v>0</v>
      </c>
      <c r="K286">
        <f t="shared" si="4"/>
        <v>2</v>
      </c>
      <c r="L286" s="30">
        <v>0</v>
      </c>
      <c r="M286" s="30">
        <v>2</v>
      </c>
      <c r="N286" s="30">
        <v>0</v>
      </c>
      <c r="O286" s="231">
        <v>159.18</v>
      </c>
      <c r="P286" s="97">
        <f>VLOOKUP(Table323[[#This Row],[Census Tract]],'Population and Diversity Data'!$B$2:$K$823,10,FALSE)</f>
        <v>5</v>
      </c>
      <c r="Q286" s="97" t="e">
        <f>VLOOKUP(Table323[[#This Row],[Census Tract]],'ES Energy Burden'!$B$2:$E$914,4,FALSE)</f>
        <v>#N/A</v>
      </c>
    </row>
    <row r="287" spans="1:17" x14ac:dyDescent="0.2">
      <c r="A287" s="30" t="s">
        <v>979</v>
      </c>
      <c r="B287" s="169">
        <v>9003503100</v>
      </c>
      <c r="C287" s="232" t="s">
        <v>936</v>
      </c>
      <c r="D287" s="182">
        <v>28794.067218</v>
      </c>
      <c r="E287" s="182">
        <v>1722.11</v>
      </c>
      <c r="F287" s="13">
        <f>[1]!Table323[[#This Row],[Single Family]]+[1]!Table323[[#This Row],[2-4 Units]]+[1]!Table323[[#This Row],[&gt;4 Units]]</f>
        <v>0</v>
      </c>
      <c r="G287" s="30">
        <v>0</v>
      </c>
      <c r="H287" s="30">
        <v>0</v>
      </c>
      <c r="I287" s="30">
        <v>0</v>
      </c>
      <c r="J287" s="231">
        <v>0</v>
      </c>
      <c r="K287">
        <f t="shared" si="4"/>
        <v>84</v>
      </c>
      <c r="L287" s="30">
        <v>1</v>
      </c>
      <c r="M287" s="30">
        <v>1</v>
      </c>
      <c r="N287" s="30">
        <v>82</v>
      </c>
      <c r="O287" s="231">
        <v>6093.56</v>
      </c>
      <c r="P287" s="97">
        <f>VLOOKUP(Table323[[#This Row],[Census Tract]],'Population and Diversity Data'!$B$2:$K$823,10,FALSE)</f>
        <v>5</v>
      </c>
      <c r="Q287" s="97" t="str">
        <f>VLOOKUP(Table323[[#This Row],[Census Tract]],'ES Energy Burden'!$B$2:$E$914,4,FALSE)</f>
        <v>No</v>
      </c>
    </row>
    <row r="288" spans="1:17" x14ac:dyDescent="0.2">
      <c r="A288" s="30" t="s">
        <v>979</v>
      </c>
      <c r="B288" s="169">
        <v>9003503300</v>
      </c>
      <c r="C288" s="232" t="s">
        <v>944</v>
      </c>
      <c r="D288" s="182">
        <v>15415.710555</v>
      </c>
      <c r="E288" s="182">
        <v>358.51</v>
      </c>
      <c r="F288" s="13">
        <f>[1]!Table323[[#This Row],[Single Family]]+[1]!Table323[[#This Row],[2-4 Units]]+[1]!Table323[[#This Row],[&gt;4 Units]]</f>
        <v>0</v>
      </c>
      <c r="G288" s="30">
        <v>0</v>
      </c>
      <c r="H288" s="30">
        <v>0</v>
      </c>
      <c r="I288" s="30">
        <v>0</v>
      </c>
      <c r="J288" s="231">
        <v>0</v>
      </c>
      <c r="K288">
        <f t="shared" si="4"/>
        <v>4</v>
      </c>
      <c r="L288" s="30">
        <v>2</v>
      </c>
      <c r="M288" s="30">
        <v>2</v>
      </c>
      <c r="N288" s="30">
        <v>0</v>
      </c>
      <c r="O288" s="231">
        <v>321.99</v>
      </c>
      <c r="P288" s="97">
        <f>VLOOKUP(Table323[[#This Row],[Census Tract]],'Population and Diversity Data'!$B$2:$K$823,10,FALSE)</f>
        <v>5</v>
      </c>
      <c r="Q288" s="97" t="str">
        <f>VLOOKUP(Table323[[#This Row],[Census Tract]],'ES Energy Burden'!$B$2:$E$914,4,FALSE)</f>
        <v>Yes</v>
      </c>
    </row>
    <row r="289" spans="1:17" x14ac:dyDescent="0.2">
      <c r="A289" s="30" t="s">
        <v>979</v>
      </c>
      <c r="B289" s="169">
        <v>9003503500</v>
      </c>
      <c r="C289" s="232" t="s">
        <v>944</v>
      </c>
      <c r="D289" s="182">
        <v>9440.2446600000003</v>
      </c>
      <c r="E289" s="182">
        <v>6189.88</v>
      </c>
      <c r="F289" s="13">
        <f>[1]!Table323[[#This Row],[Single Family]]+[1]!Table323[[#This Row],[2-4 Units]]+[1]!Table323[[#This Row],[&gt;4 Units]]</f>
        <v>0</v>
      </c>
      <c r="G289" s="30">
        <v>0</v>
      </c>
      <c r="H289" s="30">
        <v>0</v>
      </c>
      <c r="I289" s="30">
        <v>0</v>
      </c>
      <c r="J289" s="231">
        <v>0</v>
      </c>
      <c r="K289">
        <f t="shared" si="4"/>
        <v>26</v>
      </c>
      <c r="L289" s="30">
        <v>0</v>
      </c>
      <c r="M289" s="30">
        <v>8</v>
      </c>
      <c r="N289" s="30">
        <v>18</v>
      </c>
      <c r="O289" s="231">
        <v>5977.85</v>
      </c>
      <c r="P289" s="97">
        <f>VLOOKUP(Table323[[#This Row],[Census Tract]],'Population and Diversity Data'!$B$2:$K$823,10,FALSE)</f>
        <v>4</v>
      </c>
      <c r="Q289" s="97" t="str">
        <f>VLOOKUP(Table323[[#This Row],[Census Tract]],'ES Energy Burden'!$B$2:$E$914,4,FALSE)</f>
        <v>Yes</v>
      </c>
    </row>
    <row r="290" spans="1:17" x14ac:dyDescent="0.2">
      <c r="A290" s="30" t="s">
        <v>979</v>
      </c>
      <c r="B290" s="169">
        <v>9003503700</v>
      </c>
      <c r="C290" s="232" t="s">
        <v>944</v>
      </c>
      <c r="D290" s="182">
        <v>21963.401040000001</v>
      </c>
      <c r="E290" s="182">
        <v>3479.46</v>
      </c>
      <c r="F290" s="13">
        <f>[1]!Table323[[#This Row],[Single Family]]+[1]!Table323[[#This Row],[2-4 Units]]+[1]!Table323[[#This Row],[&gt;4 Units]]</f>
        <v>0</v>
      </c>
      <c r="G290" s="30">
        <v>0</v>
      </c>
      <c r="H290" s="30">
        <v>0</v>
      </c>
      <c r="I290" s="30">
        <v>0</v>
      </c>
      <c r="J290" s="231">
        <v>85.86</v>
      </c>
      <c r="K290">
        <f t="shared" si="4"/>
        <v>10</v>
      </c>
      <c r="L290" s="30">
        <v>0</v>
      </c>
      <c r="M290" s="30">
        <v>10</v>
      </c>
      <c r="N290" s="30">
        <v>0</v>
      </c>
      <c r="O290" s="231">
        <v>2006</v>
      </c>
      <c r="P290" s="97">
        <f>VLOOKUP(Table323[[#This Row],[Census Tract]],'Population and Diversity Data'!$B$2:$K$823,10,FALSE)</f>
        <v>2</v>
      </c>
      <c r="Q290" s="97" t="str">
        <f>VLOOKUP(Table323[[#This Row],[Census Tract]],'ES Energy Burden'!$B$2:$E$914,4,FALSE)</f>
        <v>Yes</v>
      </c>
    </row>
    <row r="291" spans="1:17" x14ac:dyDescent="0.2">
      <c r="A291" s="30" t="s">
        <v>979</v>
      </c>
      <c r="B291" s="169">
        <v>9003503800</v>
      </c>
      <c r="C291" s="232" t="s">
        <v>944</v>
      </c>
      <c r="D291" s="182">
        <v>3741.4397159999999</v>
      </c>
      <c r="E291" s="182">
        <v>1283.46</v>
      </c>
      <c r="F291" s="13">
        <f>[1]!Table323[[#This Row],[Single Family]]+[1]!Table323[[#This Row],[2-4 Units]]+[1]!Table323[[#This Row],[&gt;4 Units]]</f>
        <v>0</v>
      </c>
      <c r="G291" s="30">
        <v>0</v>
      </c>
      <c r="H291" s="30">
        <v>0</v>
      </c>
      <c r="I291" s="30">
        <v>0</v>
      </c>
      <c r="J291" s="231">
        <v>418.96</v>
      </c>
      <c r="K291">
        <f t="shared" si="4"/>
        <v>0</v>
      </c>
      <c r="L291" s="30">
        <v>0</v>
      </c>
      <c r="M291" s="30">
        <v>0</v>
      </c>
      <c r="N291" s="30">
        <v>0</v>
      </c>
      <c r="O291" s="231">
        <v>0</v>
      </c>
      <c r="P291" s="97">
        <f>VLOOKUP(Table323[[#This Row],[Census Tract]],'Population and Diversity Data'!$B$2:$K$823,10,FALSE)</f>
        <v>4</v>
      </c>
      <c r="Q291" s="97" t="str">
        <f>VLOOKUP(Table323[[#This Row],[Census Tract]],'ES Energy Burden'!$B$2:$E$914,4,FALSE)</f>
        <v>Yes</v>
      </c>
    </row>
    <row r="292" spans="1:17" x14ac:dyDescent="0.2">
      <c r="A292" s="30" t="s">
        <v>979</v>
      </c>
      <c r="B292" s="169">
        <v>9003503900</v>
      </c>
      <c r="C292" s="232" t="s">
        <v>944</v>
      </c>
      <c r="D292" s="182">
        <v>35238.607739999999</v>
      </c>
      <c r="E292" s="182">
        <v>43001.09</v>
      </c>
      <c r="F292" s="13">
        <f>[1]!Table323[[#This Row],[Single Family]]+[1]!Table323[[#This Row],[2-4 Units]]+[1]!Table323[[#This Row],[&gt;4 Units]]</f>
        <v>0</v>
      </c>
      <c r="G292" s="30">
        <v>0</v>
      </c>
      <c r="H292" s="30">
        <v>0</v>
      </c>
      <c r="I292" s="30">
        <v>0</v>
      </c>
      <c r="J292" s="231">
        <v>8886.82</v>
      </c>
      <c r="K292">
        <f t="shared" si="4"/>
        <v>48</v>
      </c>
      <c r="L292" s="30">
        <v>35</v>
      </c>
      <c r="M292" s="30">
        <v>13</v>
      </c>
      <c r="N292" s="30">
        <v>0</v>
      </c>
      <c r="O292" s="231">
        <v>24816.52</v>
      </c>
      <c r="P292" s="97">
        <f>VLOOKUP(Table323[[#This Row],[Census Tract]],'Population and Diversity Data'!$B$2:$K$823,10,FALSE)</f>
        <v>2</v>
      </c>
      <c r="Q292" s="97" t="str">
        <f>VLOOKUP(Table323[[#This Row],[Census Tract]],'ES Energy Burden'!$B$2:$E$914,4,FALSE)</f>
        <v>No</v>
      </c>
    </row>
    <row r="293" spans="1:17" x14ac:dyDescent="0.2">
      <c r="A293" s="30" t="s">
        <v>979</v>
      </c>
      <c r="B293" s="169">
        <v>9003504000</v>
      </c>
      <c r="C293" s="232" t="s">
        <v>944</v>
      </c>
      <c r="D293" s="182">
        <v>21857.042024999999</v>
      </c>
      <c r="E293" s="182">
        <v>15681.03</v>
      </c>
      <c r="F293" s="13">
        <f>[1]!Table323[[#This Row],[Single Family]]+[1]!Table323[[#This Row],[2-4 Units]]+[1]!Table323[[#This Row],[&gt;4 Units]]</f>
        <v>0</v>
      </c>
      <c r="G293" s="30">
        <v>0</v>
      </c>
      <c r="H293" s="30">
        <v>0</v>
      </c>
      <c r="I293" s="30">
        <v>0</v>
      </c>
      <c r="J293" s="231">
        <v>6.59</v>
      </c>
      <c r="K293">
        <f t="shared" si="4"/>
        <v>24</v>
      </c>
      <c r="L293" s="30">
        <v>9</v>
      </c>
      <c r="M293" s="30">
        <v>15</v>
      </c>
      <c r="N293" s="30">
        <v>0</v>
      </c>
      <c r="O293" s="231">
        <v>15036.47</v>
      </c>
      <c r="P293" s="97">
        <f>VLOOKUP(Table323[[#This Row],[Census Tract]],'Population and Diversity Data'!$B$2:$K$823,10,FALSE)</f>
        <v>1</v>
      </c>
      <c r="Q293" s="97" t="str">
        <f>VLOOKUP(Table323[[#This Row],[Census Tract]],'ES Energy Burden'!$B$2:$E$914,4,FALSE)</f>
        <v>Yes</v>
      </c>
    </row>
    <row r="294" spans="1:17" x14ac:dyDescent="0.2">
      <c r="A294" s="30" t="s">
        <v>979</v>
      </c>
      <c r="B294" s="169">
        <v>9003504100</v>
      </c>
      <c r="C294" s="232" t="s">
        <v>944</v>
      </c>
      <c r="D294" s="182">
        <v>8361.1019099999994</v>
      </c>
      <c r="E294" s="182">
        <v>946.23</v>
      </c>
      <c r="F294" s="13">
        <f>[1]!Table323[[#This Row],[Single Family]]+[1]!Table323[[#This Row],[2-4 Units]]+[1]!Table323[[#This Row],[&gt;4 Units]]</f>
        <v>0</v>
      </c>
      <c r="G294" s="30">
        <v>0</v>
      </c>
      <c r="H294" s="30">
        <v>0</v>
      </c>
      <c r="I294" s="30">
        <v>0</v>
      </c>
      <c r="J294" s="231">
        <v>0</v>
      </c>
      <c r="K294">
        <f t="shared" si="4"/>
        <v>5</v>
      </c>
      <c r="L294" s="30">
        <v>1</v>
      </c>
      <c r="M294" s="30">
        <v>4</v>
      </c>
      <c r="N294" s="30">
        <v>0</v>
      </c>
      <c r="O294" s="231">
        <v>844.77</v>
      </c>
      <c r="P294" s="97">
        <f>VLOOKUP(Table323[[#This Row],[Census Tract]],'Population and Diversity Data'!$B$2:$K$823,10,FALSE)</f>
        <v>5</v>
      </c>
      <c r="Q294" s="97" t="str">
        <f>VLOOKUP(Table323[[#This Row],[Census Tract]],'ES Energy Burden'!$B$2:$E$914,4,FALSE)</f>
        <v>Yes</v>
      </c>
    </row>
    <row r="295" spans="1:17" x14ac:dyDescent="0.2">
      <c r="A295" s="30" t="s">
        <v>979</v>
      </c>
      <c r="B295" s="169">
        <v>9003504200</v>
      </c>
      <c r="C295" s="232" t="s">
        <v>936</v>
      </c>
      <c r="D295" s="182">
        <v>27450.560697000001</v>
      </c>
      <c r="E295" s="182">
        <v>4524.21</v>
      </c>
      <c r="F295" s="13">
        <f>[1]!Table323[[#This Row],[Single Family]]+[1]!Table323[[#This Row],[2-4 Units]]+[1]!Table323[[#This Row],[&gt;4 Units]]</f>
        <v>0</v>
      </c>
      <c r="G295" s="30">
        <v>0</v>
      </c>
      <c r="H295" s="30">
        <v>0</v>
      </c>
      <c r="I295" s="30">
        <v>0</v>
      </c>
      <c r="J295" s="231">
        <v>0</v>
      </c>
      <c r="K295">
        <f t="shared" si="4"/>
        <v>35</v>
      </c>
      <c r="L295" s="30">
        <v>0</v>
      </c>
      <c r="M295" s="30">
        <v>2</v>
      </c>
      <c r="N295" s="30">
        <v>33</v>
      </c>
      <c r="O295" s="231">
        <v>3430.06</v>
      </c>
      <c r="P295" s="97">
        <f>VLOOKUP(Table323[[#This Row],[Census Tract]],'Population and Diversity Data'!$B$2:$K$823,10,FALSE)</f>
        <v>5</v>
      </c>
      <c r="Q295" s="97" t="str">
        <f>VLOOKUP(Table323[[#This Row],[Census Tract]],'ES Energy Burden'!$B$2:$E$914,4,FALSE)</f>
        <v>No</v>
      </c>
    </row>
    <row r="296" spans="1:17" x14ac:dyDescent="0.2">
      <c r="A296" s="30" t="s">
        <v>979</v>
      </c>
      <c r="B296" s="169">
        <v>9003504300</v>
      </c>
      <c r="C296" s="232" t="s">
        <v>944</v>
      </c>
      <c r="D296" s="182">
        <v>13611.832101000002</v>
      </c>
      <c r="E296" s="182">
        <v>3193.16</v>
      </c>
      <c r="F296" s="13">
        <f>[1]!Table323[[#This Row],[Single Family]]+[1]!Table323[[#This Row],[2-4 Units]]+[1]!Table323[[#This Row],[&gt;4 Units]]</f>
        <v>0</v>
      </c>
      <c r="G296" s="30">
        <v>0</v>
      </c>
      <c r="H296" s="30">
        <v>0</v>
      </c>
      <c r="I296" s="30">
        <v>0</v>
      </c>
      <c r="J296" s="231">
        <v>0</v>
      </c>
      <c r="K296">
        <f t="shared" si="4"/>
        <v>7</v>
      </c>
      <c r="L296" s="30">
        <v>1</v>
      </c>
      <c r="M296" s="30">
        <v>6</v>
      </c>
      <c r="N296" s="30">
        <v>0</v>
      </c>
      <c r="O296" s="231">
        <v>3145.46</v>
      </c>
      <c r="P296" s="97">
        <f>VLOOKUP(Table323[[#This Row],[Census Tract]],'Population and Diversity Data'!$B$2:$K$823,10,FALSE)</f>
        <v>5</v>
      </c>
      <c r="Q296" s="97" t="str">
        <f>VLOOKUP(Table323[[#This Row],[Census Tract]],'ES Energy Burden'!$B$2:$E$914,4,FALSE)</f>
        <v>Yes</v>
      </c>
    </row>
    <row r="297" spans="1:17" x14ac:dyDescent="0.2">
      <c r="A297" s="30" t="s">
        <v>979</v>
      </c>
      <c r="B297" s="169">
        <v>9003504500</v>
      </c>
      <c r="C297" s="232" t="s">
        <v>944</v>
      </c>
      <c r="D297" s="182">
        <v>21935.32908</v>
      </c>
      <c r="E297" s="182">
        <v>9635.0300000000007</v>
      </c>
      <c r="F297" s="13">
        <f>[1]!Table323[[#This Row],[Single Family]]+[1]!Table323[[#This Row],[2-4 Units]]+[1]!Table323[[#This Row],[&gt;4 Units]]</f>
        <v>0</v>
      </c>
      <c r="G297" s="30">
        <v>0</v>
      </c>
      <c r="H297" s="30">
        <v>0</v>
      </c>
      <c r="I297" s="30">
        <v>0</v>
      </c>
      <c r="J297" s="231">
        <v>0</v>
      </c>
      <c r="K297">
        <f t="shared" si="4"/>
        <v>16</v>
      </c>
      <c r="L297" s="30">
        <v>6</v>
      </c>
      <c r="M297" s="30">
        <v>10</v>
      </c>
      <c r="N297" s="30">
        <v>0</v>
      </c>
      <c r="O297" s="231">
        <v>8344.94</v>
      </c>
      <c r="P297" s="97">
        <f>VLOOKUP(Table323[[#This Row],[Census Tract]],'Population and Diversity Data'!$B$2:$K$823,10,FALSE)</f>
        <v>5</v>
      </c>
      <c r="Q297" s="97" t="str">
        <f>VLOOKUP(Table323[[#This Row],[Census Tract]],'ES Energy Burden'!$B$2:$E$914,4,FALSE)</f>
        <v>Yes</v>
      </c>
    </row>
    <row r="298" spans="1:17" x14ac:dyDescent="0.2">
      <c r="A298" s="30" t="s">
        <v>979</v>
      </c>
      <c r="B298" s="169">
        <v>9003504800</v>
      </c>
      <c r="C298" s="232" t="s">
        <v>936</v>
      </c>
      <c r="D298" s="182">
        <v>34630.234464000001</v>
      </c>
      <c r="E298" s="182">
        <v>73478.880000000005</v>
      </c>
      <c r="F298" s="13">
        <f>[1]!Table323[[#This Row],[Single Family]]+[1]!Table323[[#This Row],[2-4 Units]]+[1]!Table323[[#This Row],[&gt;4 Units]]</f>
        <v>1</v>
      </c>
      <c r="G298" s="30">
        <v>1</v>
      </c>
      <c r="H298" s="30">
        <v>0</v>
      </c>
      <c r="I298" s="30">
        <v>0</v>
      </c>
      <c r="J298" s="231">
        <v>7023.4</v>
      </c>
      <c r="K298">
        <f t="shared" si="4"/>
        <v>34</v>
      </c>
      <c r="L298" s="30">
        <v>25</v>
      </c>
      <c r="M298" s="30">
        <v>9</v>
      </c>
      <c r="N298" s="30">
        <v>0</v>
      </c>
      <c r="O298" s="231">
        <v>50478.95</v>
      </c>
      <c r="P298" s="97">
        <f>VLOOKUP(Table323[[#This Row],[Census Tract]],'Population and Diversity Data'!$B$2:$K$823,10,FALSE)</f>
        <v>5</v>
      </c>
      <c r="Q298" s="97" t="str">
        <f>VLOOKUP(Table323[[#This Row],[Census Tract]],'ES Energy Burden'!$B$2:$E$914,4,FALSE)</f>
        <v>Yes</v>
      </c>
    </row>
    <row r="299" spans="1:17" x14ac:dyDescent="0.2">
      <c r="A299" s="30" t="s">
        <v>979</v>
      </c>
      <c r="B299" s="169">
        <v>9003504900</v>
      </c>
      <c r="C299" s="232" t="s">
        <v>944</v>
      </c>
      <c r="D299" s="182">
        <v>25292.758679999999</v>
      </c>
      <c r="E299" s="182">
        <v>13193.14</v>
      </c>
      <c r="F299" s="13">
        <f>[1]!Table323[[#This Row],[Single Family]]+[1]!Table323[[#This Row],[2-4 Units]]+[1]!Table323[[#This Row],[&gt;4 Units]]</f>
        <v>1</v>
      </c>
      <c r="G299" s="30">
        <v>1</v>
      </c>
      <c r="H299" s="30">
        <v>0</v>
      </c>
      <c r="I299" s="30">
        <v>0</v>
      </c>
      <c r="J299" s="231">
        <v>10.92</v>
      </c>
      <c r="K299">
        <f t="shared" si="4"/>
        <v>26</v>
      </c>
      <c r="L299" s="30">
        <v>9</v>
      </c>
      <c r="M299" s="30">
        <v>5</v>
      </c>
      <c r="N299" s="30">
        <v>12</v>
      </c>
      <c r="O299" s="231">
        <v>9529.59</v>
      </c>
      <c r="P299" s="97">
        <f>VLOOKUP(Table323[[#This Row],[Census Tract]],'Population and Diversity Data'!$B$2:$K$823,10,FALSE)</f>
        <v>5</v>
      </c>
      <c r="Q299" s="97" t="str">
        <f>VLOOKUP(Table323[[#This Row],[Census Tract]],'ES Energy Burden'!$B$2:$E$914,4,FALSE)</f>
        <v>Yes</v>
      </c>
    </row>
    <row r="300" spans="1:17" x14ac:dyDescent="0.2">
      <c r="A300" s="30" t="s">
        <v>979</v>
      </c>
      <c r="B300" s="169">
        <v>9003524400</v>
      </c>
      <c r="C300" s="232" t="s">
        <v>944</v>
      </c>
      <c r="D300" s="182">
        <v>22269.482970000001</v>
      </c>
      <c r="E300" s="182">
        <v>2969.41</v>
      </c>
      <c r="F300" s="13">
        <f>[1]!Table323[[#This Row],[Single Family]]+[1]!Table323[[#This Row],[2-4 Units]]+[1]!Table323[[#This Row],[&gt;4 Units]]</f>
        <v>0</v>
      </c>
      <c r="G300" s="30">
        <v>0</v>
      </c>
      <c r="H300" s="30">
        <v>0</v>
      </c>
      <c r="I300" s="30">
        <v>0</v>
      </c>
      <c r="J300" s="231">
        <v>136.91999999999999</v>
      </c>
      <c r="K300">
        <f t="shared" si="4"/>
        <v>14</v>
      </c>
      <c r="L300" s="30">
        <v>6</v>
      </c>
      <c r="M300" s="30">
        <v>8</v>
      </c>
      <c r="N300" s="30">
        <v>0</v>
      </c>
      <c r="O300" s="231">
        <v>3117.87</v>
      </c>
      <c r="P300" s="97">
        <f>VLOOKUP(Table323[[#This Row],[Census Tract]],'Population and Diversity Data'!$B$2:$K$823,10,FALSE)</f>
        <v>5</v>
      </c>
      <c r="Q300" s="97" t="str">
        <f>VLOOKUP(Table323[[#This Row],[Census Tract]],'ES Energy Burden'!$B$2:$E$914,4,FALSE)</f>
        <v>Yes</v>
      </c>
    </row>
    <row r="301" spans="1:17" x14ac:dyDescent="0.2">
      <c r="A301" s="30" t="s">
        <v>979</v>
      </c>
      <c r="B301" s="169">
        <v>9003524501</v>
      </c>
      <c r="C301" s="232" t="s">
        <v>944</v>
      </c>
      <c r="D301" s="182">
        <v>14079.380448</v>
      </c>
      <c r="E301" s="182">
        <v>3308.66</v>
      </c>
      <c r="F301" s="13">
        <f>[1]!Table323[[#This Row],[Single Family]]+[1]!Table323[[#This Row],[2-4 Units]]+[1]!Table323[[#This Row],[&gt;4 Units]]</f>
        <v>1</v>
      </c>
      <c r="G301" s="30">
        <v>1</v>
      </c>
      <c r="H301" s="30">
        <v>0</v>
      </c>
      <c r="I301" s="30">
        <v>0</v>
      </c>
      <c r="J301" s="231">
        <v>0</v>
      </c>
      <c r="K301">
        <f t="shared" si="4"/>
        <v>25</v>
      </c>
      <c r="L301" s="30">
        <v>1</v>
      </c>
      <c r="M301" s="30">
        <v>3</v>
      </c>
      <c r="N301" s="30">
        <v>21</v>
      </c>
      <c r="O301" s="231">
        <v>1567.95</v>
      </c>
      <c r="P301" s="97">
        <f>VLOOKUP(Table323[[#This Row],[Census Tract]],'Population and Diversity Data'!$B$2:$K$823,10,FALSE)</f>
        <v>5</v>
      </c>
      <c r="Q301" s="97" t="str">
        <f>VLOOKUP(Table323[[#This Row],[Census Tract]],'ES Energy Burden'!$B$2:$E$914,4,FALSE)</f>
        <v>No</v>
      </c>
    </row>
    <row r="302" spans="1:17" x14ac:dyDescent="0.2">
      <c r="A302" s="30" t="s">
        <v>979</v>
      </c>
      <c r="B302" s="169">
        <v>9003524502</v>
      </c>
      <c r="C302" s="232" t="s">
        <v>944</v>
      </c>
      <c r="D302" s="182">
        <v>22402.98417</v>
      </c>
      <c r="E302" s="182">
        <v>7336.67</v>
      </c>
      <c r="F302" s="13">
        <f>[1]!Table323[[#This Row],[Single Family]]+[1]!Table323[[#This Row],[2-4 Units]]+[1]!Table323[[#This Row],[&gt;4 Units]]</f>
        <v>264</v>
      </c>
      <c r="G302" s="30">
        <v>0</v>
      </c>
      <c r="H302" s="30">
        <v>0</v>
      </c>
      <c r="I302" s="30">
        <v>264</v>
      </c>
      <c r="J302" s="231">
        <v>0</v>
      </c>
      <c r="K302">
        <f t="shared" si="4"/>
        <v>849</v>
      </c>
      <c r="L302" s="30">
        <v>1</v>
      </c>
      <c r="M302" s="30">
        <v>0</v>
      </c>
      <c r="N302" s="30">
        <v>848</v>
      </c>
      <c r="O302" s="231">
        <v>1618.18</v>
      </c>
      <c r="P302" s="97">
        <f>VLOOKUP(Table323[[#This Row],[Census Tract]],'Population and Diversity Data'!$B$2:$K$823,10,FALSE)</f>
        <v>5</v>
      </c>
      <c r="Q302" s="97" t="str">
        <f>VLOOKUP(Table323[[#This Row],[Census Tract]],'ES Energy Burden'!$B$2:$E$914,4,FALSE)</f>
        <v>No</v>
      </c>
    </row>
    <row r="303" spans="1:17" x14ac:dyDescent="0.2">
      <c r="A303" s="30" t="s">
        <v>979</v>
      </c>
      <c r="B303" s="169">
        <v>9003524600</v>
      </c>
      <c r="C303" s="232" t="s">
        <v>944</v>
      </c>
      <c r="D303" s="182">
        <v>16407.574722000001</v>
      </c>
      <c r="E303" s="182">
        <v>3823.23</v>
      </c>
      <c r="F303" s="13">
        <f>[1]!Table323[[#This Row],[Single Family]]+[1]!Table323[[#This Row],[2-4 Units]]+[1]!Table323[[#This Row],[&gt;4 Units]]</f>
        <v>198</v>
      </c>
      <c r="G303" s="30">
        <v>164</v>
      </c>
      <c r="H303" s="30">
        <v>34</v>
      </c>
      <c r="I303" s="30">
        <v>0</v>
      </c>
      <c r="J303" s="231">
        <v>126700.43</v>
      </c>
      <c r="K303">
        <f t="shared" si="4"/>
        <v>210</v>
      </c>
      <c r="L303" s="30">
        <v>63</v>
      </c>
      <c r="M303" s="30">
        <v>117</v>
      </c>
      <c r="N303" s="30">
        <v>30</v>
      </c>
      <c r="O303" s="231">
        <v>371727.34</v>
      </c>
      <c r="P303" s="97">
        <f>VLOOKUP(Table323[[#This Row],[Census Tract]],'Population and Diversity Data'!$B$2:$K$823,10,FALSE)</f>
        <v>5</v>
      </c>
      <c r="Q303" s="97" t="str">
        <f>VLOOKUP(Table323[[#This Row],[Census Tract]],'ES Energy Burden'!$B$2:$E$914,4,FALSE)</f>
        <v>No</v>
      </c>
    </row>
    <row r="304" spans="1:17" x14ac:dyDescent="0.2">
      <c r="A304" s="30" t="s">
        <v>979</v>
      </c>
      <c r="B304" s="169">
        <v>9003524700</v>
      </c>
      <c r="C304" s="232" t="s">
        <v>944</v>
      </c>
      <c r="D304" s="182">
        <v>21960.522359999999</v>
      </c>
      <c r="E304" s="182">
        <v>29626.66</v>
      </c>
      <c r="F304" s="13">
        <f>[1]!Table323[[#This Row],[Single Family]]+[1]!Table323[[#This Row],[2-4 Units]]+[1]!Table323[[#This Row],[&gt;4 Units]]</f>
        <v>0</v>
      </c>
      <c r="G304" s="30">
        <v>0</v>
      </c>
      <c r="H304" s="30">
        <v>0</v>
      </c>
      <c r="I304" s="30">
        <v>0</v>
      </c>
      <c r="J304" s="231">
        <v>9266.02</v>
      </c>
      <c r="K304">
        <f t="shared" si="4"/>
        <v>21</v>
      </c>
      <c r="L304" s="30">
        <v>16</v>
      </c>
      <c r="M304" s="30">
        <v>5</v>
      </c>
      <c r="N304" s="30">
        <v>0</v>
      </c>
      <c r="O304" s="231">
        <v>9013.2800000000007</v>
      </c>
      <c r="P304" s="97">
        <f>VLOOKUP(Table323[[#This Row],[Census Tract]],'Population and Diversity Data'!$B$2:$K$823,10,FALSE)</f>
        <v>5</v>
      </c>
      <c r="Q304" s="97" t="str">
        <f>VLOOKUP(Table323[[#This Row],[Census Tract]],'ES Energy Burden'!$B$2:$E$914,4,FALSE)</f>
        <v>No</v>
      </c>
    </row>
    <row r="305" spans="1:17" x14ac:dyDescent="0.2">
      <c r="A305" s="30" t="s">
        <v>2785</v>
      </c>
      <c r="B305" s="169">
        <v>9003330100</v>
      </c>
      <c r="C305" s="232" t="s">
        <v>944</v>
      </c>
      <c r="D305" s="182">
        <v>32880.825368999998</v>
      </c>
      <c r="E305" s="182">
        <v>49310.12</v>
      </c>
      <c r="F305" s="13">
        <f>[1]!Table323[[#This Row],[Single Family]]+[1]!Table323[[#This Row],[2-4 Units]]+[1]!Table323[[#This Row],[&gt;4 Units]]</f>
        <v>7</v>
      </c>
      <c r="G305" s="30">
        <v>7</v>
      </c>
      <c r="H305" s="30">
        <v>0</v>
      </c>
      <c r="I305" s="30">
        <v>0</v>
      </c>
      <c r="J305" s="231">
        <v>41876.9</v>
      </c>
      <c r="K305">
        <f t="shared" si="4"/>
        <v>0</v>
      </c>
      <c r="L305" s="30">
        <v>0</v>
      </c>
      <c r="M305" s="30">
        <v>0</v>
      </c>
      <c r="N305" s="30">
        <v>0</v>
      </c>
      <c r="O305" s="231">
        <v>0</v>
      </c>
      <c r="P305" s="97">
        <f>VLOOKUP(Table323[[#This Row],[Census Tract]],'Population and Diversity Data'!$B$2:$K$823,10,FALSE)</f>
        <v>3</v>
      </c>
      <c r="Q305" s="97" t="str">
        <f>VLOOKUP(Table323[[#This Row],[Census Tract]],'ES Energy Burden'!$B$2:$E$914,4,FALSE)</f>
        <v>No</v>
      </c>
    </row>
    <row r="306" spans="1:17" x14ac:dyDescent="0.2">
      <c r="A306" s="30" t="s">
        <v>2786</v>
      </c>
      <c r="B306" s="169">
        <v>9003410102</v>
      </c>
      <c r="C306" s="232" t="s">
        <v>944</v>
      </c>
      <c r="D306" s="182">
        <v>424.61496</v>
      </c>
      <c r="E306" s="182">
        <v>750</v>
      </c>
      <c r="F306" s="13">
        <f>[1]!Table323[[#This Row],[Single Family]]+[1]!Table323[[#This Row],[2-4 Units]]+[1]!Table323[[#This Row],[&gt;4 Units]]</f>
        <v>0</v>
      </c>
      <c r="G306" s="30">
        <v>0</v>
      </c>
      <c r="H306" s="30">
        <v>0</v>
      </c>
      <c r="I306" s="30">
        <v>0</v>
      </c>
      <c r="J306" s="231">
        <v>0</v>
      </c>
      <c r="K306">
        <f t="shared" si="4"/>
        <v>0</v>
      </c>
      <c r="L306" s="30">
        <v>0</v>
      </c>
      <c r="M306" s="30">
        <v>0</v>
      </c>
      <c r="N306" s="30">
        <v>0</v>
      </c>
      <c r="O306" s="231">
        <v>0</v>
      </c>
      <c r="P306" s="97">
        <f>VLOOKUP(Table323[[#This Row],[Census Tract]],'Population and Diversity Data'!$B$2:$K$823,10,FALSE)</f>
        <v>2</v>
      </c>
      <c r="Q306" s="97" t="str">
        <f>VLOOKUP(Table323[[#This Row],[Census Tract]],'ES Energy Burden'!$B$2:$E$914,4,FALSE)</f>
        <v>No</v>
      </c>
    </row>
    <row r="307" spans="1:17" x14ac:dyDescent="0.2">
      <c r="A307" s="30" t="s">
        <v>2786</v>
      </c>
      <c r="B307" s="169">
        <v>9005298300</v>
      </c>
      <c r="C307" s="232" t="s">
        <v>944</v>
      </c>
      <c r="D307" s="182">
        <v>65216.394935999997</v>
      </c>
      <c r="E307" s="182">
        <v>95981.52</v>
      </c>
      <c r="F307" s="13">
        <f>[1]!Table323[[#This Row],[Single Family]]+[1]!Table323[[#This Row],[2-4 Units]]+[1]!Table323[[#This Row],[&gt;4 Units]]</f>
        <v>0</v>
      </c>
      <c r="G307" s="30">
        <v>0</v>
      </c>
      <c r="H307" s="30">
        <v>0</v>
      </c>
      <c r="I307" s="30">
        <v>0</v>
      </c>
      <c r="J307" s="231">
        <v>9894.64</v>
      </c>
      <c r="K307">
        <f t="shared" si="4"/>
        <v>2</v>
      </c>
      <c r="L307" s="30">
        <v>2</v>
      </c>
      <c r="M307" s="30">
        <v>0</v>
      </c>
      <c r="N307" s="30">
        <v>0</v>
      </c>
      <c r="O307" s="231">
        <v>1318.39</v>
      </c>
      <c r="P307" s="97">
        <f>VLOOKUP(Table323[[#This Row],[Census Tract]],'Population and Diversity Data'!$B$2:$K$823,10,FALSE)</f>
        <v>1</v>
      </c>
      <c r="Q307" s="97" t="str">
        <f>VLOOKUP(Table323[[#This Row],[Census Tract]],'ES Energy Burden'!$B$2:$E$914,4,FALSE)</f>
        <v>No</v>
      </c>
    </row>
    <row r="308" spans="1:17" x14ac:dyDescent="0.2">
      <c r="A308" s="30" t="s">
        <v>2786</v>
      </c>
      <c r="B308" s="169">
        <v>9005298400</v>
      </c>
      <c r="C308" s="232" t="s">
        <v>944</v>
      </c>
      <c r="D308" s="182">
        <v>38389.077636000002</v>
      </c>
      <c r="E308" s="182">
        <v>18386.88</v>
      </c>
      <c r="F308" s="13">
        <f>[1]!Table323[[#This Row],[Single Family]]+[1]!Table323[[#This Row],[2-4 Units]]+[1]!Table323[[#This Row],[&gt;4 Units]]</f>
        <v>33</v>
      </c>
      <c r="G308" s="30">
        <v>33</v>
      </c>
      <c r="H308" s="30">
        <v>0</v>
      </c>
      <c r="I308" s="30">
        <v>0</v>
      </c>
      <c r="J308" s="231">
        <v>72112.350000000006</v>
      </c>
      <c r="K308">
        <f t="shared" si="4"/>
        <v>2</v>
      </c>
      <c r="L308" s="30">
        <v>2</v>
      </c>
      <c r="M308" s="30">
        <v>0</v>
      </c>
      <c r="N308" s="30">
        <v>0</v>
      </c>
      <c r="O308" s="231">
        <v>5831.97</v>
      </c>
      <c r="P308" s="97">
        <f>VLOOKUP(Table323[[#This Row],[Census Tract]],'Population and Diversity Data'!$B$2:$K$823,10,FALSE)</f>
        <v>1</v>
      </c>
      <c r="Q308" s="97" t="str">
        <f>VLOOKUP(Table323[[#This Row],[Census Tract]],'ES Energy Burden'!$B$2:$E$914,4,FALSE)</f>
        <v>No</v>
      </c>
    </row>
    <row r="309" spans="1:17" x14ac:dyDescent="0.2">
      <c r="A309" s="30" t="s">
        <v>2786</v>
      </c>
      <c r="B309" s="169">
        <v>9005310400</v>
      </c>
      <c r="C309" s="232" t="s">
        <v>944</v>
      </c>
      <c r="D309" s="182">
        <v>263.18670000000003</v>
      </c>
      <c r="E309" s="182">
        <v>0</v>
      </c>
      <c r="F309" s="13">
        <f>[1]!Table323[[#This Row],[Single Family]]+[1]!Table323[[#This Row],[2-4 Units]]+[1]!Table323[[#This Row],[&gt;4 Units]]</f>
        <v>0</v>
      </c>
      <c r="G309" s="30">
        <v>0</v>
      </c>
      <c r="H309" s="30">
        <v>0</v>
      </c>
      <c r="I309" s="30">
        <v>0</v>
      </c>
      <c r="J309" s="231">
        <v>0</v>
      </c>
      <c r="K309">
        <f t="shared" si="4"/>
        <v>0</v>
      </c>
      <c r="L309" s="30">
        <v>0</v>
      </c>
      <c r="M309" s="30">
        <v>0</v>
      </c>
      <c r="N309" s="30">
        <v>0</v>
      </c>
      <c r="O309" s="231">
        <v>0</v>
      </c>
      <c r="P309" s="97">
        <f>VLOOKUP(Table323[[#This Row],[Census Tract]],'Population and Diversity Data'!$B$2:$K$823,10,FALSE)</f>
        <v>3</v>
      </c>
      <c r="Q309" s="97" t="str">
        <f>VLOOKUP(Table323[[#This Row],[Census Tract]],'ES Energy Burden'!$B$2:$E$914,4,FALSE)</f>
        <v>No</v>
      </c>
    </row>
    <row r="310" spans="1:17" x14ac:dyDescent="0.2">
      <c r="A310" s="30" t="s">
        <v>2786</v>
      </c>
      <c r="B310" s="169">
        <v>9005349200</v>
      </c>
      <c r="C310" s="232" t="s">
        <v>944</v>
      </c>
      <c r="D310" s="182">
        <v>29.762460000000001</v>
      </c>
      <c r="E310" s="182">
        <v>0</v>
      </c>
      <c r="F310" s="13">
        <f>[1]!Table323[[#This Row],[Single Family]]+[1]!Table323[[#This Row],[2-4 Units]]+[1]!Table323[[#This Row],[&gt;4 Units]]</f>
        <v>0</v>
      </c>
      <c r="G310" s="30">
        <v>0</v>
      </c>
      <c r="H310" s="30">
        <v>0</v>
      </c>
      <c r="I310" s="30">
        <v>0</v>
      </c>
      <c r="J310" s="231">
        <v>0</v>
      </c>
      <c r="K310">
        <f t="shared" si="4"/>
        <v>0</v>
      </c>
      <c r="L310" s="30">
        <v>0</v>
      </c>
      <c r="M310" s="30">
        <v>0</v>
      </c>
      <c r="N310" s="30">
        <v>0</v>
      </c>
      <c r="O310" s="231">
        <v>0</v>
      </c>
      <c r="P310" s="97">
        <f>VLOOKUP(Table323[[#This Row],[Census Tract]],'Population and Diversity Data'!$B$2:$K$823,10,FALSE)</f>
        <v>1</v>
      </c>
      <c r="Q310" s="97" t="str">
        <f>VLOOKUP(Table323[[#This Row],[Census Tract]],'ES Energy Burden'!$B$2:$E$914,4,FALSE)</f>
        <v>No</v>
      </c>
    </row>
    <row r="311" spans="1:17" x14ac:dyDescent="0.2">
      <c r="A311" s="30" t="s">
        <v>2786</v>
      </c>
      <c r="B311" s="169">
        <v>9005425300</v>
      </c>
      <c r="C311" s="232" t="s">
        <v>944</v>
      </c>
      <c r="D311" s="182">
        <v>45.991260000000004</v>
      </c>
      <c r="E311" s="182">
        <v>0</v>
      </c>
      <c r="F311" s="13">
        <f>[1]!Table323[[#This Row],[Single Family]]+[1]!Table323[[#This Row],[2-4 Units]]+[1]!Table323[[#This Row],[&gt;4 Units]]</f>
        <v>0</v>
      </c>
      <c r="G311" s="30">
        <v>0</v>
      </c>
      <c r="H311" s="30">
        <v>0</v>
      </c>
      <c r="I311" s="30">
        <v>0</v>
      </c>
      <c r="J311" s="231">
        <v>0</v>
      </c>
      <c r="K311">
        <f t="shared" si="4"/>
        <v>0</v>
      </c>
      <c r="L311" s="30">
        <v>0</v>
      </c>
      <c r="M311" s="30">
        <v>0</v>
      </c>
      <c r="N311" s="30">
        <v>0</v>
      </c>
      <c r="O311" s="231">
        <v>0</v>
      </c>
      <c r="P311" s="97">
        <f>VLOOKUP(Table323[[#This Row],[Census Tract]],'Population and Diversity Data'!$B$2:$K$823,10,FALSE)</f>
        <v>1</v>
      </c>
      <c r="Q311" s="97" t="str">
        <f>VLOOKUP(Table323[[#This Row],[Census Tract]],'ES Energy Burden'!$B$2:$E$914,4,FALSE)</f>
        <v>No</v>
      </c>
    </row>
    <row r="312" spans="1:17" x14ac:dyDescent="0.2">
      <c r="A312" s="30" t="s">
        <v>2787</v>
      </c>
      <c r="B312" s="169">
        <v>9011714104</v>
      </c>
      <c r="C312" s="232" t="s">
        <v>944</v>
      </c>
      <c r="D312" s="182">
        <v>370.47066000000001</v>
      </c>
      <c r="E312" s="182">
        <v>9206.4500000000007</v>
      </c>
      <c r="F312" s="13">
        <f>[1]!Table323[[#This Row],[Single Family]]+[1]!Table323[[#This Row],[2-4 Units]]+[1]!Table323[[#This Row],[&gt;4 Units]]</f>
        <v>0</v>
      </c>
      <c r="G312" s="30">
        <v>0</v>
      </c>
      <c r="H312" s="30">
        <v>0</v>
      </c>
      <c r="I312" s="30">
        <v>0</v>
      </c>
      <c r="J312" s="231">
        <v>0</v>
      </c>
      <c r="K312">
        <f t="shared" si="4"/>
        <v>0</v>
      </c>
      <c r="L312" s="30">
        <v>0</v>
      </c>
      <c r="M312" s="30">
        <v>0</v>
      </c>
      <c r="N312" s="30">
        <v>0</v>
      </c>
      <c r="O312" s="231">
        <v>0</v>
      </c>
      <c r="P312" s="97">
        <f>VLOOKUP(Table323[[#This Row],[Census Tract]],'Population and Diversity Data'!$B$2:$K$823,10,FALSE)</f>
        <v>1</v>
      </c>
      <c r="Q312" s="97" t="str">
        <f>VLOOKUP(Table323[[#This Row],[Census Tract]],'ES Energy Burden'!$B$2:$E$914,4,FALSE)</f>
        <v>No</v>
      </c>
    </row>
    <row r="313" spans="1:17" x14ac:dyDescent="0.2">
      <c r="A313" s="30" t="s">
        <v>2787</v>
      </c>
      <c r="B313" s="169">
        <v>9013526101</v>
      </c>
      <c r="C313" s="232" t="s">
        <v>944</v>
      </c>
      <c r="D313" s="182">
        <v>27626.121053999999</v>
      </c>
      <c r="E313" s="182">
        <v>33265.18</v>
      </c>
      <c r="F313" s="13">
        <f>[1]!Table323[[#This Row],[Single Family]]+[1]!Table323[[#This Row],[2-4 Units]]+[1]!Table323[[#This Row],[&gt;4 Units]]</f>
        <v>0</v>
      </c>
      <c r="G313" s="30">
        <v>0</v>
      </c>
      <c r="H313" s="30">
        <v>0</v>
      </c>
      <c r="I313" s="30">
        <v>0</v>
      </c>
      <c r="J313" s="231">
        <v>5713.64</v>
      </c>
      <c r="K313">
        <f t="shared" si="4"/>
        <v>26</v>
      </c>
      <c r="L313" s="30">
        <v>1</v>
      </c>
      <c r="M313" s="30">
        <v>0</v>
      </c>
      <c r="N313" s="30">
        <v>25</v>
      </c>
      <c r="O313" s="231">
        <v>5492.69</v>
      </c>
      <c r="P313" s="97">
        <f>VLOOKUP(Table323[[#This Row],[Census Tract]],'Population and Diversity Data'!$B$2:$K$823,10,FALSE)</f>
        <v>2</v>
      </c>
      <c r="Q313" s="97" t="str">
        <f>VLOOKUP(Table323[[#This Row],[Census Tract]],'ES Energy Burden'!$B$2:$E$914,4,FALSE)</f>
        <v>No</v>
      </c>
    </row>
    <row r="314" spans="1:17" x14ac:dyDescent="0.2">
      <c r="A314" s="30" t="s">
        <v>2787</v>
      </c>
      <c r="B314" s="169">
        <v>9013526102</v>
      </c>
      <c r="C314" s="232" t="s">
        <v>944</v>
      </c>
      <c r="D314" s="182">
        <v>129425.947875</v>
      </c>
      <c r="E314" s="182">
        <v>180299.86</v>
      </c>
      <c r="F314" s="13">
        <f>[1]!Table323[[#This Row],[Single Family]]+[1]!Table323[[#This Row],[2-4 Units]]+[1]!Table323[[#This Row],[&gt;4 Units]]</f>
        <v>71</v>
      </c>
      <c r="G314" s="30">
        <v>71</v>
      </c>
      <c r="H314" s="30">
        <v>0</v>
      </c>
      <c r="I314" s="30">
        <v>0</v>
      </c>
      <c r="J314" s="231">
        <v>115586.03</v>
      </c>
      <c r="K314">
        <f t="shared" si="4"/>
        <v>4</v>
      </c>
      <c r="L314" s="30">
        <v>3</v>
      </c>
      <c r="M314" s="30">
        <v>1</v>
      </c>
      <c r="N314" s="30">
        <v>0</v>
      </c>
      <c r="O314" s="231">
        <v>28096.54</v>
      </c>
      <c r="P314" s="97">
        <f>VLOOKUP(Table323[[#This Row],[Census Tract]],'Population and Diversity Data'!$B$2:$K$823,10,FALSE)</f>
        <v>1</v>
      </c>
      <c r="Q314" s="97" t="str">
        <f>VLOOKUP(Table323[[#This Row],[Census Tract]],'ES Energy Burden'!$B$2:$E$914,4,FALSE)</f>
        <v>No</v>
      </c>
    </row>
    <row r="315" spans="1:17" x14ac:dyDescent="0.2">
      <c r="A315" s="30" t="s">
        <v>2787</v>
      </c>
      <c r="B315" s="169">
        <v>9013860100</v>
      </c>
      <c r="C315" s="232" t="s">
        <v>944</v>
      </c>
      <c r="D315" s="182">
        <v>58.795590000000004</v>
      </c>
      <c r="E315" s="182">
        <v>0</v>
      </c>
      <c r="F315" s="13">
        <f>[1]!Table323[[#This Row],[Single Family]]+[1]!Table323[[#This Row],[2-4 Units]]+[1]!Table323[[#This Row],[&gt;4 Units]]</f>
        <v>0</v>
      </c>
      <c r="G315" s="30">
        <v>0</v>
      </c>
      <c r="H315" s="30">
        <v>0</v>
      </c>
      <c r="I315" s="30">
        <v>0</v>
      </c>
      <c r="J315" s="231">
        <v>0</v>
      </c>
      <c r="K315">
        <f t="shared" si="4"/>
        <v>0</v>
      </c>
      <c r="L315" s="30">
        <v>0</v>
      </c>
      <c r="M315" s="30">
        <v>0</v>
      </c>
      <c r="N315" s="30">
        <v>0</v>
      </c>
      <c r="O315" s="231">
        <v>0</v>
      </c>
      <c r="P315" s="97">
        <f>VLOOKUP(Table323[[#This Row],[Census Tract]],'Population and Diversity Data'!$B$2:$K$823,10,FALSE)</f>
        <v>1</v>
      </c>
      <c r="Q315" s="97" t="str">
        <f>VLOOKUP(Table323[[#This Row],[Census Tract]],'ES Energy Burden'!$B$2:$E$914,4,FALSE)</f>
        <v>No</v>
      </c>
    </row>
    <row r="316" spans="1:17" x14ac:dyDescent="0.2">
      <c r="A316" s="30" t="s">
        <v>2788</v>
      </c>
      <c r="B316" s="169">
        <v>9005253500</v>
      </c>
      <c r="C316" s="232" t="s">
        <v>944</v>
      </c>
      <c r="D316" s="182">
        <v>23.927820000000001</v>
      </c>
      <c r="E316" s="182">
        <v>835</v>
      </c>
      <c r="F316" s="13">
        <f>[1]!Table323[[#This Row],[Single Family]]+[1]!Table323[[#This Row],[2-4 Units]]+[1]!Table323[[#This Row],[&gt;4 Units]]</f>
        <v>0</v>
      </c>
      <c r="G316" s="30">
        <v>0</v>
      </c>
      <c r="H316" s="30">
        <v>0</v>
      </c>
      <c r="I316" s="30">
        <v>0</v>
      </c>
      <c r="J316" s="231">
        <v>0</v>
      </c>
      <c r="K316">
        <f t="shared" si="4"/>
        <v>0</v>
      </c>
      <c r="L316" s="30">
        <v>0</v>
      </c>
      <c r="M316" s="30">
        <v>0</v>
      </c>
      <c r="N316" s="30">
        <v>0</v>
      </c>
      <c r="O316" s="231">
        <v>0</v>
      </c>
      <c r="P316" s="97">
        <f>VLOOKUP(Table323[[#This Row],[Census Tract]],'Population and Diversity Data'!$B$2:$K$823,10,FALSE)</f>
        <v>4</v>
      </c>
      <c r="Q316" s="97" t="str">
        <f>VLOOKUP(Table323[[#This Row],[Census Tract]],'ES Energy Burden'!$B$2:$E$914,4,FALSE)</f>
        <v>No</v>
      </c>
    </row>
    <row r="317" spans="1:17" x14ac:dyDescent="0.2">
      <c r="A317" s="30" t="s">
        <v>2788</v>
      </c>
      <c r="B317" s="169">
        <v>9005266100</v>
      </c>
      <c r="C317" s="232" t="s">
        <v>944</v>
      </c>
      <c r="D317" s="182">
        <v>93031.011086999992</v>
      </c>
      <c r="E317" s="182">
        <v>127363.23</v>
      </c>
      <c r="F317" s="13">
        <f>[1]!Table323[[#This Row],[Single Family]]+[1]!Table323[[#This Row],[2-4 Units]]+[1]!Table323[[#This Row],[&gt;4 Units]]</f>
        <v>32</v>
      </c>
      <c r="G317" s="30">
        <v>32</v>
      </c>
      <c r="H317" s="30">
        <v>0</v>
      </c>
      <c r="I317" s="30">
        <v>0</v>
      </c>
      <c r="J317" s="231">
        <v>91612.22</v>
      </c>
      <c r="K317">
        <f t="shared" si="4"/>
        <v>0</v>
      </c>
      <c r="L317" s="30">
        <v>0</v>
      </c>
      <c r="M317" s="30">
        <v>0</v>
      </c>
      <c r="N317" s="30">
        <v>0</v>
      </c>
      <c r="O317" s="231">
        <v>0</v>
      </c>
      <c r="P317" s="97">
        <f>VLOOKUP(Table323[[#This Row],[Census Tract]],'Population and Diversity Data'!$B$2:$K$823,10,FALSE)</f>
        <v>2</v>
      </c>
      <c r="Q317" s="97" t="str">
        <f>VLOOKUP(Table323[[#This Row],[Census Tract]],'ES Energy Burden'!$B$2:$E$914,4,FALSE)</f>
        <v>No</v>
      </c>
    </row>
    <row r="318" spans="1:17" x14ac:dyDescent="0.2">
      <c r="A318" s="119" t="s">
        <v>2789</v>
      </c>
      <c r="B318" s="169">
        <v>9015904100</v>
      </c>
      <c r="C318" s="232" t="s">
        <v>944</v>
      </c>
      <c r="D318" s="182">
        <v>87179.223620999997</v>
      </c>
      <c r="E318" s="182">
        <v>126251.705</v>
      </c>
      <c r="F318" s="13">
        <f>[1]!Table323[[#This Row],[Single Family]]+[1]!Table323[[#This Row],[2-4 Units]]+[1]!Table323[[#This Row],[&gt;4 Units]]</f>
        <v>0</v>
      </c>
      <c r="G318" s="30">
        <v>0</v>
      </c>
      <c r="H318" s="30">
        <v>0</v>
      </c>
      <c r="I318" s="30">
        <v>0</v>
      </c>
      <c r="J318" s="231">
        <v>20448.400000000001</v>
      </c>
      <c r="K318">
        <f t="shared" si="4"/>
        <v>10</v>
      </c>
      <c r="L318" s="30">
        <v>10</v>
      </c>
      <c r="M318" s="30">
        <v>0</v>
      </c>
      <c r="N318" s="30">
        <v>0</v>
      </c>
      <c r="O318" s="231">
        <v>26792.42</v>
      </c>
      <c r="P318" s="97">
        <f>VLOOKUP(Table323[[#This Row],[Census Tract]],'Population and Diversity Data'!$B$2:$K$823,10,FALSE)</f>
        <v>2</v>
      </c>
      <c r="Q318" s="97" t="str">
        <f>VLOOKUP(Table323[[#This Row],[Census Tract]],'ES Energy Burden'!$B$2:$E$914,4,FALSE)</f>
        <v>No</v>
      </c>
    </row>
    <row r="319" spans="1:17" x14ac:dyDescent="0.2">
      <c r="A319" s="119" t="s">
        <v>2789</v>
      </c>
      <c r="B319" s="169">
        <v>9015904400</v>
      </c>
      <c r="C319" s="232" t="s">
        <v>944</v>
      </c>
      <c r="D319" s="182">
        <v>123855.857601</v>
      </c>
      <c r="E319" s="182">
        <v>161450.32999999999</v>
      </c>
      <c r="F319" s="13">
        <f>[1]!Table323[[#This Row],[Single Family]]+[1]!Table323[[#This Row],[2-4 Units]]+[1]!Table323[[#This Row],[&gt;4 Units]]</f>
        <v>70</v>
      </c>
      <c r="G319" s="30">
        <v>69</v>
      </c>
      <c r="H319" s="30">
        <v>1</v>
      </c>
      <c r="I319" s="30">
        <v>0</v>
      </c>
      <c r="J319" s="231">
        <v>117962.54</v>
      </c>
      <c r="K319">
        <f t="shared" si="4"/>
        <v>17</v>
      </c>
      <c r="L319" s="30">
        <v>15</v>
      </c>
      <c r="M319" s="30">
        <v>2</v>
      </c>
      <c r="N319" s="30">
        <v>0</v>
      </c>
      <c r="O319" s="231">
        <v>61202.38</v>
      </c>
      <c r="P319" s="97">
        <f>VLOOKUP(Table323[[#This Row],[Census Tract]],'Population and Diversity Data'!$B$2:$K$823,10,FALSE)</f>
        <v>3</v>
      </c>
      <c r="Q319" s="97" t="str">
        <f>VLOOKUP(Table323[[#This Row],[Census Tract]],'ES Energy Burden'!$B$2:$E$914,4,FALSE)</f>
        <v>No</v>
      </c>
    </row>
    <row r="320" spans="1:17" x14ac:dyDescent="0.2">
      <c r="A320" s="119" t="s">
        <v>2789</v>
      </c>
      <c r="B320" s="169">
        <v>9015904500</v>
      </c>
      <c r="C320" s="232" t="s">
        <v>944</v>
      </c>
      <c r="D320" s="182">
        <v>61979.582511000001</v>
      </c>
      <c r="E320" s="182">
        <v>145968.62</v>
      </c>
      <c r="F320" s="13">
        <f>[1]!Table323[[#This Row],[Single Family]]+[1]!Table323[[#This Row],[2-4 Units]]+[1]!Table323[[#This Row],[&gt;4 Units]]</f>
        <v>0</v>
      </c>
      <c r="G320" s="30">
        <v>0</v>
      </c>
      <c r="H320" s="30">
        <v>0</v>
      </c>
      <c r="I320" s="30">
        <v>0</v>
      </c>
      <c r="J320" s="231">
        <v>10017.31</v>
      </c>
      <c r="K320">
        <f t="shared" si="4"/>
        <v>35</v>
      </c>
      <c r="L320" s="30">
        <v>4</v>
      </c>
      <c r="M320" s="30">
        <v>2</v>
      </c>
      <c r="N320" s="30">
        <v>29</v>
      </c>
      <c r="O320" s="231">
        <v>120073.55</v>
      </c>
      <c r="P320" s="97">
        <f>VLOOKUP(Table323[[#This Row],[Census Tract]],'Population and Diversity Data'!$B$2:$K$823,10,FALSE)</f>
        <v>5</v>
      </c>
      <c r="Q320" s="97" t="str">
        <f>VLOOKUP(Table323[[#This Row],[Census Tract]],'ES Energy Burden'!$B$2:$E$914,4,FALSE)</f>
        <v>No</v>
      </c>
    </row>
    <row r="321" spans="1:17" x14ac:dyDescent="0.2">
      <c r="A321" s="119" t="s">
        <v>2789</v>
      </c>
      <c r="B321" s="169">
        <v>9015907100</v>
      </c>
      <c r="C321" s="232" t="s">
        <v>944</v>
      </c>
      <c r="D321" s="182">
        <v>1025.75676</v>
      </c>
      <c r="E321" s="182">
        <v>0</v>
      </c>
      <c r="F321" s="13">
        <f>[1]!Table323[[#This Row],[Single Family]]+[1]!Table323[[#This Row],[2-4 Units]]+[1]!Table323[[#This Row],[&gt;4 Units]]</f>
        <v>0</v>
      </c>
      <c r="G321" s="30">
        <v>0</v>
      </c>
      <c r="H321" s="30">
        <v>0</v>
      </c>
      <c r="I321" s="30">
        <v>0</v>
      </c>
      <c r="J321" s="231">
        <v>0</v>
      </c>
      <c r="K321">
        <f t="shared" si="4"/>
        <v>0</v>
      </c>
      <c r="L321" s="30">
        <v>0</v>
      </c>
      <c r="M321" s="30">
        <v>0</v>
      </c>
      <c r="N321" s="30">
        <v>0</v>
      </c>
      <c r="O321" s="231">
        <v>0</v>
      </c>
      <c r="P321" s="97">
        <f>VLOOKUP(Table323[[#This Row],[Census Tract]],'Population and Diversity Data'!$B$2:$K$823,10,FALSE)</f>
        <v>4</v>
      </c>
      <c r="Q321" s="97" t="str">
        <f>VLOOKUP(Table323[[#This Row],[Census Tract]],'ES Energy Burden'!$B$2:$E$914,4,FALSE)</f>
        <v>No</v>
      </c>
    </row>
    <row r="322" spans="1:17" x14ac:dyDescent="0.2">
      <c r="A322" s="119" t="s">
        <v>2789</v>
      </c>
      <c r="B322" s="169">
        <v>9015907200</v>
      </c>
      <c r="C322" s="232" t="s">
        <v>944</v>
      </c>
      <c r="D322" s="182">
        <v>44.160690000000002</v>
      </c>
      <c r="E322" s="182">
        <v>0</v>
      </c>
      <c r="F322" s="13">
        <f>[1]!Table323[[#This Row],[Single Family]]+[1]!Table323[[#This Row],[2-4 Units]]+[1]!Table323[[#This Row],[&gt;4 Units]]</f>
        <v>0</v>
      </c>
      <c r="G322" s="30">
        <v>0</v>
      </c>
      <c r="H322" s="30">
        <v>0</v>
      </c>
      <c r="I322" s="30">
        <v>0</v>
      </c>
      <c r="J322" s="231">
        <v>0</v>
      </c>
      <c r="K322">
        <f t="shared" si="4"/>
        <v>0</v>
      </c>
      <c r="L322" s="30">
        <v>0</v>
      </c>
      <c r="M322" s="30">
        <v>0</v>
      </c>
      <c r="N322" s="30">
        <v>0</v>
      </c>
      <c r="O322" s="231">
        <v>0</v>
      </c>
      <c r="P322" s="97">
        <f>VLOOKUP(Table323[[#This Row],[Census Tract]],'Population and Diversity Data'!$B$2:$K$823,10,FALSE)</f>
        <v>3</v>
      </c>
      <c r="Q322" s="97" t="str">
        <f>VLOOKUP(Table323[[#This Row],[Census Tract]],'ES Energy Burden'!$B$2:$E$914,4,FALSE)</f>
        <v>No</v>
      </c>
    </row>
    <row r="323" spans="1:17" x14ac:dyDescent="0.2">
      <c r="A323" s="119" t="s">
        <v>2789</v>
      </c>
      <c r="B323" s="169">
        <v>9015908100</v>
      </c>
      <c r="C323" s="232" t="s">
        <v>944</v>
      </c>
      <c r="D323" s="182">
        <v>2.83521</v>
      </c>
      <c r="E323" s="182">
        <v>0</v>
      </c>
      <c r="F323" s="13">
        <f>[1]!Table323[[#This Row],[Single Family]]+[1]!Table323[[#This Row],[2-4 Units]]+[1]!Table323[[#This Row],[&gt;4 Units]]</f>
        <v>0</v>
      </c>
      <c r="G323" s="30">
        <v>0</v>
      </c>
      <c r="H323" s="30">
        <v>0</v>
      </c>
      <c r="I323" s="30">
        <v>0</v>
      </c>
      <c r="J323" s="231">
        <v>0</v>
      </c>
      <c r="K323">
        <f t="shared" si="4"/>
        <v>0</v>
      </c>
      <c r="L323" s="30">
        <v>0</v>
      </c>
      <c r="M323" s="30">
        <v>0</v>
      </c>
      <c r="N323" s="30">
        <v>0</v>
      </c>
      <c r="O323" s="231">
        <v>0</v>
      </c>
      <c r="P323" s="97" t="e">
        <f>VLOOKUP(Table323[[#This Row],[Census Tract]],'Population and Diversity Data'!$B$2:$K$823,10,FALSE)</f>
        <v>#N/A</v>
      </c>
      <c r="Q323" s="97" t="e">
        <f>VLOOKUP(Table323[[#This Row],[Census Tract]],'ES Energy Burden'!$B$2:$E$914,4,FALSE)</f>
        <v>#N/A</v>
      </c>
    </row>
    <row r="324" spans="1:17" x14ac:dyDescent="0.2">
      <c r="A324" s="30" t="s">
        <v>2790</v>
      </c>
      <c r="B324" s="169">
        <v>9007590100</v>
      </c>
      <c r="C324" s="232" t="s">
        <v>944</v>
      </c>
      <c r="D324" s="182">
        <v>344.35002000000003</v>
      </c>
      <c r="E324" s="182">
        <v>0</v>
      </c>
      <c r="F324" s="13">
        <f>[1]!Table323[[#This Row],[Single Family]]+[1]!Table323[[#This Row],[2-4 Units]]+[1]!Table323[[#This Row],[&gt;4 Units]]</f>
        <v>0</v>
      </c>
      <c r="G324" s="30">
        <v>0</v>
      </c>
      <c r="H324" s="30">
        <v>0</v>
      </c>
      <c r="I324" s="30">
        <v>0</v>
      </c>
      <c r="J324" s="231">
        <v>0</v>
      </c>
      <c r="K324">
        <f t="shared" si="4"/>
        <v>0</v>
      </c>
      <c r="L324" s="30">
        <v>0</v>
      </c>
      <c r="M324" s="30">
        <v>0</v>
      </c>
      <c r="N324" s="30">
        <v>0</v>
      </c>
      <c r="O324" s="231">
        <v>0</v>
      </c>
      <c r="P324" s="97">
        <f>VLOOKUP(Table323[[#This Row],[Census Tract]],'Population and Diversity Data'!$B$2:$K$823,10,FALSE)</f>
        <v>1</v>
      </c>
      <c r="Q324" s="97" t="str">
        <f>VLOOKUP(Table323[[#This Row],[Census Tract]],'ES Energy Burden'!$B$2:$E$914,4,FALSE)</f>
        <v>No</v>
      </c>
    </row>
    <row r="325" spans="1:17" x14ac:dyDescent="0.2">
      <c r="A325" s="30" t="s">
        <v>2790</v>
      </c>
      <c r="B325" s="169">
        <v>9007640100</v>
      </c>
      <c r="C325" s="232" t="s">
        <v>944</v>
      </c>
      <c r="D325" s="182">
        <v>124905.985575</v>
      </c>
      <c r="E325" s="182">
        <v>136718.97500000001</v>
      </c>
      <c r="F325" s="13">
        <f>[1]!Table323[[#This Row],[Single Family]]+[1]!Table323[[#This Row],[2-4 Units]]+[1]!Table323[[#This Row],[&gt;4 Units]]</f>
        <v>43</v>
      </c>
      <c r="G325" s="30">
        <v>43</v>
      </c>
      <c r="H325" s="30">
        <v>0</v>
      </c>
      <c r="I325" s="30">
        <v>0</v>
      </c>
      <c r="J325" s="231">
        <v>82752.960000000006</v>
      </c>
      <c r="K325">
        <f t="shared" si="4"/>
        <v>8</v>
      </c>
      <c r="L325" s="30">
        <v>8</v>
      </c>
      <c r="M325" s="30">
        <v>0</v>
      </c>
      <c r="N325" s="30">
        <v>0</v>
      </c>
      <c r="O325" s="231">
        <v>9655.09</v>
      </c>
      <c r="P325" s="97">
        <f>VLOOKUP(Table323[[#This Row],[Census Tract]],'Population and Diversity Data'!$B$2:$K$823,10,FALSE)</f>
        <v>1</v>
      </c>
      <c r="Q325" s="97" t="str">
        <f>VLOOKUP(Table323[[#This Row],[Census Tract]],'ES Energy Burden'!$B$2:$E$914,4,FALSE)</f>
        <v>No</v>
      </c>
    </row>
    <row r="326" spans="1:17" x14ac:dyDescent="0.2">
      <c r="A326" s="30" t="s">
        <v>2791</v>
      </c>
      <c r="B326" s="169">
        <v>9011714104</v>
      </c>
      <c r="C326" s="232" t="s">
        <v>944</v>
      </c>
      <c r="D326" s="182">
        <v>82.390140000000002</v>
      </c>
      <c r="E326" s="182">
        <v>0</v>
      </c>
      <c r="F326" s="13">
        <f>[1]!Table323[[#This Row],[Single Family]]+[1]!Table323[[#This Row],[2-4 Units]]+[1]!Table323[[#This Row],[&gt;4 Units]]</f>
        <v>0</v>
      </c>
      <c r="G326" s="30">
        <v>0</v>
      </c>
      <c r="H326" s="30">
        <v>0</v>
      </c>
      <c r="I326" s="30">
        <v>0</v>
      </c>
      <c r="J326" s="231">
        <v>0</v>
      </c>
      <c r="K326">
        <f t="shared" ref="K326:K389" si="5">L326+M326+N326</f>
        <v>0</v>
      </c>
      <c r="L326" s="30">
        <v>0</v>
      </c>
      <c r="M326" s="30">
        <v>0</v>
      </c>
      <c r="N326" s="30">
        <v>0</v>
      </c>
      <c r="O326" s="231">
        <v>0</v>
      </c>
      <c r="P326" s="97">
        <f>VLOOKUP(Table323[[#This Row],[Census Tract]],'Population and Diversity Data'!$B$2:$K$823,10,FALSE)</f>
        <v>1</v>
      </c>
      <c r="Q326" s="97" t="str">
        <f>VLOOKUP(Table323[[#This Row],[Census Tract]],'ES Energy Burden'!$B$2:$E$914,4,FALSE)</f>
        <v>No</v>
      </c>
    </row>
    <row r="327" spans="1:17" x14ac:dyDescent="0.2">
      <c r="A327" s="30" t="s">
        <v>2791</v>
      </c>
      <c r="B327" s="169">
        <v>9011870100</v>
      </c>
      <c r="C327" s="232" t="s">
        <v>944</v>
      </c>
      <c r="D327" s="182">
        <v>78141.071148000003</v>
      </c>
      <c r="E327" s="182">
        <v>106701.43</v>
      </c>
      <c r="F327" s="13">
        <f>[1]!Table323[[#This Row],[Single Family]]+[1]!Table323[[#This Row],[2-4 Units]]+[1]!Table323[[#This Row],[&gt;4 Units]]</f>
        <v>21</v>
      </c>
      <c r="G327" s="30">
        <v>21</v>
      </c>
      <c r="H327" s="30">
        <v>0</v>
      </c>
      <c r="I327" s="30">
        <v>0</v>
      </c>
      <c r="J327" s="231">
        <v>46435.67</v>
      </c>
      <c r="K327">
        <f t="shared" si="5"/>
        <v>2</v>
      </c>
      <c r="L327" s="30">
        <v>2</v>
      </c>
      <c r="M327" s="30">
        <v>0</v>
      </c>
      <c r="N327" s="30">
        <v>0</v>
      </c>
      <c r="O327" s="231">
        <v>12395.37</v>
      </c>
      <c r="P327" s="97">
        <f>VLOOKUP(Table323[[#This Row],[Census Tract]],'Population and Diversity Data'!$B$2:$K$823,10,FALSE)</f>
        <v>1</v>
      </c>
      <c r="Q327" s="97" t="str">
        <f>VLOOKUP(Table323[[#This Row],[Census Tract]],'ES Energy Burden'!$B$2:$E$914,4,FALSE)</f>
        <v>No</v>
      </c>
    </row>
    <row r="328" spans="1:17" x14ac:dyDescent="0.2">
      <c r="A328" s="30" t="s">
        <v>2792</v>
      </c>
      <c r="B328" s="169">
        <v>9011701100</v>
      </c>
      <c r="C328" s="232" t="s">
        <v>944</v>
      </c>
      <c r="D328" s="182">
        <v>97629.566181000002</v>
      </c>
      <c r="E328" s="182">
        <v>89949.494999999995</v>
      </c>
      <c r="F328" s="13">
        <f>[1]!Table323[[#This Row],[Single Family]]+[1]!Table323[[#This Row],[2-4 Units]]+[1]!Table323[[#This Row],[&gt;4 Units]]</f>
        <v>65</v>
      </c>
      <c r="G328" s="30">
        <v>61</v>
      </c>
      <c r="H328" s="30">
        <v>4</v>
      </c>
      <c r="I328" s="30">
        <v>0</v>
      </c>
      <c r="J328" s="231">
        <v>72090.12</v>
      </c>
      <c r="K328">
        <f t="shared" si="5"/>
        <v>6</v>
      </c>
      <c r="L328" s="30">
        <v>5</v>
      </c>
      <c r="M328" s="30">
        <v>1</v>
      </c>
      <c r="N328" s="30">
        <v>0</v>
      </c>
      <c r="O328" s="231">
        <v>36553.14</v>
      </c>
      <c r="P328" s="97">
        <f>VLOOKUP(Table323[[#This Row],[Census Tract]],'Population and Diversity Data'!$B$2:$K$823,10,FALSE)</f>
        <v>4</v>
      </c>
      <c r="Q328" s="97" t="str">
        <f>VLOOKUP(Table323[[#This Row],[Census Tract]],'ES Energy Burden'!$B$2:$E$914,4,FALSE)</f>
        <v>No</v>
      </c>
    </row>
    <row r="329" spans="1:17" x14ac:dyDescent="0.2">
      <c r="A329" s="30" t="s">
        <v>2792</v>
      </c>
      <c r="B329" s="169">
        <v>9011701200</v>
      </c>
      <c r="C329" s="232" t="s">
        <v>944</v>
      </c>
      <c r="D329" s="182">
        <v>162993.55963800001</v>
      </c>
      <c r="E329" s="182">
        <v>218552.22</v>
      </c>
      <c r="F329" s="13">
        <f>[1]!Table323[[#This Row],[Single Family]]+[1]!Table323[[#This Row],[2-4 Units]]+[1]!Table323[[#This Row],[&gt;4 Units]]</f>
        <v>53</v>
      </c>
      <c r="G329" s="30">
        <v>53</v>
      </c>
      <c r="H329" s="30">
        <v>0</v>
      </c>
      <c r="I329" s="30">
        <v>0</v>
      </c>
      <c r="J329" s="231">
        <v>114222.61</v>
      </c>
      <c r="K329">
        <f t="shared" si="5"/>
        <v>33</v>
      </c>
      <c r="L329" s="30">
        <v>3</v>
      </c>
      <c r="M329" s="30">
        <v>0</v>
      </c>
      <c r="N329" s="30">
        <v>30</v>
      </c>
      <c r="O329" s="231">
        <v>14047.92</v>
      </c>
      <c r="P329" s="97">
        <f>VLOOKUP(Table323[[#This Row],[Census Tract]],'Population and Diversity Data'!$B$2:$K$823,10,FALSE)</f>
        <v>3</v>
      </c>
      <c r="Q329" s="97" t="str">
        <f>VLOOKUP(Table323[[#This Row],[Census Tract]],'ES Energy Burden'!$B$2:$E$914,4,FALSE)</f>
        <v>No</v>
      </c>
    </row>
    <row r="330" spans="1:17" x14ac:dyDescent="0.2">
      <c r="A330" s="30" t="s">
        <v>2792</v>
      </c>
      <c r="B330" s="169">
        <v>9011980000</v>
      </c>
      <c r="C330" s="232" t="s">
        <v>944</v>
      </c>
      <c r="D330" s="182">
        <v>102.87417000000001</v>
      </c>
      <c r="E330" s="182">
        <v>0</v>
      </c>
      <c r="F330" s="13">
        <f>[1]!Table323[[#This Row],[Single Family]]+[1]!Table323[[#This Row],[2-4 Units]]+[1]!Table323[[#This Row],[&gt;4 Units]]</f>
        <v>0</v>
      </c>
      <c r="G330" s="30">
        <v>0</v>
      </c>
      <c r="H330" s="30">
        <v>0</v>
      </c>
      <c r="I330" s="30">
        <v>0</v>
      </c>
      <c r="J330" s="231">
        <v>0</v>
      </c>
      <c r="K330">
        <f t="shared" si="5"/>
        <v>0</v>
      </c>
      <c r="L330" s="30">
        <v>0</v>
      </c>
      <c r="M330" s="30">
        <v>0</v>
      </c>
      <c r="N330" s="30">
        <v>0</v>
      </c>
      <c r="O330" s="231">
        <v>0</v>
      </c>
      <c r="P330" s="97" t="e">
        <f>VLOOKUP(Table323[[#This Row],[Census Tract]],'Population and Diversity Data'!$B$2:$K$823,10,FALSE)</f>
        <v>#N/A</v>
      </c>
      <c r="Q330" s="97" t="e">
        <f>VLOOKUP(Table323[[#This Row],[Census Tract]],'ES Energy Burden'!$B$2:$E$914,4,FALSE)</f>
        <v>#N/A</v>
      </c>
    </row>
    <row r="331" spans="1:17" x14ac:dyDescent="0.2">
      <c r="A331" s="30" t="s">
        <v>2793</v>
      </c>
      <c r="B331" s="169">
        <v>9011709100</v>
      </c>
      <c r="C331" s="232" t="s">
        <v>944</v>
      </c>
      <c r="D331" s="182">
        <v>581.51268000000005</v>
      </c>
      <c r="E331" s="182">
        <v>0</v>
      </c>
      <c r="F331" s="13">
        <f>[1]!Table323[[#This Row],[Single Family]]+[1]!Table323[[#This Row],[2-4 Units]]+[1]!Table323[[#This Row],[&gt;4 Units]]</f>
        <v>0</v>
      </c>
      <c r="G331" s="30">
        <v>0</v>
      </c>
      <c r="H331" s="30">
        <v>0</v>
      </c>
      <c r="I331" s="30">
        <v>0</v>
      </c>
      <c r="J331" s="231">
        <v>0</v>
      </c>
      <c r="K331">
        <f t="shared" si="5"/>
        <v>0</v>
      </c>
      <c r="L331" s="30">
        <v>0</v>
      </c>
      <c r="M331" s="30">
        <v>0</v>
      </c>
      <c r="N331" s="30">
        <v>0</v>
      </c>
      <c r="O331" s="231">
        <v>0</v>
      </c>
      <c r="P331" s="97">
        <f>VLOOKUP(Table323[[#This Row],[Census Tract]],'Population and Diversity Data'!$B$2:$K$823,10,FALSE)</f>
        <v>3</v>
      </c>
      <c r="Q331" s="97" t="str">
        <f>VLOOKUP(Table323[[#This Row],[Census Tract]],'ES Energy Burden'!$B$2:$E$914,4,FALSE)</f>
        <v>No</v>
      </c>
    </row>
    <row r="332" spans="1:17" x14ac:dyDescent="0.2">
      <c r="A332" s="30" t="s">
        <v>2793</v>
      </c>
      <c r="B332" s="169">
        <v>9011710100</v>
      </c>
      <c r="C332" s="232" t="s">
        <v>944</v>
      </c>
      <c r="D332" s="182">
        <v>67930.338608999999</v>
      </c>
      <c r="E332" s="182">
        <v>95584.625</v>
      </c>
      <c r="F332" s="13">
        <f>[1]!Table323[[#This Row],[Single Family]]+[1]!Table323[[#This Row],[2-4 Units]]+[1]!Table323[[#This Row],[&gt;4 Units]]</f>
        <v>16</v>
      </c>
      <c r="G332" s="30">
        <v>16</v>
      </c>
      <c r="H332" s="30">
        <v>0</v>
      </c>
      <c r="I332" s="30">
        <v>0</v>
      </c>
      <c r="J332" s="231">
        <v>39179.96</v>
      </c>
      <c r="K332">
        <f t="shared" si="5"/>
        <v>9</v>
      </c>
      <c r="L332" s="30">
        <v>9</v>
      </c>
      <c r="M332" s="30">
        <v>0</v>
      </c>
      <c r="N332" s="30">
        <v>0</v>
      </c>
      <c r="O332" s="231">
        <v>27800.09</v>
      </c>
      <c r="P332" s="97">
        <f>VLOOKUP(Table323[[#This Row],[Census Tract]],'Population and Diversity Data'!$B$2:$K$823,10,FALSE)</f>
        <v>3</v>
      </c>
      <c r="Q332" s="97" t="str">
        <f>VLOOKUP(Table323[[#This Row],[Census Tract]],'ES Energy Burden'!$B$2:$E$914,4,FALSE)</f>
        <v>No</v>
      </c>
    </row>
    <row r="333" spans="1:17" x14ac:dyDescent="0.2">
      <c r="A333" s="30" t="s">
        <v>2794</v>
      </c>
      <c r="B333" s="169">
        <v>9005296100</v>
      </c>
      <c r="C333" s="232" t="s">
        <v>944</v>
      </c>
      <c r="D333" s="182">
        <v>275.73021</v>
      </c>
      <c r="E333" s="182">
        <v>18566.77</v>
      </c>
      <c r="F333" s="13">
        <f>[1]!Table323[[#This Row],[Single Family]]+[1]!Table323[[#This Row],[2-4 Units]]+[1]!Table323[[#This Row],[&gt;4 Units]]</f>
        <v>0</v>
      </c>
      <c r="G333" s="30">
        <v>0</v>
      </c>
      <c r="H333" s="30">
        <v>0</v>
      </c>
      <c r="I333" s="30">
        <v>0</v>
      </c>
      <c r="J333" s="231">
        <v>0</v>
      </c>
      <c r="K333">
        <f t="shared" si="5"/>
        <v>0</v>
      </c>
      <c r="L333" s="30">
        <v>0</v>
      </c>
      <c r="M333" s="30">
        <v>0</v>
      </c>
      <c r="N333" s="30">
        <v>0</v>
      </c>
      <c r="O333" s="231">
        <v>0</v>
      </c>
      <c r="P333" s="97">
        <f>VLOOKUP(Table323[[#This Row],[Census Tract]],'Population and Diversity Data'!$B$2:$K$823,10,FALSE)</f>
        <v>3</v>
      </c>
      <c r="Q333" s="97" t="str">
        <f>VLOOKUP(Table323[[#This Row],[Census Tract]],'ES Energy Burden'!$B$2:$E$914,4,FALSE)</f>
        <v>No</v>
      </c>
    </row>
    <row r="334" spans="1:17" x14ac:dyDescent="0.2">
      <c r="A334" s="30" t="s">
        <v>2794</v>
      </c>
      <c r="B334" s="169">
        <v>9005300100</v>
      </c>
      <c r="C334" s="232" t="s">
        <v>944</v>
      </c>
      <c r="D334" s="182">
        <v>40192.961403000001</v>
      </c>
      <c r="E334" s="182">
        <v>38307.86</v>
      </c>
      <c r="F334" s="13">
        <f>[1]!Table323[[#This Row],[Single Family]]+[1]!Table323[[#This Row],[2-4 Units]]+[1]!Table323[[#This Row],[&gt;4 Units]]</f>
        <v>85</v>
      </c>
      <c r="G334" s="30">
        <v>84</v>
      </c>
      <c r="H334" s="30">
        <v>1</v>
      </c>
      <c r="I334" s="30">
        <v>0</v>
      </c>
      <c r="J334" s="231">
        <v>220384.64000000001</v>
      </c>
      <c r="K334">
        <f t="shared" si="5"/>
        <v>5</v>
      </c>
      <c r="L334" s="30">
        <v>5</v>
      </c>
      <c r="M334" s="30">
        <v>0</v>
      </c>
      <c r="N334" s="30">
        <v>0</v>
      </c>
      <c r="O334" s="231">
        <v>68205.570000000007</v>
      </c>
      <c r="P334" s="97">
        <f>VLOOKUP(Table323[[#This Row],[Census Tract]],'Population and Diversity Data'!$B$2:$K$823,10,FALSE)</f>
        <v>1</v>
      </c>
      <c r="Q334" s="97" t="str">
        <f>VLOOKUP(Table323[[#This Row],[Census Tract]],'ES Energy Burden'!$B$2:$E$914,4,FALSE)</f>
        <v>No</v>
      </c>
    </row>
    <row r="335" spans="1:17" x14ac:dyDescent="0.2">
      <c r="A335" s="30" t="s">
        <v>2794</v>
      </c>
      <c r="B335" s="169">
        <v>9005300400</v>
      </c>
      <c r="C335" s="232" t="s">
        <v>944</v>
      </c>
      <c r="D335" s="182">
        <v>27728.253336000002</v>
      </c>
      <c r="E335" s="182">
        <v>33987.58</v>
      </c>
      <c r="F335" s="13">
        <f>[1]!Table323[[#This Row],[Single Family]]+[1]!Table323[[#This Row],[2-4 Units]]+[1]!Table323[[#This Row],[&gt;4 Units]]</f>
        <v>0</v>
      </c>
      <c r="G335" s="30">
        <v>0</v>
      </c>
      <c r="H335" s="30">
        <v>0</v>
      </c>
      <c r="I335" s="30">
        <v>0</v>
      </c>
      <c r="J335" s="231">
        <v>16053.44</v>
      </c>
      <c r="K335">
        <f t="shared" si="5"/>
        <v>19</v>
      </c>
      <c r="L335" s="30">
        <v>3</v>
      </c>
      <c r="M335" s="30">
        <v>0</v>
      </c>
      <c r="N335" s="30">
        <v>16</v>
      </c>
      <c r="O335" s="231">
        <v>2445.1</v>
      </c>
      <c r="P335" s="97">
        <f>VLOOKUP(Table323[[#This Row],[Census Tract]],'Population and Diversity Data'!$B$2:$K$823,10,FALSE)</f>
        <v>2</v>
      </c>
      <c r="Q335" s="97" t="str">
        <f>VLOOKUP(Table323[[#This Row],[Census Tract]],'ES Energy Burden'!$B$2:$E$914,4,FALSE)</f>
        <v>No</v>
      </c>
    </row>
    <row r="336" spans="1:17" x14ac:dyDescent="0.2">
      <c r="A336" s="30" t="s">
        <v>2794</v>
      </c>
      <c r="B336" s="169">
        <v>9005300500</v>
      </c>
      <c r="C336" s="232" t="s">
        <v>944</v>
      </c>
      <c r="D336" s="182">
        <v>110899.90665599999</v>
      </c>
      <c r="E336" s="182">
        <v>342828.19500000001</v>
      </c>
      <c r="F336" s="13">
        <f>[1]!Table323[[#This Row],[Single Family]]+[1]!Table323[[#This Row],[2-4 Units]]+[1]!Table323[[#This Row],[&gt;4 Units]]</f>
        <v>0</v>
      </c>
      <c r="G336" s="30">
        <v>0</v>
      </c>
      <c r="H336" s="30">
        <v>0</v>
      </c>
      <c r="I336" s="30">
        <v>0</v>
      </c>
      <c r="J336" s="231">
        <v>35984.36</v>
      </c>
      <c r="K336">
        <f t="shared" si="5"/>
        <v>1</v>
      </c>
      <c r="L336" s="30">
        <v>1</v>
      </c>
      <c r="M336" s="30">
        <v>0</v>
      </c>
      <c r="N336" s="30">
        <v>0</v>
      </c>
      <c r="O336" s="231">
        <v>7290.62</v>
      </c>
      <c r="P336" s="97">
        <f>VLOOKUP(Table323[[#This Row],[Census Tract]],'Population and Diversity Data'!$B$2:$K$823,10,FALSE)</f>
        <v>1</v>
      </c>
      <c r="Q336" s="97" t="str">
        <f>VLOOKUP(Table323[[#This Row],[Census Tract]],'ES Energy Burden'!$B$2:$E$914,4,FALSE)</f>
        <v>No</v>
      </c>
    </row>
    <row r="337" spans="1:17" x14ac:dyDescent="0.2">
      <c r="A337" s="30" t="s">
        <v>2794</v>
      </c>
      <c r="B337" s="169">
        <v>9005303100</v>
      </c>
      <c r="C337" s="232" t="s">
        <v>944</v>
      </c>
      <c r="D337" s="182">
        <v>326.87025</v>
      </c>
      <c r="E337" s="182">
        <v>0</v>
      </c>
      <c r="F337" s="13">
        <f>[1]!Table323[[#This Row],[Single Family]]+[1]!Table323[[#This Row],[2-4 Units]]+[1]!Table323[[#This Row],[&gt;4 Units]]</f>
        <v>0</v>
      </c>
      <c r="G337" s="30">
        <v>0</v>
      </c>
      <c r="H337" s="30">
        <v>0</v>
      </c>
      <c r="I337" s="30">
        <v>0</v>
      </c>
      <c r="J337" s="231">
        <v>0</v>
      </c>
      <c r="K337">
        <f t="shared" si="5"/>
        <v>0</v>
      </c>
      <c r="L337" s="30">
        <v>0</v>
      </c>
      <c r="M337" s="30">
        <v>0</v>
      </c>
      <c r="N337" s="30">
        <v>0</v>
      </c>
      <c r="O337" s="231">
        <v>0</v>
      </c>
      <c r="P337" s="97">
        <f>VLOOKUP(Table323[[#This Row],[Census Tract]],'Population and Diversity Data'!$B$2:$K$823,10,FALSE)</f>
        <v>1</v>
      </c>
      <c r="Q337" s="97" t="str">
        <f>VLOOKUP(Table323[[#This Row],[Census Tract]],'ES Energy Burden'!$B$2:$E$914,4,FALSE)</f>
        <v>No</v>
      </c>
    </row>
    <row r="338" spans="1:17" x14ac:dyDescent="0.2">
      <c r="A338" s="30" t="s">
        <v>2794</v>
      </c>
      <c r="B338" s="169">
        <v>9005349100</v>
      </c>
      <c r="C338" s="232" t="s">
        <v>944</v>
      </c>
      <c r="D338" s="182">
        <v>122.55159</v>
      </c>
      <c r="E338" s="182">
        <v>0</v>
      </c>
      <c r="F338" s="13">
        <f>[1]!Table323[[#This Row],[Single Family]]+[1]!Table323[[#This Row],[2-4 Units]]+[1]!Table323[[#This Row],[&gt;4 Units]]</f>
        <v>0</v>
      </c>
      <c r="G338" s="30">
        <v>0</v>
      </c>
      <c r="H338" s="30">
        <v>0</v>
      </c>
      <c r="I338" s="30">
        <v>0</v>
      </c>
      <c r="J338" s="231">
        <v>0</v>
      </c>
      <c r="K338">
        <f t="shared" si="5"/>
        <v>0</v>
      </c>
      <c r="L338" s="30">
        <v>0</v>
      </c>
      <c r="M338" s="30">
        <v>0</v>
      </c>
      <c r="N338" s="30">
        <v>0</v>
      </c>
      <c r="O338" s="231">
        <v>0</v>
      </c>
      <c r="P338" s="97">
        <f>VLOOKUP(Table323[[#This Row],[Census Tract]],'Population and Diversity Data'!$B$2:$K$823,10,FALSE)</f>
        <v>1</v>
      </c>
      <c r="Q338" s="97" t="str">
        <f>VLOOKUP(Table323[[#This Row],[Census Tract]],'ES Energy Burden'!$B$2:$E$914,4,FALSE)</f>
        <v>No</v>
      </c>
    </row>
    <row r="339" spans="1:17" x14ac:dyDescent="0.2">
      <c r="A339" s="30" t="s">
        <v>2795</v>
      </c>
      <c r="B339" s="169">
        <v>9011650100</v>
      </c>
      <c r="C339" s="232" t="s">
        <v>944</v>
      </c>
      <c r="D339" s="182">
        <v>68761.358945999993</v>
      </c>
      <c r="E339" s="182">
        <v>67879.710000000006</v>
      </c>
      <c r="F339" s="13">
        <f>[1]!Table323[[#This Row],[Single Family]]+[1]!Table323[[#This Row],[2-4 Units]]+[1]!Table323[[#This Row],[&gt;4 Units]]</f>
        <v>1</v>
      </c>
      <c r="G339" s="30">
        <v>1</v>
      </c>
      <c r="H339" s="30">
        <v>0</v>
      </c>
      <c r="I339" s="30">
        <v>0</v>
      </c>
      <c r="J339" s="231">
        <v>3330.86</v>
      </c>
      <c r="K339">
        <f t="shared" si="5"/>
        <v>0</v>
      </c>
      <c r="L339" s="30">
        <v>0</v>
      </c>
      <c r="M339" s="30">
        <v>0</v>
      </c>
      <c r="N339" s="30">
        <v>0</v>
      </c>
      <c r="O339" s="231">
        <v>0</v>
      </c>
      <c r="P339" s="97">
        <f>VLOOKUP(Table323[[#This Row],[Census Tract]],'Population and Diversity Data'!$B$2:$K$823,10,FALSE)</f>
        <v>1</v>
      </c>
      <c r="Q339" s="97" t="str">
        <f>VLOOKUP(Table323[[#This Row],[Census Tract]],'ES Energy Burden'!$B$2:$E$914,4,FALSE)</f>
        <v>No</v>
      </c>
    </row>
    <row r="340" spans="1:17" x14ac:dyDescent="0.2">
      <c r="A340" s="30" t="s">
        <v>2796</v>
      </c>
      <c r="B340" s="169">
        <v>9009190301</v>
      </c>
      <c r="C340" s="232" t="s">
        <v>944</v>
      </c>
      <c r="D340" s="182">
        <v>618.38972999999999</v>
      </c>
      <c r="E340" s="182">
        <v>0</v>
      </c>
      <c r="F340" s="13">
        <f>[1]!Table323[[#This Row],[Single Family]]+[1]!Table323[[#This Row],[2-4 Units]]+[1]!Table323[[#This Row],[&gt;4 Units]]</f>
        <v>0</v>
      </c>
      <c r="G340" s="30">
        <v>0</v>
      </c>
      <c r="H340" s="30">
        <v>0</v>
      </c>
      <c r="I340" s="30">
        <v>0</v>
      </c>
      <c r="J340" s="231">
        <v>0</v>
      </c>
      <c r="K340">
        <f t="shared" si="5"/>
        <v>0</v>
      </c>
      <c r="L340" s="30">
        <v>0</v>
      </c>
      <c r="M340" s="30">
        <v>0</v>
      </c>
      <c r="N340" s="30">
        <v>0</v>
      </c>
      <c r="O340" s="231">
        <v>0</v>
      </c>
      <c r="P340" s="97">
        <f>VLOOKUP(Table323[[#This Row],[Census Tract]],'Population and Diversity Data'!$B$2:$K$823,10,FALSE)</f>
        <v>3</v>
      </c>
      <c r="Q340" s="97" t="str">
        <f>VLOOKUP(Table323[[#This Row],[Census Tract]],'ES Energy Burden'!$B$2:$E$914,4,FALSE)</f>
        <v>No</v>
      </c>
    </row>
    <row r="341" spans="1:17" x14ac:dyDescent="0.2">
      <c r="A341" s="30" t="s">
        <v>2796</v>
      </c>
      <c r="B341" s="169">
        <v>9009194100</v>
      </c>
      <c r="C341" s="232" t="s">
        <v>944</v>
      </c>
      <c r="D341" s="182">
        <v>87332.270381999988</v>
      </c>
      <c r="E341" s="182">
        <v>91269.014999999999</v>
      </c>
      <c r="F341" s="13">
        <f>[1]!Table323[[#This Row],[Single Family]]+[1]!Table323[[#This Row],[2-4 Units]]+[1]!Table323[[#This Row],[&gt;4 Units]]</f>
        <v>1</v>
      </c>
      <c r="G341" s="30">
        <v>1</v>
      </c>
      <c r="H341" s="30">
        <v>0</v>
      </c>
      <c r="I341" s="30">
        <v>0</v>
      </c>
      <c r="J341" s="231">
        <v>37210.11</v>
      </c>
      <c r="K341">
        <f t="shared" si="5"/>
        <v>1</v>
      </c>
      <c r="L341" s="30">
        <v>1</v>
      </c>
      <c r="M341" s="30">
        <v>0</v>
      </c>
      <c r="N341" s="30">
        <v>0</v>
      </c>
      <c r="O341" s="231">
        <v>220.01</v>
      </c>
      <c r="P341" s="97">
        <f>VLOOKUP(Table323[[#This Row],[Census Tract]],'Population and Diversity Data'!$B$2:$K$823,10,FALSE)</f>
        <v>1</v>
      </c>
      <c r="Q341" s="97" t="str">
        <f>VLOOKUP(Table323[[#This Row],[Census Tract]],'ES Energy Burden'!$B$2:$E$914,4,FALSE)</f>
        <v>No</v>
      </c>
    </row>
    <row r="342" spans="1:17" x14ac:dyDescent="0.2">
      <c r="A342" s="30" t="s">
        <v>2796</v>
      </c>
      <c r="B342" s="169">
        <v>9009194201</v>
      </c>
      <c r="C342" s="232" t="s">
        <v>944</v>
      </c>
      <c r="D342" s="182">
        <v>108122.61705</v>
      </c>
      <c r="E342" s="182">
        <v>307628.49</v>
      </c>
      <c r="F342" s="13">
        <f>[1]!Table323[[#This Row],[Single Family]]+[1]!Table323[[#This Row],[2-4 Units]]+[1]!Table323[[#This Row],[&gt;4 Units]]</f>
        <v>169</v>
      </c>
      <c r="G342" s="30">
        <v>163</v>
      </c>
      <c r="H342" s="30">
        <v>6</v>
      </c>
      <c r="I342" s="30">
        <v>0</v>
      </c>
      <c r="J342" s="231">
        <v>297885.73</v>
      </c>
      <c r="K342">
        <f t="shared" si="5"/>
        <v>93</v>
      </c>
      <c r="L342" s="30">
        <v>3</v>
      </c>
      <c r="M342" s="30">
        <v>0</v>
      </c>
      <c r="N342" s="30">
        <v>90</v>
      </c>
      <c r="O342" s="231">
        <v>223050.42</v>
      </c>
      <c r="P342" s="97">
        <f>VLOOKUP(Table323[[#This Row],[Census Tract]],'Population and Diversity Data'!$B$2:$K$823,10,FALSE)</f>
        <v>3</v>
      </c>
      <c r="Q342" s="97" t="str">
        <f>VLOOKUP(Table323[[#This Row],[Census Tract]],'ES Energy Burden'!$B$2:$E$914,4,FALSE)</f>
        <v>No</v>
      </c>
    </row>
    <row r="343" spans="1:17" x14ac:dyDescent="0.2">
      <c r="A343" s="30" t="s">
        <v>2796</v>
      </c>
      <c r="B343" s="169">
        <v>9009194202</v>
      </c>
      <c r="C343" s="232" t="s">
        <v>944</v>
      </c>
      <c r="D343" s="182">
        <v>201414.851925</v>
      </c>
      <c r="E343" s="182">
        <v>339533.14500000002</v>
      </c>
      <c r="F343" s="13">
        <f>[1]!Table323[[#This Row],[Single Family]]+[1]!Table323[[#This Row],[2-4 Units]]+[1]!Table323[[#This Row],[&gt;4 Units]]</f>
        <v>0</v>
      </c>
      <c r="G343" s="30">
        <v>0</v>
      </c>
      <c r="H343" s="30">
        <v>0</v>
      </c>
      <c r="I343" s="30">
        <v>0</v>
      </c>
      <c r="J343" s="231">
        <v>8520.67</v>
      </c>
      <c r="K343">
        <f t="shared" si="5"/>
        <v>0</v>
      </c>
      <c r="L343" s="30">
        <v>0</v>
      </c>
      <c r="M343" s="30">
        <v>0</v>
      </c>
      <c r="N343" s="30">
        <v>0</v>
      </c>
      <c r="O343" s="231">
        <v>0</v>
      </c>
      <c r="P343" s="97">
        <f>VLOOKUP(Table323[[#This Row],[Census Tract]],'Population and Diversity Data'!$B$2:$K$823,10,FALSE)</f>
        <v>3</v>
      </c>
      <c r="Q343" s="97" t="str">
        <f>VLOOKUP(Table323[[#This Row],[Census Tract]],'ES Energy Burden'!$B$2:$E$914,4,FALSE)</f>
        <v>No</v>
      </c>
    </row>
    <row r="344" spans="1:17" x14ac:dyDescent="0.2">
      <c r="A344" s="30" t="s">
        <v>2797</v>
      </c>
      <c r="B344" s="169">
        <v>9003487201</v>
      </c>
      <c r="C344" s="232" t="s">
        <v>944</v>
      </c>
      <c r="D344" s="182">
        <v>405.59442000000001</v>
      </c>
      <c r="E344" s="182">
        <v>0</v>
      </c>
      <c r="F344" s="13">
        <f>[1]!Table323[[#This Row],[Single Family]]+[1]!Table323[[#This Row],[2-4 Units]]+[1]!Table323[[#This Row],[&gt;4 Units]]</f>
        <v>0</v>
      </c>
      <c r="G344" s="30">
        <v>0</v>
      </c>
      <c r="H344" s="30">
        <v>0</v>
      </c>
      <c r="I344" s="30">
        <v>0</v>
      </c>
      <c r="J344" s="231">
        <v>0</v>
      </c>
      <c r="K344">
        <f t="shared" si="5"/>
        <v>0</v>
      </c>
      <c r="L344" s="30">
        <v>0</v>
      </c>
      <c r="M344" s="30">
        <v>0</v>
      </c>
      <c r="N344" s="30">
        <v>0</v>
      </c>
      <c r="O344" s="231">
        <v>0</v>
      </c>
      <c r="P344" s="97">
        <f>VLOOKUP(Table323[[#This Row],[Census Tract]],'Population and Diversity Data'!$B$2:$K$823,10,FALSE)</f>
        <v>4</v>
      </c>
      <c r="Q344" s="97" t="str">
        <f>VLOOKUP(Table323[[#This Row],[Census Tract]],'ES Energy Burden'!$B$2:$E$914,4,FALSE)</f>
        <v>No</v>
      </c>
    </row>
    <row r="345" spans="1:17" x14ac:dyDescent="0.2">
      <c r="A345" s="30" t="s">
        <v>2797</v>
      </c>
      <c r="B345" s="169">
        <v>9003487500</v>
      </c>
      <c r="C345" s="232" t="s">
        <v>944</v>
      </c>
      <c r="D345" s="182">
        <v>260.52537000000001</v>
      </c>
      <c r="E345" s="182">
        <v>0</v>
      </c>
      <c r="F345" s="13">
        <f>[1]!Table323[[#This Row],[Single Family]]+[1]!Table323[[#This Row],[2-4 Units]]+[1]!Table323[[#This Row],[&gt;4 Units]]</f>
        <v>0</v>
      </c>
      <c r="G345" s="30">
        <v>0</v>
      </c>
      <c r="H345" s="30">
        <v>0</v>
      </c>
      <c r="I345" s="30">
        <v>0</v>
      </c>
      <c r="J345" s="231">
        <v>0</v>
      </c>
      <c r="K345">
        <f t="shared" si="5"/>
        <v>0</v>
      </c>
      <c r="L345" s="30">
        <v>0</v>
      </c>
      <c r="M345" s="30">
        <v>0</v>
      </c>
      <c r="N345" s="30">
        <v>0</v>
      </c>
      <c r="O345" s="231">
        <v>0</v>
      </c>
      <c r="P345" s="97">
        <f>VLOOKUP(Table323[[#This Row],[Census Tract]],'Population and Diversity Data'!$B$2:$K$823,10,FALSE)</f>
        <v>5</v>
      </c>
      <c r="Q345" s="97" t="str">
        <f>VLOOKUP(Table323[[#This Row],[Census Tract]],'ES Energy Burden'!$B$2:$E$914,4,FALSE)</f>
        <v>No</v>
      </c>
    </row>
    <row r="346" spans="1:17" x14ac:dyDescent="0.2">
      <c r="A346" s="30" t="s">
        <v>2797</v>
      </c>
      <c r="B346" s="169">
        <v>9003514101</v>
      </c>
      <c r="C346" s="232" t="s">
        <v>944</v>
      </c>
      <c r="D346" s="182">
        <v>32255.256809999999</v>
      </c>
      <c r="E346" s="182">
        <v>25696.22</v>
      </c>
      <c r="F346" s="13">
        <f>[1]!Table323[[#This Row],[Single Family]]+[1]!Table323[[#This Row],[2-4 Units]]+[1]!Table323[[#This Row],[&gt;4 Units]]</f>
        <v>1</v>
      </c>
      <c r="G346" s="30">
        <v>1</v>
      </c>
      <c r="H346" s="30">
        <v>0</v>
      </c>
      <c r="I346" s="30">
        <v>0</v>
      </c>
      <c r="J346" s="231">
        <v>3692.79</v>
      </c>
      <c r="K346">
        <f t="shared" si="5"/>
        <v>8</v>
      </c>
      <c r="L346" s="30">
        <v>7</v>
      </c>
      <c r="M346" s="30">
        <v>1</v>
      </c>
      <c r="N346" s="30">
        <v>0</v>
      </c>
      <c r="O346" s="231">
        <v>9544.5</v>
      </c>
      <c r="P346" s="97">
        <f>VLOOKUP(Table323[[#This Row],[Census Tract]],'Population and Diversity Data'!$B$2:$K$823,10,FALSE)</f>
        <v>3</v>
      </c>
      <c r="Q346" s="97" t="str">
        <f>VLOOKUP(Table323[[#This Row],[Census Tract]],'ES Energy Burden'!$B$2:$E$914,4,FALSE)</f>
        <v>No</v>
      </c>
    </row>
    <row r="347" spans="1:17" x14ac:dyDescent="0.2">
      <c r="A347" s="30" t="s">
        <v>2797</v>
      </c>
      <c r="B347" s="169">
        <v>9003514102</v>
      </c>
      <c r="C347" s="232" t="s">
        <v>944</v>
      </c>
      <c r="D347" s="182">
        <v>45290.560308</v>
      </c>
      <c r="E347" s="182">
        <v>13789.99</v>
      </c>
      <c r="F347" s="13">
        <f>[1]!Table323[[#This Row],[Single Family]]+[1]!Table323[[#This Row],[2-4 Units]]+[1]!Table323[[#This Row],[&gt;4 Units]]</f>
        <v>0</v>
      </c>
      <c r="G347" s="30">
        <v>0</v>
      </c>
      <c r="H347" s="30">
        <v>0</v>
      </c>
      <c r="I347" s="30">
        <v>0</v>
      </c>
      <c r="J347" s="231">
        <v>3652.96</v>
      </c>
      <c r="K347">
        <f t="shared" si="5"/>
        <v>5</v>
      </c>
      <c r="L347" s="30">
        <v>2</v>
      </c>
      <c r="M347" s="30">
        <v>3</v>
      </c>
      <c r="N347" s="30">
        <v>0</v>
      </c>
      <c r="O347" s="231">
        <v>2075.9</v>
      </c>
      <c r="P347" s="97">
        <f>VLOOKUP(Table323[[#This Row],[Census Tract]],'Population and Diversity Data'!$B$2:$K$823,10,FALSE)</f>
        <v>5</v>
      </c>
      <c r="Q347" s="97" t="str">
        <f>VLOOKUP(Table323[[#This Row],[Census Tract]],'ES Energy Burden'!$B$2:$E$914,4,FALSE)</f>
        <v>No</v>
      </c>
    </row>
    <row r="348" spans="1:17" x14ac:dyDescent="0.2">
      <c r="A348" s="30" t="s">
        <v>2797</v>
      </c>
      <c r="B348" s="169">
        <v>9003514200</v>
      </c>
      <c r="C348" s="232" t="s">
        <v>944</v>
      </c>
      <c r="D348" s="182">
        <v>28184.568069000001</v>
      </c>
      <c r="E348" s="182">
        <v>35847.35</v>
      </c>
      <c r="F348" s="13">
        <f>[1]!Table323[[#This Row],[Single Family]]+[1]!Table323[[#This Row],[2-4 Units]]+[1]!Table323[[#This Row],[&gt;4 Units]]</f>
        <v>0</v>
      </c>
      <c r="G348" s="30">
        <v>0</v>
      </c>
      <c r="H348" s="30">
        <v>0</v>
      </c>
      <c r="I348" s="30">
        <v>0</v>
      </c>
      <c r="J348" s="231">
        <v>8865.7800000000007</v>
      </c>
      <c r="K348">
        <f t="shared" si="5"/>
        <v>6</v>
      </c>
      <c r="L348" s="30">
        <v>3</v>
      </c>
      <c r="M348" s="30">
        <v>3</v>
      </c>
      <c r="N348" s="30">
        <v>0</v>
      </c>
      <c r="O348" s="231">
        <v>41336.57</v>
      </c>
      <c r="P348" s="97">
        <f>VLOOKUP(Table323[[#This Row],[Census Tract]],'Population and Diversity Data'!$B$2:$K$823,10,FALSE)</f>
        <v>5</v>
      </c>
      <c r="Q348" s="97" t="str">
        <f>VLOOKUP(Table323[[#This Row],[Census Tract]],'ES Energy Burden'!$B$2:$E$914,4,FALSE)</f>
        <v>No</v>
      </c>
    </row>
    <row r="349" spans="1:17" x14ac:dyDescent="0.2">
      <c r="A349" s="30" t="s">
        <v>2797</v>
      </c>
      <c r="B349" s="169">
        <v>9003514300</v>
      </c>
      <c r="C349" s="232" t="s">
        <v>944</v>
      </c>
      <c r="D349" s="182">
        <v>36217.866090000003</v>
      </c>
      <c r="E349" s="182">
        <v>45252.57</v>
      </c>
      <c r="F349" s="13">
        <f>[1]!Table323[[#This Row],[Single Family]]+[1]!Table323[[#This Row],[2-4 Units]]+[1]!Table323[[#This Row],[&gt;4 Units]]</f>
        <v>0</v>
      </c>
      <c r="G349" s="30">
        <v>0</v>
      </c>
      <c r="H349" s="30">
        <v>0</v>
      </c>
      <c r="I349" s="30">
        <v>0</v>
      </c>
      <c r="J349" s="231">
        <v>8877.84</v>
      </c>
      <c r="K349">
        <f t="shared" si="5"/>
        <v>10</v>
      </c>
      <c r="L349" s="30">
        <v>5</v>
      </c>
      <c r="M349" s="30">
        <v>5</v>
      </c>
      <c r="N349" s="30">
        <v>0</v>
      </c>
      <c r="O349" s="231">
        <v>28308.61</v>
      </c>
      <c r="P349" s="97">
        <f>VLOOKUP(Table323[[#This Row],[Census Tract]],'Population and Diversity Data'!$B$2:$K$823,10,FALSE)</f>
        <v>3</v>
      </c>
      <c r="Q349" s="97" t="str">
        <f>VLOOKUP(Table323[[#This Row],[Census Tract]],'ES Energy Burden'!$B$2:$E$914,4,FALSE)</f>
        <v>No</v>
      </c>
    </row>
    <row r="350" spans="1:17" x14ac:dyDescent="0.2">
      <c r="A350" s="30" t="s">
        <v>2797</v>
      </c>
      <c r="B350" s="169">
        <v>9003514400</v>
      </c>
      <c r="C350" s="232" t="s">
        <v>944</v>
      </c>
      <c r="D350" s="182">
        <v>35376.295101000003</v>
      </c>
      <c r="E350" s="182">
        <v>20562.77</v>
      </c>
      <c r="F350" s="13">
        <f>[1]!Table323[[#This Row],[Single Family]]+[1]!Table323[[#This Row],[2-4 Units]]+[1]!Table323[[#This Row],[&gt;4 Units]]</f>
        <v>0</v>
      </c>
      <c r="G350" s="30">
        <v>0</v>
      </c>
      <c r="H350" s="30">
        <v>0</v>
      </c>
      <c r="I350" s="30">
        <v>0</v>
      </c>
      <c r="J350" s="231">
        <v>6860.3</v>
      </c>
      <c r="K350">
        <f t="shared" si="5"/>
        <v>4</v>
      </c>
      <c r="L350" s="30">
        <v>3</v>
      </c>
      <c r="M350" s="30">
        <v>1</v>
      </c>
      <c r="N350" s="30">
        <v>0</v>
      </c>
      <c r="O350" s="231">
        <v>4525.24</v>
      </c>
      <c r="P350" s="97">
        <f>VLOOKUP(Table323[[#This Row],[Census Tract]],'Population and Diversity Data'!$B$2:$K$823,10,FALSE)</f>
        <v>4</v>
      </c>
      <c r="Q350" s="97" t="str">
        <f>VLOOKUP(Table323[[#This Row],[Census Tract]],'ES Energy Burden'!$B$2:$E$914,4,FALSE)</f>
        <v>No</v>
      </c>
    </row>
    <row r="351" spans="1:17" x14ac:dyDescent="0.2">
      <c r="A351" s="30" t="s">
        <v>2797</v>
      </c>
      <c r="B351" s="169">
        <v>9003514500</v>
      </c>
      <c r="C351" s="232" t="s">
        <v>944</v>
      </c>
      <c r="D351" s="182">
        <v>37316.888637000004</v>
      </c>
      <c r="E351" s="182">
        <v>23776.12</v>
      </c>
      <c r="F351" s="13">
        <f>[1]!Table323[[#This Row],[Single Family]]+[1]!Table323[[#This Row],[2-4 Units]]+[1]!Table323[[#This Row],[&gt;4 Units]]</f>
        <v>0</v>
      </c>
      <c r="G351" s="30">
        <v>0</v>
      </c>
      <c r="H351" s="30">
        <v>0</v>
      </c>
      <c r="I351" s="30">
        <v>0</v>
      </c>
      <c r="J351" s="231">
        <v>2446.1999999999998</v>
      </c>
      <c r="K351">
        <f t="shared" si="5"/>
        <v>11</v>
      </c>
      <c r="L351" s="30">
        <v>10</v>
      </c>
      <c r="M351" s="30">
        <v>1</v>
      </c>
      <c r="N351" s="30">
        <v>0</v>
      </c>
      <c r="O351" s="231">
        <v>5632.52</v>
      </c>
      <c r="P351" s="97">
        <f>VLOOKUP(Table323[[#This Row],[Census Tract]],'Population and Diversity Data'!$B$2:$K$823,10,FALSE)</f>
        <v>5</v>
      </c>
      <c r="Q351" s="97" t="str">
        <f>VLOOKUP(Table323[[#This Row],[Census Tract]],'ES Energy Burden'!$B$2:$E$914,4,FALSE)</f>
        <v>No</v>
      </c>
    </row>
    <row r="352" spans="1:17" x14ac:dyDescent="0.2">
      <c r="A352" s="30" t="s">
        <v>2797</v>
      </c>
      <c r="B352" s="169">
        <v>9003514600</v>
      </c>
      <c r="C352" s="232" t="s">
        <v>944</v>
      </c>
      <c r="D352" s="182">
        <v>291728.98897800001</v>
      </c>
      <c r="E352" s="182">
        <v>489205.52750000003</v>
      </c>
      <c r="F352" s="13">
        <f>[1]!Table323[[#This Row],[Single Family]]+[1]!Table323[[#This Row],[2-4 Units]]+[1]!Table323[[#This Row],[&gt;4 Units]]</f>
        <v>0</v>
      </c>
      <c r="G352" s="30">
        <v>0</v>
      </c>
      <c r="H352" s="30">
        <v>0</v>
      </c>
      <c r="I352" s="30">
        <v>0</v>
      </c>
      <c r="J352" s="231">
        <v>467.04</v>
      </c>
      <c r="K352">
        <f t="shared" si="5"/>
        <v>9</v>
      </c>
      <c r="L352" s="30">
        <v>5</v>
      </c>
      <c r="M352" s="30">
        <v>3</v>
      </c>
      <c r="N352" s="30">
        <v>1</v>
      </c>
      <c r="O352" s="231">
        <v>14909.52</v>
      </c>
      <c r="P352" s="97">
        <f>VLOOKUP(Table323[[#This Row],[Census Tract]],'Population and Diversity Data'!$B$2:$K$823,10,FALSE)</f>
        <v>5</v>
      </c>
      <c r="Q352" s="97" t="str">
        <f>VLOOKUP(Table323[[#This Row],[Census Tract]],'ES Energy Burden'!$B$2:$E$914,4,FALSE)</f>
        <v>No</v>
      </c>
    </row>
    <row r="353" spans="1:17" x14ac:dyDescent="0.2">
      <c r="A353" s="30" t="s">
        <v>2797</v>
      </c>
      <c r="B353" s="169">
        <v>9003514700</v>
      </c>
      <c r="C353" s="232" t="s">
        <v>944</v>
      </c>
      <c r="D353" s="182">
        <v>34941.534725999998</v>
      </c>
      <c r="E353" s="182">
        <v>16209.24</v>
      </c>
      <c r="F353" s="13">
        <f>[1]!Table323[[#This Row],[Single Family]]+[1]!Table323[[#This Row],[2-4 Units]]+[1]!Table323[[#This Row],[&gt;4 Units]]</f>
        <v>0</v>
      </c>
      <c r="G353" s="30">
        <v>0</v>
      </c>
      <c r="H353" s="30">
        <v>0</v>
      </c>
      <c r="I353" s="30">
        <v>0</v>
      </c>
      <c r="J353" s="231">
        <v>0</v>
      </c>
      <c r="K353">
        <f t="shared" si="5"/>
        <v>9</v>
      </c>
      <c r="L353" s="30">
        <v>3</v>
      </c>
      <c r="M353" s="30">
        <v>6</v>
      </c>
      <c r="N353" s="30">
        <v>0</v>
      </c>
      <c r="O353" s="231">
        <v>7382.82</v>
      </c>
      <c r="P353" s="97">
        <f>VLOOKUP(Table323[[#This Row],[Census Tract]],'Population and Diversity Data'!$B$2:$K$823,10,FALSE)</f>
        <v>5</v>
      </c>
      <c r="Q353" s="97" t="str">
        <f>VLOOKUP(Table323[[#This Row],[Census Tract]],'ES Energy Burden'!$B$2:$E$914,4,FALSE)</f>
        <v>No</v>
      </c>
    </row>
    <row r="354" spans="1:17" x14ac:dyDescent="0.2">
      <c r="A354" s="30" t="s">
        <v>2797</v>
      </c>
      <c r="B354" s="169">
        <v>9003514800</v>
      </c>
      <c r="C354" s="232" t="s">
        <v>944</v>
      </c>
      <c r="D354" s="182">
        <v>23920.869630000001</v>
      </c>
      <c r="E354" s="182">
        <v>20062.86</v>
      </c>
      <c r="F354" s="13">
        <f>[1]!Table323[[#This Row],[Single Family]]+[1]!Table323[[#This Row],[2-4 Units]]+[1]!Table323[[#This Row],[&gt;4 Units]]</f>
        <v>0</v>
      </c>
      <c r="G354" s="30">
        <v>0</v>
      </c>
      <c r="H354" s="30">
        <v>0</v>
      </c>
      <c r="I354" s="30">
        <v>0</v>
      </c>
      <c r="J354" s="231">
        <v>7639.8</v>
      </c>
      <c r="K354">
        <f t="shared" si="5"/>
        <v>15</v>
      </c>
      <c r="L354" s="30">
        <v>8</v>
      </c>
      <c r="M354" s="30">
        <v>7</v>
      </c>
      <c r="N354" s="30">
        <v>0</v>
      </c>
      <c r="O354" s="231">
        <v>7795.95</v>
      </c>
      <c r="P354" s="97">
        <f>VLOOKUP(Table323[[#This Row],[Census Tract]],'Population and Diversity Data'!$B$2:$K$823,10,FALSE)</f>
        <v>5</v>
      </c>
      <c r="Q354" s="97" t="str">
        <f>VLOOKUP(Table323[[#This Row],[Census Tract]],'ES Energy Burden'!$B$2:$E$914,4,FALSE)</f>
        <v>Yes</v>
      </c>
    </row>
    <row r="355" spans="1:17" x14ac:dyDescent="0.2">
      <c r="A355" s="30" t="s">
        <v>2797</v>
      </c>
      <c r="B355" s="169">
        <v>9003514900</v>
      </c>
      <c r="C355" s="232" t="s">
        <v>944</v>
      </c>
      <c r="D355" s="182">
        <v>28292.971140000001</v>
      </c>
      <c r="E355" s="182">
        <v>69864.054999999993</v>
      </c>
      <c r="F355" s="13">
        <f>[1]!Table323[[#This Row],[Single Family]]+[1]!Table323[[#This Row],[2-4 Units]]+[1]!Table323[[#This Row],[&gt;4 Units]]</f>
        <v>0</v>
      </c>
      <c r="G355" s="30">
        <v>0</v>
      </c>
      <c r="H355" s="30">
        <v>0</v>
      </c>
      <c r="I355" s="30">
        <v>0</v>
      </c>
      <c r="J355" s="231">
        <v>19942.740000000002</v>
      </c>
      <c r="K355">
        <f t="shared" si="5"/>
        <v>5</v>
      </c>
      <c r="L355" s="30">
        <v>5</v>
      </c>
      <c r="M355" s="30">
        <v>0</v>
      </c>
      <c r="N355" s="30">
        <v>0</v>
      </c>
      <c r="O355" s="231">
        <v>35946.550000000003</v>
      </c>
      <c r="P355" s="97">
        <f>VLOOKUP(Table323[[#This Row],[Census Tract]],'Population and Diversity Data'!$B$2:$K$823,10,FALSE)</f>
        <v>3</v>
      </c>
      <c r="Q355" s="97" t="str">
        <f>VLOOKUP(Table323[[#This Row],[Census Tract]],'ES Energy Burden'!$B$2:$E$914,4,FALSE)</f>
        <v>No</v>
      </c>
    </row>
    <row r="356" spans="1:17" x14ac:dyDescent="0.2">
      <c r="A356" s="30" t="s">
        <v>2797</v>
      </c>
      <c r="B356" s="169">
        <v>9003515000</v>
      </c>
      <c r="C356" s="232" t="s">
        <v>944</v>
      </c>
      <c r="D356" s="182">
        <v>32106.172097999999</v>
      </c>
      <c r="E356" s="182">
        <v>38085.629999999997</v>
      </c>
      <c r="F356" s="13">
        <f>[1]!Table323[[#This Row],[Single Family]]+[1]!Table323[[#This Row],[2-4 Units]]+[1]!Table323[[#This Row],[&gt;4 Units]]</f>
        <v>1</v>
      </c>
      <c r="G356" s="30">
        <v>1</v>
      </c>
      <c r="H356" s="30">
        <v>0</v>
      </c>
      <c r="I356" s="30">
        <v>0</v>
      </c>
      <c r="J356" s="231">
        <v>10132.85</v>
      </c>
      <c r="K356">
        <f t="shared" si="5"/>
        <v>6</v>
      </c>
      <c r="L356" s="30">
        <v>5</v>
      </c>
      <c r="M356" s="30">
        <v>1</v>
      </c>
      <c r="N356" s="30">
        <v>0</v>
      </c>
      <c r="O356" s="231">
        <v>12854.06</v>
      </c>
      <c r="P356" s="97">
        <f>VLOOKUP(Table323[[#This Row],[Census Tract]],'Population and Diversity Data'!$B$2:$K$823,10,FALSE)</f>
        <v>4</v>
      </c>
      <c r="Q356" s="97" t="str">
        <f>VLOOKUP(Table323[[#This Row],[Census Tract]],'ES Energy Burden'!$B$2:$E$914,4,FALSE)</f>
        <v>No</v>
      </c>
    </row>
    <row r="357" spans="1:17" x14ac:dyDescent="0.2">
      <c r="A357" s="30" t="s">
        <v>2797</v>
      </c>
      <c r="B357" s="169">
        <v>9003515101</v>
      </c>
      <c r="C357" s="232" t="s">
        <v>944</v>
      </c>
      <c r="D357" s="182">
        <v>22073.529870000002</v>
      </c>
      <c r="E357" s="182">
        <v>16215.91</v>
      </c>
      <c r="F357" s="13">
        <f>[1]!Table323[[#This Row],[Single Family]]+[1]!Table323[[#This Row],[2-4 Units]]+[1]!Table323[[#This Row],[&gt;4 Units]]</f>
        <v>1</v>
      </c>
      <c r="G357" s="30">
        <v>1</v>
      </c>
      <c r="H357" s="30">
        <v>0</v>
      </c>
      <c r="I357" s="30">
        <v>0</v>
      </c>
      <c r="J357" s="231">
        <v>1991.19</v>
      </c>
      <c r="K357">
        <f t="shared" si="5"/>
        <v>7</v>
      </c>
      <c r="L357" s="30">
        <v>4</v>
      </c>
      <c r="M357" s="30">
        <v>3</v>
      </c>
      <c r="N357" s="30">
        <v>0</v>
      </c>
      <c r="O357" s="231">
        <v>3679.73</v>
      </c>
      <c r="P357" s="97">
        <f>VLOOKUP(Table323[[#This Row],[Census Tract]],'Population and Diversity Data'!$B$2:$K$823,10,FALSE)</f>
        <v>3</v>
      </c>
      <c r="Q357" s="97" t="str">
        <f>VLOOKUP(Table323[[#This Row],[Census Tract]],'ES Energy Burden'!$B$2:$E$914,4,FALSE)</f>
        <v>No</v>
      </c>
    </row>
    <row r="358" spans="1:17" x14ac:dyDescent="0.2">
      <c r="A358" s="30" t="s">
        <v>2797</v>
      </c>
      <c r="B358" s="169">
        <v>9003515102</v>
      </c>
      <c r="C358" s="232" t="s">
        <v>944</v>
      </c>
      <c r="D358" s="182">
        <v>46546.763129999999</v>
      </c>
      <c r="E358" s="182">
        <v>49224.54</v>
      </c>
      <c r="F358" s="13">
        <f>[1]!Table323[[#This Row],[Single Family]]+[1]!Table323[[#This Row],[2-4 Units]]+[1]!Table323[[#This Row],[&gt;4 Units]]</f>
        <v>589</v>
      </c>
      <c r="G358" s="30">
        <v>271</v>
      </c>
      <c r="H358" s="30">
        <v>19</v>
      </c>
      <c r="I358" s="30">
        <v>299</v>
      </c>
      <c r="J358" s="231">
        <v>324866.07999999903</v>
      </c>
      <c r="K358">
        <f t="shared" si="5"/>
        <v>220</v>
      </c>
      <c r="L358" s="30">
        <v>47</v>
      </c>
      <c r="M358" s="30">
        <v>33</v>
      </c>
      <c r="N358" s="30">
        <v>140</v>
      </c>
      <c r="O358" s="231">
        <v>140332.19</v>
      </c>
      <c r="P358" s="97">
        <f>VLOOKUP(Table323[[#This Row],[Census Tract]],'Population and Diversity Data'!$B$2:$K$823,10,FALSE)</f>
        <v>5</v>
      </c>
      <c r="Q358" s="97" t="str">
        <f>VLOOKUP(Table323[[#This Row],[Census Tract]],'ES Energy Burden'!$B$2:$E$914,4,FALSE)</f>
        <v>No</v>
      </c>
    </row>
    <row r="359" spans="1:17" x14ac:dyDescent="0.2">
      <c r="A359" s="30" t="s">
        <v>2797</v>
      </c>
      <c r="B359" s="169">
        <v>9003515200</v>
      </c>
      <c r="C359" s="232" t="s">
        <v>944</v>
      </c>
      <c r="D359" s="182">
        <v>38220.302463</v>
      </c>
      <c r="E359" s="182">
        <v>27624.65</v>
      </c>
      <c r="F359" s="13">
        <f>[1]!Table323[[#This Row],[Single Family]]+[1]!Table323[[#This Row],[2-4 Units]]+[1]!Table323[[#This Row],[&gt;4 Units]]</f>
        <v>0</v>
      </c>
      <c r="G359" s="30">
        <v>0</v>
      </c>
      <c r="H359" s="30">
        <v>0</v>
      </c>
      <c r="I359" s="30">
        <v>0</v>
      </c>
      <c r="J359" s="231">
        <v>10173.58</v>
      </c>
      <c r="K359">
        <f t="shared" si="5"/>
        <v>1</v>
      </c>
      <c r="L359" s="30">
        <v>1</v>
      </c>
      <c r="M359" s="30">
        <v>0</v>
      </c>
      <c r="N359" s="30">
        <v>0</v>
      </c>
      <c r="O359" s="231">
        <v>328.73</v>
      </c>
      <c r="P359" s="97">
        <f>VLOOKUP(Table323[[#This Row],[Census Tract]],'Population and Diversity Data'!$B$2:$K$823,10,FALSE)</f>
        <v>4</v>
      </c>
      <c r="Q359" s="97" t="str">
        <f>VLOOKUP(Table323[[#This Row],[Census Tract]],'ES Energy Burden'!$B$2:$E$914,4,FALSE)</f>
        <v>No</v>
      </c>
    </row>
    <row r="360" spans="1:17" x14ac:dyDescent="0.2">
      <c r="A360" s="30" t="s">
        <v>2797</v>
      </c>
      <c r="B360" s="169">
        <v>9003520100</v>
      </c>
      <c r="C360" s="232" t="s">
        <v>944</v>
      </c>
      <c r="D360" s="182">
        <v>67.484759999999994</v>
      </c>
      <c r="E360" s="182">
        <v>200.64</v>
      </c>
      <c r="F360" s="13">
        <f>[1]!Table323[[#This Row],[Single Family]]+[1]!Table323[[#This Row],[2-4 Units]]+[1]!Table323[[#This Row],[&gt;4 Units]]</f>
        <v>0</v>
      </c>
      <c r="G360" s="30">
        <v>0</v>
      </c>
      <c r="H360" s="30">
        <v>0</v>
      </c>
      <c r="I360" s="30">
        <v>0</v>
      </c>
      <c r="J360" s="231">
        <v>200.64</v>
      </c>
      <c r="K360">
        <f t="shared" si="5"/>
        <v>0</v>
      </c>
      <c r="L360" s="30">
        <v>0</v>
      </c>
      <c r="M360" s="30">
        <v>0</v>
      </c>
      <c r="N360" s="30">
        <v>0</v>
      </c>
      <c r="O360" s="231">
        <v>0</v>
      </c>
      <c r="P360" s="97">
        <f>VLOOKUP(Table323[[#This Row],[Census Tract]],'Population and Diversity Data'!$B$2:$K$823,10,FALSE)</f>
        <v>4</v>
      </c>
      <c r="Q360" s="97" t="str">
        <f>VLOOKUP(Table323[[#This Row],[Census Tract]],'ES Energy Burden'!$B$2:$E$914,4,FALSE)</f>
        <v>No</v>
      </c>
    </row>
    <row r="361" spans="1:17" x14ac:dyDescent="0.2">
      <c r="A361" s="119" t="s">
        <v>2798</v>
      </c>
      <c r="B361" s="169">
        <v>9013840100</v>
      </c>
      <c r="C361" s="232" t="s">
        <v>944</v>
      </c>
      <c r="D361" s="182">
        <v>36.196019999999997</v>
      </c>
      <c r="E361" s="182">
        <v>34766.775000000001</v>
      </c>
      <c r="F361" s="13">
        <f>[1]!Table323[[#This Row],[Single Family]]+[1]!Table323[[#This Row],[2-4 Units]]+[1]!Table323[[#This Row],[&gt;4 Units]]</f>
        <v>0</v>
      </c>
      <c r="G361" s="30">
        <v>0</v>
      </c>
      <c r="H361" s="30">
        <v>0</v>
      </c>
      <c r="I361" s="30">
        <v>0</v>
      </c>
      <c r="J361" s="231">
        <v>0</v>
      </c>
      <c r="K361">
        <f t="shared" si="5"/>
        <v>0</v>
      </c>
      <c r="L361" s="30">
        <v>0</v>
      </c>
      <c r="M361" s="30">
        <v>0</v>
      </c>
      <c r="N361" s="30">
        <v>0</v>
      </c>
      <c r="O361" s="231">
        <v>0</v>
      </c>
      <c r="P361" s="97">
        <f>VLOOKUP(Table323[[#This Row],[Census Tract]],'Population and Diversity Data'!$B$2:$K$823,10,FALSE)</f>
        <v>4</v>
      </c>
      <c r="Q361" s="97" t="str">
        <f>VLOOKUP(Table323[[#This Row],[Census Tract]],'ES Energy Burden'!$B$2:$E$914,4,FALSE)</f>
        <v>No</v>
      </c>
    </row>
    <row r="362" spans="1:17" x14ac:dyDescent="0.2">
      <c r="A362" s="119" t="s">
        <v>2798</v>
      </c>
      <c r="B362" s="169">
        <v>9013881100</v>
      </c>
      <c r="C362" s="232" t="s">
        <v>944</v>
      </c>
      <c r="D362" s="182">
        <v>127680.746676</v>
      </c>
      <c r="E362" s="182">
        <v>138807.17000000001</v>
      </c>
      <c r="F362" s="13">
        <f>[1]!Table323[[#This Row],[Single Family]]+[1]!Table323[[#This Row],[2-4 Units]]+[1]!Table323[[#This Row],[&gt;4 Units]]</f>
        <v>28</v>
      </c>
      <c r="G362" s="30">
        <v>28</v>
      </c>
      <c r="H362" s="30">
        <v>0</v>
      </c>
      <c r="I362" s="30">
        <v>0</v>
      </c>
      <c r="J362" s="231">
        <v>51391.03</v>
      </c>
      <c r="K362">
        <f t="shared" si="5"/>
        <v>3</v>
      </c>
      <c r="L362" s="30">
        <v>3</v>
      </c>
      <c r="M362" s="30">
        <v>0</v>
      </c>
      <c r="N362" s="30">
        <v>0</v>
      </c>
      <c r="O362" s="231">
        <v>4975.1899999999996</v>
      </c>
      <c r="P362" s="97">
        <f>VLOOKUP(Table323[[#This Row],[Census Tract]],'Population and Diversity Data'!$B$2:$K$823,10,FALSE)</f>
        <v>4</v>
      </c>
      <c r="Q362" s="97" t="str">
        <f>VLOOKUP(Table323[[#This Row],[Census Tract]],'ES Energy Burden'!$B$2:$E$914,4,FALSE)</f>
        <v>No</v>
      </c>
    </row>
    <row r="363" spans="1:17" x14ac:dyDescent="0.2">
      <c r="A363" s="119" t="s">
        <v>2798</v>
      </c>
      <c r="B363" s="169">
        <v>9013881200</v>
      </c>
      <c r="C363" s="232" t="s">
        <v>944</v>
      </c>
      <c r="D363" s="182">
        <v>3676.7988599999999</v>
      </c>
      <c r="E363" s="182">
        <v>253.52</v>
      </c>
      <c r="F363" s="13">
        <f>[1]!Table323[[#This Row],[Single Family]]+[1]!Table323[[#This Row],[2-4 Units]]+[1]!Table323[[#This Row],[&gt;4 Units]]</f>
        <v>0</v>
      </c>
      <c r="G363" s="30">
        <v>0</v>
      </c>
      <c r="H363" s="30">
        <v>0</v>
      </c>
      <c r="I363" s="30">
        <v>0</v>
      </c>
      <c r="J363" s="231">
        <v>0</v>
      </c>
      <c r="K363">
        <f t="shared" si="5"/>
        <v>0</v>
      </c>
      <c r="L363" s="30">
        <v>0</v>
      </c>
      <c r="M363" s="30">
        <v>0</v>
      </c>
      <c r="N363" s="30">
        <v>0</v>
      </c>
      <c r="O363" s="231">
        <v>0</v>
      </c>
      <c r="P363" s="97">
        <f>VLOOKUP(Table323[[#This Row],[Census Tract]],'Population and Diversity Data'!$B$2:$K$823,10,FALSE)</f>
        <v>5</v>
      </c>
      <c r="Q363" s="97" t="str">
        <f>VLOOKUP(Table323[[#This Row],[Census Tract]],'ES Energy Burden'!$B$2:$E$914,4,FALSE)</f>
        <v>No</v>
      </c>
    </row>
    <row r="364" spans="1:17" x14ac:dyDescent="0.2">
      <c r="A364" s="119" t="s">
        <v>2798</v>
      </c>
      <c r="B364" s="169">
        <v>9013881300</v>
      </c>
      <c r="C364" s="232" t="s">
        <v>944</v>
      </c>
      <c r="D364" s="182">
        <v>32856.351276000001</v>
      </c>
      <c r="E364" s="182">
        <v>14461.415000000001</v>
      </c>
      <c r="F364" s="13">
        <f>[1]!Table323[[#This Row],[Single Family]]+[1]!Table323[[#This Row],[2-4 Units]]+[1]!Table323[[#This Row],[&gt;4 Units]]</f>
        <v>105</v>
      </c>
      <c r="G364" s="30">
        <v>54</v>
      </c>
      <c r="H364" s="30">
        <v>0</v>
      </c>
      <c r="I364" s="30">
        <v>51</v>
      </c>
      <c r="J364" s="231">
        <v>79537.820000000007</v>
      </c>
      <c r="K364">
        <f t="shared" si="5"/>
        <v>8</v>
      </c>
      <c r="L364" s="30">
        <v>8</v>
      </c>
      <c r="M364" s="30">
        <v>0</v>
      </c>
      <c r="N364" s="30">
        <v>0</v>
      </c>
      <c r="O364" s="231">
        <v>12021.57</v>
      </c>
      <c r="P364" s="97">
        <f>VLOOKUP(Table323[[#This Row],[Census Tract]],'Population and Diversity Data'!$B$2:$K$823,10,FALSE)</f>
        <v>4</v>
      </c>
      <c r="Q364" s="97" t="str">
        <f>VLOOKUP(Table323[[#This Row],[Census Tract]],'ES Energy Burden'!$B$2:$E$914,4,FALSE)</f>
        <v>No</v>
      </c>
    </row>
    <row r="365" spans="1:17" x14ac:dyDescent="0.2">
      <c r="A365" s="119" t="s">
        <v>2798</v>
      </c>
      <c r="B365" s="169">
        <v>9013881500</v>
      </c>
      <c r="C365" s="232" t="s">
        <v>944</v>
      </c>
      <c r="D365" s="182">
        <v>53515.333535999998</v>
      </c>
      <c r="E365" s="182">
        <v>82299.009999999995</v>
      </c>
      <c r="F365" s="13">
        <f>[1]!Table323[[#This Row],[Single Family]]+[1]!Table323[[#This Row],[2-4 Units]]+[1]!Table323[[#This Row],[&gt;4 Units]]</f>
        <v>0</v>
      </c>
      <c r="G365" s="30">
        <v>0</v>
      </c>
      <c r="H365" s="30">
        <v>0</v>
      </c>
      <c r="I365" s="30">
        <v>0</v>
      </c>
      <c r="J365" s="231">
        <v>6003.6</v>
      </c>
      <c r="K365">
        <f t="shared" si="5"/>
        <v>6</v>
      </c>
      <c r="L365" s="30">
        <v>3</v>
      </c>
      <c r="M365" s="30">
        <v>3</v>
      </c>
      <c r="N365" s="30">
        <v>0</v>
      </c>
      <c r="O365" s="231">
        <v>31945.72</v>
      </c>
      <c r="P365" s="97">
        <f>VLOOKUP(Table323[[#This Row],[Census Tract]],'Population and Diversity Data'!$B$2:$K$823,10,FALSE)</f>
        <v>4</v>
      </c>
      <c r="Q365" s="97" t="str">
        <f>VLOOKUP(Table323[[#This Row],[Census Tract]],'ES Energy Burden'!$B$2:$E$914,4,FALSE)</f>
        <v>No</v>
      </c>
    </row>
    <row r="366" spans="1:17" x14ac:dyDescent="0.2">
      <c r="A366" s="119" t="s">
        <v>2798</v>
      </c>
      <c r="B366" s="169">
        <v>9015815000</v>
      </c>
      <c r="C366" s="232" t="s">
        <v>944</v>
      </c>
      <c r="D366" s="182">
        <v>126.77784</v>
      </c>
      <c r="E366" s="182">
        <v>0</v>
      </c>
      <c r="F366" s="13">
        <f>[1]!Table323[[#This Row],[Single Family]]+[1]!Table323[[#This Row],[2-4 Units]]+[1]!Table323[[#This Row],[&gt;4 Units]]</f>
        <v>0</v>
      </c>
      <c r="G366" s="30">
        <v>0</v>
      </c>
      <c r="H366" s="30">
        <v>0</v>
      </c>
      <c r="I366" s="30">
        <v>0</v>
      </c>
      <c r="J366" s="231">
        <v>0</v>
      </c>
      <c r="K366">
        <f t="shared" si="5"/>
        <v>0</v>
      </c>
      <c r="L366" s="30">
        <v>0</v>
      </c>
      <c r="M366" s="30">
        <v>0</v>
      </c>
      <c r="N366" s="30">
        <v>0</v>
      </c>
      <c r="O366" s="231">
        <v>0</v>
      </c>
      <c r="P366" s="97">
        <f>VLOOKUP(Table323[[#This Row],[Census Tract]],'Population and Diversity Data'!$B$2:$K$823,10,FALSE)</f>
        <v>5</v>
      </c>
      <c r="Q366" s="97" t="str">
        <f>VLOOKUP(Table323[[#This Row],[Census Tract]],'ES Energy Burden'!$B$2:$E$914,4,FALSE)</f>
        <v>No</v>
      </c>
    </row>
    <row r="367" spans="1:17" x14ac:dyDescent="0.2">
      <c r="A367" s="30" t="s">
        <v>2799</v>
      </c>
      <c r="B367" s="169">
        <v>9003524100</v>
      </c>
      <c r="C367" s="232" t="s">
        <v>944</v>
      </c>
      <c r="D367" s="182">
        <v>112984.90463400001</v>
      </c>
      <c r="E367" s="182">
        <v>158108.345</v>
      </c>
      <c r="F367" s="13">
        <f>[1]!Table323[[#This Row],[Single Family]]+[1]!Table323[[#This Row],[2-4 Units]]+[1]!Table323[[#This Row],[&gt;4 Units]]</f>
        <v>38</v>
      </c>
      <c r="G367" s="30">
        <v>38</v>
      </c>
      <c r="H367" s="30">
        <v>0</v>
      </c>
      <c r="I367" s="30">
        <v>0</v>
      </c>
      <c r="J367" s="231">
        <v>99980.91</v>
      </c>
      <c r="K367">
        <f t="shared" si="5"/>
        <v>26</v>
      </c>
      <c r="L367" s="30">
        <v>2</v>
      </c>
      <c r="M367" s="30">
        <v>0</v>
      </c>
      <c r="N367" s="30">
        <v>24</v>
      </c>
      <c r="O367" s="231">
        <v>12239.21</v>
      </c>
      <c r="P367" s="97">
        <f>VLOOKUP(Table323[[#This Row],[Census Tract]],'Population and Diversity Data'!$B$2:$K$823,10,FALSE)</f>
        <v>1</v>
      </c>
      <c r="Q367" s="97" t="str">
        <f>VLOOKUP(Table323[[#This Row],[Census Tract]],'ES Energy Burden'!$B$2:$E$914,4,FALSE)</f>
        <v>No</v>
      </c>
    </row>
    <row r="368" spans="1:17" x14ac:dyDescent="0.2">
      <c r="A368" s="30" t="s">
        <v>2799</v>
      </c>
      <c r="B368" s="169">
        <v>9013526101</v>
      </c>
      <c r="C368" s="232" t="s">
        <v>944</v>
      </c>
      <c r="D368" s="182">
        <v>241.56762000000001</v>
      </c>
      <c r="E368" s="182">
        <v>0</v>
      </c>
      <c r="F368" s="13">
        <f>[1]!Table323[[#This Row],[Single Family]]+[1]!Table323[[#This Row],[2-4 Units]]+[1]!Table323[[#This Row],[&gt;4 Units]]</f>
        <v>0</v>
      </c>
      <c r="G368" s="30">
        <v>0</v>
      </c>
      <c r="H368" s="30">
        <v>0</v>
      </c>
      <c r="I368" s="30">
        <v>0</v>
      </c>
      <c r="J368" s="231">
        <v>0</v>
      </c>
      <c r="K368">
        <f t="shared" si="5"/>
        <v>0</v>
      </c>
      <c r="L368" s="30">
        <v>0</v>
      </c>
      <c r="M368" s="30">
        <v>0</v>
      </c>
      <c r="N368" s="30">
        <v>0</v>
      </c>
      <c r="O368" s="231">
        <v>0</v>
      </c>
      <c r="P368" s="97">
        <f>VLOOKUP(Table323[[#This Row],[Census Tract]],'Population and Diversity Data'!$B$2:$K$823,10,FALSE)</f>
        <v>2</v>
      </c>
      <c r="Q368" s="97" t="str">
        <f>VLOOKUP(Table323[[#This Row],[Census Tract]],'ES Energy Burden'!$B$2:$E$914,4,FALSE)</f>
        <v>No</v>
      </c>
    </row>
    <row r="369" spans="1:17" x14ac:dyDescent="0.2">
      <c r="A369" s="30" t="s">
        <v>2799</v>
      </c>
      <c r="B369" s="169">
        <v>9013526102</v>
      </c>
      <c r="C369" s="232" t="s">
        <v>944</v>
      </c>
      <c r="D369" s="182">
        <v>299.40204</v>
      </c>
      <c r="E369" s="182">
        <v>0</v>
      </c>
      <c r="F369" s="13">
        <f>[1]!Table323[[#This Row],[Single Family]]+[1]!Table323[[#This Row],[2-4 Units]]+[1]!Table323[[#This Row],[&gt;4 Units]]</f>
        <v>0</v>
      </c>
      <c r="G369" s="30">
        <v>0</v>
      </c>
      <c r="H369" s="30">
        <v>0</v>
      </c>
      <c r="I369" s="30">
        <v>0</v>
      </c>
      <c r="J369" s="231">
        <v>0</v>
      </c>
      <c r="K369">
        <f t="shared" si="5"/>
        <v>0</v>
      </c>
      <c r="L369" s="30">
        <v>0</v>
      </c>
      <c r="M369" s="30">
        <v>0</v>
      </c>
      <c r="N369" s="30">
        <v>0</v>
      </c>
      <c r="O369" s="231">
        <v>0</v>
      </c>
      <c r="P369" s="97">
        <f>VLOOKUP(Table323[[#This Row],[Census Tract]],'Population and Diversity Data'!$B$2:$K$823,10,FALSE)</f>
        <v>1</v>
      </c>
      <c r="Q369" s="97" t="str">
        <f>VLOOKUP(Table323[[#This Row],[Census Tract]],'ES Energy Burden'!$B$2:$E$914,4,FALSE)</f>
        <v>No</v>
      </c>
    </row>
    <row r="370" spans="1:17" x14ac:dyDescent="0.2">
      <c r="A370" s="30" t="s">
        <v>991</v>
      </c>
      <c r="B370" s="169">
        <v>9003430301</v>
      </c>
      <c r="C370" s="232" t="s">
        <v>944</v>
      </c>
      <c r="D370" s="182">
        <v>1323.3668700000001</v>
      </c>
      <c r="E370" s="182">
        <v>2858.77</v>
      </c>
      <c r="F370" s="13">
        <f>[1]!Table323[[#This Row],[Single Family]]+[1]!Table323[[#This Row],[2-4 Units]]+[1]!Table323[[#This Row],[&gt;4 Units]]</f>
        <v>0</v>
      </c>
      <c r="G370" s="30">
        <v>0</v>
      </c>
      <c r="H370" s="30">
        <v>0</v>
      </c>
      <c r="I370" s="30">
        <v>0</v>
      </c>
      <c r="J370" s="231">
        <v>0</v>
      </c>
      <c r="K370">
        <f t="shared" si="5"/>
        <v>1</v>
      </c>
      <c r="L370" s="30">
        <v>1</v>
      </c>
      <c r="M370" s="30">
        <v>0</v>
      </c>
      <c r="N370" s="30">
        <v>0</v>
      </c>
      <c r="O370" s="231">
        <v>1561.27</v>
      </c>
      <c r="P370" s="97">
        <f>VLOOKUP(Table323[[#This Row],[Census Tract]],'Population and Diversity Data'!$B$2:$K$823,10,FALSE)</f>
        <v>1</v>
      </c>
      <c r="Q370" s="97" t="str">
        <f>VLOOKUP(Table323[[#This Row],[Census Tract]],'ES Energy Burden'!$B$2:$E$914,4,FALSE)</f>
        <v>No</v>
      </c>
    </row>
    <row r="371" spans="1:17" x14ac:dyDescent="0.2">
      <c r="A371" s="30" t="s">
        <v>991</v>
      </c>
      <c r="B371" s="169">
        <v>9009170100</v>
      </c>
      <c r="C371" s="232" t="s">
        <v>936</v>
      </c>
      <c r="D371" s="182">
        <v>9277.4982930000006</v>
      </c>
      <c r="E371" s="182">
        <v>31913.22</v>
      </c>
      <c r="F371" s="13">
        <f>[1]!Table323[[#This Row],[Single Family]]+[1]!Table323[[#This Row],[2-4 Units]]+[1]!Table323[[#This Row],[&gt;4 Units]]</f>
        <v>0</v>
      </c>
      <c r="G371" s="30">
        <v>0</v>
      </c>
      <c r="H371" s="30">
        <v>0</v>
      </c>
      <c r="I371" s="30">
        <v>0</v>
      </c>
      <c r="J371" s="231">
        <v>0</v>
      </c>
      <c r="K371">
        <f t="shared" si="5"/>
        <v>166</v>
      </c>
      <c r="L371" s="30">
        <v>1</v>
      </c>
      <c r="M371" s="30">
        <v>1</v>
      </c>
      <c r="N371" s="30">
        <v>164</v>
      </c>
      <c r="O371" s="231">
        <v>32688.97</v>
      </c>
      <c r="P371" s="97">
        <f>VLOOKUP(Table323[[#This Row],[Census Tract]],'Population and Diversity Data'!$B$2:$K$823,10,FALSE)</f>
        <v>5</v>
      </c>
      <c r="Q371" s="97" t="e">
        <f>VLOOKUP(Table323[[#This Row],[Census Tract]],'ES Energy Burden'!$B$2:$E$914,4,FALSE)</f>
        <v>#N/A</v>
      </c>
    </row>
    <row r="372" spans="1:17" x14ac:dyDescent="0.2">
      <c r="A372" s="30" t="s">
        <v>991</v>
      </c>
      <c r="B372" s="169">
        <v>9009170200</v>
      </c>
      <c r="C372" s="232" t="s">
        <v>944</v>
      </c>
      <c r="D372" s="182">
        <v>15074.91783</v>
      </c>
      <c r="E372" s="182">
        <v>1626.05</v>
      </c>
      <c r="F372" s="13">
        <f>[1]!Table323[[#This Row],[Single Family]]+[1]!Table323[[#This Row],[2-4 Units]]+[1]!Table323[[#This Row],[&gt;4 Units]]</f>
        <v>0</v>
      </c>
      <c r="G372" s="30">
        <v>0</v>
      </c>
      <c r="H372" s="30">
        <v>0</v>
      </c>
      <c r="I372" s="30">
        <v>0</v>
      </c>
      <c r="J372" s="231">
        <v>19.77</v>
      </c>
      <c r="K372">
        <f t="shared" si="5"/>
        <v>3</v>
      </c>
      <c r="L372" s="30">
        <v>1</v>
      </c>
      <c r="M372" s="30">
        <v>2</v>
      </c>
      <c r="N372" s="30">
        <v>0</v>
      </c>
      <c r="O372" s="231">
        <v>824.53</v>
      </c>
      <c r="P372" s="97">
        <f>VLOOKUP(Table323[[#This Row],[Census Tract]],'Population and Diversity Data'!$B$2:$K$823,10,FALSE)</f>
        <v>5</v>
      </c>
      <c r="Q372" s="97" t="str">
        <f>VLOOKUP(Table323[[#This Row],[Census Tract]],'ES Energy Burden'!$B$2:$E$914,4,FALSE)</f>
        <v>No</v>
      </c>
    </row>
    <row r="373" spans="1:17" x14ac:dyDescent="0.2">
      <c r="A373" s="30" t="s">
        <v>991</v>
      </c>
      <c r="B373" s="169">
        <v>9009170300</v>
      </c>
      <c r="C373" s="232" t="s">
        <v>944</v>
      </c>
      <c r="D373" s="182">
        <v>279530.37961800001</v>
      </c>
      <c r="E373" s="182">
        <v>1109318.4850000001</v>
      </c>
      <c r="F373" s="13">
        <f>[1]!Table323[[#This Row],[Single Family]]+[1]!Table323[[#This Row],[2-4 Units]]+[1]!Table323[[#This Row],[&gt;4 Units]]</f>
        <v>0</v>
      </c>
      <c r="G373" s="30">
        <v>0</v>
      </c>
      <c r="H373" s="30">
        <v>0</v>
      </c>
      <c r="I373" s="30">
        <v>0</v>
      </c>
      <c r="J373" s="231">
        <v>0</v>
      </c>
      <c r="K373">
        <f t="shared" si="5"/>
        <v>8</v>
      </c>
      <c r="L373" s="30">
        <v>4</v>
      </c>
      <c r="M373" s="30">
        <v>4</v>
      </c>
      <c r="N373" s="30">
        <v>0</v>
      </c>
      <c r="O373" s="231">
        <v>4279.1000000000004</v>
      </c>
      <c r="P373" s="97">
        <f>VLOOKUP(Table323[[#This Row],[Census Tract]],'Population and Diversity Data'!$B$2:$K$823,10,FALSE)</f>
        <v>4</v>
      </c>
      <c r="Q373" s="97" t="str">
        <f>VLOOKUP(Table323[[#This Row],[Census Tract]],'ES Energy Burden'!$B$2:$E$914,4,FALSE)</f>
        <v>No</v>
      </c>
    </row>
    <row r="374" spans="1:17" x14ac:dyDescent="0.2">
      <c r="A374" s="30" t="s">
        <v>991</v>
      </c>
      <c r="B374" s="169">
        <v>9009170400</v>
      </c>
      <c r="C374" s="232" t="s">
        <v>944</v>
      </c>
      <c r="D374" s="182">
        <v>14155.31481</v>
      </c>
      <c r="E374" s="182">
        <v>12605.815000000001</v>
      </c>
      <c r="F374" s="13">
        <f>[1]!Table323[[#This Row],[Single Family]]+[1]!Table323[[#This Row],[2-4 Units]]+[1]!Table323[[#This Row],[&gt;4 Units]]</f>
        <v>0</v>
      </c>
      <c r="G374" s="30">
        <v>0</v>
      </c>
      <c r="H374" s="30">
        <v>0</v>
      </c>
      <c r="I374" s="30">
        <v>0</v>
      </c>
      <c r="J374" s="231">
        <v>4706.1099999999997</v>
      </c>
      <c r="K374">
        <f t="shared" si="5"/>
        <v>3</v>
      </c>
      <c r="L374" s="30">
        <v>2</v>
      </c>
      <c r="M374" s="30">
        <v>0</v>
      </c>
      <c r="N374" s="30">
        <v>1</v>
      </c>
      <c r="O374" s="231">
        <v>5802.55</v>
      </c>
      <c r="P374" s="97">
        <f>VLOOKUP(Table323[[#This Row],[Census Tract]],'Population and Diversity Data'!$B$2:$K$823,10,FALSE)</f>
        <v>5</v>
      </c>
      <c r="Q374" s="97" t="str">
        <f>VLOOKUP(Table323[[#This Row],[Census Tract]],'ES Energy Burden'!$B$2:$E$914,4,FALSE)</f>
        <v>No</v>
      </c>
    </row>
    <row r="375" spans="1:17" x14ac:dyDescent="0.2">
      <c r="A375" s="30" t="s">
        <v>991</v>
      </c>
      <c r="B375" s="169">
        <v>9009170500</v>
      </c>
      <c r="C375" s="232" t="s">
        <v>944</v>
      </c>
      <c r="D375" s="182">
        <v>58910.374949999998</v>
      </c>
      <c r="E375" s="182">
        <v>46542.74</v>
      </c>
      <c r="F375" s="13">
        <f>[1]!Table323[[#This Row],[Single Family]]+[1]!Table323[[#This Row],[2-4 Units]]+[1]!Table323[[#This Row],[&gt;4 Units]]</f>
        <v>1</v>
      </c>
      <c r="G375" s="30">
        <v>1</v>
      </c>
      <c r="H375" s="30">
        <v>0</v>
      </c>
      <c r="I375" s="30">
        <v>0</v>
      </c>
      <c r="J375" s="231">
        <v>20520.3</v>
      </c>
      <c r="K375">
        <f t="shared" si="5"/>
        <v>1</v>
      </c>
      <c r="L375" s="30">
        <v>1</v>
      </c>
      <c r="M375" s="30">
        <v>0</v>
      </c>
      <c r="N375" s="30">
        <v>0</v>
      </c>
      <c r="O375" s="231">
        <v>126.73</v>
      </c>
      <c r="P375" s="97">
        <f>VLOOKUP(Table323[[#This Row],[Census Tract]],'Population and Diversity Data'!$B$2:$K$823,10,FALSE)</f>
        <v>4</v>
      </c>
      <c r="Q375" s="97" t="str">
        <f>VLOOKUP(Table323[[#This Row],[Census Tract]],'ES Energy Burden'!$B$2:$E$914,4,FALSE)</f>
        <v>No</v>
      </c>
    </row>
    <row r="376" spans="1:17" x14ac:dyDescent="0.2">
      <c r="A376" s="30" t="s">
        <v>991</v>
      </c>
      <c r="B376" s="169">
        <v>9009170600</v>
      </c>
      <c r="C376" s="232" t="s">
        <v>944</v>
      </c>
      <c r="D376" s="182">
        <v>23264.283777000001</v>
      </c>
      <c r="E376" s="182">
        <v>21061.64</v>
      </c>
      <c r="F376" s="13">
        <f>[1]!Table323[[#This Row],[Single Family]]+[1]!Table323[[#This Row],[2-4 Units]]+[1]!Table323[[#This Row],[&gt;4 Units]]</f>
        <v>0</v>
      </c>
      <c r="G376" s="30">
        <v>0</v>
      </c>
      <c r="H376" s="30">
        <v>0</v>
      </c>
      <c r="I376" s="30">
        <v>0</v>
      </c>
      <c r="J376" s="231">
        <v>5093.7700000000004</v>
      </c>
      <c r="K376">
        <f t="shared" si="5"/>
        <v>6</v>
      </c>
      <c r="L376" s="30">
        <v>6</v>
      </c>
      <c r="M376" s="30">
        <v>0</v>
      </c>
      <c r="N376" s="30">
        <v>0</v>
      </c>
      <c r="O376" s="231">
        <v>3894.59</v>
      </c>
      <c r="P376" s="97">
        <f>VLOOKUP(Table323[[#This Row],[Census Tract]],'Population and Diversity Data'!$B$2:$K$823,10,FALSE)</f>
        <v>3</v>
      </c>
      <c r="Q376" s="97" t="str">
        <f>VLOOKUP(Table323[[#This Row],[Census Tract]],'ES Energy Burden'!$B$2:$E$914,4,FALSE)</f>
        <v>No</v>
      </c>
    </row>
    <row r="377" spans="1:17" x14ac:dyDescent="0.2">
      <c r="A377" s="30" t="s">
        <v>991</v>
      </c>
      <c r="B377" s="169">
        <v>9009170700</v>
      </c>
      <c r="C377" s="232" t="s">
        <v>944</v>
      </c>
      <c r="D377" s="182">
        <v>26249.035889999999</v>
      </c>
      <c r="E377" s="182">
        <v>50720.35</v>
      </c>
      <c r="F377" s="13">
        <f>[1]!Table323[[#This Row],[Single Family]]+[1]!Table323[[#This Row],[2-4 Units]]+[1]!Table323[[#This Row],[&gt;4 Units]]</f>
        <v>0</v>
      </c>
      <c r="G377" s="30">
        <v>0</v>
      </c>
      <c r="H377" s="30">
        <v>0</v>
      </c>
      <c r="I377" s="30">
        <v>0</v>
      </c>
      <c r="J377" s="231">
        <v>15042.85</v>
      </c>
      <c r="K377">
        <f t="shared" si="5"/>
        <v>10</v>
      </c>
      <c r="L377" s="30">
        <v>6</v>
      </c>
      <c r="M377" s="30">
        <v>4</v>
      </c>
      <c r="N377" s="30">
        <v>0</v>
      </c>
      <c r="O377" s="231">
        <v>13174.32</v>
      </c>
      <c r="P377" s="97">
        <f>VLOOKUP(Table323[[#This Row],[Census Tract]],'Population and Diversity Data'!$B$2:$K$823,10,FALSE)</f>
        <v>4</v>
      </c>
      <c r="Q377" s="97" t="str">
        <f>VLOOKUP(Table323[[#This Row],[Census Tract]],'ES Energy Burden'!$B$2:$E$914,4,FALSE)</f>
        <v>No</v>
      </c>
    </row>
    <row r="378" spans="1:17" x14ac:dyDescent="0.2">
      <c r="A378" s="30" t="s">
        <v>991</v>
      </c>
      <c r="B378" s="169">
        <v>9009170800</v>
      </c>
      <c r="C378" s="232" t="s">
        <v>944</v>
      </c>
      <c r="D378" s="182">
        <v>47934.481539000008</v>
      </c>
      <c r="E378" s="182">
        <v>48846.66</v>
      </c>
      <c r="F378" s="13">
        <f>[1]!Table323[[#This Row],[Single Family]]+[1]!Table323[[#This Row],[2-4 Units]]+[1]!Table323[[#This Row],[&gt;4 Units]]</f>
        <v>2</v>
      </c>
      <c r="G378" s="30">
        <v>2</v>
      </c>
      <c r="H378" s="30">
        <v>0</v>
      </c>
      <c r="I378" s="30">
        <v>0</v>
      </c>
      <c r="J378" s="231">
        <v>4837.8500000000004</v>
      </c>
      <c r="K378">
        <f t="shared" si="5"/>
        <v>14</v>
      </c>
      <c r="L378" s="30">
        <v>10</v>
      </c>
      <c r="M378" s="30">
        <v>4</v>
      </c>
      <c r="N378" s="30">
        <v>0</v>
      </c>
      <c r="O378" s="231">
        <v>38322.81</v>
      </c>
      <c r="P378" s="97">
        <f>VLOOKUP(Table323[[#This Row],[Census Tract]],'Population and Diversity Data'!$B$2:$K$823,10,FALSE)</f>
        <v>3</v>
      </c>
      <c r="Q378" s="97" t="str">
        <f>VLOOKUP(Table323[[#This Row],[Census Tract]],'ES Energy Burden'!$B$2:$E$914,4,FALSE)</f>
        <v>No</v>
      </c>
    </row>
    <row r="379" spans="1:17" x14ac:dyDescent="0.2">
      <c r="A379" s="30" t="s">
        <v>991</v>
      </c>
      <c r="B379" s="169">
        <v>9009170900</v>
      </c>
      <c r="C379" s="232" t="s">
        <v>944</v>
      </c>
      <c r="D379" s="182">
        <v>15120.592242000001</v>
      </c>
      <c r="E379" s="182">
        <v>2055.25</v>
      </c>
      <c r="F379" s="13">
        <f>[1]!Table323[[#This Row],[Single Family]]+[1]!Table323[[#This Row],[2-4 Units]]+[1]!Table323[[#This Row],[&gt;4 Units]]</f>
        <v>0</v>
      </c>
      <c r="G379" s="30">
        <v>0</v>
      </c>
      <c r="H379" s="30">
        <v>0</v>
      </c>
      <c r="I379" s="30">
        <v>0</v>
      </c>
      <c r="J379" s="231">
        <v>0</v>
      </c>
      <c r="K379">
        <f t="shared" si="5"/>
        <v>2</v>
      </c>
      <c r="L379" s="30">
        <v>0</v>
      </c>
      <c r="M379" s="30">
        <v>2</v>
      </c>
      <c r="N379" s="30">
        <v>0</v>
      </c>
      <c r="O379" s="231">
        <v>231.96</v>
      </c>
      <c r="P379" s="97">
        <f>VLOOKUP(Table323[[#This Row],[Census Tract]],'Population and Diversity Data'!$B$2:$K$823,10,FALSE)</f>
        <v>4</v>
      </c>
      <c r="Q379" s="97" t="str">
        <f>VLOOKUP(Table323[[#This Row],[Census Tract]],'ES Energy Burden'!$B$2:$E$914,4,FALSE)</f>
        <v>No</v>
      </c>
    </row>
    <row r="380" spans="1:17" x14ac:dyDescent="0.2">
      <c r="A380" s="30" t="s">
        <v>991</v>
      </c>
      <c r="B380" s="169">
        <v>9009171000</v>
      </c>
      <c r="C380" s="232" t="s">
        <v>944</v>
      </c>
      <c r="D380" s="182">
        <v>13033.566629999999</v>
      </c>
      <c r="E380" s="182">
        <v>7563.94</v>
      </c>
      <c r="F380" s="13">
        <f>[1]!Table323[[#This Row],[Single Family]]+[1]!Table323[[#This Row],[2-4 Units]]+[1]!Table323[[#This Row],[&gt;4 Units]]</f>
        <v>0</v>
      </c>
      <c r="G380" s="30">
        <v>0</v>
      </c>
      <c r="H380" s="30">
        <v>0</v>
      </c>
      <c r="I380" s="30">
        <v>0</v>
      </c>
      <c r="J380" s="231">
        <v>0</v>
      </c>
      <c r="K380">
        <f t="shared" si="5"/>
        <v>6</v>
      </c>
      <c r="L380" s="30">
        <v>2</v>
      </c>
      <c r="M380" s="30">
        <v>4</v>
      </c>
      <c r="N380" s="30">
        <v>0</v>
      </c>
      <c r="O380" s="231">
        <v>2249.6999999999998</v>
      </c>
      <c r="P380" s="97">
        <f>VLOOKUP(Table323[[#This Row],[Census Tract]],'Population and Diversity Data'!$B$2:$K$823,10,FALSE)</f>
        <v>5</v>
      </c>
      <c r="Q380" s="97" t="str">
        <f>VLOOKUP(Table323[[#This Row],[Census Tract]],'ES Energy Burden'!$B$2:$E$914,4,FALSE)</f>
        <v>No</v>
      </c>
    </row>
    <row r="381" spans="1:17" x14ac:dyDescent="0.2">
      <c r="A381" s="30" t="s">
        <v>991</v>
      </c>
      <c r="B381" s="169">
        <v>9009171100</v>
      </c>
      <c r="C381" s="232" t="s">
        <v>944</v>
      </c>
      <c r="D381" s="182">
        <v>51168.232227</v>
      </c>
      <c r="E381" s="182">
        <v>34564.959999999999</v>
      </c>
      <c r="F381" s="13">
        <f>[1]!Table323[[#This Row],[Single Family]]+[1]!Table323[[#This Row],[2-4 Units]]+[1]!Table323[[#This Row],[&gt;4 Units]]</f>
        <v>1</v>
      </c>
      <c r="G381" s="30">
        <v>0</v>
      </c>
      <c r="H381" s="30">
        <v>0</v>
      </c>
      <c r="I381" s="30">
        <v>1</v>
      </c>
      <c r="J381" s="231">
        <v>10203.85</v>
      </c>
      <c r="K381">
        <f t="shared" si="5"/>
        <v>125</v>
      </c>
      <c r="L381" s="30">
        <v>3</v>
      </c>
      <c r="M381" s="30">
        <v>1</v>
      </c>
      <c r="N381" s="30">
        <v>121</v>
      </c>
      <c r="O381" s="231">
        <v>4277.83</v>
      </c>
      <c r="P381" s="97">
        <f>VLOOKUP(Table323[[#This Row],[Census Tract]],'Population and Diversity Data'!$B$2:$K$823,10,FALSE)</f>
        <v>3</v>
      </c>
      <c r="Q381" s="97" t="str">
        <f>VLOOKUP(Table323[[#This Row],[Census Tract]],'ES Energy Burden'!$B$2:$E$914,4,FALSE)</f>
        <v>No</v>
      </c>
    </row>
    <row r="382" spans="1:17" x14ac:dyDescent="0.2">
      <c r="A382" s="30" t="s">
        <v>991</v>
      </c>
      <c r="B382" s="169">
        <v>9009171200</v>
      </c>
      <c r="C382" s="232" t="s">
        <v>944</v>
      </c>
      <c r="D382" s="182">
        <v>84688.161746999991</v>
      </c>
      <c r="E382" s="182">
        <v>63184.09</v>
      </c>
      <c r="F382" s="13">
        <f>[1]!Table323[[#This Row],[Single Family]]+[1]!Table323[[#This Row],[2-4 Units]]+[1]!Table323[[#This Row],[&gt;4 Units]]</f>
        <v>0</v>
      </c>
      <c r="G382" s="30">
        <v>0</v>
      </c>
      <c r="H382" s="30">
        <v>0</v>
      </c>
      <c r="I382" s="30">
        <v>0</v>
      </c>
      <c r="J382" s="231">
        <v>29470.27</v>
      </c>
      <c r="K382">
        <f t="shared" si="5"/>
        <v>8</v>
      </c>
      <c r="L382" s="30">
        <v>8</v>
      </c>
      <c r="M382" s="30">
        <v>0</v>
      </c>
      <c r="N382" s="30">
        <v>0</v>
      </c>
      <c r="O382" s="231">
        <v>8653.7000000000007</v>
      </c>
      <c r="P382" s="97">
        <f>VLOOKUP(Table323[[#This Row],[Census Tract]],'Population and Diversity Data'!$B$2:$K$823,10,FALSE)</f>
        <v>3</v>
      </c>
      <c r="Q382" s="97" t="str">
        <f>VLOOKUP(Table323[[#This Row],[Census Tract]],'ES Energy Burden'!$B$2:$E$914,4,FALSE)</f>
        <v>No</v>
      </c>
    </row>
    <row r="383" spans="1:17" x14ac:dyDescent="0.2">
      <c r="A383" s="30" t="s">
        <v>991</v>
      </c>
      <c r="B383" s="169">
        <v>9009171300</v>
      </c>
      <c r="C383" s="232" t="s">
        <v>944</v>
      </c>
      <c r="D383" s="182">
        <v>39499.577712000006</v>
      </c>
      <c r="E383" s="182">
        <v>11381.8</v>
      </c>
      <c r="F383" s="13">
        <f>[1]!Table323[[#This Row],[Single Family]]+[1]!Table323[[#This Row],[2-4 Units]]+[1]!Table323[[#This Row],[&gt;4 Units]]</f>
        <v>0</v>
      </c>
      <c r="G383" s="30">
        <v>0</v>
      </c>
      <c r="H383" s="30">
        <v>0</v>
      </c>
      <c r="I383" s="30">
        <v>0</v>
      </c>
      <c r="J383" s="231">
        <v>948.77</v>
      </c>
      <c r="K383">
        <f t="shared" si="5"/>
        <v>7</v>
      </c>
      <c r="L383" s="30">
        <v>6</v>
      </c>
      <c r="M383" s="30">
        <v>1</v>
      </c>
      <c r="N383" s="30">
        <v>0</v>
      </c>
      <c r="O383" s="231">
        <v>4090.06</v>
      </c>
      <c r="P383" s="97">
        <f>VLOOKUP(Table323[[#This Row],[Census Tract]],'Population and Diversity Data'!$B$2:$K$823,10,FALSE)</f>
        <v>2</v>
      </c>
      <c r="Q383" s="97" t="str">
        <f>VLOOKUP(Table323[[#This Row],[Census Tract]],'ES Energy Burden'!$B$2:$E$914,4,FALSE)</f>
        <v>No</v>
      </c>
    </row>
    <row r="384" spans="1:17" x14ac:dyDescent="0.2">
      <c r="A384" s="30" t="s">
        <v>991</v>
      </c>
      <c r="B384" s="169">
        <v>9009171400</v>
      </c>
      <c r="C384" s="232" t="s">
        <v>944</v>
      </c>
      <c r="D384" s="182">
        <v>14420.26929</v>
      </c>
      <c r="E384" s="182">
        <v>3120.11</v>
      </c>
      <c r="F384" s="13">
        <f>[1]!Table323[[#This Row],[Single Family]]+[1]!Table323[[#This Row],[2-4 Units]]+[1]!Table323[[#This Row],[&gt;4 Units]]</f>
        <v>269</v>
      </c>
      <c r="G384" s="30">
        <v>258</v>
      </c>
      <c r="H384" s="30">
        <v>11</v>
      </c>
      <c r="I384" s="30">
        <v>0</v>
      </c>
      <c r="J384" s="231">
        <v>344291.24</v>
      </c>
      <c r="K384">
        <f t="shared" si="5"/>
        <v>113</v>
      </c>
      <c r="L384" s="30">
        <v>77</v>
      </c>
      <c r="M384" s="30">
        <v>36</v>
      </c>
      <c r="N384" s="30">
        <v>0</v>
      </c>
      <c r="O384" s="231">
        <v>248233.35</v>
      </c>
      <c r="P384" s="97">
        <f>VLOOKUP(Table323[[#This Row],[Census Tract]],'Population and Diversity Data'!$B$2:$K$823,10,FALSE)</f>
        <v>5</v>
      </c>
      <c r="Q384" s="97" t="str">
        <f>VLOOKUP(Table323[[#This Row],[Census Tract]],'ES Energy Burden'!$B$2:$E$914,4,FALSE)</f>
        <v>No</v>
      </c>
    </row>
    <row r="385" spans="1:17" x14ac:dyDescent="0.2">
      <c r="A385" s="30" t="s">
        <v>991</v>
      </c>
      <c r="B385" s="169">
        <v>9009171500</v>
      </c>
      <c r="C385" s="232" t="s">
        <v>944</v>
      </c>
      <c r="D385" s="182">
        <v>23159.824883999998</v>
      </c>
      <c r="E385" s="182">
        <v>13515.42</v>
      </c>
      <c r="F385" s="13">
        <f>[1]!Table323[[#This Row],[Single Family]]+[1]!Table323[[#This Row],[2-4 Units]]+[1]!Table323[[#This Row],[&gt;4 Units]]</f>
        <v>0</v>
      </c>
      <c r="G385" s="30">
        <v>0</v>
      </c>
      <c r="H385" s="30">
        <v>0</v>
      </c>
      <c r="I385" s="30">
        <v>0</v>
      </c>
      <c r="J385" s="231">
        <v>52.23</v>
      </c>
      <c r="K385">
        <f t="shared" si="5"/>
        <v>9</v>
      </c>
      <c r="L385" s="30">
        <v>6</v>
      </c>
      <c r="M385" s="30">
        <v>3</v>
      </c>
      <c r="N385" s="30">
        <v>0</v>
      </c>
      <c r="O385" s="231">
        <v>11574.37</v>
      </c>
      <c r="P385" s="97">
        <f>VLOOKUP(Table323[[#This Row],[Census Tract]],'Population and Diversity Data'!$B$2:$K$823,10,FALSE)</f>
        <v>5</v>
      </c>
      <c r="Q385" s="97" t="str">
        <f>VLOOKUP(Table323[[#This Row],[Census Tract]],'ES Energy Burden'!$B$2:$E$914,4,FALSE)</f>
        <v>No</v>
      </c>
    </row>
    <row r="386" spans="1:17" x14ac:dyDescent="0.2">
      <c r="A386" s="30" t="s">
        <v>991</v>
      </c>
      <c r="B386" s="169">
        <v>9009171600</v>
      </c>
      <c r="C386" s="232" t="s">
        <v>944</v>
      </c>
      <c r="D386" s="182">
        <v>44001.303864000001</v>
      </c>
      <c r="E386" s="182">
        <v>77607.740000000005</v>
      </c>
      <c r="F386" s="13">
        <f>[1]!Table323[[#This Row],[Single Family]]+[1]!Table323[[#This Row],[2-4 Units]]+[1]!Table323[[#This Row],[&gt;4 Units]]</f>
        <v>1</v>
      </c>
      <c r="G386" s="30">
        <v>1</v>
      </c>
      <c r="H386" s="30">
        <v>0</v>
      </c>
      <c r="I386" s="30">
        <v>0</v>
      </c>
      <c r="J386" s="231">
        <v>16777.830000000002</v>
      </c>
      <c r="K386">
        <f t="shared" si="5"/>
        <v>20</v>
      </c>
      <c r="L386" s="30">
        <v>13</v>
      </c>
      <c r="M386" s="30">
        <v>7</v>
      </c>
      <c r="N386" s="30">
        <v>0</v>
      </c>
      <c r="O386" s="231">
        <v>41067.54</v>
      </c>
      <c r="P386" s="97">
        <f>VLOOKUP(Table323[[#This Row],[Census Tract]],'Population and Diversity Data'!$B$2:$K$823,10,FALSE)</f>
        <v>3</v>
      </c>
      <c r="Q386" s="97" t="str">
        <f>VLOOKUP(Table323[[#This Row],[Census Tract]],'ES Energy Burden'!$B$2:$E$914,4,FALSE)</f>
        <v>No</v>
      </c>
    </row>
    <row r="387" spans="1:17" x14ac:dyDescent="0.2">
      <c r="A387" s="30" t="s">
        <v>991</v>
      </c>
      <c r="B387" s="169">
        <v>9009171700</v>
      </c>
      <c r="C387" s="232" t="s">
        <v>944</v>
      </c>
      <c r="D387" s="182">
        <v>42546.562925999999</v>
      </c>
      <c r="E387" s="182">
        <v>99008.975000000006</v>
      </c>
      <c r="F387" s="13">
        <f>[1]!Table323[[#This Row],[Single Family]]+[1]!Table323[[#This Row],[2-4 Units]]+[1]!Table323[[#This Row],[&gt;4 Units]]</f>
        <v>0</v>
      </c>
      <c r="G387" s="30">
        <v>0</v>
      </c>
      <c r="H387" s="30">
        <v>0</v>
      </c>
      <c r="I387" s="30">
        <v>0</v>
      </c>
      <c r="J387" s="231">
        <v>28025.94</v>
      </c>
      <c r="K387">
        <f t="shared" si="5"/>
        <v>3</v>
      </c>
      <c r="L387" s="30">
        <v>3</v>
      </c>
      <c r="M387" s="30">
        <v>0</v>
      </c>
      <c r="N387" s="30">
        <v>0</v>
      </c>
      <c r="O387" s="231">
        <v>34158.31</v>
      </c>
      <c r="P387" s="97">
        <f>VLOOKUP(Table323[[#This Row],[Census Tract]],'Population and Diversity Data'!$B$2:$K$823,10,FALSE)</f>
        <v>2</v>
      </c>
      <c r="Q387" s="97" t="str">
        <f>VLOOKUP(Table323[[#This Row],[Census Tract]],'ES Energy Burden'!$B$2:$E$914,4,FALSE)</f>
        <v>No</v>
      </c>
    </row>
    <row r="388" spans="1:17" x14ac:dyDescent="0.2">
      <c r="A388" s="30" t="s">
        <v>991</v>
      </c>
      <c r="B388" s="169">
        <v>9009175400</v>
      </c>
      <c r="C388" s="232" t="s">
        <v>944</v>
      </c>
      <c r="D388" s="182">
        <v>1.1157300000000001</v>
      </c>
      <c r="E388" s="182">
        <v>0</v>
      </c>
      <c r="F388" s="13">
        <f>[1]!Table323[[#This Row],[Single Family]]+[1]!Table323[[#This Row],[2-4 Units]]+[1]!Table323[[#This Row],[&gt;4 Units]]</f>
        <v>0</v>
      </c>
      <c r="G388" s="30">
        <v>0</v>
      </c>
      <c r="H388" s="30">
        <v>0</v>
      </c>
      <c r="I388" s="30">
        <v>0</v>
      </c>
      <c r="J388" s="231">
        <v>0</v>
      </c>
      <c r="K388">
        <f t="shared" si="5"/>
        <v>0</v>
      </c>
      <c r="L388" s="30">
        <v>0</v>
      </c>
      <c r="M388" s="30">
        <v>0</v>
      </c>
      <c r="N388" s="30">
        <v>0</v>
      </c>
      <c r="O388" s="231">
        <v>0</v>
      </c>
      <c r="P388" s="97">
        <f>VLOOKUP(Table323[[#This Row],[Census Tract]],'Population and Diversity Data'!$B$2:$K$823,10,FALSE)</f>
        <v>4</v>
      </c>
      <c r="Q388" s="97" t="str">
        <f>VLOOKUP(Table323[[#This Row],[Census Tract]],'ES Energy Burden'!$B$2:$E$914,4,FALSE)</f>
        <v>No</v>
      </c>
    </row>
    <row r="389" spans="1:17" x14ac:dyDescent="0.2">
      <c r="A389" s="30" t="s">
        <v>991</v>
      </c>
      <c r="B389" s="169">
        <v>9009175700</v>
      </c>
      <c r="C389" s="232" t="s">
        <v>944</v>
      </c>
      <c r="D389" s="182">
        <v>163.49549999999999</v>
      </c>
      <c r="E389" s="182">
        <v>0</v>
      </c>
      <c r="F389" s="13">
        <f>[1]!Table323[[#This Row],[Single Family]]+[1]!Table323[[#This Row],[2-4 Units]]+[1]!Table323[[#This Row],[&gt;4 Units]]</f>
        <v>0</v>
      </c>
      <c r="G389" s="30">
        <v>0</v>
      </c>
      <c r="H389" s="30">
        <v>0</v>
      </c>
      <c r="I389" s="30">
        <v>0</v>
      </c>
      <c r="J389" s="231">
        <v>0</v>
      </c>
      <c r="K389">
        <f t="shared" si="5"/>
        <v>0</v>
      </c>
      <c r="L389" s="30">
        <v>0</v>
      </c>
      <c r="M389" s="30">
        <v>0</v>
      </c>
      <c r="N389" s="30">
        <v>0</v>
      </c>
      <c r="O389" s="231">
        <v>0</v>
      </c>
      <c r="P389" s="97">
        <f>VLOOKUP(Table323[[#This Row],[Census Tract]],'Population and Diversity Data'!$B$2:$K$823,10,FALSE)</f>
        <v>2</v>
      </c>
      <c r="Q389" s="97" t="str">
        <f>VLOOKUP(Table323[[#This Row],[Census Tract]],'ES Energy Burden'!$B$2:$E$914,4,FALSE)</f>
        <v>No</v>
      </c>
    </row>
    <row r="390" spans="1:17" x14ac:dyDescent="0.2">
      <c r="A390" s="30" t="s">
        <v>991</v>
      </c>
      <c r="B390" s="169">
        <v>9009343101</v>
      </c>
      <c r="C390" s="232" t="s">
        <v>944</v>
      </c>
      <c r="D390" s="182">
        <v>428.69148000000001</v>
      </c>
      <c r="E390" s="182">
        <v>0</v>
      </c>
      <c r="F390" s="13">
        <f>[1]!Table323[[#This Row],[Single Family]]+[1]!Table323[[#This Row],[2-4 Units]]+[1]!Table323[[#This Row],[&gt;4 Units]]</f>
        <v>0</v>
      </c>
      <c r="G390" s="30">
        <v>0</v>
      </c>
      <c r="H390" s="30">
        <v>0</v>
      </c>
      <c r="I390" s="30">
        <v>0</v>
      </c>
      <c r="J390" s="231">
        <v>0</v>
      </c>
      <c r="K390">
        <f t="shared" ref="K390:K453" si="6">L390+M390+N390</f>
        <v>0</v>
      </c>
      <c r="L390" s="30">
        <v>0</v>
      </c>
      <c r="M390" s="30">
        <v>0</v>
      </c>
      <c r="N390" s="30">
        <v>0</v>
      </c>
      <c r="O390" s="231">
        <v>0</v>
      </c>
      <c r="P390" s="97">
        <f>VLOOKUP(Table323[[#This Row],[Census Tract]],'Population and Diversity Data'!$B$2:$K$823,10,FALSE)</f>
        <v>4</v>
      </c>
      <c r="Q390" s="97" t="str">
        <f>VLOOKUP(Table323[[#This Row],[Census Tract]],'ES Energy Burden'!$B$2:$E$914,4,FALSE)</f>
        <v>No</v>
      </c>
    </row>
    <row r="391" spans="1:17" x14ac:dyDescent="0.2">
      <c r="A391" s="30" t="s">
        <v>2800</v>
      </c>
      <c r="B391" s="169">
        <v>9009344100</v>
      </c>
      <c r="C391" s="232" t="s">
        <v>944</v>
      </c>
      <c r="D391" s="182">
        <v>106744.32969900001</v>
      </c>
      <c r="E391" s="182">
        <v>200162.1</v>
      </c>
      <c r="F391" s="13">
        <f>[1]!Table323[[#This Row],[Single Family]]+[1]!Table323[[#This Row],[2-4 Units]]+[1]!Table323[[#This Row],[&gt;4 Units]]</f>
        <v>58</v>
      </c>
      <c r="G391" s="30">
        <v>58</v>
      </c>
      <c r="H391" s="30">
        <v>0</v>
      </c>
      <c r="I391" s="30">
        <v>0</v>
      </c>
      <c r="J391" s="231">
        <v>150575.25</v>
      </c>
      <c r="K391" s="13">
        <f t="shared" si="6"/>
        <v>11</v>
      </c>
      <c r="L391" s="30">
        <v>6</v>
      </c>
      <c r="M391" s="30">
        <v>0</v>
      </c>
      <c r="N391" s="30">
        <v>5</v>
      </c>
      <c r="O391" s="231">
        <v>23845.69</v>
      </c>
      <c r="P391" s="97">
        <f>VLOOKUP(Table323[[#This Row],[Census Tract]],'Population and Diversity Data'!$B$2:$K$823,10,FALSE)</f>
        <v>2</v>
      </c>
      <c r="Q391" s="97" t="str">
        <f>VLOOKUP(Table323[[#This Row],[Census Tract]],'ES Energy Burden'!$B$2:$E$914,4,FALSE)</f>
        <v>No</v>
      </c>
    </row>
    <row r="392" spans="1:17" x14ac:dyDescent="0.2">
      <c r="A392" s="30" t="s">
        <v>2800</v>
      </c>
      <c r="B392" s="169">
        <v>9009344200</v>
      </c>
      <c r="C392" s="232" t="s">
        <v>944</v>
      </c>
      <c r="D392" s="182">
        <v>40087.766901000003</v>
      </c>
      <c r="E392" s="182">
        <v>29287.23</v>
      </c>
      <c r="F392" s="13">
        <f>[1]!Table323[[#This Row],[Single Family]]+[1]!Table323[[#This Row],[2-4 Units]]+[1]!Table323[[#This Row],[&gt;4 Units]]</f>
        <v>0</v>
      </c>
      <c r="G392" s="30">
        <v>0</v>
      </c>
      <c r="H392" s="30">
        <v>0</v>
      </c>
      <c r="I392" s="30">
        <v>0</v>
      </c>
      <c r="J392" s="231">
        <v>14308.64</v>
      </c>
      <c r="K392">
        <f t="shared" si="6"/>
        <v>1</v>
      </c>
      <c r="L392" s="30">
        <v>1</v>
      </c>
      <c r="M392" s="30">
        <v>0</v>
      </c>
      <c r="N392" s="30">
        <v>0</v>
      </c>
      <c r="O392" s="231">
        <v>273.31</v>
      </c>
      <c r="P392" s="97">
        <f>VLOOKUP(Table323[[#This Row],[Census Tract]],'Population and Diversity Data'!$B$2:$K$823,10,FALSE)</f>
        <v>3</v>
      </c>
      <c r="Q392" s="97" t="str">
        <f>VLOOKUP(Table323[[#This Row],[Census Tract]],'ES Energy Burden'!$B$2:$E$914,4,FALSE)</f>
        <v>No</v>
      </c>
    </row>
    <row r="393" spans="1:17" x14ac:dyDescent="0.2">
      <c r="A393" s="30" t="s">
        <v>2800</v>
      </c>
      <c r="B393" s="169">
        <v>9009345400</v>
      </c>
      <c r="C393" s="232" t="s">
        <v>944</v>
      </c>
      <c r="D393" s="182">
        <v>275.48388</v>
      </c>
      <c r="E393" s="182">
        <v>0</v>
      </c>
      <c r="F393" s="13">
        <f>[1]!Table323[[#This Row],[Single Family]]+[1]!Table323[[#This Row],[2-4 Units]]+[1]!Table323[[#This Row],[&gt;4 Units]]</f>
        <v>0</v>
      </c>
      <c r="G393" s="30">
        <v>0</v>
      </c>
      <c r="H393" s="30">
        <v>0</v>
      </c>
      <c r="I393" s="30">
        <v>0</v>
      </c>
      <c r="J393" s="231">
        <v>0</v>
      </c>
      <c r="K393">
        <f t="shared" si="6"/>
        <v>0</v>
      </c>
      <c r="L393" s="30">
        <v>0</v>
      </c>
      <c r="M393" s="30">
        <v>0</v>
      </c>
      <c r="N393" s="30">
        <v>0</v>
      </c>
      <c r="O393" s="231">
        <v>0</v>
      </c>
      <c r="P393" s="97">
        <f>VLOOKUP(Table323[[#This Row],[Census Tract]],'Population and Diversity Data'!$B$2:$K$823,10,FALSE)</f>
        <v>4</v>
      </c>
      <c r="Q393" s="97" t="str">
        <f>VLOOKUP(Table323[[#This Row],[Census Tract]],'ES Energy Burden'!$B$2:$E$914,4,FALSE)</f>
        <v>No</v>
      </c>
    </row>
    <row r="394" spans="1:17" x14ac:dyDescent="0.2">
      <c r="A394" s="30" t="s">
        <v>2801</v>
      </c>
      <c r="B394" s="169">
        <v>9007580100</v>
      </c>
      <c r="C394" s="232" t="s">
        <v>944</v>
      </c>
      <c r="D394" s="182">
        <v>79616.122235999996</v>
      </c>
      <c r="E394" s="182">
        <v>100255.75</v>
      </c>
      <c r="F394" s="13">
        <f>[1]!Table323[[#This Row],[Single Family]]+[1]!Table323[[#This Row],[2-4 Units]]+[1]!Table323[[#This Row],[&gt;4 Units]]</f>
        <v>46</v>
      </c>
      <c r="G394" s="30">
        <v>24</v>
      </c>
      <c r="H394" s="30">
        <v>2</v>
      </c>
      <c r="I394" s="30">
        <v>20</v>
      </c>
      <c r="J394" s="231">
        <v>48372.95</v>
      </c>
      <c r="K394">
        <f t="shared" si="6"/>
        <v>8</v>
      </c>
      <c r="L394" s="30">
        <v>6</v>
      </c>
      <c r="M394" s="30">
        <v>2</v>
      </c>
      <c r="N394" s="30">
        <v>0</v>
      </c>
      <c r="O394" s="231">
        <v>31636.5</v>
      </c>
      <c r="P394" s="97">
        <f>VLOOKUP(Table323[[#This Row],[Census Tract]],'Population and Diversity Data'!$B$2:$K$823,10,FALSE)</f>
        <v>1</v>
      </c>
      <c r="Q394" s="97" t="str">
        <f>VLOOKUP(Table323[[#This Row],[Census Tract]],'ES Energy Burden'!$B$2:$E$914,4,FALSE)</f>
        <v>No</v>
      </c>
    </row>
    <row r="395" spans="1:17" x14ac:dyDescent="0.2">
      <c r="A395" s="30" t="s">
        <v>2801</v>
      </c>
      <c r="B395" s="169">
        <v>9007585100</v>
      </c>
      <c r="C395" s="232" t="s">
        <v>944</v>
      </c>
      <c r="D395" s="182">
        <v>88.104030000000009</v>
      </c>
      <c r="E395" s="182">
        <v>0</v>
      </c>
      <c r="F395" s="13">
        <f>[1]!Table323[[#This Row],[Single Family]]+[1]!Table323[[#This Row],[2-4 Units]]+[1]!Table323[[#This Row],[&gt;4 Units]]</f>
        <v>0</v>
      </c>
      <c r="G395" s="30">
        <v>0</v>
      </c>
      <c r="H395" s="30">
        <v>0</v>
      </c>
      <c r="I395" s="30">
        <v>0</v>
      </c>
      <c r="J395" s="231">
        <v>0</v>
      </c>
      <c r="K395">
        <f t="shared" si="6"/>
        <v>0</v>
      </c>
      <c r="L395" s="30">
        <v>0</v>
      </c>
      <c r="M395" s="30">
        <v>0</v>
      </c>
      <c r="N395" s="30">
        <v>0</v>
      </c>
      <c r="O395" s="231">
        <v>0</v>
      </c>
      <c r="P395" s="97">
        <f>VLOOKUP(Table323[[#This Row],[Census Tract]],'Population and Diversity Data'!$B$2:$K$823,10,FALSE)</f>
        <v>1</v>
      </c>
      <c r="Q395" s="97" t="str">
        <f>VLOOKUP(Table323[[#This Row],[Census Tract]],'ES Energy Burden'!$B$2:$E$914,4,FALSE)</f>
        <v>No</v>
      </c>
    </row>
    <row r="396" spans="1:17" x14ac:dyDescent="0.2">
      <c r="A396" s="30" t="s">
        <v>2802</v>
      </c>
      <c r="B396" s="169">
        <v>9007541100</v>
      </c>
      <c r="C396" s="232" t="s">
        <v>944</v>
      </c>
      <c r="D396" s="182">
        <v>17456.392800000001</v>
      </c>
      <c r="E396" s="182">
        <v>7949.75</v>
      </c>
      <c r="F396" s="13">
        <f>[1]!Table323[[#This Row],[Single Family]]+[1]!Table323[[#This Row],[2-4 Units]]+[1]!Table323[[#This Row],[&gt;4 Units]]</f>
        <v>1</v>
      </c>
      <c r="G396" s="30">
        <v>1</v>
      </c>
      <c r="H396" s="30">
        <v>0</v>
      </c>
      <c r="I396" s="30">
        <v>0</v>
      </c>
      <c r="J396" s="231">
        <v>34.909999999999997</v>
      </c>
      <c r="K396">
        <f t="shared" si="6"/>
        <v>5</v>
      </c>
      <c r="L396" s="30">
        <v>2</v>
      </c>
      <c r="M396" s="30">
        <v>3</v>
      </c>
      <c r="N396" s="30">
        <v>0</v>
      </c>
      <c r="O396" s="231">
        <v>3229.88</v>
      </c>
      <c r="P396" s="97">
        <f>VLOOKUP(Table323[[#This Row],[Census Tract]],'Population and Diversity Data'!$B$2:$K$823,10,FALSE)</f>
        <v>4</v>
      </c>
      <c r="Q396" s="97" t="str">
        <f>VLOOKUP(Table323[[#This Row],[Census Tract]],'ES Energy Burden'!$B$2:$E$914,4,FALSE)</f>
        <v>Yes</v>
      </c>
    </row>
    <row r="397" spans="1:17" x14ac:dyDescent="0.2">
      <c r="A397" s="30" t="s">
        <v>2802</v>
      </c>
      <c r="B397" s="169">
        <v>9007541200</v>
      </c>
      <c r="C397" s="232" t="s">
        <v>944</v>
      </c>
      <c r="D397" s="182">
        <v>290535.70415100001</v>
      </c>
      <c r="E397" s="182">
        <v>538363.65</v>
      </c>
      <c r="F397" s="13">
        <f>[1]!Table323[[#This Row],[Single Family]]+[1]!Table323[[#This Row],[2-4 Units]]+[1]!Table323[[#This Row],[&gt;4 Units]]</f>
        <v>0</v>
      </c>
      <c r="G397" s="30">
        <v>0</v>
      </c>
      <c r="H397" s="30">
        <v>0</v>
      </c>
      <c r="I397" s="30">
        <v>0</v>
      </c>
      <c r="J397" s="231">
        <v>12647.1</v>
      </c>
      <c r="K397">
        <f t="shared" si="6"/>
        <v>132</v>
      </c>
      <c r="L397" s="30">
        <v>11</v>
      </c>
      <c r="M397" s="30">
        <v>0</v>
      </c>
      <c r="N397" s="30">
        <v>121</v>
      </c>
      <c r="O397" s="231">
        <v>31031.23</v>
      </c>
      <c r="P397" s="97">
        <f>VLOOKUP(Table323[[#This Row],[Census Tract]],'Population and Diversity Data'!$B$2:$K$823,10,FALSE)</f>
        <v>4</v>
      </c>
      <c r="Q397" s="97" t="str">
        <f>VLOOKUP(Table323[[#This Row],[Census Tract]],'ES Energy Burden'!$B$2:$E$914,4,FALSE)</f>
        <v>No</v>
      </c>
    </row>
    <row r="398" spans="1:17" x14ac:dyDescent="0.2">
      <c r="A398" s="30" t="s">
        <v>2802</v>
      </c>
      <c r="B398" s="169">
        <v>9007541300</v>
      </c>
      <c r="C398" s="232" t="s">
        <v>944</v>
      </c>
      <c r="D398" s="182">
        <v>58781.915787000005</v>
      </c>
      <c r="E398" s="182">
        <v>27035.33</v>
      </c>
      <c r="F398" s="13">
        <f>[1]!Table323[[#This Row],[Single Family]]+[1]!Table323[[#This Row],[2-4 Units]]+[1]!Table323[[#This Row],[&gt;4 Units]]</f>
        <v>1</v>
      </c>
      <c r="G398" s="30">
        <v>1</v>
      </c>
      <c r="H398" s="30">
        <v>0</v>
      </c>
      <c r="I398" s="30">
        <v>0</v>
      </c>
      <c r="J398" s="231">
        <v>15969.31</v>
      </c>
      <c r="K398">
        <f t="shared" si="6"/>
        <v>5</v>
      </c>
      <c r="L398" s="30">
        <v>2</v>
      </c>
      <c r="M398" s="30">
        <v>3</v>
      </c>
      <c r="N398" s="30">
        <v>0</v>
      </c>
      <c r="O398" s="231">
        <v>2654.93</v>
      </c>
      <c r="P398" s="97">
        <f>VLOOKUP(Table323[[#This Row],[Census Tract]],'Population and Diversity Data'!$B$2:$K$823,10,FALSE)</f>
        <v>4</v>
      </c>
      <c r="Q398" s="97" t="str">
        <f>VLOOKUP(Table323[[#This Row],[Census Tract]],'ES Energy Burden'!$B$2:$E$914,4,FALSE)</f>
        <v>No</v>
      </c>
    </row>
    <row r="399" spans="1:17" x14ac:dyDescent="0.2">
      <c r="A399" s="30" t="s">
        <v>2802</v>
      </c>
      <c r="B399" s="169">
        <v>9007541401</v>
      </c>
      <c r="C399" s="232" t="s">
        <v>944</v>
      </c>
      <c r="D399" s="182">
        <v>41031.149460000001</v>
      </c>
      <c r="E399" s="182">
        <v>31435.66</v>
      </c>
      <c r="F399" s="13">
        <f>[1]!Table323[[#This Row],[Single Family]]+[1]!Table323[[#This Row],[2-4 Units]]+[1]!Table323[[#This Row],[&gt;4 Units]]</f>
        <v>0</v>
      </c>
      <c r="G399" s="30">
        <v>0</v>
      </c>
      <c r="H399" s="30">
        <v>0</v>
      </c>
      <c r="I399" s="30">
        <v>0</v>
      </c>
      <c r="J399" s="231">
        <v>8696.58</v>
      </c>
      <c r="K399">
        <f t="shared" si="6"/>
        <v>1</v>
      </c>
      <c r="L399" s="30">
        <v>1</v>
      </c>
      <c r="M399" s="30">
        <v>0</v>
      </c>
      <c r="N399" s="30">
        <v>0</v>
      </c>
      <c r="O399" s="231">
        <v>932.09</v>
      </c>
      <c r="P399" s="97">
        <f>VLOOKUP(Table323[[#This Row],[Census Tract]],'Population and Diversity Data'!$B$2:$K$823,10,FALSE)</f>
        <v>2</v>
      </c>
      <c r="Q399" s="97" t="str">
        <f>VLOOKUP(Table323[[#This Row],[Census Tract]],'ES Energy Burden'!$B$2:$E$914,4,FALSE)</f>
        <v>No</v>
      </c>
    </row>
    <row r="400" spans="1:17" x14ac:dyDescent="0.2">
      <c r="A400" s="30" t="s">
        <v>2802</v>
      </c>
      <c r="B400" s="169">
        <v>9007541402</v>
      </c>
      <c r="C400" s="232" t="s">
        <v>944</v>
      </c>
      <c r="D400" s="182">
        <v>66695.936474999995</v>
      </c>
      <c r="E400" s="182">
        <v>61000.464999999997</v>
      </c>
      <c r="F400" s="13">
        <f>[1]!Table323[[#This Row],[Single Family]]+[1]!Table323[[#This Row],[2-4 Units]]+[1]!Table323[[#This Row],[&gt;4 Units]]</f>
        <v>0</v>
      </c>
      <c r="G400" s="30">
        <v>0</v>
      </c>
      <c r="H400" s="30">
        <v>0</v>
      </c>
      <c r="I400" s="30">
        <v>0</v>
      </c>
      <c r="J400" s="231">
        <v>13901.87</v>
      </c>
      <c r="K400">
        <f t="shared" si="6"/>
        <v>14</v>
      </c>
      <c r="L400" s="30">
        <v>12</v>
      </c>
      <c r="M400" s="30">
        <v>2</v>
      </c>
      <c r="N400" s="30">
        <v>0</v>
      </c>
      <c r="O400" s="231">
        <v>20798.91</v>
      </c>
      <c r="P400" s="97">
        <f>VLOOKUP(Table323[[#This Row],[Census Tract]],'Population and Diversity Data'!$B$2:$K$823,10,FALSE)</f>
        <v>2</v>
      </c>
      <c r="Q400" s="97" t="str">
        <f>VLOOKUP(Table323[[#This Row],[Census Tract]],'ES Energy Burden'!$B$2:$E$914,4,FALSE)</f>
        <v>No</v>
      </c>
    </row>
    <row r="401" spans="1:17" x14ac:dyDescent="0.2">
      <c r="A401" s="30" t="s">
        <v>2802</v>
      </c>
      <c r="B401" s="169">
        <v>9007541500</v>
      </c>
      <c r="C401" s="232" t="s">
        <v>944</v>
      </c>
      <c r="D401" s="182">
        <v>11640.71538</v>
      </c>
      <c r="E401" s="182">
        <v>12899.83</v>
      </c>
      <c r="F401" s="13">
        <f>[1]!Table323[[#This Row],[Single Family]]+[1]!Table323[[#This Row],[2-4 Units]]+[1]!Table323[[#This Row],[&gt;4 Units]]</f>
        <v>0</v>
      </c>
      <c r="G401" s="30">
        <v>0</v>
      </c>
      <c r="H401" s="30">
        <v>0</v>
      </c>
      <c r="I401" s="30">
        <v>0</v>
      </c>
      <c r="J401" s="231">
        <v>8782.8799999999992</v>
      </c>
      <c r="K401">
        <f t="shared" si="6"/>
        <v>0</v>
      </c>
      <c r="L401" s="30">
        <v>0</v>
      </c>
      <c r="M401" s="30">
        <v>0</v>
      </c>
      <c r="N401" s="30">
        <v>0</v>
      </c>
      <c r="O401" s="231">
        <v>0</v>
      </c>
      <c r="P401" s="97">
        <f>VLOOKUP(Table323[[#This Row],[Census Tract]],'Population and Diversity Data'!$B$2:$K$823,10,FALSE)</f>
        <v>5</v>
      </c>
      <c r="Q401" s="97" t="str">
        <f>VLOOKUP(Table323[[#This Row],[Census Tract]],'ES Energy Burden'!$B$2:$E$914,4,FALSE)</f>
        <v>No</v>
      </c>
    </row>
    <row r="402" spans="1:17" x14ac:dyDescent="0.2">
      <c r="A402" s="30" t="s">
        <v>2802</v>
      </c>
      <c r="B402" s="169">
        <v>9007541600</v>
      </c>
      <c r="C402" s="232" t="s">
        <v>944</v>
      </c>
      <c r="D402" s="182">
        <v>9056.5750590000007</v>
      </c>
      <c r="E402" s="182">
        <v>18187.349999999999</v>
      </c>
      <c r="F402" s="13">
        <f>[1]!Table323[[#This Row],[Single Family]]+[1]!Table323[[#This Row],[2-4 Units]]+[1]!Table323[[#This Row],[&gt;4 Units]]</f>
        <v>1</v>
      </c>
      <c r="G402" s="30">
        <v>1</v>
      </c>
      <c r="H402" s="30">
        <v>0</v>
      </c>
      <c r="I402" s="30">
        <v>0</v>
      </c>
      <c r="J402" s="231">
        <v>39.06</v>
      </c>
      <c r="K402">
        <f t="shared" si="6"/>
        <v>2</v>
      </c>
      <c r="L402" s="30">
        <v>1</v>
      </c>
      <c r="M402" s="30">
        <v>1</v>
      </c>
      <c r="N402" s="30">
        <v>0</v>
      </c>
      <c r="O402" s="231">
        <v>17230.45</v>
      </c>
      <c r="P402" s="97">
        <f>VLOOKUP(Table323[[#This Row],[Census Tract]],'Population and Diversity Data'!$B$2:$K$823,10,FALSE)</f>
        <v>5</v>
      </c>
      <c r="Q402" s="97" t="str">
        <f>VLOOKUP(Table323[[#This Row],[Census Tract]],'ES Energy Burden'!$B$2:$E$914,4,FALSE)</f>
        <v>Yes</v>
      </c>
    </row>
    <row r="403" spans="1:17" x14ac:dyDescent="0.2">
      <c r="A403" s="30" t="s">
        <v>2802</v>
      </c>
      <c r="B403" s="169">
        <v>9007541700</v>
      </c>
      <c r="C403" s="232" t="s">
        <v>944</v>
      </c>
      <c r="D403" s="182">
        <v>18898.997879999999</v>
      </c>
      <c r="E403" s="182">
        <v>22573.97</v>
      </c>
      <c r="F403" s="13">
        <f>[1]!Table323[[#This Row],[Single Family]]+[1]!Table323[[#This Row],[2-4 Units]]+[1]!Table323[[#This Row],[&gt;4 Units]]</f>
        <v>755</v>
      </c>
      <c r="G403" s="30">
        <v>0</v>
      </c>
      <c r="H403" s="30">
        <v>0</v>
      </c>
      <c r="I403" s="30">
        <v>755</v>
      </c>
      <c r="J403" s="231">
        <v>6445.12</v>
      </c>
      <c r="K403">
        <f t="shared" si="6"/>
        <v>114</v>
      </c>
      <c r="L403" s="30">
        <v>1</v>
      </c>
      <c r="M403" s="30">
        <v>6</v>
      </c>
      <c r="N403" s="30">
        <v>107</v>
      </c>
      <c r="O403" s="231">
        <v>3817.39</v>
      </c>
      <c r="P403" s="97">
        <f>VLOOKUP(Table323[[#This Row],[Census Tract]],'Population and Diversity Data'!$B$2:$K$823,10,FALSE)</f>
        <v>4</v>
      </c>
      <c r="Q403" s="97" t="str">
        <f>VLOOKUP(Table323[[#This Row],[Census Tract]],'ES Energy Burden'!$B$2:$E$914,4,FALSE)</f>
        <v>Yes</v>
      </c>
    </row>
    <row r="404" spans="1:17" x14ac:dyDescent="0.2">
      <c r="A404" s="30" t="s">
        <v>2802</v>
      </c>
      <c r="B404" s="169">
        <v>9007542000</v>
      </c>
      <c r="C404" s="232" t="s">
        <v>944</v>
      </c>
      <c r="D404" s="182">
        <v>40445.808039000003</v>
      </c>
      <c r="E404" s="182">
        <v>81596.81</v>
      </c>
      <c r="F404" s="13">
        <f>[1]!Table323[[#This Row],[Single Family]]+[1]!Table323[[#This Row],[2-4 Units]]+[1]!Table323[[#This Row],[&gt;4 Units]]</f>
        <v>1</v>
      </c>
      <c r="G404" s="30">
        <v>1</v>
      </c>
      <c r="H404" s="30">
        <v>0</v>
      </c>
      <c r="I404" s="30">
        <v>0</v>
      </c>
      <c r="J404" s="231">
        <v>20964.45</v>
      </c>
      <c r="K404" s="13">
        <f t="shared" si="6"/>
        <v>7</v>
      </c>
      <c r="L404" s="30">
        <v>6</v>
      </c>
      <c r="M404" s="30">
        <v>1</v>
      </c>
      <c r="N404" s="30">
        <v>0</v>
      </c>
      <c r="O404" s="231">
        <v>34206.54</v>
      </c>
      <c r="P404" s="97">
        <f>VLOOKUP(Table323[[#This Row],[Census Tract]],'Population and Diversity Data'!$B$2:$K$823,10,FALSE)</f>
        <v>2</v>
      </c>
      <c r="Q404" s="97" t="str">
        <f>VLOOKUP(Table323[[#This Row],[Census Tract]],'ES Energy Burden'!$B$2:$E$914,4,FALSE)</f>
        <v>No</v>
      </c>
    </row>
    <row r="405" spans="1:17" x14ac:dyDescent="0.2">
      <c r="A405" s="30" t="s">
        <v>2802</v>
      </c>
      <c r="B405" s="169">
        <v>9007542100</v>
      </c>
      <c r="C405" s="232" t="s">
        <v>944</v>
      </c>
      <c r="D405" s="182">
        <v>31992.364740000001</v>
      </c>
      <c r="E405" s="182">
        <v>30547.095000000001</v>
      </c>
      <c r="F405" s="13">
        <f>[1]!Table323[[#This Row],[Single Family]]+[1]!Table323[[#This Row],[2-4 Units]]+[1]!Table323[[#This Row],[&gt;4 Units]]</f>
        <v>240</v>
      </c>
      <c r="G405" s="30">
        <v>230</v>
      </c>
      <c r="H405" s="30">
        <v>10</v>
      </c>
      <c r="I405" s="30">
        <v>0</v>
      </c>
      <c r="J405" s="231">
        <v>386643.21</v>
      </c>
      <c r="K405">
        <f t="shared" si="6"/>
        <v>68</v>
      </c>
      <c r="L405" s="30">
        <v>44</v>
      </c>
      <c r="M405" s="30">
        <v>8</v>
      </c>
      <c r="N405" s="30">
        <v>16</v>
      </c>
      <c r="O405" s="231">
        <v>119156.24</v>
      </c>
      <c r="P405" s="97">
        <f>VLOOKUP(Table323[[#This Row],[Census Tract]],'Population and Diversity Data'!$B$2:$K$823,10,FALSE)</f>
        <v>4</v>
      </c>
      <c r="Q405" s="97" t="str">
        <f>VLOOKUP(Table323[[#This Row],[Census Tract]],'ES Energy Burden'!$B$2:$E$914,4,FALSE)</f>
        <v>No</v>
      </c>
    </row>
    <row r="406" spans="1:17" x14ac:dyDescent="0.2">
      <c r="A406" s="30" t="s">
        <v>2802</v>
      </c>
      <c r="B406" s="169">
        <v>9007542200</v>
      </c>
      <c r="C406" s="232" t="s">
        <v>944</v>
      </c>
      <c r="D406" s="182">
        <v>25187.537130000001</v>
      </c>
      <c r="E406" s="182">
        <v>47414.02</v>
      </c>
      <c r="F406" s="13">
        <f>[1]!Table323[[#This Row],[Single Family]]+[1]!Table323[[#This Row],[2-4 Units]]+[1]!Table323[[#This Row],[&gt;4 Units]]</f>
        <v>0</v>
      </c>
      <c r="G406" s="30">
        <v>0</v>
      </c>
      <c r="H406" s="30">
        <v>0</v>
      </c>
      <c r="I406" s="30">
        <v>0</v>
      </c>
      <c r="J406" s="231">
        <v>9307.44</v>
      </c>
      <c r="K406">
        <f t="shared" si="6"/>
        <v>5</v>
      </c>
      <c r="L406" s="30">
        <v>4</v>
      </c>
      <c r="M406" s="30">
        <v>1</v>
      </c>
      <c r="N406" s="30">
        <v>0</v>
      </c>
      <c r="O406" s="231">
        <v>18547.97</v>
      </c>
      <c r="P406" s="97">
        <f>VLOOKUP(Table323[[#This Row],[Census Tract]],'Population and Diversity Data'!$B$2:$K$823,10,FALSE)</f>
        <v>3</v>
      </c>
      <c r="Q406" s="97" t="str">
        <f>VLOOKUP(Table323[[#This Row],[Census Tract]],'ES Energy Burden'!$B$2:$E$914,4,FALSE)</f>
        <v>No</v>
      </c>
    </row>
    <row r="407" spans="1:17" x14ac:dyDescent="0.2">
      <c r="A407" s="30" t="s">
        <v>2802</v>
      </c>
      <c r="B407" s="169">
        <v>9007580100</v>
      </c>
      <c r="C407" s="232" t="s">
        <v>944</v>
      </c>
      <c r="D407" s="182">
        <v>128.24133</v>
      </c>
      <c r="E407" s="182">
        <v>0</v>
      </c>
      <c r="F407" s="13">
        <f>[1]!Table323[[#This Row],[Single Family]]+[1]!Table323[[#This Row],[2-4 Units]]+[1]!Table323[[#This Row],[&gt;4 Units]]</f>
        <v>0</v>
      </c>
      <c r="G407" s="30">
        <v>0</v>
      </c>
      <c r="H407" s="30">
        <v>0</v>
      </c>
      <c r="I407" s="30">
        <v>0</v>
      </c>
      <c r="J407" s="231">
        <v>0</v>
      </c>
      <c r="K407">
        <f t="shared" si="6"/>
        <v>0</v>
      </c>
      <c r="L407" s="30">
        <v>0</v>
      </c>
      <c r="M407" s="30">
        <v>0</v>
      </c>
      <c r="N407" s="30">
        <v>0</v>
      </c>
      <c r="O407" s="231">
        <v>0</v>
      </c>
      <c r="P407" s="97">
        <f>VLOOKUP(Table323[[#This Row],[Census Tract]],'Population and Diversity Data'!$B$2:$K$823,10,FALSE)</f>
        <v>1</v>
      </c>
      <c r="Q407" s="97" t="str">
        <f>VLOOKUP(Table323[[#This Row],[Census Tract]],'ES Energy Burden'!$B$2:$E$914,4,FALSE)</f>
        <v>No</v>
      </c>
    </row>
    <row r="408" spans="1:17" x14ac:dyDescent="0.2">
      <c r="A408" s="30" t="s">
        <v>2802</v>
      </c>
      <c r="B408" s="169">
        <v>9007680200</v>
      </c>
      <c r="C408" s="232" t="s">
        <v>944</v>
      </c>
      <c r="D408" s="182">
        <v>64438.705044000002</v>
      </c>
      <c r="E408" s="182">
        <v>86356.485000000001</v>
      </c>
      <c r="F408" s="13">
        <f>[1]!Table323[[#This Row],[Single Family]]+[1]!Table323[[#This Row],[2-4 Units]]+[1]!Table323[[#This Row],[&gt;4 Units]]</f>
        <v>0</v>
      </c>
      <c r="G408" s="30">
        <v>0</v>
      </c>
      <c r="H408" s="30">
        <v>0</v>
      </c>
      <c r="I408" s="30">
        <v>0</v>
      </c>
      <c r="J408" s="231">
        <v>21761.29</v>
      </c>
      <c r="K408">
        <f t="shared" si="6"/>
        <v>8</v>
      </c>
      <c r="L408" s="30">
        <v>8</v>
      </c>
      <c r="M408" s="30">
        <v>0</v>
      </c>
      <c r="N408" s="30">
        <v>0</v>
      </c>
      <c r="O408" s="231">
        <v>44316.15</v>
      </c>
      <c r="P408" s="97">
        <f>VLOOKUP(Table323[[#This Row],[Census Tract]],'Population and Diversity Data'!$B$2:$K$823,10,FALSE)</f>
        <v>2</v>
      </c>
      <c r="Q408" s="97" t="str">
        <f>VLOOKUP(Table323[[#This Row],[Census Tract]],'ES Energy Burden'!$B$2:$E$914,4,FALSE)</f>
        <v>No</v>
      </c>
    </row>
    <row r="409" spans="1:17" x14ac:dyDescent="0.2">
      <c r="A409" s="30" t="s">
        <v>2803</v>
      </c>
      <c r="B409" s="169">
        <v>9001100100</v>
      </c>
      <c r="C409" s="232" t="s">
        <v>944</v>
      </c>
      <c r="D409" s="182">
        <v>58769.052530999994</v>
      </c>
      <c r="E409" s="182">
        <v>64313.03</v>
      </c>
      <c r="F409" s="13">
        <f>[1]!Table323[[#This Row],[Single Family]]+[1]!Table323[[#This Row],[2-4 Units]]+[1]!Table323[[#This Row],[&gt;4 Units]]</f>
        <v>0</v>
      </c>
      <c r="G409" s="30">
        <v>0</v>
      </c>
      <c r="H409" s="30">
        <v>0</v>
      </c>
      <c r="I409" s="30">
        <v>0</v>
      </c>
      <c r="J409" s="231">
        <v>9036.56</v>
      </c>
      <c r="K409">
        <f t="shared" si="6"/>
        <v>3</v>
      </c>
      <c r="L409" s="30">
        <v>3</v>
      </c>
      <c r="M409" s="30">
        <v>0</v>
      </c>
      <c r="N409" s="30">
        <v>0</v>
      </c>
      <c r="O409" s="231">
        <v>27241.93</v>
      </c>
      <c r="P409" s="97">
        <f>VLOOKUP(Table323[[#This Row],[Census Tract]],'Population and Diversity Data'!$B$2:$K$823,10,FALSE)</f>
        <v>3</v>
      </c>
      <c r="Q409" s="97" t="str">
        <f>VLOOKUP(Table323[[#This Row],[Census Tract]],'ES Energy Burden'!$B$2:$E$914,4,FALSE)</f>
        <v>No</v>
      </c>
    </row>
    <row r="410" spans="1:17" x14ac:dyDescent="0.2">
      <c r="A410" s="30" t="s">
        <v>2803</v>
      </c>
      <c r="B410" s="169">
        <v>9001100200</v>
      </c>
      <c r="C410" s="232" t="s">
        <v>944</v>
      </c>
      <c r="D410" s="182">
        <v>177129.02846100001</v>
      </c>
      <c r="E410" s="182">
        <v>313027.44</v>
      </c>
      <c r="F410" s="13">
        <f>[1]!Table323[[#This Row],[Single Family]]+[1]!Table323[[#This Row],[2-4 Units]]+[1]!Table323[[#This Row],[&gt;4 Units]]</f>
        <v>145</v>
      </c>
      <c r="G410" s="30">
        <v>142</v>
      </c>
      <c r="H410" s="30">
        <v>3</v>
      </c>
      <c r="I410" s="30">
        <v>0</v>
      </c>
      <c r="J410" s="231">
        <v>269922.26</v>
      </c>
      <c r="K410">
        <f t="shared" si="6"/>
        <v>14</v>
      </c>
      <c r="L410" s="30">
        <v>11</v>
      </c>
      <c r="M410" s="30">
        <v>3</v>
      </c>
      <c r="N410" s="30">
        <v>0</v>
      </c>
      <c r="O410" s="231">
        <v>28561.01</v>
      </c>
      <c r="P410" s="97">
        <f>VLOOKUP(Table323[[#This Row],[Census Tract]],'Population and Diversity Data'!$B$2:$K$823,10,FALSE)</f>
        <v>4</v>
      </c>
      <c r="Q410" s="97" t="str">
        <f>VLOOKUP(Table323[[#This Row],[Census Tract]],'ES Energy Burden'!$B$2:$E$914,4,FALSE)</f>
        <v>No</v>
      </c>
    </row>
    <row r="411" spans="1:17" x14ac:dyDescent="0.2">
      <c r="A411" s="30" t="s">
        <v>2803</v>
      </c>
      <c r="B411" s="169">
        <v>9001100300</v>
      </c>
      <c r="C411" s="232" t="s">
        <v>944</v>
      </c>
      <c r="D411" s="182">
        <v>79205.276639999996</v>
      </c>
      <c r="E411" s="182">
        <v>91122.36</v>
      </c>
      <c r="F411" s="13">
        <f>[1]!Table323[[#This Row],[Single Family]]+[1]!Table323[[#This Row],[2-4 Units]]+[1]!Table323[[#This Row],[&gt;4 Units]]</f>
        <v>0</v>
      </c>
      <c r="G411" s="30">
        <v>0</v>
      </c>
      <c r="H411" s="30">
        <v>0</v>
      </c>
      <c r="I411" s="30">
        <v>0</v>
      </c>
      <c r="J411" s="231">
        <v>36788.03</v>
      </c>
      <c r="K411">
        <f t="shared" si="6"/>
        <v>5</v>
      </c>
      <c r="L411" s="30">
        <v>4</v>
      </c>
      <c r="M411" s="30">
        <v>1</v>
      </c>
      <c r="N411" s="30">
        <v>0</v>
      </c>
      <c r="O411" s="231">
        <v>30458.59</v>
      </c>
      <c r="P411" s="97">
        <f>VLOOKUP(Table323[[#This Row],[Census Tract]],'Population and Diversity Data'!$B$2:$K$823,10,FALSE)</f>
        <v>2</v>
      </c>
      <c r="Q411" s="97" t="str">
        <f>VLOOKUP(Table323[[#This Row],[Census Tract]],'ES Energy Burden'!$B$2:$E$914,4,FALSE)</f>
        <v>No</v>
      </c>
    </row>
    <row r="412" spans="1:17" x14ac:dyDescent="0.2">
      <c r="A412" s="30" t="s">
        <v>2803</v>
      </c>
      <c r="B412" s="169">
        <v>9001105200</v>
      </c>
      <c r="C412" s="232" t="s">
        <v>944</v>
      </c>
      <c r="D412" s="182">
        <v>235.55427</v>
      </c>
      <c r="E412" s="182">
        <v>0</v>
      </c>
      <c r="F412" s="13">
        <f>[1]!Table323[[#This Row],[Single Family]]+[1]!Table323[[#This Row],[2-4 Units]]+[1]!Table323[[#This Row],[&gt;4 Units]]</f>
        <v>0</v>
      </c>
      <c r="G412" s="30">
        <v>0</v>
      </c>
      <c r="H412" s="30">
        <v>0</v>
      </c>
      <c r="I412" s="30">
        <v>0</v>
      </c>
      <c r="J412" s="231">
        <v>0</v>
      </c>
      <c r="K412">
        <f t="shared" si="6"/>
        <v>0</v>
      </c>
      <c r="L412" s="30">
        <v>0</v>
      </c>
      <c r="M412" s="30">
        <v>0</v>
      </c>
      <c r="N412" s="30">
        <v>0</v>
      </c>
      <c r="O412" s="231">
        <v>0</v>
      </c>
      <c r="P412" s="97">
        <f>VLOOKUP(Table323[[#This Row],[Census Tract]],'Population and Diversity Data'!$B$2:$K$823,10,FALSE)</f>
        <v>3</v>
      </c>
      <c r="Q412" s="97" t="str">
        <f>VLOOKUP(Table323[[#This Row],[Census Tract]],'ES Energy Burden'!$B$2:$E$914,4,FALSE)</f>
        <v>No</v>
      </c>
    </row>
    <row r="413" spans="1:17" x14ac:dyDescent="0.2">
      <c r="A413" s="30" t="s">
        <v>2803</v>
      </c>
      <c r="B413" s="169">
        <v>9001110500</v>
      </c>
      <c r="C413" s="232" t="s">
        <v>944</v>
      </c>
      <c r="D413" s="182">
        <v>473.77953000000002</v>
      </c>
      <c r="E413" s="182">
        <v>0</v>
      </c>
      <c r="F413" s="13">
        <f>[1]!Table323[[#This Row],[Single Family]]+[1]!Table323[[#This Row],[2-4 Units]]+[1]!Table323[[#This Row],[&gt;4 Units]]</f>
        <v>0</v>
      </c>
      <c r="G413" s="30">
        <v>0</v>
      </c>
      <c r="H413" s="30">
        <v>0</v>
      </c>
      <c r="I413" s="30">
        <v>0</v>
      </c>
      <c r="J413" s="231">
        <v>0</v>
      </c>
      <c r="K413">
        <f t="shared" si="6"/>
        <v>0</v>
      </c>
      <c r="L413" s="30">
        <v>0</v>
      </c>
      <c r="M413" s="30">
        <v>0</v>
      </c>
      <c r="N413" s="30">
        <v>0</v>
      </c>
      <c r="O413" s="231">
        <v>0</v>
      </c>
      <c r="P413" s="97">
        <f>VLOOKUP(Table323[[#This Row],[Census Tract]],'Population and Diversity Data'!$B$2:$K$823,10,FALSE)</f>
        <v>1</v>
      </c>
      <c r="Q413" s="97" t="str">
        <f>VLOOKUP(Table323[[#This Row],[Census Tract]],'ES Energy Burden'!$B$2:$E$914,4,FALSE)</f>
        <v>No</v>
      </c>
    </row>
    <row r="414" spans="1:17" x14ac:dyDescent="0.2">
      <c r="A414" s="30" t="s">
        <v>2803</v>
      </c>
      <c r="B414" s="169">
        <v>9001230400</v>
      </c>
      <c r="C414" s="232" t="s">
        <v>944</v>
      </c>
      <c r="D414" s="182">
        <v>211.67958000000002</v>
      </c>
      <c r="E414" s="182">
        <v>0</v>
      </c>
      <c r="F414" s="13">
        <f>[1]!Table323[[#This Row],[Single Family]]+[1]!Table323[[#This Row],[2-4 Units]]+[1]!Table323[[#This Row],[&gt;4 Units]]</f>
        <v>0</v>
      </c>
      <c r="G414" s="30">
        <v>0</v>
      </c>
      <c r="H414" s="30">
        <v>0</v>
      </c>
      <c r="I414" s="30">
        <v>0</v>
      </c>
      <c r="J414" s="231">
        <v>0</v>
      </c>
      <c r="K414">
        <f t="shared" si="6"/>
        <v>0</v>
      </c>
      <c r="L414" s="30">
        <v>0</v>
      </c>
      <c r="M414" s="30">
        <v>0</v>
      </c>
      <c r="N414" s="30">
        <v>0</v>
      </c>
      <c r="O414" s="231">
        <v>0</v>
      </c>
      <c r="P414" s="97">
        <f>VLOOKUP(Table323[[#This Row],[Census Tract]],'Population and Diversity Data'!$B$2:$K$823,10,FALSE)</f>
        <v>2</v>
      </c>
      <c r="Q414" s="97" t="str">
        <f>VLOOKUP(Table323[[#This Row],[Census Tract]],'ES Energy Burden'!$B$2:$E$914,4,FALSE)</f>
        <v>No</v>
      </c>
    </row>
    <row r="415" spans="1:17" x14ac:dyDescent="0.2">
      <c r="A415" s="30" t="s">
        <v>2804</v>
      </c>
      <c r="B415" s="169">
        <v>9011693600</v>
      </c>
      <c r="C415" s="232" t="s">
        <v>944</v>
      </c>
      <c r="D415" s="182">
        <v>151.50744</v>
      </c>
      <c r="E415" s="182">
        <v>65342.394999999997</v>
      </c>
      <c r="F415" s="13">
        <f>[1]!Table323[[#This Row],[Single Family]]+[1]!Table323[[#This Row],[2-4 Units]]+[1]!Table323[[#This Row],[&gt;4 Units]]</f>
        <v>0</v>
      </c>
      <c r="G415" s="30">
        <v>0</v>
      </c>
      <c r="H415" s="30">
        <v>0</v>
      </c>
      <c r="I415" s="30">
        <v>0</v>
      </c>
      <c r="J415" s="231">
        <v>0</v>
      </c>
      <c r="K415">
        <f t="shared" si="6"/>
        <v>0</v>
      </c>
      <c r="L415" s="30">
        <v>0</v>
      </c>
      <c r="M415" s="30">
        <v>0</v>
      </c>
      <c r="N415" s="30">
        <v>0</v>
      </c>
      <c r="O415" s="231">
        <v>0</v>
      </c>
      <c r="P415" s="97">
        <f>VLOOKUP(Table323[[#This Row],[Census Tract]],'Population and Diversity Data'!$B$2:$K$823,10,FALSE)</f>
        <v>2</v>
      </c>
      <c r="Q415" s="97" t="str">
        <f>VLOOKUP(Table323[[#This Row],[Census Tract]],'ES Energy Burden'!$B$2:$E$914,4,FALSE)</f>
        <v>No</v>
      </c>
    </row>
    <row r="416" spans="1:17" x14ac:dyDescent="0.2">
      <c r="A416" s="30" t="s">
        <v>2804</v>
      </c>
      <c r="B416" s="169">
        <v>9011695201</v>
      </c>
      <c r="C416" s="232" t="s">
        <v>944</v>
      </c>
      <c r="D416" s="182">
        <v>59043.172419000002</v>
      </c>
      <c r="E416" s="182">
        <v>70029.63</v>
      </c>
      <c r="F416" s="13">
        <f>[1]!Table323[[#This Row],[Single Family]]+[1]!Table323[[#This Row],[2-4 Units]]+[1]!Table323[[#This Row],[&gt;4 Units]]</f>
        <v>0</v>
      </c>
      <c r="G416" s="30">
        <v>0</v>
      </c>
      <c r="H416" s="30">
        <v>0</v>
      </c>
      <c r="I416" s="30">
        <v>0</v>
      </c>
      <c r="J416" s="231">
        <v>18224.099999999999</v>
      </c>
      <c r="K416">
        <f t="shared" si="6"/>
        <v>3</v>
      </c>
      <c r="L416" s="30">
        <v>3</v>
      </c>
      <c r="M416" s="30">
        <v>0</v>
      </c>
      <c r="N416" s="30">
        <v>0</v>
      </c>
      <c r="O416" s="231">
        <v>17580.36</v>
      </c>
      <c r="P416" s="97">
        <f>VLOOKUP(Table323[[#This Row],[Census Tract]],'Population and Diversity Data'!$B$2:$K$823,10,FALSE)</f>
        <v>3</v>
      </c>
      <c r="Q416" s="97" t="str">
        <f>VLOOKUP(Table323[[#This Row],[Census Tract]],'ES Energy Burden'!$B$2:$E$914,4,FALSE)</f>
        <v>No</v>
      </c>
    </row>
    <row r="417" spans="1:17" x14ac:dyDescent="0.2">
      <c r="A417" s="30" t="s">
        <v>2804</v>
      </c>
      <c r="B417" s="169">
        <v>9011695202</v>
      </c>
      <c r="C417" s="232" t="s">
        <v>944</v>
      </c>
      <c r="D417" s="182">
        <v>143502.55252199998</v>
      </c>
      <c r="E417" s="182">
        <v>124161.66499999999</v>
      </c>
      <c r="F417" s="13">
        <f>[1]!Table323[[#This Row],[Single Family]]+[1]!Table323[[#This Row],[2-4 Units]]+[1]!Table323[[#This Row],[&gt;4 Units]]</f>
        <v>98</v>
      </c>
      <c r="G417" s="30">
        <v>98</v>
      </c>
      <c r="H417" s="30">
        <v>0</v>
      </c>
      <c r="I417" s="30">
        <v>0</v>
      </c>
      <c r="J417" s="231">
        <v>146173.51</v>
      </c>
      <c r="K417">
        <f t="shared" si="6"/>
        <v>9</v>
      </c>
      <c r="L417" s="30">
        <v>8</v>
      </c>
      <c r="M417" s="30">
        <v>1</v>
      </c>
      <c r="N417" s="30">
        <v>0</v>
      </c>
      <c r="O417" s="231">
        <v>26250.62</v>
      </c>
      <c r="P417" s="97">
        <f>VLOOKUP(Table323[[#This Row],[Census Tract]],'Population and Diversity Data'!$B$2:$K$823,10,FALSE)</f>
        <v>3</v>
      </c>
      <c r="Q417" s="97" t="str">
        <f>VLOOKUP(Table323[[#This Row],[Census Tract]],'ES Energy Burden'!$B$2:$E$914,4,FALSE)</f>
        <v>No</v>
      </c>
    </row>
    <row r="418" spans="1:17" x14ac:dyDescent="0.2">
      <c r="A418" s="30" t="s">
        <v>2804</v>
      </c>
      <c r="B418" s="169">
        <v>9011715100</v>
      </c>
      <c r="C418" s="232" t="s">
        <v>944</v>
      </c>
      <c r="D418" s="182">
        <v>355.79228999999998</v>
      </c>
      <c r="E418" s="182">
        <v>0</v>
      </c>
      <c r="F418" s="13">
        <f>[1]!Table323[[#This Row],[Single Family]]+[1]!Table323[[#This Row],[2-4 Units]]+[1]!Table323[[#This Row],[&gt;4 Units]]</f>
        <v>0</v>
      </c>
      <c r="G418" s="30">
        <v>0</v>
      </c>
      <c r="H418" s="30">
        <v>0</v>
      </c>
      <c r="I418" s="30">
        <v>0</v>
      </c>
      <c r="J418" s="231">
        <v>0</v>
      </c>
      <c r="K418">
        <f t="shared" si="6"/>
        <v>0</v>
      </c>
      <c r="L418" s="30">
        <v>0</v>
      </c>
      <c r="M418" s="30">
        <v>0</v>
      </c>
      <c r="N418" s="30">
        <v>0</v>
      </c>
      <c r="O418" s="231">
        <v>0</v>
      </c>
      <c r="P418" s="97">
        <f>VLOOKUP(Table323[[#This Row],[Census Tract]],'Population and Diversity Data'!$B$2:$K$823,10,FALSE)</f>
        <v>3</v>
      </c>
      <c r="Q418" s="97" t="str">
        <f>VLOOKUP(Table323[[#This Row],[Census Tract]],'ES Energy Burden'!$B$2:$E$914,4,FALSE)</f>
        <v>No</v>
      </c>
    </row>
    <row r="419" spans="1:17" x14ac:dyDescent="0.2">
      <c r="A419" s="30" t="s">
        <v>2804</v>
      </c>
      <c r="B419" s="169">
        <v>9011716102</v>
      </c>
      <c r="C419" s="232" t="s">
        <v>944</v>
      </c>
      <c r="D419" s="182">
        <v>313.97897999999998</v>
      </c>
      <c r="E419" s="182">
        <v>326.91000000000003</v>
      </c>
      <c r="F419" s="13">
        <f>[1]!Table323[[#This Row],[Single Family]]+[1]!Table323[[#This Row],[2-4 Units]]+[1]!Table323[[#This Row],[&gt;4 Units]]</f>
        <v>0</v>
      </c>
      <c r="G419" s="30">
        <v>0</v>
      </c>
      <c r="H419" s="30">
        <v>0</v>
      </c>
      <c r="I419" s="30">
        <v>0</v>
      </c>
      <c r="J419" s="231">
        <v>0</v>
      </c>
      <c r="K419">
        <f t="shared" si="6"/>
        <v>0</v>
      </c>
      <c r="L419" s="30">
        <v>0</v>
      </c>
      <c r="M419" s="30">
        <v>0</v>
      </c>
      <c r="N419" s="30">
        <v>0</v>
      </c>
      <c r="O419" s="231">
        <v>0</v>
      </c>
      <c r="P419" s="97">
        <f>VLOOKUP(Table323[[#This Row],[Census Tract]],'Population and Diversity Data'!$B$2:$K$823,10,FALSE)</f>
        <v>4</v>
      </c>
      <c r="Q419" s="97" t="str">
        <f>VLOOKUP(Table323[[#This Row],[Census Tract]],'ES Energy Burden'!$B$2:$E$914,4,FALSE)</f>
        <v>No</v>
      </c>
    </row>
    <row r="420" spans="1:17" x14ac:dyDescent="0.2">
      <c r="A420" s="30" t="s">
        <v>2804</v>
      </c>
      <c r="B420" s="169">
        <v>9011870501</v>
      </c>
      <c r="C420" s="232" t="s">
        <v>936</v>
      </c>
      <c r="D420" s="182">
        <v>44781.189474000006</v>
      </c>
      <c r="E420" s="182">
        <v>40865.480000000003</v>
      </c>
      <c r="F420" s="13">
        <f>[1]!Table323[[#This Row],[Single Family]]+[1]!Table323[[#This Row],[2-4 Units]]+[1]!Table323[[#This Row],[&gt;4 Units]]</f>
        <v>1</v>
      </c>
      <c r="G420" s="30">
        <v>1</v>
      </c>
      <c r="H420" s="30">
        <v>0</v>
      </c>
      <c r="I420" s="30">
        <v>0</v>
      </c>
      <c r="J420" s="231">
        <v>5064.3599999999997</v>
      </c>
      <c r="K420">
        <f t="shared" si="6"/>
        <v>6</v>
      </c>
      <c r="L420" s="30">
        <v>5</v>
      </c>
      <c r="M420" s="30">
        <v>1</v>
      </c>
      <c r="N420" s="30">
        <v>0</v>
      </c>
      <c r="O420" s="231">
        <v>26404.22</v>
      </c>
      <c r="P420" s="97">
        <f>VLOOKUP(Table323[[#This Row],[Census Tract]],'Population and Diversity Data'!$B$2:$K$823,10,FALSE)</f>
        <v>5</v>
      </c>
      <c r="Q420" s="97" t="str">
        <f>VLOOKUP(Table323[[#This Row],[Census Tract]],'ES Energy Burden'!$B$2:$E$914,4,FALSE)</f>
        <v>No</v>
      </c>
    </row>
    <row r="421" spans="1:17" x14ac:dyDescent="0.2">
      <c r="A421" s="30" t="s">
        <v>2804</v>
      </c>
      <c r="B421" s="169">
        <v>9011870502</v>
      </c>
      <c r="C421" s="232" t="s">
        <v>944</v>
      </c>
      <c r="D421" s="182">
        <v>22959.456681</v>
      </c>
      <c r="E421" s="182">
        <v>12080.57</v>
      </c>
      <c r="F421" s="13">
        <f>[1]!Table323[[#This Row],[Single Family]]+[1]!Table323[[#This Row],[2-4 Units]]+[1]!Table323[[#This Row],[&gt;4 Units]]</f>
        <v>0</v>
      </c>
      <c r="G421" s="30">
        <v>0</v>
      </c>
      <c r="H421" s="30">
        <v>0</v>
      </c>
      <c r="I421" s="30">
        <v>0</v>
      </c>
      <c r="J421" s="231">
        <v>4877.4399999999996</v>
      </c>
      <c r="K421">
        <f t="shared" si="6"/>
        <v>0</v>
      </c>
      <c r="L421" s="30">
        <v>0</v>
      </c>
      <c r="M421" s="30">
        <v>0</v>
      </c>
      <c r="N421" s="30">
        <v>0</v>
      </c>
      <c r="O421" s="231">
        <v>0</v>
      </c>
      <c r="P421" s="97">
        <f>VLOOKUP(Table323[[#This Row],[Census Tract]],'Population and Diversity Data'!$B$2:$K$823,10,FALSE)</f>
        <v>5</v>
      </c>
      <c r="Q421" s="97" t="str">
        <f>VLOOKUP(Table323[[#This Row],[Census Tract]],'ES Energy Burden'!$B$2:$E$914,4,FALSE)</f>
        <v>No</v>
      </c>
    </row>
    <row r="422" spans="1:17" x14ac:dyDescent="0.2">
      <c r="A422" s="30" t="s">
        <v>2805</v>
      </c>
      <c r="B422" s="169">
        <v>9005300100</v>
      </c>
      <c r="C422" s="232" t="s">
        <v>944</v>
      </c>
      <c r="D422" s="182">
        <v>460.69988999999998</v>
      </c>
      <c r="E422" s="182">
        <v>0</v>
      </c>
      <c r="F422" s="13">
        <f>[1]!Table323[[#This Row],[Single Family]]+[1]!Table323[[#This Row],[2-4 Units]]+[1]!Table323[[#This Row],[&gt;4 Units]]</f>
        <v>0</v>
      </c>
      <c r="G422" s="30">
        <v>0</v>
      </c>
      <c r="H422" s="30">
        <v>0</v>
      </c>
      <c r="I422" s="30">
        <v>0</v>
      </c>
      <c r="J422" s="231">
        <v>0</v>
      </c>
      <c r="K422">
        <f t="shared" si="6"/>
        <v>0</v>
      </c>
      <c r="L422" s="30">
        <v>0</v>
      </c>
      <c r="M422" s="30">
        <v>0</v>
      </c>
      <c r="N422" s="30">
        <v>0</v>
      </c>
      <c r="O422" s="231">
        <v>0</v>
      </c>
      <c r="P422" s="97">
        <f>VLOOKUP(Table323[[#This Row],[Census Tract]],'Population and Diversity Data'!$B$2:$K$823,10,FALSE)</f>
        <v>1</v>
      </c>
      <c r="Q422" s="97" t="str">
        <f>VLOOKUP(Table323[[#This Row],[Census Tract]],'ES Energy Burden'!$B$2:$E$914,4,FALSE)</f>
        <v>No</v>
      </c>
    </row>
    <row r="423" spans="1:17" x14ac:dyDescent="0.2">
      <c r="A423" s="30" t="s">
        <v>2805</v>
      </c>
      <c r="B423" s="169">
        <v>9005303100</v>
      </c>
      <c r="C423" s="232" t="s">
        <v>944</v>
      </c>
      <c r="D423" s="182">
        <v>49661.582312999999</v>
      </c>
      <c r="E423" s="182">
        <v>135709.68</v>
      </c>
      <c r="F423" s="13">
        <f>[1]!Table323[[#This Row],[Single Family]]+[1]!Table323[[#This Row],[2-4 Units]]+[1]!Table323[[#This Row],[&gt;4 Units]]</f>
        <v>11</v>
      </c>
      <c r="G423" s="30">
        <v>11</v>
      </c>
      <c r="H423" s="30">
        <v>0</v>
      </c>
      <c r="I423" s="30">
        <v>0</v>
      </c>
      <c r="J423" s="231">
        <v>53823.19</v>
      </c>
      <c r="K423">
        <f t="shared" si="6"/>
        <v>15</v>
      </c>
      <c r="L423" s="30">
        <v>6</v>
      </c>
      <c r="M423" s="30">
        <v>0</v>
      </c>
      <c r="N423" s="30">
        <v>9</v>
      </c>
      <c r="O423" s="231">
        <v>46486.69</v>
      </c>
      <c r="P423" s="97">
        <f>VLOOKUP(Table323[[#This Row],[Census Tract]],'Population and Diversity Data'!$B$2:$K$823,10,FALSE)</f>
        <v>1</v>
      </c>
      <c r="Q423" s="97" t="str">
        <f>VLOOKUP(Table323[[#This Row],[Census Tract]],'ES Energy Burden'!$B$2:$E$914,4,FALSE)</f>
        <v>No</v>
      </c>
    </row>
    <row r="424" spans="1:17" x14ac:dyDescent="0.2">
      <c r="A424" s="30" t="s">
        <v>2806</v>
      </c>
      <c r="B424" s="169">
        <v>9009344100</v>
      </c>
      <c r="C424" s="232" t="s">
        <v>944</v>
      </c>
      <c r="D424" s="182">
        <v>118.97256</v>
      </c>
      <c r="E424" s="182">
        <v>0</v>
      </c>
      <c r="F424" s="13">
        <f>[1]!Table323[[#This Row],[Single Family]]+[1]!Table323[[#This Row],[2-4 Units]]+[1]!Table323[[#This Row],[&gt;4 Units]]</f>
        <v>0</v>
      </c>
      <c r="G424" s="30">
        <v>0</v>
      </c>
      <c r="H424" s="30">
        <v>0</v>
      </c>
      <c r="I424" s="30">
        <v>0</v>
      </c>
      <c r="J424" s="231">
        <v>0</v>
      </c>
      <c r="K424">
        <f t="shared" si="6"/>
        <v>0</v>
      </c>
      <c r="L424" s="30">
        <v>0</v>
      </c>
      <c r="M424" s="30">
        <v>0</v>
      </c>
      <c r="N424" s="30">
        <v>0</v>
      </c>
      <c r="O424" s="231">
        <v>0</v>
      </c>
      <c r="P424" s="97">
        <f>VLOOKUP(Table323[[#This Row],[Census Tract]],'Population and Diversity Data'!$B$2:$K$823,10,FALSE)</f>
        <v>2</v>
      </c>
      <c r="Q424" s="97" t="str">
        <f>VLOOKUP(Table323[[#This Row],[Census Tract]],'ES Energy Burden'!$B$2:$E$914,4,FALSE)</f>
        <v>No</v>
      </c>
    </row>
    <row r="425" spans="1:17" x14ac:dyDescent="0.2">
      <c r="A425" s="30" t="s">
        <v>2806</v>
      </c>
      <c r="B425" s="169">
        <v>9009345100</v>
      </c>
      <c r="C425" s="232" t="s">
        <v>944</v>
      </c>
      <c r="D425" s="182">
        <v>64143.466464000005</v>
      </c>
      <c r="E425" s="182">
        <v>158562.28</v>
      </c>
      <c r="F425" s="13">
        <f>[1]!Table323[[#This Row],[Single Family]]+[1]!Table323[[#This Row],[2-4 Units]]+[1]!Table323[[#This Row],[&gt;4 Units]]</f>
        <v>195</v>
      </c>
      <c r="G425" s="30">
        <v>194</v>
      </c>
      <c r="H425" s="30">
        <v>1</v>
      </c>
      <c r="I425" s="30">
        <v>0</v>
      </c>
      <c r="J425" s="231">
        <v>297048.96000000002</v>
      </c>
      <c r="K425">
        <f t="shared" si="6"/>
        <v>97</v>
      </c>
      <c r="L425" s="30">
        <v>46</v>
      </c>
      <c r="M425" s="30">
        <v>15</v>
      </c>
      <c r="N425" s="30">
        <v>36</v>
      </c>
      <c r="O425" s="231">
        <v>398219.76</v>
      </c>
      <c r="P425" s="97">
        <f>VLOOKUP(Table323[[#This Row],[Census Tract]],'Population and Diversity Data'!$B$2:$K$823,10,FALSE)</f>
        <v>2</v>
      </c>
      <c r="Q425" s="97" t="str">
        <f>VLOOKUP(Table323[[#This Row],[Census Tract]],'ES Energy Burden'!$B$2:$E$914,4,FALSE)</f>
        <v>No</v>
      </c>
    </row>
    <row r="426" spans="1:17" x14ac:dyDescent="0.2">
      <c r="A426" s="30" t="s">
        <v>2806</v>
      </c>
      <c r="B426" s="169">
        <v>9009345201</v>
      </c>
      <c r="C426" s="232" t="s">
        <v>944</v>
      </c>
      <c r="D426" s="182">
        <v>69056.199533999999</v>
      </c>
      <c r="E426" s="182">
        <v>71999.360000000001</v>
      </c>
      <c r="F426" s="13">
        <f>[1]!Table323[[#This Row],[Single Family]]+[1]!Table323[[#This Row],[2-4 Units]]+[1]!Table323[[#This Row],[&gt;4 Units]]</f>
        <v>0</v>
      </c>
      <c r="G426" s="30">
        <v>0</v>
      </c>
      <c r="H426" s="30">
        <v>0</v>
      </c>
      <c r="I426" s="30">
        <v>0</v>
      </c>
      <c r="J426" s="231">
        <v>13683.31</v>
      </c>
      <c r="K426">
        <f t="shared" si="6"/>
        <v>12</v>
      </c>
      <c r="L426" s="30">
        <v>6</v>
      </c>
      <c r="M426" s="30">
        <v>6</v>
      </c>
      <c r="N426" s="30">
        <v>0</v>
      </c>
      <c r="O426" s="231">
        <v>21854.29</v>
      </c>
      <c r="P426" s="97">
        <f>VLOOKUP(Table323[[#This Row],[Census Tract]],'Population and Diversity Data'!$B$2:$K$823,10,FALSE)</f>
        <v>4</v>
      </c>
      <c r="Q426" s="97" t="str">
        <f>VLOOKUP(Table323[[#This Row],[Census Tract]],'ES Energy Burden'!$B$2:$E$914,4,FALSE)</f>
        <v>No</v>
      </c>
    </row>
    <row r="427" spans="1:17" x14ac:dyDescent="0.2">
      <c r="A427" s="30" t="s">
        <v>2806</v>
      </c>
      <c r="B427" s="169">
        <v>9009345202</v>
      </c>
      <c r="C427" s="232" t="s">
        <v>944</v>
      </c>
      <c r="D427" s="182">
        <v>43859.273849999998</v>
      </c>
      <c r="E427" s="182">
        <v>63201.919999999998</v>
      </c>
      <c r="F427" s="13">
        <f>[1]!Table323[[#This Row],[Single Family]]+[1]!Table323[[#This Row],[2-4 Units]]+[1]!Table323[[#This Row],[&gt;4 Units]]</f>
        <v>0</v>
      </c>
      <c r="G427" s="30">
        <v>0</v>
      </c>
      <c r="H427" s="30">
        <v>0</v>
      </c>
      <c r="I427" s="30">
        <v>0</v>
      </c>
      <c r="J427" s="231">
        <v>10013.01</v>
      </c>
      <c r="K427">
        <f t="shared" si="6"/>
        <v>5</v>
      </c>
      <c r="L427" s="30">
        <v>5</v>
      </c>
      <c r="M427" s="30">
        <v>0</v>
      </c>
      <c r="N427" s="30">
        <v>0</v>
      </c>
      <c r="O427" s="231">
        <v>4238.95</v>
      </c>
      <c r="P427" s="97">
        <f>VLOOKUP(Table323[[#This Row],[Census Tract]],'Population and Diversity Data'!$B$2:$K$823,10,FALSE)</f>
        <v>3</v>
      </c>
      <c r="Q427" s="97" t="str">
        <f>VLOOKUP(Table323[[#This Row],[Census Tract]],'ES Energy Burden'!$B$2:$E$914,4,FALSE)</f>
        <v>No</v>
      </c>
    </row>
    <row r="428" spans="1:17" x14ac:dyDescent="0.2">
      <c r="A428" s="30" t="s">
        <v>2806</v>
      </c>
      <c r="B428" s="169">
        <v>9009345300</v>
      </c>
      <c r="C428" s="232" t="s">
        <v>944</v>
      </c>
      <c r="D428" s="182">
        <v>55053.966744000005</v>
      </c>
      <c r="E428" s="182">
        <v>48254.63</v>
      </c>
      <c r="F428" s="13">
        <f>[1]!Table323[[#This Row],[Single Family]]+[1]!Table323[[#This Row],[2-4 Units]]+[1]!Table323[[#This Row],[&gt;4 Units]]</f>
        <v>0</v>
      </c>
      <c r="G428" s="30">
        <v>0</v>
      </c>
      <c r="H428" s="30">
        <v>0</v>
      </c>
      <c r="I428" s="30">
        <v>0</v>
      </c>
      <c r="J428" s="231">
        <v>114</v>
      </c>
      <c r="K428">
        <f t="shared" si="6"/>
        <v>4</v>
      </c>
      <c r="L428" s="30">
        <v>4</v>
      </c>
      <c r="M428" s="30">
        <v>0</v>
      </c>
      <c r="N428" s="30">
        <v>0</v>
      </c>
      <c r="O428" s="231">
        <v>33463.61</v>
      </c>
      <c r="P428" s="97">
        <f>VLOOKUP(Table323[[#This Row],[Census Tract]],'Population and Diversity Data'!$B$2:$K$823,10,FALSE)</f>
        <v>4</v>
      </c>
      <c r="Q428" s="97" t="str">
        <f>VLOOKUP(Table323[[#This Row],[Census Tract]],'ES Energy Burden'!$B$2:$E$914,4,FALSE)</f>
        <v>No</v>
      </c>
    </row>
    <row r="429" spans="1:17" x14ac:dyDescent="0.2">
      <c r="A429" s="30" t="s">
        <v>2806</v>
      </c>
      <c r="B429" s="169">
        <v>9009345400</v>
      </c>
      <c r="C429" s="232" t="s">
        <v>944</v>
      </c>
      <c r="D429" s="182">
        <v>227928.80800200001</v>
      </c>
      <c r="E429" s="182">
        <v>618825.245</v>
      </c>
      <c r="F429" s="13">
        <f>[1]!Table323[[#This Row],[Single Family]]+[1]!Table323[[#This Row],[2-4 Units]]+[1]!Table323[[#This Row],[&gt;4 Units]]</f>
        <v>1</v>
      </c>
      <c r="G429" s="30">
        <v>1</v>
      </c>
      <c r="H429" s="30">
        <v>0</v>
      </c>
      <c r="I429" s="30">
        <v>0</v>
      </c>
      <c r="J429" s="231">
        <v>33818.129999999997</v>
      </c>
      <c r="K429">
        <f t="shared" si="6"/>
        <v>9</v>
      </c>
      <c r="L429" s="30">
        <v>9</v>
      </c>
      <c r="M429" s="30">
        <v>0</v>
      </c>
      <c r="N429" s="30">
        <v>0</v>
      </c>
      <c r="O429" s="231">
        <v>52423.63</v>
      </c>
      <c r="P429" s="97">
        <f>VLOOKUP(Table323[[#This Row],[Census Tract]],'Population and Diversity Data'!$B$2:$K$823,10,FALSE)</f>
        <v>4</v>
      </c>
      <c r="Q429" s="97" t="str">
        <f>VLOOKUP(Table323[[#This Row],[Census Tract]],'ES Energy Burden'!$B$2:$E$914,4,FALSE)</f>
        <v>No</v>
      </c>
    </row>
    <row r="430" spans="1:17" x14ac:dyDescent="0.2">
      <c r="A430" s="30" t="s">
        <v>2806</v>
      </c>
      <c r="B430" s="169">
        <v>9009346102</v>
      </c>
      <c r="C430" s="232" t="s">
        <v>944</v>
      </c>
      <c r="D430" s="182">
        <v>293.81855999999999</v>
      </c>
      <c r="E430" s="182">
        <v>0</v>
      </c>
      <c r="F430" s="13">
        <f>[1]!Table323[[#This Row],[Single Family]]+[1]!Table323[[#This Row],[2-4 Units]]+[1]!Table323[[#This Row],[&gt;4 Units]]</f>
        <v>0</v>
      </c>
      <c r="G430" s="30">
        <v>0</v>
      </c>
      <c r="H430" s="30">
        <v>0</v>
      </c>
      <c r="I430" s="30">
        <v>0</v>
      </c>
      <c r="J430" s="231">
        <v>0</v>
      </c>
      <c r="K430">
        <f t="shared" si="6"/>
        <v>0</v>
      </c>
      <c r="L430" s="30">
        <v>0</v>
      </c>
      <c r="M430" s="30">
        <v>0</v>
      </c>
      <c r="N430" s="30">
        <v>0</v>
      </c>
      <c r="O430" s="231">
        <v>0</v>
      </c>
      <c r="P430" s="97">
        <f>VLOOKUP(Table323[[#This Row],[Census Tract]],'Population and Diversity Data'!$B$2:$K$823,10,FALSE)</f>
        <v>2</v>
      </c>
      <c r="Q430" s="97" t="str">
        <f>VLOOKUP(Table323[[#This Row],[Census Tract]],'ES Energy Burden'!$B$2:$E$914,4,FALSE)</f>
        <v>No</v>
      </c>
    </row>
    <row r="431" spans="1:17" x14ac:dyDescent="0.2">
      <c r="A431" s="30" t="s">
        <v>2806</v>
      </c>
      <c r="B431" s="169">
        <v>9009347200</v>
      </c>
      <c r="C431" s="232" t="s">
        <v>944</v>
      </c>
      <c r="D431" s="182">
        <v>447.21935999999999</v>
      </c>
      <c r="E431" s="182">
        <v>47.44</v>
      </c>
      <c r="F431" s="13">
        <f>[1]!Table323[[#This Row],[Single Family]]+[1]!Table323[[#This Row],[2-4 Units]]+[1]!Table323[[#This Row],[&gt;4 Units]]</f>
        <v>0</v>
      </c>
      <c r="G431" s="30">
        <v>0</v>
      </c>
      <c r="H431" s="30">
        <v>0</v>
      </c>
      <c r="I431" s="30">
        <v>0</v>
      </c>
      <c r="J431" s="231">
        <v>0</v>
      </c>
      <c r="K431">
        <f t="shared" si="6"/>
        <v>0</v>
      </c>
      <c r="L431" s="30">
        <v>0</v>
      </c>
      <c r="M431" s="30">
        <v>0</v>
      </c>
      <c r="N431" s="30">
        <v>0</v>
      </c>
      <c r="O431" s="231">
        <v>0</v>
      </c>
      <c r="P431" s="97">
        <f>VLOOKUP(Table323[[#This Row],[Census Tract]],'Population and Diversity Data'!$B$2:$K$823,10,FALSE)</f>
        <v>2</v>
      </c>
      <c r="Q431" s="97" t="str">
        <f>VLOOKUP(Table323[[#This Row],[Census Tract]],'ES Energy Burden'!$B$2:$E$914,4,FALSE)</f>
        <v>No</v>
      </c>
    </row>
    <row r="432" spans="1:17" x14ac:dyDescent="0.2">
      <c r="A432" s="30" t="s">
        <v>985</v>
      </c>
      <c r="B432" s="169">
        <v>9003400300</v>
      </c>
      <c r="C432" s="232" t="s">
        <v>944</v>
      </c>
      <c r="D432" s="182">
        <v>357.89816999999999</v>
      </c>
      <c r="E432" s="182">
        <v>1847.94</v>
      </c>
      <c r="F432" s="13">
        <f>[1]!Table323[[#This Row],[Single Family]]+[1]!Table323[[#This Row],[2-4 Units]]+[1]!Table323[[#This Row],[&gt;4 Units]]</f>
        <v>0</v>
      </c>
      <c r="G432" s="30">
        <v>0</v>
      </c>
      <c r="H432" s="30">
        <v>0</v>
      </c>
      <c r="I432" s="30">
        <v>0</v>
      </c>
      <c r="J432" s="231">
        <v>0</v>
      </c>
      <c r="K432">
        <f t="shared" si="6"/>
        <v>1</v>
      </c>
      <c r="L432" s="30">
        <v>1</v>
      </c>
      <c r="M432" s="30">
        <v>0</v>
      </c>
      <c r="N432" s="30">
        <v>0</v>
      </c>
      <c r="O432" s="231">
        <v>1434.55</v>
      </c>
      <c r="P432" s="97">
        <f>VLOOKUP(Table323[[#This Row],[Census Tract]],'Population and Diversity Data'!$B$2:$K$823,10,FALSE)</f>
        <v>2</v>
      </c>
      <c r="Q432" s="97" t="str">
        <f>VLOOKUP(Table323[[#This Row],[Census Tract]],'ES Energy Burden'!$B$2:$E$914,4,FALSE)</f>
        <v>No</v>
      </c>
    </row>
    <row r="433" spans="1:17" x14ac:dyDescent="0.2">
      <c r="A433" s="30" t="s">
        <v>985</v>
      </c>
      <c r="B433" s="169">
        <v>9003415300</v>
      </c>
      <c r="C433" s="232" t="s">
        <v>944</v>
      </c>
      <c r="D433" s="182">
        <v>34706.565852</v>
      </c>
      <c r="E433" s="182">
        <v>2206.41</v>
      </c>
      <c r="F433" s="13">
        <f>[1]!Table323[[#This Row],[Single Family]]+[1]!Table323[[#This Row],[2-4 Units]]+[1]!Table323[[#This Row],[&gt;4 Units]]</f>
        <v>0</v>
      </c>
      <c r="G433" s="30">
        <v>0</v>
      </c>
      <c r="H433" s="30">
        <v>0</v>
      </c>
      <c r="I433" s="30">
        <v>0</v>
      </c>
      <c r="J433" s="231">
        <v>0</v>
      </c>
      <c r="K433">
        <f t="shared" si="6"/>
        <v>7</v>
      </c>
      <c r="L433" s="30">
        <v>4</v>
      </c>
      <c r="M433" s="30">
        <v>3</v>
      </c>
      <c r="N433" s="30">
        <v>0</v>
      </c>
      <c r="O433" s="231">
        <v>828.16</v>
      </c>
      <c r="P433" s="97">
        <f>VLOOKUP(Table323[[#This Row],[Census Tract]],'Population and Diversity Data'!$B$2:$K$823,10,FALSE)</f>
        <v>5</v>
      </c>
      <c r="Q433" s="97" t="str">
        <f>VLOOKUP(Table323[[#This Row],[Census Tract]],'ES Energy Burden'!$B$2:$E$914,4,FALSE)</f>
        <v>Yes</v>
      </c>
    </row>
    <row r="434" spans="1:17" x14ac:dyDescent="0.2">
      <c r="A434" s="30" t="s">
        <v>985</v>
      </c>
      <c r="B434" s="169">
        <v>9003415400</v>
      </c>
      <c r="C434" s="232" t="s">
        <v>944</v>
      </c>
      <c r="D434" s="182">
        <v>36396.730649999998</v>
      </c>
      <c r="E434" s="182">
        <v>19289.93</v>
      </c>
      <c r="F434" s="13">
        <f>[1]!Table323[[#This Row],[Single Family]]+[1]!Table323[[#This Row],[2-4 Units]]+[1]!Table323[[#This Row],[&gt;4 Units]]</f>
        <v>0</v>
      </c>
      <c r="G434" s="30">
        <v>0</v>
      </c>
      <c r="H434" s="30">
        <v>0</v>
      </c>
      <c r="I434" s="30">
        <v>0</v>
      </c>
      <c r="J434" s="231">
        <v>40.299999999999997</v>
      </c>
      <c r="K434">
        <f t="shared" si="6"/>
        <v>6</v>
      </c>
      <c r="L434" s="30">
        <v>5</v>
      </c>
      <c r="M434" s="30">
        <v>1</v>
      </c>
      <c r="N434" s="30">
        <v>0</v>
      </c>
      <c r="O434" s="231">
        <v>17180.52</v>
      </c>
      <c r="P434" s="97">
        <f>VLOOKUP(Table323[[#This Row],[Census Tract]],'Population and Diversity Data'!$B$2:$K$823,10,FALSE)</f>
        <v>3</v>
      </c>
      <c r="Q434" s="97" t="str">
        <f>VLOOKUP(Table323[[#This Row],[Census Tract]],'ES Energy Burden'!$B$2:$E$914,4,FALSE)</f>
        <v>Yes</v>
      </c>
    </row>
    <row r="435" spans="1:17" x14ac:dyDescent="0.2">
      <c r="A435" s="30" t="s">
        <v>985</v>
      </c>
      <c r="B435" s="169">
        <v>9003415500</v>
      </c>
      <c r="C435" s="232" t="s">
        <v>944</v>
      </c>
      <c r="D435" s="182">
        <v>17052.525588</v>
      </c>
      <c r="E435" s="182">
        <v>10952.64</v>
      </c>
      <c r="F435" s="13">
        <f>[1]!Table323[[#This Row],[Single Family]]+[1]!Table323[[#This Row],[2-4 Units]]+[1]!Table323[[#This Row],[&gt;4 Units]]</f>
        <v>0</v>
      </c>
      <c r="G435" s="30">
        <v>0</v>
      </c>
      <c r="H435" s="30">
        <v>0</v>
      </c>
      <c r="I435" s="30">
        <v>0</v>
      </c>
      <c r="J435" s="231">
        <v>0</v>
      </c>
      <c r="K435">
        <f t="shared" si="6"/>
        <v>18</v>
      </c>
      <c r="L435" s="30">
        <v>5</v>
      </c>
      <c r="M435" s="30">
        <v>1</v>
      </c>
      <c r="N435" s="30">
        <v>12</v>
      </c>
      <c r="O435" s="231">
        <v>8728.1299999999992</v>
      </c>
      <c r="P435" s="97">
        <f>VLOOKUP(Table323[[#This Row],[Census Tract]],'Population and Diversity Data'!$B$2:$K$823,10,FALSE)</f>
        <v>4</v>
      </c>
      <c r="Q435" s="97" t="str">
        <f>VLOOKUP(Table323[[#This Row],[Census Tract]],'ES Energy Burden'!$B$2:$E$914,4,FALSE)</f>
        <v>Yes</v>
      </c>
    </row>
    <row r="436" spans="1:17" x14ac:dyDescent="0.2">
      <c r="A436" s="30" t="s">
        <v>985</v>
      </c>
      <c r="B436" s="169">
        <v>9003415600</v>
      </c>
      <c r="C436" s="232" t="s">
        <v>944</v>
      </c>
      <c r="D436" s="182">
        <v>22214.865330000001</v>
      </c>
      <c r="E436" s="182">
        <v>3054.59</v>
      </c>
      <c r="F436" s="13">
        <f>[1]!Table323[[#This Row],[Single Family]]+[1]!Table323[[#This Row],[2-4 Units]]+[1]!Table323[[#This Row],[&gt;4 Units]]</f>
        <v>0</v>
      </c>
      <c r="G436" s="30">
        <v>0</v>
      </c>
      <c r="H436" s="30">
        <v>0</v>
      </c>
      <c r="I436" s="30">
        <v>0</v>
      </c>
      <c r="J436" s="231">
        <v>0</v>
      </c>
      <c r="K436">
        <f t="shared" si="6"/>
        <v>2</v>
      </c>
      <c r="L436" s="30">
        <v>2</v>
      </c>
      <c r="M436" s="30">
        <v>0</v>
      </c>
      <c r="N436" s="30">
        <v>0</v>
      </c>
      <c r="O436" s="231">
        <v>1799.36</v>
      </c>
      <c r="P436" s="97">
        <f>VLOOKUP(Table323[[#This Row],[Census Tract]],'Population and Diversity Data'!$B$2:$K$823,10,FALSE)</f>
        <v>5</v>
      </c>
      <c r="Q436" s="97" t="str">
        <f>VLOOKUP(Table323[[#This Row],[Census Tract]],'ES Energy Burden'!$B$2:$E$914,4,FALSE)</f>
        <v>No</v>
      </c>
    </row>
    <row r="437" spans="1:17" x14ac:dyDescent="0.2">
      <c r="A437" s="30" t="s">
        <v>985</v>
      </c>
      <c r="B437" s="169">
        <v>9003415700</v>
      </c>
      <c r="C437" s="232" t="s">
        <v>944</v>
      </c>
      <c r="D437" s="182">
        <v>20887.716570000001</v>
      </c>
      <c r="E437" s="182">
        <v>10488.74</v>
      </c>
      <c r="F437" s="13">
        <f>[1]!Table323[[#This Row],[Single Family]]+[1]!Table323[[#This Row],[2-4 Units]]+[1]!Table323[[#This Row],[&gt;4 Units]]</f>
        <v>0</v>
      </c>
      <c r="G437" s="30">
        <v>0</v>
      </c>
      <c r="H437" s="30">
        <v>0</v>
      </c>
      <c r="I437" s="30">
        <v>0</v>
      </c>
      <c r="J437" s="231">
        <v>2986.3</v>
      </c>
      <c r="K437">
        <f t="shared" si="6"/>
        <v>2</v>
      </c>
      <c r="L437" s="30">
        <v>1</v>
      </c>
      <c r="M437" s="30">
        <v>1</v>
      </c>
      <c r="N437" s="30">
        <v>0</v>
      </c>
      <c r="O437" s="231">
        <v>2441.8200000000002</v>
      </c>
      <c r="P437" s="97">
        <f>VLOOKUP(Table323[[#This Row],[Census Tract]],'Population and Diversity Data'!$B$2:$K$823,10,FALSE)</f>
        <v>4</v>
      </c>
      <c r="Q437" s="97" t="str">
        <f>VLOOKUP(Table323[[#This Row],[Census Tract]],'ES Energy Burden'!$B$2:$E$914,4,FALSE)</f>
        <v>No</v>
      </c>
    </row>
    <row r="438" spans="1:17" x14ac:dyDescent="0.2">
      <c r="A438" s="30" t="s">
        <v>985</v>
      </c>
      <c r="B438" s="169">
        <v>9003415800</v>
      </c>
      <c r="C438" s="232" t="s">
        <v>944</v>
      </c>
      <c r="D438" s="182">
        <v>20079.381293999999</v>
      </c>
      <c r="E438" s="182">
        <v>1997.13</v>
      </c>
      <c r="F438" s="13">
        <f>[1]!Table323[[#This Row],[Single Family]]+[1]!Table323[[#This Row],[2-4 Units]]+[1]!Table323[[#This Row],[&gt;4 Units]]</f>
        <v>2</v>
      </c>
      <c r="G438" s="30">
        <v>2</v>
      </c>
      <c r="H438" s="30">
        <v>0</v>
      </c>
      <c r="I438" s="30">
        <v>0</v>
      </c>
      <c r="J438" s="231">
        <v>5.13</v>
      </c>
      <c r="K438">
        <f t="shared" si="6"/>
        <v>3</v>
      </c>
      <c r="L438" s="30">
        <v>1</v>
      </c>
      <c r="M438" s="30">
        <v>2</v>
      </c>
      <c r="N438" s="30">
        <v>0</v>
      </c>
      <c r="O438" s="231">
        <v>635.01</v>
      </c>
      <c r="P438" s="97">
        <f>VLOOKUP(Table323[[#This Row],[Census Tract]],'Population and Diversity Data'!$B$2:$K$823,10,FALSE)</f>
        <v>3</v>
      </c>
      <c r="Q438" s="97" t="str">
        <f>VLOOKUP(Table323[[#This Row],[Census Tract]],'ES Energy Burden'!$B$2:$E$914,4,FALSE)</f>
        <v>No</v>
      </c>
    </row>
    <row r="439" spans="1:17" x14ac:dyDescent="0.2">
      <c r="A439" s="30" t="s">
        <v>985</v>
      </c>
      <c r="B439" s="169">
        <v>9003415900</v>
      </c>
      <c r="C439" s="232" t="s">
        <v>936</v>
      </c>
      <c r="D439" s="182">
        <v>8739.4213199999995</v>
      </c>
      <c r="E439" s="182">
        <v>583.76</v>
      </c>
      <c r="F439" s="13">
        <f>[1]!Table323[[#This Row],[Single Family]]+[1]!Table323[[#This Row],[2-4 Units]]+[1]!Table323[[#This Row],[&gt;4 Units]]</f>
        <v>0</v>
      </c>
      <c r="G439" s="30">
        <v>0</v>
      </c>
      <c r="H439" s="30">
        <v>0</v>
      </c>
      <c r="I439" s="30">
        <v>0</v>
      </c>
      <c r="J439" s="231">
        <v>0</v>
      </c>
      <c r="K439">
        <f t="shared" si="6"/>
        <v>2</v>
      </c>
      <c r="L439" s="30">
        <v>1</v>
      </c>
      <c r="M439" s="30">
        <v>1</v>
      </c>
      <c r="N439" s="30">
        <v>0</v>
      </c>
      <c r="O439" s="231">
        <v>208.76</v>
      </c>
      <c r="P439" s="97">
        <f>VLOOKUP(Table323[[#This Row],[Census Tract]],'Population and Diversity Data'!$B$2:$K$823,10,FALSE)</f>
        <v>3</v>
      </c>
      <c r="Q439" s="97" t="e">
        <f>VLOOKUP(Table323[[#This Row],[Census Tract]],'ES Energy Burden'!$B$2:$E$914,4,FALSE)</f>
        <v>#N/A</v>
      </c>
    </row>
    <row r="440" spans="1:17" x14ac:dyDescent="0.2">
      <c r="A440" s="30" t="s">
        <v>985</v>
      </c>
      <c r="B440" s="169">
        <v>9003416000</v>
      </c>
      <c r="C440" s="232" t="s">
        <v>944</v>
      </c>
      <c r="D440" s="182">
        <v>312093.02197499998</v>
      </c>
      <c r="E440" s="182">
        <v>509170.76</v>
      </c>
      <c r="F440" s="13">
        <f>[1]!Table323[[#This Row],[Single Family]]+[1]!Table323[[#This Row],[2-4 Units]]+[1]!Table323[[#This Row],[&gt;4 Units]]</f>
        <v>0</v>
      </c>
      <c r="G440" s="30">
        <v>0</v>
      </c>
      <c r="H440" s="30">
        <v>0</v>
      </c>
      <c r="I440" s="30">
        <v>0</v>
      </c>
      <c r="J440" s="231">
        <v>0</v>
      </c>
      <c r="K440">
        <f t="shared" si="6"/>
        <v>9</v>
      </c>
      <c r="L440" s="30">
        <v>3</v>
      </c>
      <c r="M440" s="30">
        <v>6</v>
      </c>
      <c r="N440" s="30">
        <v>0</v>
      </c>
      <c r="O440" s="231">
        <v>965.52</v>
      </c>
      <c r="P440" s="97">
        <f>VLOOKUP(Table323[[#This Row],[Census Tract]],'Population and Diversity Data'!$B$2:$K$823,10,FALSE)</f>
        <v>3</v>
      </c>
      <c r="Q440" s="97" t="str">
        <f>VLOOKUP(Table323[[#This Row],[Census Tract]],'ES Energy Burden'!$B$2:$E$914,4,FALSE)</f>
        <v>Yes</v>
      </c>
    </row>
    <row r="441" spans="1:17" x14ac:dyDescent="0.2">
      <c r="A441" s="30" t="s">
        <v>985</v>
      </c>
      <c r="B441" s="169">
        <v>9003416100</v>
      </c>
      <c r="C441" s="232" t="s">
        <v>944</v>
      </c>
      <c r="D441" s="182">
        <v>25248.313020000001</v>
      </c>
      <c r="E441" s="182">
        <v>3994.08</v>
      </c>
      <c r="F441" s="13">
        <f>[1]!Table323[[#This Row],[Single Family]]+[1]!Table323[[#This Row],[2-4 Units]]+[1]!Table323[[#This Row],[&gt;4 Units]]</f>
        <v>0</v>
      </c>
      <c r="G441" s="30">
        <v>0</v>
      </c>
      <c r="H441" s="30">
        <v>0</v>
      </c>
      <c r="I441" s="30">
        <v>0</v>
      </c>
      <c r="J441" s="231">
        <v>0</v>
      </c>
      <c r="K441">
        <f t="shared" si="6"/>
        <v>13</v>
      </c>
      <c r="L441" s="30">
        <v>1</v>
      </c>
      <c r="M441" s="30">
        <v>2</v>
      </c>
      <c r="N441" s="30">
        <v>10</v>
      </c>
      <c r="O441" s="231">
        <v>2398.08</v>
      </c>
      <c r="P441" s="97">
        <f>VLOOKUP(Table323[[#This Row],[Census Tract]],'Population and Diversity Data'!$B$2:$K$823,10,FALSE)</f>
        <v>5</v>
      </c>
      <c r="Q441" s="97" t="str">
        <f>VLOOKUP(Table323[[#This Row],[Census Tract]],'ES Energy Burden'!$B$2:$E$914,4,FALSE)</f>
        <v>Yes</v>
      </c>
    </row>
    <row r="442" spans="1:17" x14ac:dyDescent="0.2">
      <c r="A442" s="30" t="s">
        <v>985</v>
      </c>
      <c r="B442" s="169">
        <v>9003416200</v>
      </c>
      <c r="C442" s="232" t="s">
        <v>936</v>
      </c>
      <c r="D442" s="182">
        <v>14203.77903</v>
      </c>
      <c r="E442" s="182">
        <v>58443.83</v>
      </c>
      <c r="F442" s="13">
        <f>[1]!Table323[[#This Row],[Single Family]]+[1]!Table323[[#This Row],[2-4 Units]]+[1]!Table323[[#This Row],[&gt;4 Units]]</f>
        <v>0</v>
      </c>
      <c r="G442" s="30">
        <v>0</v>
      </c>
      <c r="H442" s="30">
        <v>0</v>
      </c>
      <c r="I442" s="30">
        <v>0</v>
      </c>
      <c r="J442" s="231">
        <v>0</v>
      </c>
      <c r="K442">
        <f t="shared" si="6"/>
        <v>10</v>
      </c>
      <c r="L442" s="30">
        <v>0</v>
      </c>
      <c r="M442" s="30">
        <v>0</v>
      </c>
      <c r="N442" s="30">
        <v>10</v>
      </c>
      <c r="O442" s="231">
        <v>57862.48</v>
      </c>
      <c r="P442" s="97">
        <f>VLOOKUP(Table323[[#This Row],[Census Tract]],'Population and Diversity Data'!$B$2:$K$823,10,FALSE)</f>
        <v>4</v>
      </c>
      <c r="Q442" s="97" t="str">
        <f>VLOOKUP(Table323[[#This Row],[Census Tract]],'ES Energy Burden'!$B$2:$E$914,4,FALSE)</f>
        <v>Yes</v>
      </c>
    </row>
    <row r="443" spans="1:17" x14ac:dyDescent="0.2">
      <c r="A443" s="30" t="s">
        <v>985</v>
      </c>
      <c r="B443" s="169">
        <v>9003416300</v>
      </c>
      <c r="C443" s="232" t="s">
        <v>944</v>
      </c>
      <c r="D443" s="182">
        <v>27912.763200000001</v>
      </c>
      <c r="E443" s="182">
        <v>46194.68</v>
      </c>
      <c r="F443" s="13">
        <f>[1]!Table323[[#This Row],[Single Family]]+[1]!Table323[[#This Row],[2-4 Units]]+[1]!Table323[[#This Row],[&gt;4 Units]]</f>
        <v>0</v>
      </c>
      <c r="G443" s="30">
        <v>0</v>
      </c>
      <c r="H443" s="30">
        <v>0</v>
      </c>
      <c r="I443" s="30">
        <v>0</v>
      </c>
      <c r="J443" s="231">
        <v>5539.16</v>
      </c>
      <c r="K443">
        <f t="shared" si="6"/>
        <v>77</v>
      </c>
      <c r="L443" s="30">
        <v>2</v>
      </c>
      <c r="M443" s="30">
        <v>3</v>
      </c>
      <c r="N443" s="30">
        <v>72</v>
      </c>
      <c r="O443" s="231">
        <v>4652.8599999999997</v>
      </c>
      <c r="P443" s="97">
        <f>VLOOKUP(Table323[[#This Row],[Census Tract]],'Population and Diversity Data'!$B$2:$K$823,10,FALSE)</f>
        <v>4</v>
      </c>
      <c r="Q443" s="97" t="str">
        <f>VLOOKUP(Table323[[#This Row],[Census Tract]],'ES Energy Burden'!$B$2:$E$914,4,FALSE)</f>
        <v>Yes</v>
      </c>
    </row>
    <row r="444" spans="1:17" x14ac:dyDescent="0.2">
      <c r="A444" s="30" t="s">
        <v>985</v>
      </c>
      <c r="B444" s="169">
        <v>9003416400</v>
      </c>
      <c r="C444" s="232" t="s">
        <v>944</v>
      </c>
      <c r="D444" s="182">
        <v>32528.084190000001</v>
      </c>
      <c r="E444" s="182">
        <v>23132.205000000002</v>
      </c>
      <c r="F444" s="13">
        <f>[1]!Table323[[#This Row],[Single Family]]+[1]!Table323[[#This Row],[2-4 Units]]+[1]!Table323[[#This Row],[&gt;4 Units]]</f>
        <v>206</v>
      </c>
      <c r="G444" s="30">
        <v>198</v>
      </c>
      <c r="H444" s="30">
        <v>8</v>
      </c>
      <c r="I444" s="30">
        <v>0</v>
      </c>
      <c r="J444" s="231">
        <v>133853.82999999999</v>
      </c>
      <c r="K444">
        <f t="shared" si="6"/>
        <v>101</v>
      </c>
      <c r="L444" s="30">
        <v>69</v>
      </c>
      <c r="M444" s="30">
        <v>32</v>
      </c>
      <c r="N444" s="30">
        <v>0</v>
      </c>
      <c r="O444" s="231">
        <v>355338.23</v>
      </c>
      <c r="P444" s="97">
        <f>VLOOKUP(Table323[[#This Row],[Census Tract]],'Population and Diversity Data'!$B$2:$K$823,10,FALSE)</f>
        <v>3</v>
      </c>
      <c r="Q444" s="97" t="str">
        <f>VLOOKUP(Table323[[#This Row],[Census Tract]],'ES Energy Burden'!$B$2:$E$914,4,FALSE)</f>
        <v>No</v>
      </c>
    </row>
    <row r="445" spans="1:17" x14ac:dyDescent="0.2">
      <c r="A445" s="30" t="s">
        <v>985</v>
      </c>
      <c r="B445" s="169">
        <v>9003416500</v>
      </c>
      <c r="C445" s="232" t="s">
        <v>944</v>
      </c>
      <c r="D445" s="182">
        <v>35883.861929999999</v>
      </c>
      <c r="E445" s="182">
        <v>26308.99</v>
      </c>
      <c r="F445" s="13">
        <f>[1]!Table323[[#This Row],[Single Family]]+[1]!Table323[[#This Row],[2-4 Units]]+[1]!Table323[[#This Row],[&gt;4 Units]]</f>
        <v>0</v>
      </c>
      <c r="G445" s="30">
        <v>0</v>
      </c>
      <c r="H445" s="30">
        <v>0</v>
      </c>
      <c r="I445" s="30">
        <v>0</v>
      </c>
      <c r="J445" s="231">
        <v>4107.53</v>
      </c>
      <c r="K445">
        <f t="shared" si="6"/>
        <v>8</v>
      </c>
      <c r="L445" s="30">
        <v>8</v>
      </c>
      <c r="M445" s="30">
        <v>0</v>
      </c>
      <c r="N445" s="30">
        <v>0</v>
      </c>
      <c r="O445" s="231">
        <v>16590.18</v>
      </c>
      <c r="P445" s="97">
        <f>VLOOKUP(Table323[[#This Row],[Census Tract]],'Population and Diversity Data'!$B$2:$K$823,10,FALSE)</f>
        <v>3</v>
      </c>
      <c r="Q445" s="97" t="str">
        <f>VLOOKUP(Table323[[#This Row],[Census Tract]],'ES Energy Burden'!$B$2:$E$914,4,FALSE)</f>
        <v>No</v>
      </c>
    </row>
    <row r="446" spans="1:17" x14ac:dyDescent="0.2">
      <c r="A446" s="30" t="s">
        <v>985</v>
      </c>
      <c r="B446" s="169">
        <v>9003416600</v>
      </c>
      <c r="C446" s="232" t="s">
        <v>944</v>
      </c>
      <c r="D446" s="182">
        <v>12673.578036000001</v>
      </c>
      <c r="E446" s="182">
        <v>2013.92</v>
      </c>
      <c r="F446" s="13">
        <f>[1]!Table323[[#This Row],[Single Family]]+[1]!Table323[[#This Row],[2-4 Units]]+[1]!Table323[[#This Row],[&gt;4 Units]]</f>
        <v>0</v>
      </c>
      <c r="G446" s="30">
        <v>0</v>
      </c>
      <c r="H446" s="30">
        <v>0</v>
      </c>
      <c r="I446" s="30">
        <v>0</v>
      </c>
      <c r="J446" s="231">
        <v>0</v>
      </c>
      <c r="K446">
        <f t="shared" si="6"/>
        <v>5</v>
      </c>
      <c r="L446" s="30">
        <v>1</v>
      </c>
      <c r="M446" s="30">
        <v>4</v>
      </c>
      <c r="N446" s="30">
        <v>0</v>
      </c>
      <c r="O446" s="231">
        <v>466.65</v>
      </c>
      <c r="P446" s="97">
        <f>VLOOKUP(Table323[[#This Row],[Census Tract]],'Population and Diversity Data'!$B$2:$K$823,10,FALSE)</f>
        <v>4</v>
      </c>
      <c r="Q446" s="97" t="str">
        <f>VLOOKUP(Table323[[#This Row],[Census Tract]],'ES Energy Burden'!$B$2:$E$914,4,FALSE)</f>
        <v>Yes</v>
      </c>
    </row>
    <row r="447" spans="1:17" x14ac:dyDescent="0.2">
      <c r="A447" s="30" t="s">
        <v>985</v>
      </c>
      <c r="B447" s="169">
        <v>9003416700</v>
      </c>
      <c r="C447" s="232" t="s">
        <v>944</v>
      </c>
      <c r="D447" s="182">
        <v>47838.015330000002</v>
      </c>
      <c r="E447" s="182">
        <v>66527.149999999994</v>
      </c>
      <c r="F447" s="13">
        <f>[1]!Table323[[#This Row],[Single Family]]+[1]!Table323[[#This Row],[2-4 Units]]+[1]!Table323[[#This Row],[&gt;4 Units]]</f>
        <v>0</v>
      </c>
      <c r="G447" s="30">
        <v>0</v>
      </c>
      <c r="H447" s="30">
        <v>0</v>
      </c>
      <c r="I447" s="30">
        <v>0</v>
      </c>
      <c r="J447" s="231">
        <v>11444.51</v>
      </c>
      <c r="K447">
        <f t="shared" si="6"/>
        <v>33</v>
      </c>
      <c r="L447" s="30">
        <v>15</v>
      </c>
      <c r="M447" s="30">
        <v>0</v>
      </c>
      <c r="N447" s="30">
        <v>18</v>
      </c>
      <c r="O447" s="231">
        <v>49633.14</v>
      </c>
      <c r="P447" s="97">
        <f>VLOOKUP(Table323[[#This Row],[Census Tract]],'Population and Diversity Data'!$B$2:$K$823,10,FALSE)</f>
        <v>5</v>
      </c>
      <c r="Q447" s="97" t="str">
        <f>VLOOKUP(Table323[[#This Row],[Census Tract]],'ES Energy Burden'!$B$2:$E$914,4,FALSE)</f>
        <v>No</v>
      </c>
    </row>
    <row r="448" spans="1:17" x14ac:dyDescent="0.2">
      <c r="A448" s="30" t="s">
        <v>985</v>
      </c>
      <c r="B448" s="169">
        <v>9003416800</v>
      </c>
      <c r="C448" s="232" t="s">
        <v>944</v>
      </c>
      <c r="D448" s="182">
        <v>21761.188259999999</v>
      </c>
      <c r="E448" s="182">
        <v>5165.95</v>
      </c>
      <c r="F448" s="13">
        <f>[1]!Table323[[#This Row],[Single Family]]+[1]!Table323[[#This Row],[2-4 Units]]+[1]!Table323[[#This Row],[&gt;4 Units]]</f>
        <v>0</v>
      </c>
      <c r="G448" s="30">
        <v>0</v>
      </c>
      <c r="H448" s="30">
        <v>0</v>
      </c>
      <c r="I448" s="30">
        <v>0</v>
      </c>
      <c r="J448" s="231">
        <v>36.520000000000003</v>
      </c>
      <c r="K448">
        <f t="shared" si="6"/>
        <v>193</v>
      </c>
      <c r="L448" s="30">
        <v>1</v>
      </c>
      <c r="M448" s="30">
        <v>0</v>
      </c>
      <c r="N448" s="30">
        <v>192</v>
      </c>
      <c r="O448" s="231">
        <v>286.29000000000002</v>
      </c>
      <c r="P448" s="97">
        <f>VLOOKUP(Table323[[#This Row],[Census Tract]],'Population and Diversity Data'!$B$2:$K$823,10,FALSE)</f>
        <v>5</v>
      </c>
      <c r="Q448" s="97" t="str">
        <f>VLOOKUP(Table323[[#This Row],[Census Tract]],'ES Energy Burden'!$B$2:$E$914,4,FALSE)</f>
        <v>No</v>
      </c>
    </row>
    <row r="449" spans="1:17" x14ac:dyDescent="0.2">
      <c r="A449" s="30" t="s">
        <v>985</v>
      </c>
      <c r="B449" s="169">
        <v>9003417100</v>
      </c>
      <c r="C449" s="232" t="s">
        <v>936</v>
      </c>
      <c r="D449" s="182">
        <v>10309.16649</v>
      </c>
      <c r="E449" s="182">
        <v>168.27</v>
      </c>
      <c r="F449" s="13">
        <f>[1]!Table323[[#This Row],[Single Family]]+[1]!Table323[[#This Row],[2-4 Units]]+[1]!Table323[[#This Row],[&gt;4 Units]]</f>
        <v>0</v>
      </c>
      <c r="G449" s="30">
        <v>0</v>
      </c>
      <c r="H449" s="30">
        <v>0</v>
      </c>
      <c r="I449" s="30">
        <v>0</v>
      </c>
      <c r="J449" s="231">
        <v>0</v>
      </c>
      <c r="K449">
        <f t="shared" si="6"/>
        <v>3</v>
      </c>
      <c r="L449" s="30">
        <v>0</v>
      </c>
      <c r="M449" s="30">
        <v>3</v>
      </c>
      <c r="N449" s="30">
        <v>0</v>
      </c>
      <c r="O449" s="231">
        <v>391.99</v>
      </c>
      <c r="P449" s="97">
        <f>VLOOKUP(Table323[[#This Row],[Census Tract]],'Population and Diversity Data'!$B$2:$K$823,10,FALSE)</f>
        <v>4</v>
      </c>
      <c r="Q449" s="97" t="e">
        <f>VLOOKUP(Table323[[#This Row],[Census Tract]],'ES Energy Burden'!$B$2:$E$914,4,FALSE)</f>
        <v>#N/A</v>
      </c>
    </row>
    <row r="450" spans="1:17" x14ac:dyDescent="0.2">
      <c r="A450" s="30" t="s">
        <v>985</v>
      </c>
      <c r="B450" s="169">
        <v>9003417200</v>
      </c>
      <c r="C450" s="232" t="s">
        <v>944</v>
      </c>
      <c r="D450" s="182">
        <v>13168.471428000001</v>
      </c>
      <c r="E450" s="182">
        <v>7213.15</v>
      </c>
      <c r="F450" s="13">
        <f>[1]!Table323[[#This Row],[Single Family]]+[1]!Table323[[#This Row],[2-4 Units]]+[1]!Table323[[#This Row],[&gt;4 Units]]</f>
        <v>0</v>
      </c>
      <c r="G450" s="30">
        <v>0</v>
      </c>
      <c r="H450" s="30">
        <v>0</v>
      </c>
      <c r="I450" s="30">
        <v>0</v>
      </c>
      <c r="J450" s="231">
        <v>3515.18</v>
      </c>
      <c r="K450">
        <f t="shared" si="6"/>
        <v>0</v>
      </c>
      <c r="L450" s="30">
        <v>0</v>
      </c>
      <c r="M450" s="30">
        <v>0</v>
      </c>
      <c r="N450" s="30">
        <v>0</v>
      </c>
      <c r="O450" s="231">
        <v>0</v>
      </c>
      <c r="P450" s="97">
        <f>VLOOKUP(Table323[[#This Row],[Census Tract]],'Population and Diversity Data'!$B$2:$K$823,10,FALSE)</f>
        <v>5</v>
      </c>
      <c r="Q450" s="97" t="e">
        <f>VLOOKUP(Table323[[#This Row],[Census Tract]],'ES Energy Burden'!$B$2:$E$914,4,FALSE)</f>
        <v>#N/A</v>
      </c>
    </row>
    <row r="451" spans="1:17" x14ac:dyDescent="0.2">
      <c r="A451" s="30" t="s">
        <v>985</v>
      </c>
      <c r="B451" s="169">
        <v>9003417300</v>
      </c>
      <c r="C451" s="232" t="s">
        <v>936</v>
      </c>
      <c r="D451" s="182">
        <v>179.28960000000001</v>
      </c>
      <c r="E451" s="182">
        <v>0</v>
      </c>
      <c r="F451" s="13">
        <f>[1]!Table323[[#This Row],[Single Family]]+[1]!Table323[[#This Row],[2-4 Units]]+[1]!Table323[[#This Row],[&gt;4 Units]]</f>
        <v>0</v>
      </c>
      <c r="G451" s="30">
        <v>0</v>
      </c>
      <c r="H451" s="30">
        <v>0</v>
      </c>
      <c r="I451" s="30">
        <v>0</v>
      </c>
      <c r="J451" s="231">
        <v>0</v>
      </c>
      <c r="K451">
        <f t="shared" si="6"/>
        <v>0</v>
      </c>
      <c r="L451" s="30">
        <v>0</v>
      </c>
      <c r="M451" s="30">
        <v>0</v>
      </c>
      <c r="N451" s="30">
        <v>0</v>
      </c>
      <c r="O451" s="231">
        <v>0</v>
      </c>
      <c r="P451" s="97" t="e">
        <f>VLOOKUP(Table323[[#This Row],[Census Tract]],'Population and Diversity Data'!$B$2:$K$823,10,FALSE)</f>
        <v>#N/A</v>
      </c>
      <c r="Q451" s="97" t="e">
        <f>VLOOKUP(Table323[[#This Row],[Census Tract]],'ES Energy Burden'!$B$2:$E$914,4,FALSE)</f>
        <v>#N/A</v>
      </c>
    </row>
    <row r="452" spans="1:17" x14ac:dyDescent="0.2">
      <c r="A452" s="30" t="s">
        <v>985</v>
      </c>
      <c r="B452" s="169">
        <v>9003417400</v>
      </c>
      <c r="C452" s="232" t="s">
        <v>944</v>
      </c>
      <c r="D452" s="182">
        <v>24457.49712</v>
      </c>
      <c r="E452" s="182">
        <v>29821.86</v>
      </c>
      <c r="F452" s="13">
        <f>[1]!Table323[[#This Row],[Single Family]]+[1]!Table323[[#This Row],[2-4 Units]]+[1]!Table323[[#This Row],[&gt;4 Units]]</f>
        <v>0</v>
      </c>
      <c r="G452" s="30">
        <v>0</v>
      </c>
      <c r="H452" s="30">
        <v>0</v>
      </c>
      <c r="I452" s="30">
        <v>0</v>
      </c>
      <c r="J452" s="231">
        <v>14315.5</v>
      </c>
      <c r="K452">
        <f t="shared" si="6"/>
        <v>488</v>
      </c>
      <c r="L452" s="30">
        <v>2</v>
      </c>
      <c r="M452" s="30">
        <v>0</v>
      </c>
      <c r="N452" s="30">
        <v>486</v>
      </c>
      <c r="O452" s="231">
        <v>6271.25</v>
      </c>
      <c r="P452" s="97">
        <f>VLOOKUP(Table323[[#This Row],[Census Tract]],'Population and Diversity Data'!$B$2:$K$823,10,FALSE)</f>
        <v>4</v>
      </c>
      <c r="Q452" s="97" t="str">
        <f>VLOOKUP(Table323[[#This Row],[Census Tract]],'ES Energy Burden'!$B$2:$E$914,4,FALSE)</f>
        <v>No</v>
      </c>
    </row>
    <row r="453" spans="1:17" x14ac:dyDescent="0.2">
      <c r="A453" s="30" t="s">
        <v>985</v>
      </c>
      <c r="B453" s="169">
        <v>9003417500</v>
      </c>
      <c r="C453" s="232" t="s">
        <v>944</v>
      </c>
      <c r="D453" s="182">
        <v>35198.103360000001</v>
      </c>
      <c r="E453" s="182">
        <v>24683.34</v>
      </c>
      <c r="F453" s="13">
        <f>[1]!Table323[[#This Row],[Single Family]]+[1]!Table323[[#This Row],[2-4 Units]]+[1]!Table323[[#This Row],[&gt;4 Units]]</f>
        <v>0</v>
      </c>
      <c r="G453" s="30">
        <v>0</v>
      </c>
      <c r="H453" s="30">
        <v>0</v>
      </c>
      <c r="I453" s="30">
        <v>0</v>
      </c>
      <c r="J453" s="231">
        <v>6110.06</v>
      </c>
      <c r="K453">
        <f t="shared" si="6"/>
        <v>7</v>
      </c>
      <c r="L453" s="30">
        <v>4</v>
      </c>
      <c r="M453" s="30">
        <v>3</v>
      </c>
      <c r="N453" s="30">
        <v>0</v>
      </c>
      <c r="O453" s="231">
        <v>2456.29</v>
      </c>
      <c r="P453" s="97">
        <f>VLOOKUP(Table323[[#This Row],[Census Tract]],'Population and Diversity Data'!$B$2:$K$823,10,FALSE)</f>
        <v>4</v>
      </c>
      <c r="Q453" s="97" t="str">
        <f>VLOOKUP(Table323[[#This Row],[Census Tract]],'ES Energy Burden'!$B$2:$E$914,4,FALSE)</f>
        <v>No</v>
      </c>
    </row>
    <row r="454" spans="1:17" x14ac:dyDescent="0.2">
      <c r="A454" s="30" t="s">
        <v>985</v>
      </c>
      <c r="B454" s="169">
        <v>9003460100</v>
      </c>
      <c r="C454" s="232" t="s">
        <v>944</v>
      </c>
      <c r="D454" s="182">
        <v>21.677040000000002</v>
      </c>
      <c r="E454" s="182">
        <v>0</v>
      </c>
      <c r="F454" s="13">
        <f>[1]!Table323[[#This Row],[Single Family]]+[1]!Table323[[#This Row],[2-4 Units]]+[1]!Table323[[#This Row],[&gt;4 Units]]</f>
        <v>0</v>
      </c>
      <c r="G454" s="30">
        <v>0</v>
      </c>
      <c r="H454" s="30">
        <v>0</v>
      </c>
      <c r="I454" s="30">
        <v>0</v>
      </c>
      <c r="J454" s="231">
        <v>0</v>
      </c>
      <c r="K454">
        <f t="shared" ref="K454:K517" si="7">L454+M454+N454</f>
        <v>0</v>
      </c>
      <c r="L454" s="30">
        <v>0</v>
      </c>
      <c r="M454" s="30">
        <v>0</v>
      </c>
      <c r="N454" s="30">
        <v>0</v>
      </c>
      <c r="O454" s="231">
        <v>0</v>
      </c>
      <c r="P454" s="97">
        <f>VLOOKUP(Table323[[#This Row],[Census Tract]],'Population and Diversity Data'!$B$2:$K$823,10,FALSE)</f>
        <v>3</v>
      </c>
      <c r="Q454" s="97" t="str">
        <f>VLOOKUP(Table323[[#This Row],[Census Tract]],'ES Energy Burden'!$B$2:$E$914,4,FALSE)</f>
        <v>No</v>
      </c>
    </row>
    <row r="455" spans="1:17" x14ac:dyDescent="0.2">
      <c r="A455" s="30" t="s">
        <v>985</v>
      </c>
      <c r="B455" s="169">
        <v>9003460202</v>
      </c>
      <c r="C455" s="232" t="s">
        <v>944</v>
      </c>
      <c r="D455" s="182">
        <v>291.60158999999999</v>
      </c>
      <c r="E455" s="182">
        <v>2078.8000000000002</v>
      </c>
      <c r="F455" s="13">
        <f>[1]!Table323[[#This Row],[Single Family]]+[1]!Table323[[#This Row],[2-4 Units]]+[1]!Table323[[#This Row],[&gt;4 Units]]</f>
        <v>0</v>
      </c>
      <c r="G455" s="30">
        <v>0</v>
      </c>
      <c r="H455" s="30">
        <v>0</v>
      </c>
      <c r="I455" s="30">
        <v>0</v>
      </c>
      <c r="J455" s="231">
        <v>1700</v>
      </c>
      <c r="K455">
        <f t="shared" si="7"/>
        <v>0</v>
      </c>
      <c r="L455" s="30">
        <v>0</v>
      </c>
      <c r="M455" s="30">
        <v>0</v>
      </c>
      <c r="N455" s="30">
        <v>0</v>
      </c>
      <c r="O455" s="231">
        <v>0</v>
      </c>
      <c r="P455" s="97">
        <f>VLOOKUP(Table323[[#This Row],[Census Tract]],'Population and Diversity Data'!$B$2:$K$823,10,FALSE)</f>
        <v>4</v>
      </c>
      <c r="Q455" s="97" t="str">
        <f>VLOOKUP(Table323[[#This Row],[Census Tract]],'ES Energy Burden'!$B$2:$E$914,4,FALSE)</f>
        <v>No</v>
      </c>
    </row>
    <row r="456" spans="1:17" x14ac:dyDescent="0.2">
      <c r="A456" s="30" t="s">
        <v>985</v>
      </c>
      <c r="B456" s="169">
        <v>9003494300</v>
      </c>
      <c r="C456" s="232" t="s">
        <v>944</v>
      </c>
      <c r="D456" s="182">
        <v>78.241169999999997</v>
      </c>
      <c r="E456" s="182">
        <v>0</v>
      </c>
      <c r="F456" s="13">
        <f>[1]!Table323[[#This Row],[Single Family]]+[1]!Table323[[#This Row],[2-4 Units]]+[1]!Table323[[#This Row],[&gt;4 Units]]</f>
        <v>0</v>
      </c>
      <c r="G456" s="30">
        <v>0</v>
      </c>
      <c r="H456" s="30">
        <v>0</v>
      </c>
      <c r="I456" s="30">
        <v>0</v>
      </c>
      <c r="J456" s="231">
        <v>0</v>
      </c>
      <c r="K456">
        <f t="shared" si="7"/>
        <v>0</v>
      </c>
      <c r="L456" s="30">
        <v>0</v>
      </c>
      <c r="M456" s="30">
        <v>0</v>
      </c>
      <c r="N456" s="30">
        <v>0</v>
      </c>
      <c r="O456" s="231">
        <v>0</v>
      </c>
      <c r="P456" s="97">
        <f>VLOOKUP(Table323[[#This Row],[Census Tract]],'Population and Diversity Data'!$B$2:$K$823,10,FALSE)</f>
        <v>3</v>
      </c>
      <c r="Q456" s="97" t="str">
        <f>VLOOKUP(Table323[[#This Row],[Census Tract]],'ES Energy Burden'!$B$2:$E$914,4,FALSE)</f>
        <v>No</v>
      </c>
    </row>
    <row r="457" spans="1:17" x14ac:dyDescent="0.2">
      <c r="A457" s="30" t="s">
        <v>2807</v>
      </c>
      <c r="B457" s="169">
        <v>9001035100</v>
      </c>
      <c r="C457" s="232" t="s">
        <v>944</v>
      </c>
      <c r="D457" s="182">
        <v>339217.59486299998</v>
      </c>
      <c r="E457" s="182">
        <v>336740.42</v>
      </c>
      <c r="F457" s="13">
        <f>[1]!Table323[[#This Row],[Single Family]]+[1]!Table323[[#This Row],[2-4 Units]]+[1]!Table323[[#This Row],[&gt;4 Units]]</f>
        <v>0</v>
      </c>
      <c r="G457" s="30">
        <v>0</v>
      </c>
      <c r="H457" s="30">
        <v>0</v>
      </c>
      <c r="I457" s="30">
        <v>0</v>
      </c>
      <c r="J457" s="231">
        <v>2264.02</v>
      </c>
      <c r="K457">
        <f t="shared" si="7"/>
        <v>1</v>
      </c>
      <c r="L457" s="30">
        <v>1</v>
      </c>
      <c r="M457" s="30">
        <v>0</v>
      </c>
      <c r="N457" s="30">
        <v>0</v>
      </c>
      <c r="O457" s="231">
        <v>13215.58</v>
      </c>
      <c r="P457" s="97">
        <f>VLOOKUP(Table323[[#This Row],[Census Tract]],'Population and Diversity Data'!$B$2:$K$823,10,FALSE)</f>
        <v>2</v>
      </c>
      <c r="Q457" s="97" t="str">
        <f>VLOOKUP(Table323[[#This Row],[Census Tract]],'ES Energy Burden'!$B$2:$E$914,4,FALSE)</f>
        <v>No</v>
      </c>
    </row>
    <row r="458" spans="1:17" x14ac:dyDescent="0.2">
      <c r="A458" s="30" t="s">
        <v>2807</v>
      </c>
      <c r="B458" s="169">
        <v>9001035200</v>
      </c>
      <c r="C458" s="232" t="s">
        <v>944</v>
      </c>
      <c r="D458" s="182">
        <v>95394.583179000008</v>
      </c>
      <c r="E458" s="182">
        <v>28433.9</v>
      </c>
      <c r="F458" s="13">
        <f>[1]!Table323[[#This Row],[Single Family]]+[1]!Table323[[#This Row],[2-4 Units]]+[1]!Table323[[#This Row],[&gt;4 Units]]</f>
        <v>0</v>
      </c>
      <c r="G458" s="30">
        <v>0</v>
      </c>
      <c r="H458" s="30">
        <v>0</v>
      </c>
      <c r="I458" s="30">
        <v>0</v>
      </c>
      <c r="J458" s="231">
        <v>11060.21</v>
      </c>
      <c r="K458">
        <f t="shared" si="7"/>
        <v>0</v>
      </c>
      <c r="L458" s="30">
        <v>0</v>
      </c>
      <c r="M458" s="30">
        <v>0</v>
      </c>
      <c r="N458" s="30">
        <v>0</v>
      </c>
      <c r="O458" s="231">
        <v>0</v>
      </c>
      <c r="P458" s="97">
        <f>VLOOKUP(Table323[[#This Row],[Census Tract]],'Population and Diversity Data'!$B$2:$K$823,10,FALSE)</f>
        <v>2</v>
      </c>
      <c r="Q458" s="97" t="str">
        <f>VLOOKUP(Table323[[#This Row],[Census Tract]],'ES Energy Burden'!$B$2:$E$914,4,FALSE)</f>
        <v>No</v>
      </c>
    </row>
    <row r="459" spans="1:17" x14ac:dyDescent="0.2">
      <c r="A459" s="30" t="s">
        <v>2807</v>
      </c>
      <c r="B459" s="169">
        <v>9001035300</v>
      </c>
      <c r="C459" s="232" t="s">
        <v>944</v>
      </c>
      <c r="D459" s="182">
        <v>81540.621245999995</v>
      </c>
      <c r="E459" s="182">
        <v>27771.915000000001</v>
      </c>
      <c r="F459" s="13">
        <f>[1]!Table323[[#This Row],[Single Family]]+[1]!Table323[[#This Row],[2-4 Units]]+[1]!Table323[[#This Row],[&gt;4 Units]]</f>
        <v>143</v>
      </c>
      <c r="G459" s="30">
        <v>130</v>
      </c>
      <c r="H459" s="30">
        <v>13</v>
      </c>
      <c r="I459" s="30">
        <v>0</v>
      </c>
      <c r="J459" s="231">
        <v>276681.96000000002</v>
      </c>
      <c r="K459">
        <f t="shared" si="7"/>
        <v>3</v>
      </c>
      <c r="L459" s="30">
        <v>3</v>
      </c>
      <c r="M459" s="30">
        <v>0</v>
      </c>
      <c r="N459" s="30">
        <v>0</v>
      </c>
      <c r="O459" s="231">
        <v>35818.51</v>
      </c>
      <c r="P459" s="97">
        <f>VLOOKUP(Table323[[#This Row],[Census Tract]],'Population and Diversity Data'!$B$2:$K$823,10,FALSE)</f>
        <v>3</v>
      </c>
      <c r="Q459" s="97" t="str">
        <f>VLOOKUP(Table323[[#This Row],[Census Tract]],'ES Energy Burden'!$B$2:$E$914,4,FALSE)</f>
        <v>No</v>
      </c>
    </row>
    <row r="460" spans="1:17" x14ac:dyDescent="0.2">
      <c r="A460" s="30" t="s">
        <v>2807</v>
      </c>
      <c r="B460" s="169">
        <v>9001035400</v>
      </c>
      <c r="C460" s="232" t="s">
        <v>944</v>
      </c>
      <c r="D460" s="182">
        <v>115731.17598</v>
      </c>
      <c r="E460" s="182">
        <v>69867.61</v>
      </c>
      <c r="F460" s="13">
        <f>[1]!Table323[[#This Row],[Single Family]]+[1]!Table323[[#This Row],[2-4 Units]]+[1]!Table323[[#This Row],[&gt;4 Units]]</f>
        <v>0</v>
      </c>
      <c r="G460" s="30">
        <v>0</v>
      </c>
      <c r="H460" s="30">
        <v>0</v>
      </c>
      <c r="I460" s="30">
        <v>0</v>
      </c>
      <c r="J460" s="231">
        <v>9319.02</v>
      </c>
      <c r="K460">
        <f t="shared" si="7"/>
        <v>0</v>
      </c>
      <c r="L460" s="30">
        <v>0</v>
      </c>
      <c r="M460" s="30">
        <v>0</v>
      </c>
      <c r="N460" s="30">
        <v>0</v>
      </c>
      <c r="O460" s="231">
        <v>0</v>
      </c>
      <c r="P460" s="97">
        <f>VLOOKUP(Table323[[#This Row],[Census Tract]],'Population and Diversity Data'!$B$2:$K$823,10,FALSE)</f>
        <v>2</v>
      </c>
      <c r="Q460" s="97" t="str">
        <f>VLOOKUP(Table323[[#This Row],[Census Tract]],'ES Energy Burden'!$B$2:$E$914,4,FALSE)</f>
        <v>No</v>
      </c>
    </row>
    <row r="461" spans="1:17" x14ac:dyDescent="0.2">
      <c r="A461" s="30" t="s">
        <v>2808</v>
      </c>
      <c r="B461" s="169">
        <v>9001210900</v>
      </c>
      <c r="C461" s="232" t="s">
        <v>944</v>
      </c>
      <c r="D461" s="182">
        <v>681.79313999999999</v>
      </c>
      <c r="E461" s="182">
        <v>0</v>
      </c>
      <c r="F461" s="13">
        <f>[1]!Table323[[#This Row],[Single Family]]+[1]!Table323[[#This Row],[2-4 Units]]+[1]!Table323[[#This Row],[&gt;4 Units]]</f>
        <v>0</v>
      </c>
      <c r="G461" s="30">
        <v>0</v>
      </c>
      <c r="H461" s="30">
        <v>0</v>
      </c>
      <c r="I461" s="30">
        <v>0</v>
      </c>
      <c r="J461" s="231">
        <v>0</v>
      </c>
      <c r="K461">
        <f t="shared" si="7"/>
        <v>0</v>
      </c>
      <c r="L461" s="30">
        <v>0</v>
      </c>
      <c r="M461" s="30">
        <v>0</v>
      </c>
      <c r="N461" s="30">
        <v>0</v>
      </c>
      <c r="O461" s="231">
        <v>0</v>
      </c>
      <c r="P461" s="97">
        <f>VLOOKUP(Table323[[#This Row],[Census Tract]],'Population and Diversity Data'!$B$2:$K$823,10,FALSE)</f>
        <v>4</v>
      </c>
      <c r="Q461" s="97" t="str">
        <f>VLOOKUP(Table323[[#This Row],[Census Tract]],'ES Energy Burden'!$B$2:$E$914,4,FALSE)</f>
        <v>No</v>
      </c>
    </row>
    <row r="462" spans="1:17" x14ac:dyDescent="0.2">
      <c r="A462" s="30" t="s">
        <v>2808</v>
      </c>
      <c r="B462" s="169">
        <v>9001211000</v>
      </c>
      <c r="C462" s="232" t="s">
        <v>944</v>
      </c>
      <c r="D462" s="182">
        <v>948.34635000000003</v>
      </c>
      <c r="E462" s="182">
        <v>5681.93</v>
      </c>
      <c r="F462" s="13">
        <f>[1]!Table323[[#This Row],[Single Family]]+[1]!Table323[[#This Row],[2-4 Units]]+[1]!Table323[[#This Row],[&gt;4 Units]]</f>
        <v>0</v>
      </c>
      <c r="G462" s="30">
        <v>0</v>
      </c>
      <c r="H462" s="30">
        <v>0</v>
      </c>
      <c r="I462" s="30">
        <v>0</v>
      </c>
      <c r="J462" s="231">
        <v>45.6</v>
      </c>
      <c r="K462">
        <f t="shared" si="7"/>
        <v>0</v>
      </c>
      <c r="L462" s="30">
        <v>0</v>
      </c>
      <c r="M462" s="30">
        <v>0</v>
      </c>
      <c r="N462" s="30">
        <v>0</v>
      </c>
      <c r="O462" s="231">
        <v>0</v>
      </c>
      <c r="P462" s="97">
        <f>VLOOKUP(Table323[[#This Row],[Census Tract]],'Population and Diversity Data'!$B$2:$K$823,10,FALSE)</f>
        <v>5</v>
      </c>
      <c r="Q462" s="97" t="str">
        <f>VLOOKUP(Table323[[#This Row],[Census Tract]],'ES Energy Burden'!$B$2:$E$914,4,FALSE)</f>
        <v>No</v>
      </c>
    </row>
    <row r="463" spans="1:17" x14ac:dyDescent="0.2">
      <c r="A463" s="30" t="s">
        <v>2808</v>
      </c>
      <c r="B463" s="169">
        <v>9001220100</v>
      </c>
      <c r="C463" s="232" t="s">
        <v>944</v>
      </c>
      <c r="D463" s="182">
        <v>62603.571177000005</v>
      </c>
      <c r="E463" s="182">
        <v>53250.54</v>
      </c>
      <c r="F463" s="13">
        <f>[1]!Table323[[#This Row],[Single Family]]+[1]!Table323[[#This Row],[2-4 Units]]+[1]!Table323[[#This Row],[&gt;4 Units]]</f>
        <v>116</v>
      </c>
      <c r="G463" s="30">
        <v>116</v>
      </c>
      <c r="H463" s="30">
        <v>0</v>
      </c>
      <c r="I463" s="30">
        <v>0</v>
      </c>
      <c r="J463" s="231">
        <v>242759.03</v>
      </c>
      <c r="K463">
        <f t="shared" si="7"/>
        <v>1</v>
      </c>
      <c r="L463" s="30">
        <v>1</v>
      </c>
      <c r="M463" s="30">
        <v>0</v>
      </c>
      <c r="N463" s="30">
        <v>0</v>
      </c>
      <c r="O463" s="231">
        <v>67056.600000000006</v>
      </c>
      <c r="P463" s="97">
        <f>VLOOKUP(Table323[[#This Row],[Census Tract]],'Population and Diversity Data'!$B$2:$K$823,10,FALSE)</f>
        <v>2</v>
      </c>
      <c r="Q463" s="97" t="str">
        <f>VLOOKUP(Table323[[#This Row],[Census Tract]],'ES Energy Burden'!$B$2:$E$914,4,FALSE)</f>
        <v>No</v>
      </c>
    </row>
    <row r="464" spans="1:17" x14ac:dyDescent="0.2">
      <c r="A464" s="30" t="s">
        <v>2808</v>
      </c>
      <c r="B464" s="169">
        <v>9001220200</v>
      </c>
      <c r="C464" s="232" t="s">
        <v>944</v>
      </c>
      <c r="D464" s="182">
        <v>74876.762499000004</v>
      </c>
      <c r="E464" s="182">
        <v>58595.5</v>
      </c>
      <c r="F464" s="13">
        <f>[1]!Table323[[#This Row],[Single Family]]+[1]!Table323[[#This Row],[2-4 Units]]+[1]!Table323[[#This Row],[&gt;4 Units]]</f>
        <v>0</v>
      </c>
      <c r="G464" s="30">
        <v>0</v>
      </c>
      <c r="H464" s="30">
        <v>0</v>
      </c>
      <c r="I464" s="30">
        <v>0</v>
      </c>
      <c r="J464" s="231">
        <v>22545.1</v>
      </c>
      <c r="K464">
        <f t="shared" si="7"/>
        <v>3</v>
      </c>
      <c r="L464" s="30">
        <v>3</v>
      </c>
      <c r="M464" s="30">
        <v>0</v>
      </c>
      <c r="N464" s="30">
        <v>0</v>
      </c>
      <c r="O464" s="231">
        <v>7577.28</v>
      </c>
      <c r="P464" s="97">
        <f>VLOOKUP(Table323[[#This Row],[Census Tract]],'Population and Diversity Data'!$B$2:$K$823,10,FALSE)</f>
        <v>3</v>
      </c>
      <c r="Q464" s="97" t="str">
        <f>VLOOKUP(Table323[[#This Row],[Census Tract]],'ES Energy Burden'!$B$2:$E$914,4,FALSE)</f>
        <v>No</v>
      </c>
    </row>
    <row r="465" spans="1:17" x14ac:dyDescent="0.2">
      <c r="A465" s="30" t="s">
        <v>2808</v>
      </c>
      <c r="B465" s="169">
        <v>9001220300</v>
      </c>
      <c r="C465" s="232" t="s">
        <v>944</v>
      </c>
      <c r="D465" s="182">
        <v>149513.30446499999</v>
      </c>
      <c r="E465" s="182">
        <v>296193.3775</v>
      </c>
      <c r="F465" s="13">
        <f>[1]!Table323[[#This Row],[Single Family]]+[1]!Table323[[#This Row],[2-4 Units]]+[1]!Table323[[#This Row],[&gt;4 Units]]</f>
        <v>0</v>
      </c>
      <c r="G465" s="30">
        <v>0</v>
      </c>
      <c r="H465" s="30">
        <v>0</v>
      </c>
      <c r="I465" s="30">
        <v>0</v>
      </c>
      <c r="J465" s="231">
        <v>14777.54</v>
      </c>
      <c r="K465">
        <f t="shared" si="7"/>
        <v>0</v>
      </c>
      <c r="L465" s="30">
        <v>0</v>
      </c>
      <c r="M465" s="30">
        <v>0</v>
      </c>
      <c r="N465" s="30">
        <v>0</v>
      </c>
      <c r="O465" s="231">
        <v>0</v>
      </c>
      <c r="P465" s="97">
        <f>VLOOKUP(Table323[[#This Row],[Census Tract]],'Population and Diversity Data'!$B$2:$K$823,10,FALSE)</f>
        <v>2</v>
      </c>
      <c r="Q465" s="97" t="str">
        <f>VLOOKUP(Table323[[#This Row],[Census Tract]],'ES Energy Burden'!$B$2:$E$914,4,FALSE)</f>
        <v>No</v>
      </c>
    </row>
    <row r="466" spans="1:17" x14ac:dyDescent="0.2">
      <c r="A466" s="30" t="s">
        <v>2808</v>
      </c>
      <c r="B466" s="169">
        <v>9001257100</v>
      </c>
      <c r="C466" s="232" t="s">
        <v>944</v>
      </c>
      <c r="D466" s="182">
        <v>1131.3164100000001</v>
      </c>
      <c r="E466" s="182">
        <v>0</v>
      </c>
      <c r="F466" s="13">
        <f>[1]!Table323[[#This Row],[Single Family]]+[1]!Table323[[#This Row],[2-4 Units]]+[1]!Table323[[#This Row],[&gt;4 Units]]</f>
        <v>0</v>
      </c>
      <c r="G466" s="30">
        <v>0</v>
      </c>
      <c r="H466" s="30">
        <v>0</v>
      </c>
      <c r="I466" s="30">
        <v>0</v>
      </c>
      <c r="J466" s="231">
        <v>0</v>
      </c>
      <c r="K466">
        <f t="shared" si="7"/>
        <v>0</v>
      </c>
      <c r="L466" s="30">
        <v>0</v>
      </c>
      <c r="M466" s="30">
        <v>0</v>
      </c>
      <c r="N466" s="30">
        <v>0</v>
      </c>
      <c r="O466" s="231">
        <v>0</v>
      </c>
      <c r="P466" s="97">
        <f>VLOOKUP(Table323[[#This Row],[Census Tract]],'Population and Diversity Data'!$B$2:$K$823,10,FALSE)</f>
        <v>1</v>
      </c>
      <c r="Q466" s="97" t="str">
        <f>VLOOKUP(Table323[[#This Row],[Census Tract]],'ES Energy Burden'!$B$2:$E$914,4,FALSE)</f>
        <v>No</v>
      </c>
    </row>
    <row r="467" spans="1:17" x14ac:dyDescent="0.2">
      <c r="A467" s="30" t="s">
        <v>2809</v>
      </c>
      <c r="B467" s="169">
        <v>9005306100</v>
      </c>
      <c r="C467" s="232" t="s">
        <v>944</v>
      </c>
      <c r="D467" s="182">
        <v>120936.041457</v>
      </c>
      <c r="E467" s="182">
        <v>196373.76500000001</v>
      </c>
      <c r="F467" s="13">
        <f>[1]!Table323[[#This Row],[Single Family]]+[1]!Table323[[#This Row],[2-4 Units]]+[1]!Table323[[#This Row],[&gt;4 Units]]</f>
        <v>49</v>
      </c>
      <c r="G467" s="30">
        <v>47</v>
      </c>
      <c r="H467" s="30">
        <v>2</v>
      </c>
      <c r="I467" s="30">
        <v>0</v>
      </c>
      <c r="J467" s="231">
        <v>124515.1</v>
      </c>
      <c r="K467">
        <f t="shared" si="7"/>
        <v>5</v>
      </c>
      <c r="L467" s="30">
        <v>5</v>
      </c>
      <c r="M467" s="30">
        <v>0</v>
      </c>
      <c r="N467" s="30">
        <v>0</v>
      </c>
      <c r="O467" s="231">
        <v>20093.21</v>
      </c>
      <c r="P467" s="97">
        <f>VLOOKUP(Table323[[#This Row],[Census Tract]],'Population and Diversity Data'!$B$2:$K$823,10,FALSE)</f>
        <v>1</v>
      </c>
      <c r="Q467" s="97" t="str">
        <f>VLOOKUP(Table323[[#This Row],[Census Tract]],'ES Energy Burden'!$B$2:$E$914,4,FALSE)</f>
        <v>No</v>
      </c>
    </row>
    <row r="468" spans="1:17" x14ac:dyDescent="0.2">
      <c r="A468" s="30" t="s">
        <v>2810</v>
      </c>
      <c r="B468" s="169">
        <v>9011690300</v>
      </c>
      <c r="C468" s="232" t="s">
        <v>944</v>
      </c>
      <c r="D468" s="182">
        <v>47976.437334000002</v>
      </c>
      <c r="E468" s="182">
        <v>25104.06</v>
      </c>
      <c r="F468" s="13">
        <f>[1]!Table323[[#This Row],[Single Family]]+[1]!Table323[[#This Row],[2-4 Units]]+[1]!Table323[[#This Row],[&gt;4 Units]]</f>
        <v>118</v>
      </c>
      <c r="G468" s="30">
        <v>103</v>
      </c>
      <c r="H468" s="30">
        <v>15</v>
      </c>
      <c r="I468" s="30">
        <v>0</v>
      </c>
      <c r="J468" s="231">
        <v>142061.44</v>
      </c>
      <c r="K468">
        <f t="shared" si="7"/>
        <v>24</v>
      </c>
      <c r="L468" s="30">
        <v>15</v>
      </c>
      <c r="M468" s="30">
        <v>9</v>
      </c>
      <c r="N468" s="30">
        <v>0</v>
      </c>
      <c r="O468" s="231">
        <v>48678.21</v>
      </c>
      <c r="P468" s="97">
        <f>VLOOKUP(Table323[[#This Row],[Census Tract]],'Population and Diversity Data'!$B$2:$K$823,10,FALSE)</f>
        <v>5</v>
      </c>
      <c r="Q468" s="97" t="str">
        <f>VLOOKUP(Table323[[#This Row],[Census Tract]],'ES Energy Burden'!$B$2:$E$914,4,FALSE)</f>
        <v>No</v>
      </c>
    </row>
    <row r="469" spans="1:17" x14ac:dyDescent="0.2">
      <c r="A469" s="30" t="s">
        <v>2810</v>
      </c>
      <c r="B469" s="169">
        <v>9011690400</v>
      </c>
      <c r="C469" s="232" t="s">
        <v>944</v>
      </c>
      <c r="D469" s="182">
        <v>22508.728326</v>
      </c>
      <c r="E469" s="182">
        <v>34880.410000000003</v>
      </c>
      <c r="F469" s="13">
        <f>[1]!Table323[[#This Row],[Single Family]]+[1]!Table323[[#This Row],[2-4 Units]]+[1]!Table323[[#This Row],[&gt;4 Units]]</f>
        <v>0</v>
      </c>
      <c r="G469" s="30">
        <v>0</v>
      </c>
      <c r="H469" s="30">
        <v>0</v>
      </c>
      <c r="I469" s="30">
        <v>0</v>
      </c>
      <c r="J469" s="231">
        <v>0</v>
      </c>
      <c r="K469">
        <f t="shared" si="7"/>
        <v>2</v>
      </c>
      <c r="L469" s="30">
        <v>1</v>
      </c>
      <c r="M469" s="30">
        <v>1</v>
      </c>
      <c r="N469" s="30">
        <v>0</v>
      </c>
      <c r="O469" s="231">
        <v>1507.31</v>
      </c>
      <c r="P469" s="97">
        <f>VLOOKUP(Table323[[#This Row],[Census Tract]],'Population and Diversity Data'!$B$2:$K$823,10,FALSE)</f>
        <v>5</v>
      </c>
      <c r="Q469" s="97" t="str">
        <f>VLOOKUP(Table323[[#This Row],[Census Tract]],'ES Energy Burden'!$B$2:$E$914,4,FALSE)</f>
        <v>No</v>
      </c>
    </row>
    <row r="470" spans="1:17" x14ac:dyDescent="0.2">
      <c r="A470" s="30" t="s">
        <v>2810</v>
      </c>
      <c r="B470" s="169">
        <v>9011690500</v>
      </c>
      <c r="C470" s="232" t="s">
        <v>944</v>
      </c>
      <c r="D470" s="182">
        <v>134498.03472</v>
      </c>
      <c r="E470" s="182">
        <v>191121.27499999999</v>
      </c>
      <c r="F470" s="13">
        <f>[1]!Table323[[#This Row],[Single Family]]+[1]!Table323[[#This Row],[2-4 Units]]+[1]!Table323[[#This Row],[&gt;4 Units]]</f>
        <v>0</v>
      </c>
      <c r="G470" s="30">
        <v>0</v>
      </c>
      <c r="H470" s="30">
        <v>0</v>
      </c>
      <c r="I470" s="30">
        <v>0</v>
      </c>
      <c r="J470" s="231">
        <v>6174.21</v>
      </c>
      <c r="K470">
        <f t="shared" si="7"/>
        <v>5</v>
      </c>
      <c r="L470" s="30">
        <v>3</v>
      </c>
      <c r="M470" s="30">
        <v>2</v>
      </c>
      <c r="N470" s="30">
        <v>0</v>
      </c>
      <c r="O470" s="231">
        <v>1800.17</v>
      </c>
      <c r="P470" s="97">
        <f>VLOOKUP(Table323[[#This Row],[Census Tract]],'Population and Diversity Data'!$B$2:$K$823,10,FALSE)</f>
        <v>5</v>
      </c>
      <c r="Q470" s="97" t="str">
        <f>VLOOKUP(Table323[[#This Row],[Census Tract]],'ES Energy Burden'!$B$2:$E$914,4,FALSE)</f>
        <v>No</v>
      </c>
    </row>
    <row r="471" spans="1:17" x14ac:dyDescent="0.2">
      <c r="A471" s="30" t="s">
        <v>2810</v>
      </c>
      <c r="B471" s="169">
        <v>9011690700</v>
      </c>
      <c r="C471" s="232" t="s">
        <v>944</v>
      </c>
      <c r="D471" s="182">
        <v>9356.9851199999994</v>
      </c>
      <c r="E471" s="182">
        <v>3385.37</v>
      </c>
      <c r="F471" s="13">
        <f>[1]!Table323[[#This Row],[Single Family]]+[1]!Table323[[#This Row],[2-4 Units]]+[1]!Table323[[#This Row],[&gt;4 Units]]</f>
        <v>1</v>
      </c>
      <c r="G471" s="30">
        <v>1</v>
      </c>
      <c r="H471" s="30">
        <v>0</v>
      </c>
      <c r="I471" s="30">
        <v>0</v>
      </c>
      <c r="J471" s="231">
        <v>0</v>
      </c>
      <c r="K471">
        <f t="shared" si="7"/>
        <v>1</v>
      </c>
      <c r="L471" s="30">
        <v>0</v>
      </c>
      <c r="M471" s="30">
        <v>1</v>
      </c>
      <c r="N471" s="30">
        <v>0</v>
      </c>
      <c r="O471" s="231">
        <v>231.41</v>
      </c>
      <c r="P471" s="97">
        <f>VLOOKUP(Table323[[#This Row],[Census Tract]],'Population and Diversity Data'!$B$2:$K$823,10,FALSE)</f>
        <v>5</v>
      </c>
      <c r="Q471" s="97" t="str">
        <f>VLOOKUP(Table323[[#This Row],[Census Tract]],'ES Energy Burden'!$B$2:$E$914,4,FALSE)</f>
        <v>No</v>
      </c>
    </row>
    <row r="472" spans="1:17" x14ac:dyDescent="0.2">
      <c r="A472" s="30" t="s">
        <v>2810</v>
      </c>
      <c r="B472" s="169">
        <v>9011690800</v>
      </c>
      <c r="C472" s="232" t="s">
        <v>944</v>
      </c>
      <c r="D472" s="182">
        <v>25667.32518</v>
      </c>
      <c r="E472" s="182">
        <v>15165.95</v>
      </c>
      <c r="F472" s="13">
        <f>[1]!Table323[[#This Row],[Single Family]]+[1]!Table323[[#This Row],[2-4 Units]]+[1]!Table323[[#This Row],[&gt;4 Units]]</f>
        <v>204</v>
      </c>
      <c r="G472" s="30">
        <v>0</v>
      </c>
      <c r="H472" s="30">
        <v>0</v>
      </c>
      <c r="I472" s="30">
        <v>204</v>
      </c>
      <c r="J472" s="231">
        <v>8535.0400000000009</v>
      </c>
      <c r="K472">
        <f t="shared" si="7"/>
        <v>149</v>
      </c>
      <c r="L472" s="30">
        <v>1</v>
      </c>
      <c r="M472" s="30">
        <v>2</v>
      </c>
      <c r="N472" s="30">
        <v>146</v>
      </c>
      <c r="O472" s="231">
        <v>927.05</v>
      </c>
      <c r="P472" s="97">
        <f>VLOOKUP(Table323[[#This Row],[Census Tract]],'Population and Diversity Data'!$B$2:$K$823,10,FALSE)</f>
        <v>5</v>
      </c>
      <c r="Q472" s="97" t="str">
        <f>VLOOKUP(Table323[[#This Row],[Census Tract]],'ES Energy Burden'!$B$2:$E$914,4,FALSE)</f>
        <v>Yes</v>
      </c>
    </row>
    <row r="473" spans="1:17" x14ac:dyDescent="0.2">
      <c r="A473" s="30" t="s">
        <v>2810</v>
      </c>
      <c r="B473" s="169">
        <v>9011690900</v>
      </c>
      <c r="C473" s="232" t="s">
        <v>944</v>
      </c>
      <c r="D473" s="182">
        <v>46706.904677999999</v>
      </c>
      <c r="E473" s="182">
        <v>43727.93</v>
      </c>
      <c r="F473" s="13">
        <f>[1]!Table323[[#This Row],[Single Family]]+[1]!Table323[[#This Row],[2-4 Units]]+[1]!Table323[[#This Row],[&gt;4 Units]]</f>
        <v>0</v>
      </c>
      <c r="G473" s="30">
        <v>0</v>
      </c>
      <c r="H473" s="30">
        <v>0</v>
      </c>
      <c r="I473" s="30">
        <v>0</v>
      </c>
      <c r="J473" s="231">
        <v>13538.36</v>
      </c>
      <c r="K473">
        <f t="shared" si="7"/>
        <v>3</v>
      </c>
      <c r="L473" s="30">
        <v>3</v>
      </c>
      <c r="M473" s="30">
        <v>0</v>
      </c>
      <c r="N473" s="30">
        <v>0</v>
      </c>
      <c r="O473" s="231">
        <v>3445.72</v>
      </c>
      <c r="P473" s="97">
        <f>VLOOKUP(Table323[[#This Row],[Census Tract]],'Population and Diversity Data'!$B$2:$K$823,10,FALSE)</f>
        <v>5</v>
      </c>
      <c r="Q473" s="97" t="str">
        <f>VLOOKUP(Table323[[#This Row],[Census Tract]],'ES Energy Burden'!$B$2:$E$914,4,FALSE)</f>
        <v>No</v>
      </c>
    </row>
    <row r="474" spans="1:17" x14ac:dyDescent="0.2">
      <c r="A474" s="30" t="s">
        <v>2810</v>
      </c>
      <c r="B474" s="169">
        <v>9011693400</v>
      </c>
      <c r="C474" s="232" t="s">
        <v>944</v>
      </c>
      <c r="D474" s="182">
        <v>145.82253</v>
      </c>
      <c r="E474" s="182">
        <v>0</v>
      </c>
      <c r="F474" s="13">
        <f>[1]!Table323[[#This Row],[Single Family]]+[1]!Table323[[#This Row],[2-4 Units]]+[1]!Table323[[#This Row],[&gt;4 Units]]</f>
        <v>0</v>
      </c>
      <c r="G474" s="30">
        <v>0</v>
      </c>
      <c r="H474" s="30">
        <v>0</v>
      </c>
      <c r="I474" s="30">
        <v>0</v>
      </c>
      <c r="J474" s="231">
        <v>0</v>
      </c>
      <c r="K474">
        <f t="shared" si="7"/>
        <v>1</v>
      </c>
      <c r="L474" s="30">
        <v>1</v>
      </c>
      <c r="M474" s="30">
        <v>0</v>
      </c>
      <c r="N474" s="30">
        <v>0</v>
      </c>
      <c r="O474" s="231">
        <v>230.78</v>
      </c>
      <c r="P474" s="97">
        <f>VLOOKUP(Table323[[#This Row],[Census Tract]],'Population and Diversity Data'!$B$2:$K$823,10,FALSE)</f>
        <v>3</v>
      </c>
      <c r="Q474" s="97" t="str">
        <f>VLOOKUP(Table323[[#This Row],[Census Tract]],'ES Energy Burden'!$B$2:$E$914,4,FALSE)</f>
        <v>No</v>
      </c>
    </row>
    <row r="475" spans="1:17" x14ac:dyDescent="0.2">
      <c r="A475" s="30" t="s">
        <v>2810</v>
      </c>
      <c r="B475" s="169">
        <v>9011870300</v>
      </c>
      <c r="C475" s="232" t="s">
        <v>944</v>
      </c>
      <c r="D475" s="182">
        <v>22642.012176</v>
      </c>
      <c r="E475" s="182">
        <v>984.16</v>
      </c>
      <c r="F475" s="13">
        <f>[1]!Table323[[#This Row],[Single Family]]+[1]!Table323[[#This Row],[2-4 Units]]+[1]!Table323[[#This Row],[&gt;4 Units]]</f>
        <v>0</v>
      </c>
      <c r="G475" s="30">
        <v>0</v>
      </c>
      <c r="H475" s="30">
        <v>0</v>
      </c>
      <c r="I475" s="30">
        <v>0</v>
      </c>
      <c r="J475" s="231">
        <v>0</v>
      </c>
      <c r="K475">
        <f t="shared" si="7"/>
        <v>2</v>
      </c>
      <c r="L475" s="30">
        <v>0</v>
      </c>
      <c r="M475" s="30">
        <v>2</v>
      </c>
      <c r="N475" s="30">
        <v>0</v>
      </c>
      <c r="O475" s="231">
        <v>728.41</v>
      </c>
      <c r="P475" s="97">
        <f>VLOOKUP(Table323[[#This Row],[Census Tract]],'Population and Diversity Data'!$B$2:$K$823,10,FALSE)</f>
        <v>5</v>
      </c>
      <c r="Q475" s="97" t="str">
        <f>VLOOKUP(Table323[[#This Row],[Census Tract]],'ES Energy Burden'!$B$2:$E$914,4,FALSE)</f>
        <v>No</v>
      </c>
    </row>
    <row r="476" spans="1:17" x14ac:dyDescent="0.2">
      <c r="A476" s="30" t="s">
        <v>2811</v>
      </c>
      <c r="B476" s="169">
        <v>9005253100</v>
      </c>
      <c r="C476" s="232" t="s">
        <v>944</v>
      </c>
      <c r="D476" s="182">
        <v>57364.048035</v>
      </c>
      <c r="E476" s="182">
        <v>42343.54</v>
      </c>
      <c r="F476" s="13">
        <f>[1]!Table323[[#This Row],[Single Family]]+[1]!Table323[[#This Row],[2-4 Units]]+[1]!Table323[[#This Row],[&gt;4 Units]]</f>
        <v>0</v>
      </c>
      <c r="G476" s="30">
        <v>0</v>
      </c>
      <c r="H476" s="30">
        <v>0</v>
      </c>
      <c r="I476" s="30">
        <v>0</v>
      </c>
      <c r="J476" s="231">
        <v>0</v>
      </c>
      <c r="K476">
        <f t="shared" si="7"/>
        <v>3</v>
      </c>
      <c r="L476" s="30">
        <v>3</v>
      </c>
      <c r="M476" s="30">
        <v>0</v>
      </c>
      <c r="N476" s="30">
        <v>0</v>
      </c>
      <c r="O476" s="231">
        <v>31395.45</v>
      </c>
      <c r="P476" s="97">
        <f>VLOOKUP(Table323[[#This Row],[Census Tract]],'Population and Diversity Data'!$B$2:$K$823,10,FALSE)</f>
        <v>4</v>
      </c>
      <c r="Q476" s="97" t="str">
        <f>VLOOKUP(Table323[[#This Row],[Census Tract]],'ES Energy Burden'!$B$2:$E$914,4,FALSE)</f>
        <v>No</v>
      </c>
    </row>
    <row r="477" spans="1:17" x14ac:dyDescent="0.2">
      <c r="A477" s="30" t="s">
        <v>2811</v>
      </c>
      <c r="B477" s="169">
        <v>9005253200</v>
      </c>
      <c r="C477" s="232" t="s">
        <v>944</v>
      </c>
      <c r="D477" s="182">
        <v>90661.357059000002</v>
      </c>
      <c r="E477" s="182">
        <v>38403.11</v>
      </c>
      <c r="F477" s="13">
        <f>[1]!Table323[[#This Row],[Single Family]]+[1]!Table323[[#This Row],[2-4 Units]]+[1]!Table323[[#This Row],[&gt;4 Units]]</f>
        <v>0</v>
      </c>
      <c r="G477" s="30">
        <v>0</v>
      </c>
      <c r="H477" s="30">
        <v>0</v>
      </c>
      <c r="I477" s="30">
        <v>0</v>
      </c>
      <c r="J477" s="231">
        <v>1216.75</v>
      </c>
      <c r="K477">
        <f t="shared" si="7"/>
        <v>2</v>
      </c>
      <c r="L477" s="30">
        <v>1</v>
      </c>
      <c r="M477" s="30">
        <v>1</v>
      </c>
      <c r="N477" s="30">
        <v>0</v>
      </c>
      <c r="O477" s="231">
        <v>915.37</v>
      </c>
      <c r="P477" s="97">
        <f>VLOOKUP(Table323[[#This Row],[Census Tract]],'Population and Diversity Data'!$B$2:$K$823,10,FALSE)</f>
        <v>4</v>
      </c>
      <c r="Q477" s="97" t="str">
        <f>VLOOKUP(Table323[[#This Row],[Census Tract]],'ES Energy Burden'!$B$2:$E$914,4,FALSE)</f>
        <v>No</v>
      </c>
    </row>
    <row r="478" spans="1:17" x14ac:dyDescent="0.2">
      <c r="A478" s="30" t="s">
        <v>2811</v>
      </c>
      <c r="B478" s="169">
        <v>9005253300</v>
      </c>
      <c r="C478" s="232" t="s">
        <v>944</v>
      </c>
      <c r="D478" s="182">
        <v>28366.010399999999</v>
      </c>
      <c r="E478" s="182">
        <v>15122.88</v>
      </c>
      <c r="F478" s="13">
        <f>[1]!Table323[[#This Row],[Single Family]]+[1]!Table323[[#This Row],[2-4 Units]]+[1]!Table323[[#This Row],[&gt;4 Units]]</f>
        <v>0</v>
      </c>
      <c r="G478" s="30">
        <v>0</v>
      </c>
      <c r="H478" s="30">
        <v>0</v>
      </c>
      <c r="I478" s="30">
        <v>0</v>
      </c>
      <c r="J478" s="231">
        <v>6594.02</v>
      </c>
      <c r="K478">
        <f t="shared" si="7"/>
        <v>0</v>
      </c>
      <c r="L478" s="30">
        <v>0</v>
      </c>
      <c r="M478" s="30">
        <v>0</v>
      </c>
      <c r="N478" s="30">
        <v>0</v>
      </c>
      <c r="O478" s="231">
        <v>0</v>
      </c>
      <c r="P478" s="97">
        <f>VLOOKUP(Table323[[#This Row],[Census Tract]],'Population and Diversity Data'!$B$2:$K$823,10,FALSE)</f>
        <v>3</v>
      </c>
      <c r="Q478" s="97" t="str">
        <f>VLOOKUP(Table323[[#This Row],[Census Tract]],'ES Energy Burden'!$B$2:$E$914,4,FALSE)</f>
        <v>No</v>
      </c>
    </row>
    <row r="479" spans="1:17" x14ac:dyDescent="0.2">
      <c r="A479" s="30" t="s">
        <v>2811</v>
      </c>
      <c r="B479" s="169">
        <v>9005253400</v>
      </c>
      <c r="C479" s="232" t="s">
        <v>944</v>
      </c>
      <c r="D479" s="182">
        <v>268110.63915300003</v>
      </c>
      <c r="E479" s="182">
        <v>388002.38500000001</v>
      </c>
      <c r="F479" s="13">
        <f>[1]!Table323[[#This Row],[Single Family]]+[1]!Table323[[#This Row],[2-4 Units]]+[1]!Table323[[#This Row],[&gt;4 Units]]</f>
        <v>160</v>
      </c>
      <c r="G479" s="30">
        <v>158</v>
      </c>
      <c r="H479" s="30">
        <v>2</v>
      </c>
      <c r="I479" s="30">
        <v>0</v>
      </c>
      <c r="J479" s="231">
        <v>244103.26</v>
      </c>
      <c r="K479">
        <f t="shared" si="7"/>
        <v>23</v>
      </c>
      <c r="L479" s="30">
        <v>20</v>
      </c>
      <c r="M479" s="30">
        <v>3</v>
      </c>
      <c r="N479" s="30">
        <v>0</v>
      </c>
      <c r="O479" s="231">
        <v>102590.11</v>
      </c>
      <c r="P479" s="97">
        <f>VLOOKUP(Table323[[#This Row],[Census Tract]],'Population and Diversity Data'!$B$2:$K$823,10,FALSE)</f>
        <v>2</v>
      </c>
      <c r="Q479" s="97" t="str">
        <f>VLOOKUP(Table323[[#This Row],[Census Tract]],'ES Energy Burden'!$B$2:$E$914,4,FALSE)</f>
        <v>No</v>
      </c>
    </row>
    <row r="480" spans="1:17" x14ac:dyDescent="0.2">
      <c r="A480" s="30" t="s">
        <v>2811</v>
      </c>
      <c r="B480" s="169">
        <v>9005253500</v>
      </c>
      <c r="C480" s="232" t="s">
        <v>944</v>
      </c>
      <c r="D480" s="182">
        <v>84491.438745000007</v>
      </c>
      <c r="E480" s="182">
        <v>126018.9</v>
      </c>
      <c r="F480" s="13">
        <f>[1]!Table323[[#This Row],[Single Family]]+[1]!Table323[[#This Row],[2-4 Units]]+[1]!Table323[[#This Row],[&gt;4 Units]]</f>
        <v>0</v>
      </c>
      <c r="G480" s="30">
        <v>0</v>
      </c>
      <c r="H480" s="30">
        <v>0</v>
      </c>
      <c r="I480" s="30">
        <v>0</v>
      </c>
      <c r="J480" s="231">
        <v>27599.34</v>
      </c>
      <c r="K480">
        <f t="shared" si="7"/>
        <v>9</v>
      </c>
      <c r="L480" s="30">
        <v>9</v>
      </c>
      <c r="M480" s="30">
        <v>0</v>
      </c>
      <c r="N480" s="30">
        <v>0</v>
      </c>
      <c r="O480" s="231">
        <v>51251.01</v>
      </c>
      <c r="P480" s="97">
        <f>VLOOKUP(Table323[[#This Row],[Census Tract]],'Population and Diversity Data'!$B$2:$K$823,10,FALSE)</f>
        <v>4</v>
      </c>
      <c r="Q480" s="97" t="str">
        <f>VLOOKUP(Table323[[#This Row],[Census Tract]],'ES Energy Burden'!$B$2:$E$914,4,FALSE)</f>
        <v>No</v>
      </c>
    </row>
    <row r="481" spans="1:17" x14ac:dyDescent="0.2">
      <c r="A481" s="30" t="s">
        <v>2811</v>
      </c>
      <c r="B481" s="169">
        <v>9005253600</v>
      </c>
      <c r="C481" s="232" t="s">
        <v>944</v>
      </c>
      <c r="D481" s="182">
        <v>30267.038507999998</v>
      </c>
      <c r="E481" s="182">
        <v>37997.32</v>
      </c>
      <c r="F481" s="13">
        <f>[1]!Table323[[#This Row],[Single Family]]+[1]!Table323[[#This Row],[2-4 Units]]+[1]!Table323[[#This Row],[&gt;4 Units]]</f>
        <v>0</v>
      </c>
      <c r="G481" s="30">
        <v>0</v>
      </c>
      <c r="H481" s="30">
        <v>0</v>
      </c>
      <c r="I481" s="30">
        <v>0</v>
      </c>
      <c r="J481" s="231">
        <v>1798.44</v>
      </c>
      <c r="K481">
        <f t="shared" si="7"/>
        <v>43</v>
      </c>
      <c r="L481" s="30">
        <v>3</v>
      </c>
      <c r="M481" s="30">
        <v>0</v>
      </c>
      <c r="N481" s="30">
        <v>40</v>
      </c>
      <c r="O481" s="231">
        <v>31859.49</v>
      </c>
      <c r="P481" s="97">
        <f>VLOOKUP(Table323[[#This Row],[Census Tract]],'Population and Diversity Data'!$B$2:$K$823,10,FALSE)</f>
        <v>4</v>
      </c>
      <c r="Q481" s="97" t="str">
        <f>VLOOKUP(Table323[[#This Row],[Census Tract]],'ES Energy Burden'!$B$2:$E$914,4,FALSE)</f>
        <v>No</v>
      </c>
    </row>
    <row r="482" spans="1:17" x14ac:dyDescent="0.2">
      <c r="A482" s="30" t="s">
        <v>2811</v>
      </c>
      <c r="B482" s="169">
        <v>9005267100</v>
      </c>
      <c r="C482" s="232" t="s">
        <v>944</v>
      </c>
      <c r="D482" s="182">
        <v>498.77960999999999</v>
      </c>
      <c r="E482" s="182">
        <v>0</v>
      </c>
      <c r="F482" s="13">
        <f>[1]!Table323[[#This Row],[Single Family]]+[1]!Table323[[#This Row],[2-4 Units]]+[1]!Table323[[#This Row],[&gt;4 Units]]</f>
        <v>0</v>
      </c>
      <c r="G482" s="30">
        <v>0</v>
      </c>
      <c r="H482" s="30">
        <v>0</v>
      </c>
      <c r="I482" s="30">
        <v>0</v>
      </c>
      <c r="J482" s="231">
        <v>0</v>
      </c>
      <c r="K482">
        <f t="shared" si="7"/>
        <v>0</v>
      </c>
      <c r="L482" s="30">
        <v>0</v>
      </c>
      <c r="M482" s="30">
        <v>0</v>
      </c>
      <c r="N482" s="30">
        <v>0</v>
      </c>
      <c r="O482" s="231">
        <v>0</v>
      </c>
      <c r="P482" s="97">
        <f>VLOOKUP(Table323[[#This Row],[Census Tract]],'Population and Diversity Data'!$B$2:$K$823,10,FALSE)</f>
        <v>3</v>
      </c>
      <c r="Q482" s="97" t="str">
        <f>VLOOKUP(Table323[[#This Row],[Census Tract]],'ES Energy Burden'!$B$2:$E$914,4,FALSE)</f>
        <v>No</v>
      </c>
    </row>
    <row r="483" spans="1:17" x14ac:dyDescent="0.2">
      <c r="A483" s="30" t="s">
        <v>2812</v>
      </c>
      <c r="B483" s="169">
        <v>9003400100</v>
      </c>
      <c r="C483" s="232" t="s">
        <v>944</v>
      </c>
      <c r="D483" s="182">
        <v>254.25120000000001</v>
      </c>
      <c r="E483" s="182">
        <v>430.16</v>
      </c>
      <c r="F483" s="13">
        <f>[1]!Table323[[#This Row],[Single Family]]+[1]!Table323[[#This Row],[2-4 Units]]+[1]!Table323[[#This Row],[&gt;4 Units]]</f>
        <v>0</v>
      </c>
      <c r="G483" s="30">
        <v>0</v>
      </c>
      <c r="H483" s="30">
        <v>0</v>
      </c>
      <c r="I483" s="30">
        <v>0</v>
      </c>
      <c r="J483" s="231">
        <v>13.18</v>
      </c>
      <c r="K483">
        <f t="shared" si="7"/>
        <v>0</v>
      </c>
      <c r="L483" s="30">
        <v>0</v>
      </c>
      <c r="M483" s="30">
        <v>0</v>
      </c>
      <c r="N483" s="30">
        <v>0</v>
      </c>
      <c r="O483" s="231">
        <v>0</v>
      </c>
      <c r="P483" s="97">
        <f>VLOOKUP(Table323[[#This Row],[Census Tract]],'Population and Diversity Data'!$B$2:$K$823,10,FALSE)</f>
        <v>2</v>
      </c>
      <c r="Q483" s="97" t="str">
        <f>VLOOKUP(Table323[[#This Row],[Census Tract]],'ES Energy Burden'!$B$2:$E$914,4,FALSE)</f>
        <v>No</v>
      </c>
    </row>
    <row r="484" spans="1:17" x14ac:dyDescent="0.2">
      <c r="A484" s="30" t="s">
        <v>2812</v>
      </c>
      <c r="B484" s="169">
        <v>9003416300</v>
      </c>
      <c r="C484" s="232" t="s">
        <v>944</v>
      </c>
      <c r="D484" s="182">
        <v>66.924480000000003</v>
      </c>
      <c r="E484" s="182">
        <v>0</v>
      </c>
      <c r="F484" s="13">
        <f>[1]!Table323[[#This Row],[Single Family]]+[1]!Table323[[#This Row],[2-4 Units]]+[1]!Table323[[#This Row],[&gt;4 Units]]</f>
        <v>0</v>
      </c>
      <c r="G484" s="30">
        <v>0</v>
      </c>
      <c r="H484" s="30">
        <v>0</v>
      </c>
      <c r="I484" s="30">
        <v>0</v>
      </c>
      <c r="J484" s="231">
        <v>0</v>
      </c>
      <c r="K484">
        <f t="shared" si="7"/>
        <v>0</v>
      </c>
      <c r="L484" s="30">
        <v>0</v>
      </c>
      <c r="M484" s="30">
        <v>0</v>
      </c>
      <c r="N484" s="30">
        <v>0</v>
      </c>
      <c r="O484" s="231">
        <v>0</v>
      </c>
      <c r="P484" s="97">
        <f>VLOOKUP(Table323[[#This Row],[Census Tract]],'Population and Diversity Data'!$B$2:$K$823,10,FALSE)</f>
        <v>4</v>
      </c>
      <c r="Q484" s="97" t="str">
        <f>VLOOKUP(Table323[[#This Row],[Census Tract]],'ES Energy Burden'!$B$2:$E$914,4,FALSE)</f>
        <v>Yes</v>
      </c>
    </row>
    <row r="485" spans="1:17" x14ac:dyDescent="0.2">
      <c r="A485" s="30" t="s">
        <v>2812</v>
      </c>
      <c r="B485" s="169">
        <v>9003492600</v>
      </c>
      <c r="C485" s="232" t="s">
        <v>944</v>
      </c>
      <c r="D485" s="182">
        <v>165.65451000000002</v>
      </c>
      <c r="E485" s="182">
        <v>0</v>
      </c>
      <c r="F485" s="13">
        <f>[1]!Table323[[#This Row],[Single Family]]+[1]!Table323[[#This Row],[2-4 Units]]+[1]!Table323[[#This Row],[&gt;4 Units]]</f>
        <v>0</v>
      </c>
      <c r="G485" s="30">
        <v>0</v>
      </c>
      <c r="H485" s="30">
        <v>0</v>
      </c>
      <c r="I485" s="30">
        <v>0</v>
      </c>
      <c r="J485" s="231">
        <v>0</v>
      </c>
      <c r="K485">
        <f t="shared" si="7"/>
        <v>0</v>
      </c>
      <c r="L485" s="30">
        <v>0</v>
      </c>
      <c r="M485" s="30">
        <v>0</v>
      </c>
      <c r="N485" s="30">
        <v>0</v>
      </c>
      <c r="O485" s="231">
        <v>0</v>
      </c>
      <c r="P485" s="97">
        <f>VLOOKUP(Table323[[#This Row],[Census Tract]],'Population and Diversity Data'!$B$2:$K$823,10,FALSE)</f>
        <v>1</v>
      </c>
      <c r="Q485" s="97" t="str">
        <f>VLOOKUP(Table323[[#This Row],[Census Tract]],'ES Energy Burden'!$B$2:$E$914,4,FALSE)</f>
        <v>No</v>
      </c>
    </row>
    <row r="486" spans="1:17" x14ac:dyDescent="0.2">
      <c r="A486" s="30" t="s">
        <v>2812</v>
      </c>
      <c r="B486" s="169">
        <v>9003494100</v>
      </c>
      <c r="C486" s="232" t="s">
        <v>944</v>
      </c>
      <c r="D486" s="182">
        <v>53780.659926</v>
      </c>
      <c r="E486" s="182">
        <v>25834.22</v>
      </c>
      <c r="F486" s="13">
        <f>[1]!Table323[[#This Row],[Single Family]]+[1]!Table323[[#This Row],[2-4 Units]]+[1]!Table323[[#This Row],[&gt;4 Units]]</f>
        <v>213</v>
      </c>
      <c r="G486" s="30">
        <v>211</v>
      </c>
      <c r="H486" s="30">
        <v>2</v>
      </c>
      <c r="I486" s="30">
        <v>0</v>
      </c>
      <c r="J486" s="231">
        <v>187493.54</v>
      </c>
      <c r="K486">
        <f t="shared" si="7"/>
        <v>21</v>
      </c>
      <c r="L486" s="30">
        <v>19</v>
      </c>
      <c r="M486" s="30">
        <v>2</v>
      </c>
      <c r="N486" s="30">
        <v>0</v>
      </c>
      <c r="O486" s="231">
        <v>56994.15</v>
      </c>
      <c r="P486" s="97">
        <f>VLOOKUP(Table323[[#This Row],[Census Tract]],'Population and Diversity Data'!$B$2:$K$823,10,FALSE)</f>
        <v>4</v>
      </c>
      <c r="Q486" s="97" t="str">
        <f>VLOOKUP(Table323[[#This Row],[Census Tract]],'ES Energy Burden'!$B$2:$E$914,4,FALSE)</f>
        <v>No</v>
      </c>
    </row>
    <row r="487" spans="1:17" x14ac:dyDescent="0.2">
      <c r="A487" s="30" t="s">
        <v>2812</v>
      </c>
      <c r="B487" s="169">
        <v>9003494201</v>
      </c>
      <c r="C487" s="232" t="s">
        <v>944</v>
      </c>
      <c r="D487" s="182">
        <v>172376.82044100002</v>
      </c>
      <c r="E487" s="182">
        <v>248428.9425</v>
      </c>
      <c r="F487" s="13">
        <f>[1]!Table323[[#This Row],[Single Family]]+[1]!Table323[[#This Row],[2-4 Units]]+[1]!Table323[[#This Row],[&gt;4 Units]]</f>
        <v>1</v>
      </c>
      <c r="G487" s="30">
        <v>1</v>
      </c>
      <c r="H487" s="30">
        <v>0</v>
      </c>
      <c r="I487" s="30">
        <v>0</v>
      </c>
      <c r="J487" s="231">
        <v>6046.16</v>
      </c>
      <c r="K487">
        <f t="shared" si="7"/>
        <v>5</v>
      </c>
      <c r="L487" s="30">
        <v>3</v>
      </c>
      <c r="M487" s="30">
        <v>2</v>
      </c>
      <c r="N487" s="30">
        <v>0</v>
      </c>
      <c r="O487" s="231">
        <v>12135.1</v>
      </c>
      <c r="P487" s="97">
        <f>VLOOKUP(Table323[[#This Row],[Census Tract]],'Population and Diversity Data'!$B$2:$K$823,10,FALSE)</f>
        <v>4</v>
      </c>
      <c r="Q487" s="97" t="str">
        <f>VLOOKUP(Table323[[#This Row],[Census Tract]],'ES Energy Burden'!$B$2:$E$914,4,FALSE)</f>
        <v>No</v>
      </c>
    </row>
    <row r="488" spans="1:17" x14ac:dyDescent="0.2">
      <c r="A488" s="30" t="s">
        <v>2812</v>
      </c>
      <c r="B488" s="169">
        <v>9003494202</v>
      </c>
      <c r="C488" s="232" t="s">
        <v>944</v>
      </c>
      <c r="D488" s="182">
        <v>27760.286862000001</v>
      </c>
      <c r="E488" s="182">
        <v>9235.1200000000008</v>
      </c>
      <c r="F488" s="13">
        <f>[1]!Table323[[#This Row],[Single Family]]+[1]!Table323[[#This Row],[2-4 Units]]+[1]!Table323[[#This Row],[&gt;4 Units]]</f>
        <v>0</v>
      </c>
      <c r="G488" s="30">
        <v>0</v>
      </c>
      <c r="H488" s="30">
        <v>0</v>
      </c>
      <c r="I488" s="30">
        <v>0</v>
      </c>
      <c r="J488" s="231">
        <v>0</v>
      </c>
      <c r="K488">
        <f t="shared" si="7"/>
        <v>5</v>
      </c>
      <c r="L488" s="30">
        <v>3</v>
      </c>
      <c r="M488" s="30">
        <v>2</v>
      </c>
      <c r="N488" s="30">
        <v>0</v>
      </c>
      <c r="O488" s="231">
        <v>2600.7199999999998</v>
      </c>
      <c r="P488" s="97">
        <f>VLOOKUP(Table323[[#This Row],[Census Tract]],'Population and Diversity Data'!$B$2:$K$823,10,FALSE)</f>
        <v>4</v>
      </c>
      <c r="Q488" s="97" t="str">
        <f>VLOOKUP(Table323[[#This Row],[Census Tract]],'ES Energy Burden'!$B$2:$E$914,4,FALSE)</f>
        <v>No</v>
      </c>
    </row>
    <row r="489" spans="1:17" x14ac:dyDescent="0.2">
      <c r="A489" s="30" t="s">
        <v>2812</v>
      </c>
      <c r="B489" s="169">
        <v>9003494300</v>
      </c>
      <c r="C489" s="232" t="s">
        <v>944</v>
      </c>
      <c r="D489" s="182">
        <v>38605.392567000003</v>
      </c>
      <c r="E489" s="182">
        <v>29848</v>
      </c>
      <c r="F489" s="13">
        <f>[1]!Table323[[#This Row],[Single Family]]+[1]!Table323[[#This Row],[2-4 Units]]+[1]!Table323[[#This Row],[&gt;4 Units]]</f>
        <v>0</v>
      </c>
      <c r="G489" s="30">
        <v>0</v>
      </c>
      <c r="H489" s="30">
        <v>0</v>
      </c>
      <c r="I489" s="30">
        <v>0</v>
      </c>
      <c r="J489" s="231">
        <v>11836.41</v>
      </c>
      <c r="K489">
        <f t="shared" si="7"/>
        <v>3</v>
      </c>
      <c r="L489" s="30">
        <v>3</v>
      </c>
      <c r="M489" s="30">
        <v>0</v>
      </c>
      <c r="N489" s="30">
        <v>0</v>
      </c>
      <c r="O489" s="231">
        <v>745.78</v>
      </c>
      <c r="P489" s="97">
        <f>VLOOKUP(Table323[[#This Row],[Census Tract]],'Population and Diversity Data'!$B$2:$K$823,10,FALSE)</f>
        <v>3</v>
      </c>
      <c r="Q489" s="97" t="str">
        <f>VLOOKUP(Table323[[#This Row],[Census Tract]],'ES Energy Burden'!$B$2:$E$914,4,FALSE)</f>
        <v>No</v>
      </c>
    </row>
    <row r="490" spans="1:17" x14ac:dyDescent="0.2">
      <c r="A490" s="30" t="s">
        <v>2812</v>
      </c>
      <c r="B490" s="169">
        <v>9003494400</v>
      </c>
      <c r="C490" s="232" t="s">
        <v>944</v>
      </c>
      <c r="D490" s="182">
        <v>48752.206817999999</v>
      </c>
      <c r="E490" s="182">
        <v>81805.820000000007</v>
      </c>
      <c r="F490" s="13">
        <f>[1]!Table323[[#This Row],[Single Family]]+[1]!Table323[[#This Row],[2-4 Units]]+[1]!Table323[[#This Row],[&gt;4 Units]]</f>
        <v>133</v>
      </c>
      <c r="G490" s="30">
        <v>0</v>
      </c>
      <c r="H490" s="30">
        <v>0</v>
      </c>
      <c r="I490" s="30">
        <v>133</v>
      </c>
      <c r="J490" s="231">
        <v>32849.910000000003</v>
      </c>
      <c r="K490">
        <f t="shared" si="7"/>
        <v>152</v>
      </c>
      <c r="L490" s="30">
        <v>2</v>
      </c>
      <c r="M490" s="30">
        <v>0</v>
      </c>
      <c r="N490" s="30">
        <v>150</v>
      </c>
      <c r="O490" s="231">
        <v>23995.759999999998</v>
      </c>
      <c r="P490" s="97">
        <f>VLOOKUP(Table323[[#This Row],[Census Tract]],'Population and Diversity Data'!$B$2:$K$823,10,FALSE)</f>
        <v>4</v>
      </c>
      <c r="Q490" s="97" t="str">
        <f>VLOOKUP(Table323[[#This Row],[Census Tract]],'ES Energy Burden'!$B$2:$E$914,4,FALSE)</f>
        <v>No</v>
      </c>
    </row>
    <row r="491" spans="1:17" x14ac:dyDescent="0.2">
      <c r="A491" s="30" t="s">
        <v>2812</v>
      </c>
      <c r="B491" s="169">
        <v>9003494500</v>
      </c>
      <c r="C491" s="232" t="s">
        <v>944</v>
      </c>
      <c r="D491" s="182">
        <v>39434.960039999998</v>
      </c>
      <c r="E491" s="182">
        <v>23408.66</v>
      </c>
      <c r="F491" s="13">
        <f>[1]!Table323[[#This Row],[Single Family]]+[1]!Table323[[#This Row],[2-4 Units]]+[1]!Table323[[#This Row],[&gt;4 Units]]</f>
        <v>0</v>
      </c>
      <c r="G491" s="30">
        <v>0</v>
      </c>
      <c r="H491" s="30">
        <v>0</v>
      </c>
      <c r="I491" s="30">
        <v>0</v>
      </c>
      <c r="J491" s="231">
        <v>13978.86</v>
      </c>
      <c r="K491">
        <f t="shared" si="7"/>
        <v>4</v>
      </c>
      <c r="L491" s="30">
        <v>4</v>
      </c>
      <c r="M491" s="30">
        <v>0</v>
      </c>
      <c r="N491" s="30">
        <v>0</v>
      </c>
      <c r="O491" s="231">
        <v>2331.96</v>
      </c>
      <c r="P491" s="97">
        <f>VLOOKUP(Table323[[#This Row],[Census Tract]],'Population and Diversity Data'!$B$2:$K$823,10,FALSE)</f>
        <v>4</v>
      </c>
      <c r="Q491" s="97" t="str">
        <f>VLOOKUP(Table323[[#This Row],[Census Tract]],'ES Energy Burden'!$B$2:$E$914,4,FALSE)</f>
        <v>No</v>
      </c>
    </row>
    <row r="492" spans="1:17" x14ac:dyDescent="0.2">
      <c r="A492" s="30" t="s">
        <v>2812</v>
      </c>
      <c r="B492" s="169">
        <v>9003494600</v>
      </c>
      <c r="C492" s="232" t="s">
        <v>944</v>
      </c>
      <c r="D492" s="182">
        <v>32479.668270000002</v>
      </c>
      <c r="E492" s="182">
        <v>30047.54</v>
      </c>
      <c r="F492" s="13">
        <f>[1]!Table323[[#This Row],[Single Family]]+[1]!Table323[[#This Row],[2-4 Units]]+[1]!Table323[[#This Row],[&gt;4 Units]]</f>
        <v>0</v>
      </c>
      <c r="G492" s="30">
        <v>0</v>
      </c>
      <c r="H492" s="30">
        <v>0</v>
      </c>
      <c r="I492" s="30">
        <v>0</v>
      </c>
      <c r="J492" s="231">
        <v>5303.84</v>
      </c>
      <c r="K492">
        <f t="shared" si="7"/>
        <v>5</v>
      </c>
      <c r="L492" s="30">
        <v>5</v>
      </c>
      <c r="M492" s="30">
        <v>0</v>
      </c>
      <c r="N492" s="30">
        <v>0</v>
      </c>
      <c r="O492" s="231">
        <v>1494.91</v>
      </c>
      <c r="P492" s="97">
        <f>VLOOKUP(Table323[[#This Row],[Census Tract]],'Population and Diversity Data'!$B$2:$K$823,10,FALSE)</f>
        <v>3</v>
      </c>
      <c r="Q492" s="97" t="str">
        <f>VLOOKUP(Table323[[#This Row],[Census Tract]],'ES Energy Burden'!$B$2:$E$914,4,FALSE)</f>
        <v>No</v>
      </c>
    </row>
    <row r="493" spans="1:17" x14ac:dyDescent="0.2">
      <c r="A493" s="30" t="s">
        <v>2813</v>
      </c>
      <c r="B493" s="169">
        <v>9001100100</v>
      </c>
      <c r="C493" s="232" t="s">
        <v>944</v>
      </c>
      <c r="D493" s="182">
        <v>201.38685000000001</v>
      </c>
      <c r="E493" s="182">
        <v>27802.34</v>
      </c>
      <c r="F493" s="13">
        <f>[1]!Table323[[#This Row],[Single Family]]+[1]!Table323[[#This Row],[2-4 Units]]+[1]!Table323[[#This Row],[&gt;4 Units]]</f>
        <v>0</v>
      </c>
      <c r="G493" s="30">
        <v>0</v>
      </c>
      <c r="H493" s="30">
        <v>0</v>
      </c>
      <c r="I493" s="30">
        <v>0</v>
      </c>
      <c r="J493" s="231">
        <v>0</v>
      </c>
      <c r="K493">
        <f t="shared" si="7"/>
        <v>0</v>
      </c>
      <c r="L493" s="30">
        <v>0</v>
      </c>
      <c r="M493" s="30">
        <v>0</v>
      </c>
      <c r="N493" s="30">
        <v>0</v>
      </c>
      <c r="O493" s="231">
        <v>0</v>
      </c>
      <c r="P493" s="97">
        <f>VLOOKUP(Table323[[#This Row],[Census Tract]],'Population and Diversity Data'!$B$2:$K$823,10,FALSE)</f>
        <v>3</v>
      </c>
      <c r="Q493" s="97" t="str">
        <f>VLOOKUP(Table323[[#This Row],[Census Tract]],'ES Energy Burden'!$B$2:$E$914,4,FALSE)</f>
        <v>No</v>
      </c>
    </row>
    <row r="494" spans="1:17" x14ac:dyDescent="0.2">
      <c r="A494" s="30" t="s">
        <v>2813</v>
      </c>
      <c r="B494" s="169">
        <v>9001100300</v>
      </c>
      <c r="C494" s="232" t="s">
        <v>944</v>
      </c>
      <c r="D494" s="182">
        <v>1099.50603</v>
      </c>
      <c r="E494" s="182">
        <v>2843.71</v>
      </c>
      <c r="F494" s="13">
        <f>[1]!Table323[[#This Row],[Single Family]]+[1]!Table323[[#This Row],[2-4 Units]]+[1]!Table323[[#This Row],[&gt;4 Units]]</f>
        <v>0</v>
      </c>
      <c r="G494" s="30">
        <v>0</v>
      </c>
      <c r="H494" s="30">
        <v>0</v>
      </c>
      <c r="I494" s="30">
        <v>0</v>
      </c>
      <c r="J494" s="231">
        <v>0</v>
      </c>
      <c r="K494">
        <f t="shared" si="7"/>
        <v>0</v>
      </c>
      <c r="L494" s="30">
        <v>0</v>
      </c>
      <c r="M494" s="30">
        <v>0</v>
      </c>
      <c r="N494" s="30">
        <v>0</v>
      </c>
      <c r="O494" s="231">
        <v>0</v>
      </c>
      <c r="P494" s="97">
        <f>VLOOKUP(Table323[[#This Row],[Census Tract]],'Population and Diversity Data'!$B$2:$K$823,10,FALSE)</f>
        <v>2</v>
      </c>
      <c r="Q494" s="97" t="str">
        <f>VLOOKUP(Table323[[#This Row],[Census Tract]],'ES Energy Burden'!$B$2:$E$914,4,FALSE)</f>
        <v>No</v>
      </c>
    </row>
    <row r="495" spans="1:17" x14ac:dyDescent="0.2">
      <c r="A495" s="30" t="s">
        <v>2813</v>
      </c>
      <c r="B495" s="169">
        <v>9001200302</v>
      </c>
      <c r="C495" s="232" t="s">
        <v>944</v>
      </c>
      <c r="D495" s="182">
        <v>232.89777000000001</v>
      </c>
      <c r="E495" s="182">
        <v>0</v>
      </c>
      <c r="F495" s="13">
        <f>[1]!Table323[[#This Row],[Single Family]]+[1]!Table323[[#This Row],[2-4 Units]]+[1]!Table323[[#This Row],[&gt;4 Units]]</f>
        <v>0</v>
      </c>
      <c r="G495" s="30">
        <v>0</v>
      </c>
      <c r="H495" s="30">
        <v>0</v>
      </c>
      <c r="I495" s="30">
        <v>0</v>
      </c>
      <c r="J495" s="231">
        <v>0</v>
      </c>
      <c r="K495">
        <f t="shared" si="7"/>
        <v>0</v>
      </c>
      <c r="L495" s="30">
        <v>0</v>
      </c>
      <c r="M495" s="30">
        <v>0</v>
      </c>
      <c r="N495" s="30">
        <v>0</v>
      </c>
      <c r="O495" s="231">
        <v>0</v>
      </c>
      <c r="P495" s="97">
        <f>VLOOKUP(Table323[[#This Row],[Census Tract]],'Population and Diversity Data'!$B$2:$K$823,10,FALSE)</f>
        <v>1</v>
      </c>
      <c r="Q495" s="97" t="str">
        <f>VLOOKUP(Table323[[#This Row],[Census Tract]],'ES Energy Burden'!$B$2:$E$914,4,FALSE)</f>
        <v>No</v>
      </c>
    </row>
    <row r="496" spans="1:17" x14ac:dyDescent="0.2">
      <c r="A496" s="30" t="s">
        <v>2813</v>
      </c>
      <c r="B496" s="169">
        <v>9001205200</v>
      </c>
      <c r="C496" s="232" t="s">
        <v>944</v>
      </c>
      <c r="D496" s="182">
        <v>637.87878000000001</v>
      </c>
      <c r="E496" s="182">
        <v>0</v>
      </c>
      <c r="F496" s="13">
        <f>[1]!Table323[[#This Row],[Single Family]]+[1]!Table323[[#This Row],[2-4 Units]]+[1]!Table323[[#This Row],[&gt;4 Units]]</f>
        <v>0</v>
      </c>
      <c r="G496" s="30">
        <v>0</v>
      </c>
      <c r="H496" s="30">
        <v>0</v>
      </c>
      <c r="I496" s="30">
        <v>0</v>
      </c>
      <c r="J496" s="231">
        <v>0</v>
      </c>
      <c r="K496">
        <f t="shared" si="7"/>
        <v>0</v>
      </c>
      <c r="L496" s="30">
        <v>0</v>
      </c>
      <c r="M496" s="30">
        <v>0</v>
      </c>
      <c r="N496" s="30">
        <v>0</v>
      </c>
      <c r="O496" s="231">
        <v>0</v>
      </c>
      <c r="P496" s="97">
        <f>VLOOKUP(Table323[[#This Row],[Census Tract]],'Population and Diversity Data'!$B$2:$K$823,10,FALSE)</f>
        <v>1</v>
      </c>
      <c r="Q496" s="97" t="str">
        <f>VLOOKUP(Table323[[#This Row],[Census Tract]],'ES Energy Burden'!$B$2:$E$914,4,FALSE)</f>
        <v>No</v>
      </c>
    </row>
    <row r="497" spans="1:17" x14ac:dyDescent="0.2">
      <c r="A497" s="30" t="s">
        <v>2813</v>
      </c>
      <c r="B497" s="169">
        <v>9001205300</v>
      </c>
      <c r="C497" s="232" t="s">
        <v>944</v>
      </c>
      <c r="D497" s="182">
        <v>344.32587000000001</v>
      </c>
      <c r="E497" s="182">
        <v>0</v>
      </c>
      <c r="F497" s="13">
        <f>[1]!Table323[[#This Row],[Single Family]]+[1]!Table323[[#This Row],[2-4 Units]]+[1]!Table323[[#This Row],[&gt;4 Units]]</f>
        <v>0</v>
      </c>
      <c r="G497" s="30">
        <v>0</v>
      </c>
      <c r="H497" s="30">
        <v>0</v>
      </c>
      <c r="I497" s="30">
        <v>0</v>
      </c>
      <c r="J497" s="231">
        <v>0</v>
      </c>
      <c r="K497">
        <f t="shared" si="7"/>
        <v>0</v>
      </c>
      <c r="L497" s="30">
        <v>0</v>
      </c>
      <c r="M497" s="30">
        <v>0</v>
      </c>
      <c r="N497" s="30">
        <v>0</v>
      </c>
      <c r="O497" s="231">
        <v>0</v>
      </c>
      <c r="P497" s="97">
        <f>VLOOKUP(Table323[[#This Row],[Census Tract]],'Population and Diversity Data'!$B$2:$K$823,10,FALSE)</f>
        <v>4</v>
      </c>
      <c r="Q497" s="97" t="str">
        <f>VLOOKUP(Table323[[#This Row],[Census Tract]],'ES Energy Burden'!$B$2:$E$914,4,FALSE)</f>
        <v>No</v>
      </c>
    </row>
    <row r="498" spans="1:17" x14ac:dyDescent="0.2">
      <c r="A498" s="30" t="s">
        <v>2813</v>
      </c>
      <c r="B498" s="169">
        <v>9001230100</v>
      </c>
      <c r="C498" s="232" t="s">
        <v>944</v>
      </c>
      <c r="D498" s="182">
        <v>255649.899897</v>
      </c>
      <c r="E498" s="182">
        <v>414915.40500000003</v>
      </c>
      <c r="F498" s="13">
        <f>[1]!Table323[[#This Row],[Single Family]]+[1]!Table323[[#This Row],[2-4 Units]]+[1]!Table323[[#This Row],[&gt;4 Units]]</f>
        <v>70</v>
      </c>
      <c r="G498" s="30">
        <v>70</v>
      </c>
      <c r="H498" s="30">
        <v>0</v>
      </c>
      <c r="I498" s="30">
        <v>0</v>
      </c>
      <c r="J498" s="231">
        <v>177113.98</v>
      </c>
      <c r="K498">
        <f t="shared" si="7"/>
        <v>5</v>
      </c>
      <c r="L498" s="30">
        <v>5</v>
      </c>
      <c r="M498" s="30">
        <v>0</v>
      </c>
      <c r="N498" s="30">
        <v>0</v>
      </c>
      <c r="O498" s="231">
        <v>7444.54</v>
      </c>
      <c r="P498" s="97">
        <f>VLOOKUP(Table323[[#This Row],[Census Tract]],'Population and Diversity Data'!$B$2:$K$823,10,FALSE)</f>
        <v>2</v>
      </c>
      <c r="Q498" s="97" t="str">
        <f>VLOOKUP(Table323[[#This Row],[Census Tract]],'ES Energy Burden'!$B$2:$E$914,4,FALSE)</f>
        <v>No</v>
      </c>
    </row>
    <row r="499" spans="1:17" x14ac:dyDescent="0.2">
      <c r="A499" s="30" t="s">
        <v>2813</v>
      </c>
      <c r="B499" s="169">
        <v>9001230200</v>
      </c>
      <c r="C499" s="232" t="s">
        <v>944</v>
      </c>
      <c r="D499" s="182">
        <v>28327.678553999998</v>
      </c>
      <c r="E499" s="182">
        <v>11139.305</v>
      </c>
      <c r="F499" s="13">
        <f>[1]!Table323[[#This Row],[Single Family]]+[1]!Table323[[#This Row],[2-4 Units]]+[1]!Table323[[#This Row],[&gt;4 Units]]</f>
        <v>0</v>
      </c>
      <c r="G499" s="30">
        <v>0</v>
      </c>
      <c r="H499" s="30">
        <v>0</v>
      </c>
      <c r="I499" s="30">
        <v>0</v>
      </c>
      <c r="J499" s="231">
        <v>136.04</v>
      </c>
      <c r="K499">
        <f t="shared" si="7"/>
        <v>0</v>
      </c>
      <c r="L499" s="30">
        <v>0</v>
      </c>
      <c r="M499" s="30">
        <v>0</v>
      </c>
      <c r="N499" s="30">
        <v>0</v>
      </c>
      <c r="O499" s="231">
        <v>0</v>
      </c>
      <c r="P499" s="97">
        <f>VLOOKUP(Table323[[#This Row],[Census Tract]],'Population and Diversity Data'!$B$2:$K$823,10,FALSE)</f>
        <v>2</v>
      </c>
      <c r="Q499" s="97" t="str">
        <f>VLOOKUP(Table323[[#This Row],[Census Tract]],'ES Energy Burden'!$B$2:$E$914,4,FALSE)</f>
        <v>No</v>
      </c>
    </row>
    <row r="500" spans="1:17" x14ac:dyDescent="0.2">
      <c r="A500" s="30" t="s">
        <v>2813</v>
      </c>
      <c r="B500" s="169">
        <v>9001230300</v>
      </c>
      <c r="C500" s="232" t="s">
        <v>944</v>
      </c>
      <c r="D500" s="182">
        <v>47140.281258000003</v>
      </c>
      <c r="E500" s="182">
        <v>30743.57</v>
      </c>
      <c r="F500" s="13">
        <f>[1]!Table323[[#This Row],[Single Family]]+[1]!Table323[[#This Row],[2-4 Units]]+[1]!Table323[[#This Row],[&gt;4 Units]]</f>
        <v>0</v>
      </c>
      <c r="G500" s="30">
        <v>0</v>
      </c>
      <c r="H500" s="30">
        <v>0</v>
      </c>
      <c r="I500" s="30">
        <v>0</v>
      </c>
      <c r="J500" s="231">
        <v>5035.6400000000003</v>
      </c>
      <c r="K500">
        <f t="shared" si="7"/>
        <v>2</v>
      </c>
      <c r="L500" s="30">
        <v>2</v>
      </c>
      <c r="M500" s="30">
        <v>0</v>
      </c>
      <c r="N500" s="30">
        <v>0</v>
      </c>
      <c r="O500" s="231">
        <v>11840.58</v>
      </c>
      <c r="P500" s="97">
        <f>VLOOKUP(Table323[[#This Row],[Census Tract]],'Population and Diversity Data'!$B$2:$K$823,10,FALSE)</f>
        <v>1</v>
      </c>
      <c r="Q500" s="97" t="str">
        <f>VLOOKUP(Table323[[#This Row],[Census Tract]],'ES Energy Burden'!$B$2:$E$914,4,FALSE)</f>
        <v>No</v>
      </c>
    </row>
    <row r="501" spans="1:17" x14ac:dyDescent="0.2">
      <c r="A501" s="30" t="s">
        <v>2813</v>
      </c>
      <c r="B501" s="169">
        <v>9001230400</v>
      </c>
      <c r="C501" s="232" t="s">
        <v>944</v>
      </c>
      <c r="D501" s="182">
        <v>74697.494150999992</v>
      </c>
      <c r="E501" s="182">
        <v>63721.11</v>
      </c>
      <c r="F501" s="13">
        <f>[1]!Table323[[#This Row],[Single Family]]+[1]!Table323[[#This Row],[2-4 Units]]+[1]!Table323[[#This Row],[&gt;4 Units]]</f>
        <v>0</v>
      </c>
      <c r="G501" s="30">
        <v>0</v>
      </c>
      <c r="H501" s="30">
        <v>0</v>
      </c>
      <c r="I501" s="30">
        <v>0</v>
      </c>
      <c r="J501" s="231">
        <v>22352.2</v>
      </c>
      <c r="K501">
        <f t="shared" si="7"/>
        <v>1</v>
      </c>
      <c r="L501" s="30">
        <v>1</v>
      </c>
      <c r="M501" s="30">
        <v>0</v>
      </c>
      <c r="N501" s="30">
        <v>0</v>
      </c>
      <c r="O501" s="231">
        <v>4241.07</v>
      </c>
      <c r="P501" s="97">
        <f>VLOOKUP(Table323[[#This Row],[Census Tract]],'Population and Diversity Data'!$B$2:$K$823,10,FALSE)</f>
        <v>2</v>
      </c>
      <c r="Q501" s="97" t="str">
        <f>VLOOKUP(Table323[[#This Row],[Census Tract]],'ES Energy Burden'!$B$2:$E$914,4,FALSE)</f>
        <v>No</v>
      </c>
    </row>
    <row r="502" spans="1:17" x14ac:dyDescent="0.2">
      <c r="A502" s="30" t="s">
        <v>2813</v>
      </c>
      <c r="B502" s="169">
        <v>9001230501</v>
      </c>
      <c r="C502" s="232" t="s">
        <v>944</v>
      </c>
      <c r="D502" s="182">
        <v>50253.454859999998</v>
      </c>
      <c r="E502" s="182">
        <v>63588.3</v>
      </c>
      <c r="F502" s="13">
        <f>[1]!Table323[[#This Row],[Single Family]]+[1]!Table323[[#This Row],[2-4 Units]]+[1]!Table323[[#This Row],[&gt;4 Units]]</f>
        <v>101</v>
      </c>
      <c r="G502" s="30">
        <v>101</v>
      </c>
      <c r="H502" s="30">
        <v>0</v>
      </c>
      <c r="I502" s="30">
        <v>0</v>
      </c>
      <c r="J502" s="231">
        <v>254992.69</v>
      </c>
      <c r="K502">
        <f t="shared" si="7"/>
        <v>5</v>
      </c>
      <c r="L502" s="30">
        <v>5</v>
      </c>
      <c r="M502" s="30">
        <v>0</v>
      </c>
      <c r="N502" s="30">
        <v>0</v>
      </c>
      <c r="O502" s="231">
        <v>20101.919999999998</v>
      </c>
      <c r="P502" s="97">
        <f>VLOOKUP(Table323[[#This Row],[Census Tract]],'Population and Diversity Data'!$B$2:$K$823,10,FALSE)</f>
        <v>2</v>
      </c>
      <c r="Q502" s="97" t="str">
        <f>VLOOKUP(Table323[[#This Row],[Census Tract]],'ES Energy Burden'!$B$2:$E$914,4,FALSE)</f>
        <v>No</v>
      </c>
    </row>
    <row r="503" spans="1:17" x14ac:dyDescent="0.2">
      <c r="A503" s="30" t="s">
        <v>2813</v>
      </c>
      <c r="B503" s="169">
        <v>9001230502</v>
      </c>
      <c r="C503" s="232" t="s">
        <v>944</v>
      </c>
      <c r="D503" s="182">
        <v>50058.176510999998</v>
      </c>
      <c r="E503" s="182">
        <v>38579.24</v>
      </c>
      <c r="F503" s="13">
        <f>[1]!Table323[[#This Row],[Single Family]]+[1]!Table323[[#This Row],[2-4 Units]]+[1]!Table323[[#This Row],[&gt;4 Units]]</f>
        <v>0</v>
      </c>
      <c r="G503" s="30">
        <v>0</v>
      </c>
      <c r="H503" s="30">
        <v>0</v>
      </c>
      <c r="I503" s="30">
        <v>0</v>
      </c>
      <c r="J503" s="231">
        <v>18485.32</v>
      </c>
      <c r="K503">
        <f t="shared" si="7"/>
        <v>1</v>
      </c>
      <c r="L503" s="30">
        <v>1</v>
      </c>
      <c r="M503" s="30">
        <v>0</v>
      </c>
      <c r="N503" s="30">
        <v>0</v>
      </c>
      <c r="O503" s="231">
        <v>988.11</v>
      </c>
      <c r="P503" s="97">
        <f>VLOOKUP(Table323[[#This Row],[Census Tract]],'Population and Diversity Data'!$B$2:$K$823,10,FALSE)</f>
        <v>2</v>
      </c>
      <c r="Q503" s="97" t="str">
        <f>VLOOKUP(Table323[[#This Row],[Census Tract]],'ES Energy Burden'!$B$2:$E$914,4,FALSE)</f>
        <v>No</v>
      </c>
    </row>
    <row r="504" spans="1:17" x14ac:dyDescent="0.2">
      <c r="A504" s="30" t="s">
        <v>2814</v>
      </c>
      <c r="B504" s="169">
        <v>9005296100</v>
      </c>
      <c r="C504" s="232" t="s">
        <v>944</v>
      </c>
      <c r="D504" s="182">
        <v>93.982140000000001</v>
      </c>
      <c r="E504" s="182">
        <v>0</v>
      </c>
      <c r="F504" s="13">
        <f>[1]!Table323[[#This Row],[Single Family]]+[1]!Table323[[#This Row],[2-4 Units]]+[1]!Table323[[#This Row],[&gt;4 Units]]</f>
        <v>0</v>
      </c>
      <c r="G504" s="30">
        <v>0</v>
      </c>
      <c r="H504" s="30">
        <v>0</v>
      </c>
      <c r="I504" s="30">
        <v>0</v>
      </c>
      <c r="J504" s="231">
        <v>0</v>
      </c>
      <c r="K504">
        <f t="shared" si="7"/>
        <v>0</v>
      </c>
      <c r="L504" s="30">
        <v>0</v>
      </c>
      <c r="M504" s="30">
        <v>0</v>
      </c>
      <c r="N504" s="30">
        <v>0</v>
      </c>
      <c r="O504" s="231">
        <v>0</v>
      </c>
      <c r="P504" s="97">
        <f>VLOOKUP(Table323[[#This Row],[Census Tract]],'Population and Diversity Data'!$B$2:$K$823,10,FALSE)</f>
        <v>3</v>
      </c>
      <c r="Q504" s="97" t="str">
        <f>VLOOKUP(Table323[[#This Row],[Census Tract]],'ES Energy Burden'!$B$2:$E$914,4,FALSE)</f>
        <v>No</v>
      </c>
    </row>
    <row r="505" spans="1:17" x14ac:dyDescent="0.2">
      <c r="A505" s="30" t="s">
        <v>2814</v>
      </c>
      <c r="B505" s="169">
        <v>9005425600</v>
      </c>
      <c r="C505" s="232" t="s">
        <v>944</v>
      </c>
      <c r="D505" s="182">
        <v>34062.225498</v>
      </c>
      <c r="E505" s="182">
        <v>32266.32</v>
      </c>
      <c r="F505" s="13">
        <f>[1]!Table323[[#This Row],[Single Family]]+[1]!Table323[[#This Row],[2-4 Units]]+[1]!Table323[[#This Row],[&gt;4 Units]]</f>
        <v>6</v>
      </c>
      <c r="G505" s="30">
        <v>6</v>
      </c>
      <c r="H505" s="30">
        <v>0</v>
      </c>
      <c r="I505" s="30">
        <v>0</v>
      </c>
      <c r="J505" s="231">
        <v>18473.490000000002</v>
      </c>
      <c r="K505">
        <f t="shared" si="7"/>
        <v>1</v>
      </c>
      <c r="L505" s="30">
        <v>1</v>
      </c>
      <c r="M505" s="30">
        <v>0</v>
      </c>
      <c r="N505" s="30">
        <v>0</v>
      </c>
      <c r="O505" s="231">
        <v>3660.16</v>
      </c>
      <c r="P505" s="97">
        <f>VLOOKUP(Table323[[#This Row],[Census Tract]],'Population and Diversity Data'!$B$2:$K$823,10,FALSE)</f>
        <v>1</v>
      </c>
      <c r="Q505" s="97" t="str">
        <f>VLOOKUP(Table323[[#This Row],[Census Tract]],'ES Energy Burden'!$B$2:$E$914,4,FALSE)</f>
        <v>No</v>
      </c>
    </row>
    <row r="506" spans="1:17" x14ac:dyDescent="0.2">
      <c r="A506" s="30" t="s">
        <v>2815</v>
      </c>
      <c r="B506" s="169">
        <v>9005260200</v>
      </c>
      <c r="C506" s="232" t="s">
        <v>944</v>
      </c>
      <c r="D506" s="182">
        <v>62576.405807999996</v>
      </c>
      <c r="E506" s="182">
        <v>142499.51500000001</v>
      </c>
      <c r="F506" s="13">
        <f>[1]!Table323[[#This Row],[Single Family]]+[1]!Table323[[#This Row],[2-4 Units]]+[1]!Table323[[#This Row],[&gt;4 Units]]</f>
        <v>9</v>
      </c>
      <c r="G506" s="30">
        <v>9</v>
      </c>
      <c r="H506" s="30">
        <v>0</v>
      </c>
      <c r="I506" s="30">
        <v>0</v>
      </c>
      <c r="J506" s="231">
        <v>12341.79</v>
      </c>
      <c r="K506">
        <f t="shared" si="7"/>
        <v>62</v>
      </c>
      <c r="L506" s="30">
        <v>6</v>
      </c>
      <c r="M506" s="30">
        <v>0</v>
      </c>
      <c r="N506" s="30">
        <v>56</v>
      </c>
      <c r="O506" s="231">
        <v>123710.27</v>
      </c>
      <c r="P506" s="97">
        <f>VLOOKUP(Table323[[#This Row],[Census Tract]],'Population and Diversity Data'!$B$2:$K$823,10,FALSE)</f>
        <v>1</v>
      </c>
      <c r="Q506" s="97" t="str">
        <f>VLOOKUP(Table323[[#This Row],[Census Tract]],'ES Energy Burden'!$B$2:$E$914,4,FALSE)</f>
        <v>No</v>
      </c>
    </row>
    <row r="507" spans="1:17" x14ac:dyDescent="0.2">
      <c r="A507" s="30" t="s">
        <v>2816</v>
      </c>
      <c r="B507" s="169">
        <v>9011707100</v>
      </c>
      <c r="C507" s="232" t="s">
        <v>944</v>
      </c>
      <c r="D507" s="182">
        <v>94269.947625000001</v>
      </c>
      <c r="E507" s="182">
        <v>189927.5925</v>
      </c>
      <c r="F507" s="13">
        <f>[1]!Table323[[#This Row],[Single Family]]+[1]!Table323[[#This Row],[2-4 Units]]+[1]!Table323[[#This Row],[&gt;4 Units]]</f>
        <v>47</v>
      </c>
      <c r="G507" s="30">
        <v>47</v>
      </c>
      <c r="H507" s="30">
        <v>0</v>
      </c>
      <c r="I507" s="30">
        <v>0</v>
      </c>
      <c r="J507" s="231">
        <v>107001.55</v>
      </c>
      <c r="K507">
        <f t="shared" si="7"/>
        <v>5</v>
      </c>
      <c r="L507" s="30">
        <v>3</v>
      </c>
      <c r="M507" s="30">
        <v>2</v>
      </c>
      <c r="N507" s="30">
        <v>0</v>
      </c>
      <c r="O507" s="231">
        <v>41113.01</v>
      </c>
      <c r="P507" s="97">
        <f>VLOOKUP(Table323[[#This Row],[Census Tract]],'Population and Diversity Data'!$B$2:$K$823,10,FALSE)</f>
        <v>3</v>
      </c>
      <c r="Q507" s="97" t="str">
        <f>VLOOKUP(Table323[[#This Row],[Census Tract]],'ES Energy Burden'!$B$2:$E$914,4,FALSE)</f>
        <v>No</v>
      </c>
    </row>
    <row r="508" spans="1:17" x14ac:dyDescent="0.2">
      <c r="A508" s="30" t="s">
        <v>2816</v>
      </c>
      <c r="B508" s="169">
        <v>9011708100</v>
      </c>
      <c r="C508" s="232" t="s">
        <v>944</v>
      </c>
      <c r="D508" s="182">
        <v>185.66037</v>
      </c>
      <c r="E508" s="182">
        <v>0</v>
      </c>
      <c r="F508" s="13">
        <f>[1]!Table323[[#This Row],[Single Family]]+[1]!Table323[[#This Row],[2-4 Units]]+[1]!Table323[[#This Row],[&gt;4 Units]]</f>
        <v>0</v>
      </c>
      <c r="G508" s="30">
        <v>0</v>
      </c>
      <c r="H508" s="30">
        <v>0</v>
      </c>
      <c r="I508" s="30">
        <v>0</v>
      </c>
      <c r="J508" s="231">
        <v>0</v>
      </c>
      <c r="K508">
        <f t="shared" si="7"/>
        <v>0</v>
      </c>
      <c r="L508" s="30">
        <v>0</v>
      </c>
      <c r="M508" s="30">
        <v>0</v>
      </c>
      <c r="N508" s="30">
        <v>0</v>
      </c>
      <c r="O508" s="231">
        <v>0</v>
      </c>
      <c r="P508" s="97">
        <f>VLOOKUP(Table323[[#This Row],[Census Tract]],'Population and Diversity Data'!$B$2:$K$823,10,FALSE)</f>
        <v>2</v>
      </c>
      <c r="Q508" s="97" t="str">
        <f>VLOOKUP(Table323[[#This Row],[Census Tract]],'ES Energy Burden'!$B$2:$E$914,4,FALSE)</f>
        <v>No</v>
      </c>
    </row>
    <row r="509" spans="1:17" x14ac:dyDescent="0.2">
      <c r="A509" s="30" t="s">
        <v>2817</v>
      </c>
      <c r="B509" s="169">
        <v>9001035300</v>
      </c>
      <c r="C509" s="232" t="s">
        <v>944</v>
      </c>
      <c r="D509" s="182">
        <v>648.99743999999998</v>
      </c>
      <c r="E509" s="182">
        <v>454</v>
      </c>
      <c r="F509" s="13">
        <f>[1]!Table323[[#This Row],[Single Family]]+[1]!Table323[[#This Row],[2-4 Units]]+[1]!Table323[[#This Row],[&gt;4 Units]]</f>
        <v>0</v>
      </c>
      <c r="G509" s="30">
        <v>0</v>
      </c>
      <c r="H509" s="30">
        <v>0</v>
      </c>
      <c r="I509" s="30">
        <v>0</v>
      </c>
      <c r="J509" s="231">
        <v>0</v>
      </c>
      <c r="K509">
        <f t="shared" si="7"/>
        <v>0</v>
      </c>
      <c r="L509" s="30">
        <v>0</v>
      </c>
      <c r="M509" s="30">
        <v>0</v>
      </c>
      <c r="N509" s="30">
        <v>0</v>
      </c>
      <c r="O509" s="231">
        <v>0</v>
      </c>
      <c r="P509" s="97">
        <f>VLOOKUP(Table323[[#This Row],[Census Tract]],'Population and Diversity Data'!$B$2:$K$823,10,FALSE)</f>
        <v>3</v>
      </c>
      <c r="Q509" s="97" t="str">
        <f>VLOOKUP(Table323[[#This Row],[Census Tract]],'ES Energy Burden'!$B$2:$E$914,4,FALSE)</f>
        <v>No</v>
      </c>
    </row>
    <row r="510" spans="1:17" x14ac:dyDescent="0.2">
      <c r="A510" s="30" t="s">
        <v>2817</v>
      </c>
      <c r="B510" s="169">
        <v>9001035400</v>
      </c>
      <c r="C510" s="232" t="s">
        <v>944</v>
      </c>
      <c r="D510" s="182">
        <v>1367.5710300000001</v>
      </c>
      <c r="E510" s="182">
        <v>0</v>
      </c>
      <c r="F510" s="13">
        <f>[1]!Table323[[#This Row],[Single Family]]+[1]!Table323[[#This Row],[2-4 Units]]+[1]!Table323[[#This Row],[&gt;4 Units]]</f>
        <v>0</v>
      </c>
      <c r="G510" s="30">
        <v>0</v>
      </c>
      <c r="H510" s="30">
        <v>0</v>
      </c>
      <c r="I510" s="30">
        <v>0</v>
      </c>
      <c r="J510" s="231">
        <v>0</v>
      </c>
      <c r="K510">
        <f t="shared" si="7"/>
        <v>0</v>
      </c>
      <c r="L510" s="30">
        <v>0</v>
      </c>
      <c r="M510" s="30">
        <v>0</v>
      </c>
      <c r="N510" s="30">
        <v>0</v>
      </c>
      <c r="O510" s="231">
        <v>0</v>
      </c>
      <c r="P510" s="97">
        <f>VLOOKUP(Table323[[#This Row],[Census Tract]],'Population and Diversity Data'!$B$2:$K$823,10,FALSE)</f>
        <v>2</v>
      </c>
      <c r="Q510" s="97" t="str">
        <f>VLOOKUP(Table323[[#This Row],[Census Tract]],'ES Energy Burden'!$B$2:$E$914,4,FALSE)</f>
        <v>No</v>
      </c>
    </row>
    <row r="511" spans="1:17" x14ac:dyDescent="0.2">
      <c r="A511" s="30" t="s">
        <v>2817</v>
      </c>
      <c r="B511" s="169">
        <v>9001042500</v>
      </c>
      <c r="C511" s="232" t="s">
        <v>944</v>
      </c>
      <c r="D511" s="182">
        <v>49986.95478</v>
      </c>
      <c r="E511" s="182">
        <v>47346.81</v>
      </c>
      <c r="F511" s="13">
        <f>[1]!Table323[[#This Row],[Single Family]]+[1]!Table323[[#This Row],[2-4 Units]]+[1]!Table323[[#This Row],[&gt;4 Units]]</f>
        <v>1</v>
      </c>
      <c r="G511" s="30">
        <v>1</v>
      </c>
      <c r="H511" s="30">
        <v>0</v>
      </c>
      <c r="I511" s="30">
        <v>0</v>
      </c>
      <c r="J511" s="231">
        <v>18729.900000000001</v>
      </c>
      <c r="K511">
        <f t="shared" si="7"/>
        <v>1</v>
      </c>
      <c r="L511" s="30">
        <v>1</v>
      </c>
      <c r="M511" s="30">
        <v>0</v>
      </c>
      <c r="N511" s="30">
        <v>0</v>
      </c>
      <c r="O511" s="231">
        <v>964.61</v>
      </c>
      <c r="P511" s="97">
        <f>VLOOKUP(Table323[[#This Row],[Census Tract]],'Population and Diversity Data'!$B$2:$K$823,10,FALSE)</f>
        <v>1</v>
      </c>
      <c r="Q511" s="97" t="str">
        <f>VLOOKUP(Table323[[#This Row],[Census Tract]],'ES Energy Burden'!$B$2:$E$914,4,FALSE)</f>
        <v>No</v>
      </c>
    </row>
    <row r="512" spans="1:17" x14ac:dyDescent="0.2">
      <c r="A512" s="30" t="s">
        <v>2817</v>
      </c>
      <c r="B512" s="169">
        <v>9001042600</v>
      </c>
      <c r="C512" s="232" t="s">
        <v>944</v>
      </c>
      <c r="D512" s="182">
        <v>48363.922151999999</v>
      </c>
      <c r="E512" s="182">
        <v>19823.990000000002</v>
      </c>
      <c r="F512" s="13">
        <f>[1]!Table323[[#This Row],[Single Family]]+[1]!Table323[[#This Row],[2-4 Units]]+[1]!Table323[[#This Row],[&gt;4 Units]]</f>
        <v>0</v>
      </c>
      <c r="G512" s="30">
        <v>0</v>
      </c>
      <c r="H512" s="30">
        <v>0</v>
      </c>
      <c r="I512" s="30">
        <v>0</v>
      </c>
      <c r="J512" s="231">
        <v>15655.23</v>
      </c>
      <c r="K512">
        <f t="shared" si="7"/>
        <v>0</v>
      </c>
      <c r="L512" s="30">
        <v>0</v>
      </c>
      <c r="M512" s="30">
        <v>0</v>
      </c>
      <c r="N512" s="30">
        <v>0</v>
      </c>
      <c r="O512" s="231">
        <v>0</v>
      </c>
      <c r="P512" s="97">
        <f>VLOOKUP(Table323[[#This Row],[Census Tract]],'Population and Diversity Data'!$B$2:$K$823,10,FALSE)</f>
        <v>3</v>
      </c>
      <c r="Q512" s="97" t="str">
        <f>VLOOKUP(Table323[[#This Row],[Census Tract]],'ES Energy Burden'!$B$2:$E$914,4,FALSE)</f>
        <v>No</v>
      </c>
    </row>
    <row r="513" spans="1:17" x14ac:dyDescent="0.2">
      <c r="A513" s="30" t="s">
        <v>2817</v>
      </c>
      <c r="B513" s="169">
        <v>9001042700</v>
      </c>
      <c r="C513" s="232" t="s">
        <v>944</v>
      </c>
      <c r="D513" s="182">
        <v>48698.349419999999</v>
      </c>
      <c r="E513" s="182">
        <v>22563.360000000001</v>
      </c>
      <c r="F513" s="13">
        <f>[1]!Table323[[#This Row],[Single Family]]+[1]!Table323[[#This Row],[2-4 Units]]+[1]!Table323[[#This Row],[&gt;4 Units]]</f>
        <v>0</v>
      </c>
      <c r="G513" s="30">
        <v>0</v>
      </c>
      <c r="H513" s="30">
        <v>0</v>
      </c>
      <c r="I513" s="30">
        <v>0</v>
      </c>
      <c r="J513" s="231">
        <v>9834.5400000000009</v>
      </c>
      <c r="K513">
        <f t="shared" si="7"/>
        <v>2</v>
      </c>
      <c r="L513" s="30">
        <v>1</v>
      </c>
      <c r="M513" s="30">
        <v>1</v>
      </c>
      <c r="N513" s="30">
        <v>0</v>
      </c>
      <c r="O513" s="231">
        <v>1919.14</v>
      </c>
      <c r="P513" s="97">
        <f>VLOOKUP(Table323[[#This Row],[Census Tract]],'Population and Diversity Data'!$B$2:$K$823,10,FALSE)</f>
        <v>4</v>
      </c>
      <c r="Q513" s="97" t="str">
        <f>VLOOKUP(Table323[[#This Row],[Census Tract]],'ES Energy Burden'!$B$2:$E$914,4,FALSE)</f>
        <v>No</v>
      </c>
    </row>
    <row r="514" spans="1:17" x14ac:dyDescent="0.2">
      <c r="A514" s="30" t="s">
        <v>2817</v>
      </c>
      <c r="B514" s="169">
        <v>9001042800</v>
      </c>
      <c r="C514" s="232" t="s">
        <v>944</v>
      </c>
      <c r="D514" s="182">
        <v>67569.142032000003</v>
      </c>
      <c r="E514" s="182">
        <v>55463.35</v>
      </c>
      <c r="F514" s="13">
        <f>[1]!Table323[[#This Row],[Single Family]]+[1]!Table323[[#This Row],[2-4 Units]]+[1]!Table323[[#This Row],[&gt;4 Units]]</f>
        <v>0</v>
      </c>
      <c r="G514" s="30">
        <v>0</v>
      </c>
      <c r="H514" s="30">
        <v>0</v>
      </c>
      <c r="I514" s="30">
        <v>0</v>
      </c>
      <c r="J514" s="231">
        <v>22734.41</v>
      </c>
      <c r="K514">
        <f t="shared" si="7"/>
        <v>7</v>
      </c>
      <c r="L514" s="30">
        <v>6</v>
      </c>
      <c r="M514" s="30">
        <v>1</v>
      </c>
      <c r="N514" s="30">
        <v>0</v>
      </c>
      <c r="O514" s="231">
        <v>4970.5600000000004</v>
      </c>
      <c r="P514" s="97">
        <f>VLOOKUP(Table323[[#This Row],[Census Tract]],'Population and Diversity Data'!$B$2:$K$823,10,FALSE)</f>
        <v>3</v>
      </c>
      <c r="Q514" s="97" t="str">
        <f>VLOOKUP(Table323[[#This Row],[Census Tract]],'ES Energy Burden'!$B$2:$E$914,4,FALSE)</f>
        <v>No</v>
      </c>
    </row>
    <row r="515" spans="1:17" x14ac:dyDescent="0.2">
      <c r="A515" s="30" t="s">
        <v>2817</v>
      </c>
      <c r="B515" s="169">
        <v>9001042900</v>
      </c>
      <c r="C515" s="232" t="s">
        <v>944</v>
      </c>
      <c r="D515" s="182">
        <v>22361.423469000001</v>
      </c>
      <c r="E515" s="182">
        <v>13098.59</v>
      </c>
      <c r="F515" s="13">
        <f>[1]!Table323[[#This Row],[Single Family]]+[1]!Table323[[#This Row],[2-4 Units]]+[1]!Table323[[#This Row],[&gt;4 Units]]</f>
        <v>0</v>
      </c>
      <c r="G515" s="30">
        <v>0</v>
      </c>
      <c r="H515" s="30">
        <v>0</v>
      </c>
      <c r="I515" s="30">
        <v>0</v>
      </c>
      <c r="J515" s="231">
        <v>9274.24</v>
      </c>
      <c r="K515">
        <f t="shared" si="7"/>
        <v>1</v>
      </c>
      <c r="L515" s="30">
        <v>1</v>
      </c>
      <c r="M515" s="30">
        <v>0</v>
      </c>
      <c r="N515" s="30">
        <v>0</v>
      </c>
      <c r="O515" s="231">
        <v>1011.89</v>
      </c>
      <c r="P515" s="97">
        <f>VLOOKUP(Table323[[#This Row],[Census Tract]],'Population and Diversity Data'!$B$2:$K$823,10,FALSE)</f>
        <v>1</v>
      </c>
      <c r="Q515" s="97" t="str">
        <f>VLOOKUP(Table323[[#This Row],[Census Tract]],'ES Energy Burden'!$B$2:$E$914,4,FALSE)</f>
        <v>No</v>
      </c>
    </row>
    <row r="516" spans="1:17" x14ac:dyDescent="0.2">
      <c r="A516" s="30" t="s">
        <v>2817</v>
      </c>
      <c r="B516" s="169">
        <v>9001043000</v>
      </c>
      <c r="C516" s="232" t="s">
        <v>944</v>
      </c>
      <c r="D516" s="182">
        <v>37380.07518</v>
      </c>
      <c r="E516" s="182">
        <v>21765.39</v>
      </c>
      <c r="F516" s="13">
        <f>[1]!Table323[[#This Row],[Single Family]]+[1]!Table323[[#This Row],[2-4 Units]]+[1]!Table323[[#This Row],[&gt;4 Units]]</f>
        <v>0</v>
      </c>
      <c r="G516" s="30">
        <v>0</v>
      </c>
      <c r="H516" s="30">
        <v>0</v>
      </c>
      <c r="I516" s="30">
        <v>0</v>
      </c>
      <c r="J516" s="231">
        <v>8202.3799999999992</v>
      </c>
      <c r="K516">
        <f t="shared" si="7"/>
        <v>0</v>
      </c>
      <c r="L516" s="30">
        <v>0</v>
      </c>
      <c r="M516" s="30">
        <v>0</v>
      </c>
      <c r="N516" s="30">
        <v>0</v>
      </c>
      <c r="O516" s="231">
        <v>0</v>
      </c>
      <c r="P516" s="97">
        <f>VLOOKUP(Table323[[#This Row],[Census Tract]],'Population and Diversity Data'!$B$2:$K$823,10,FALSE)</f>
        <v>3</v>
      </c>
      <c r="Q516" s="97" t="str">
        <f>VLOOKUP(Table323[[#This Row],[Census Tract]],'ES Energy Burden'!$B$2:$E$914,4,FALSE)</f>
        <v>No</v>
      </c>
    </row>
    <row r="517" spans="1:17" x14ac:dyDescent="0.2">
      <c r="A517" s="30" t="s">
        <v>2817</v>
      </c>
      <c r="B517" s="169">
        <v>9001043100</v>
      </c>
      <c r="C517" s="232" t="s">
        <v>944</v>
      </c>
      <c r="D517" s="182">
        <v>61237.018794000003</v>
      </c>
      <c r="E517" s="182">
        <v>24795.599999999999</v>
      </c>
      <c r="F517" s="13">
        <f>[1]!Table323[[#This Row],[Single Family]]+[1]!Table323[[#This Row],[2-4 Units]]+[1]!Table323[[#This Row],[&gt;4 Units]]</f>
        <v>0</v>
      </c>
      <c r="G517" s="30">
        <v>0</v>
      </c>
      <c r="H517" s="30">
        <v>0</v>
      </c>
      <c r="I517" s="30">
        <v>0</v>
      </c>
      <c r="J517" s="231">
        <v>20589.52</v>
      </c>
      <c r="K517">
        <f t="shared" si="7"/>
        <v>2</v>
      </c>
      <c r="L517" s="30">
        <v>2</v>
      </c>
      <c r="M517" s="30">
        <v>0</v>
      </c>
      <c r="N517" s="30">
        <v>0</v>
      </c>
      <c r="O517" s="231">
        <v>4355.18</v>
      </c>
      <c r="P517" s="97">
        <f>VLOOKUP(Table323[[#This Row],[Census Tract]],'Population and Diversity Data'!$B$2:$K$823,10,FALSE)</f>
        <v>5</v>
      </c>
      <c r="Q517" s="97" t="str">
        <f>VLOOKUP(Table323[[#This Row],[Census Tract]],'ES Energy Burden'!$B$2:$E$914,4,FALSE)</f>
        <v>No</v>
      </c>
    </row>
    <row r="518" spans="1:17" x14ac:dyDescent="0.2">
      <c r="A518" s="30" t="s">
        <v>2817</v>
      </c>
      <c r="B518" s="169">
        <v>9001043200</v>
      </c>
      <c r="C518" s="232" t="s">
        <v>944</v>
      </c>
      <c r="D518" s="182">
        <v>407754.74231100001</v>
      </c>
      <c r="E518" s="182">
        <v>839355.39</v>
      </c>
      <c r="F518" s="13">
        <f>[1]!Table323[[#This Row],[Single Family]]+[1]!Table323[[#This Row],[2-4 Units]]+[1]!Table323[[#This Row],[&gt;4 Units]]</f>
        <v>463</v>
      </c>
      <c r="G518" s="30">
        <v>1</v>
      </c>
      <c r="H518" s="30">
        <v>0</v>
      </c>
      <c r="I518" s="30">
        <v>462</v>
      </c>
      <c r="J518" s="231">
        <v>165.32</v>
      </c>
      <c r="K518">
        <f t="shared" ref="K518:K581" si="8">L518+M518+N518</f>
        <v>2</v>
      </c>
      <c r="L518" s="30">
        <v>2</v>
      </c>
      <c r="M518" s="30">
        <v>0</v>
      </c>
      <c r="N518" s="30">
        <v>0</v>
      </c>
      <c r="O518" s="231">
        <v>24908.13</v>
      </c>
      <c r="P518" s="97">
        <f>VLOOKUP(Table323[[#This Row],[Census Tract]],'Population and Diversity Data'!$B$2:$K$823,10,FALSE)</f>
        <v>3</v>
      </c>
      <c r="Q518" s="97" t="str">
        <f>VLOOKUP(Table323[[#This Row],[Census Tract]],'ES Energy Burden'!$B$2:$E$914,4,FALSE)</f>
        <v>No</v>
      </c>
    </row>
    <row r="519" spans="1:17" x14ac:dyDescent="0.2">
      <c r="A519" s="30" t="s">
        <v>2817</v>
      </c>
      <c r="B519" s="169">
        <v>9001043300</v>
      </c>
      <c r="C519" s="232" t="s">
        <v>944</v>
      </c>
      <c r="D519" s="182">
        <v>35963.052678</v>
      </c>
      <c r="E519" s="182">
        <v>35917.040000000001</v>
      </c>
      <c r="F519" s="13">
        <f>[1]!Table323[[#This Row],[Single Family]]+[1]!Table323[[#This Row],[2-4 Units]]+[1]!Table323[[#This Row],[&gt;4 Units]]</f>
        <v>0</v>
      </c>
      <c r="G519" s="30">
        <v>0</v>
      </c>
      <c r="H519" s="30">
        <v>0</v>
      </c>
      <c r="I519" s="30">
        <v>0</v>
      </c>
      <c r="J519" s="231">
        <v>1787.21</v>
      </c>
      <c r="K519">
        <f t="shared" si="8"/>
        <v>4</v>
      </c>
      <c r="L519" s="30">
        <v>4</v>
      </c>
      <c r="M519" s="30">
        <v>0</v>
      </c>
      <c r="N519" s="30">
        <v>0</v>
      </c>
      <c r="O519" s="231">
        <v>7446.51</v>
      </c>
      <c r="P519" s="97">
        <f>VLOOKUP(Table323[[#This Row],[Census Tract]],'Population and Diversity Data'!$B$2:$K$823,10,FALSE)</f>
        <v>4</v>
      </c>
      <c r="Q519" s="97" t="str">
        <f>VLOOKUP(Table323[[#This Row],[Census Tract]],'ES Energy Burden'!$B$2:$E$914,4,FALSE)</f>
        <v>No</v>
      </c>
    </row>
    <row r="520" spans="1:17" x14ac:dyDescent="0.2">
      <c r="A520" s="30" t="s">
        <v>2817</v>
      </c>
      <c r="B520" s="169">
        <v>9001043400</v>
      </c>
      <c r="C520" s="232" t="s">
        <v>944</v>
      </c>
      <c r="D520" s="182">
        <v>37069.379633999997</v>
      </c>
      <c r="E520" s="182">
        <v>19184.939999999999</v>
      </c>
      <c r="F520" s="13">
        <f>[1]!Table323[[#This Row],[Single Family]]+[1]!Table323[[#This Row],[2-4 Units]]+[1]!Table323[[#This Row],[&gt;4 Units]]</f>
        <v>0</v>
      </c>
      <c r="G520" s="30">
        <v>0</v>
      </c>
      <c r="H520" s="30">
        <v>0</v>
      </c>
      <c r="I520" s="30">
        <v>0</v>
      </c>
      <c r="J520" s="231">
        <v>0</v>
      </c>
      <c r="K520">
        <f t="shared" si="8"/>
        <v>6</v>
      </c>
      <c r="L520" s="30">
        <v>4</v>
      </c>
      <c r="M520" s="30">
        <v>2</v>
      </c>
      <c r="N520" s="30">
        <v>0</v>
      </c>
      <c r="O520" s="231">
        <v>13446.6</v>
      </c>
      <c r="P520" s="97">
        <f>VLOOKUP(Table323[[#This Row],[Census Tract]],'Population and Diversity Data'!$B$2:$K$823,10,FALSE)</f>
        <v>5</v>
      </c>
      <c r="Q520" s="97" t="str">
        <f>VLOOKUP(Table323[[#This Row],[Census Tract]],'ES Energy Burden'!$B$2:$E$914,4,FALSE)</f>
        <v>No</v>
      </c>
    </row>
    <row r="521" spans="1:17" x14ac:dyDescent="0.2">
      <c r="A521" s="30" t="s">
        <v>2817</v>
      </c>
      <c r="B521" s="169">
        <v>9001043500</v>
      </c>
      <c r="C521" s="232" t="s">
        <v>944</v>
      </c>
      <c r="D521" s="182">
        <v>26598.92109</v>
      </c>
      <c r="E521" s="182">
        <v>34097.82</v>
      </c>
      <c r="F521" s="13">
        <f>[1]!Table323[[#This Row],[Single Family]]+[1]!Table323[[#This Row],[2-4 Units]]+[1]!Table323[[#This Row],[&gt;4 Units]]</f>
        <v>0</v>
      </c>
      <c r="G521" s="30">
        <v>0</v>
      </c>
      <c r="H521" s="30">
        <v>0</v>
      </c>
      <c r="I521" s="30">
        <v>0</v>
      </c>
      <c r="J521" s="231">
        <v>6000.19</v>
      </c>
      <c r="K521">
        <f t="shared" si="8"/>
        <v>3</v>
      </c>
      <c r="L521" s="30">
        <v>3</v>
      </c>
      <c r="M521" s="30">
        <v>0</v>
      </c>
      <c r="N521" s="30">
        <v>0</v>
      </c>
      <c r="O521" s="231">
        <v>25757.63</v>
      </c>
      <c r="P521" s="97">
        <f>VLOOKUP(Table323[[#This Row],[Census Tract]],'Population and Diversity Data'!$B$2:$K$823,10,FALSE)</f>
        <v>1</v>
      </c>
      <c r="Q521" s="97" t="str">
        <f>VLOOKUP(Table323[[#This Row],[Census Tract]],'ES Energy Burden'!$B$2:$E$914,4,FALSE)</f>
        <v>No</v>
      </c>
    </row>
    <row r="522" spans="1:17" x14ac:dyDescent="0.2">
      <c r="A522" s="30" t="s">
        <v>2817</v>
      </c>
      <c r="B522" s="169">
        <v>9001043600</v>
      </c>
      <c r="C522" s="232" t="s">
        <v>944</v>
      </c>
      <c r="D522" s="182">
        <v>30816.62199</v>
      </c>
      <c r="E522" s="182">
        <v>27502.42</v>
      </c>
      <c r="F522" s="13">
        <f>[1]!Table323[[#This Row],[Single Family]]+[1]!Table323[[#This Row],[2-4 Units]]+[1]!Table323[[#This Row],[&gt;4 Units]]</f>
        <v>1</v>
      </c>
      <c r="G522" s="30">
        <v>1</v>
      </c>
      <c r="H522" s="30">
        <v>0</v>
      </c>
      <c r="I522" s="30">
        <v>0</v>
      </c>
      <c r="J522" s="231">
        <v>6697.54</v>
      </c>
      <c r="K522">
        <f t="shared" si="8"/>
        <v>1</v>
      </c>
      <c r="L522" s="30">
        <v>1</v>
      </c>
      <c r="M522" s="30">
        <v>0</v>
      </c>
      <c r="N522" s="30">
        <v>0</v>
      </c>
      <c r="O522" s="231">
        <v>8156.07</v>
      </c>
      <c r="P522" s="97">
        <f>VLOOKUP(Table323[[#This Row],[Census Tract]],'Population and Diversity Data'!$B$2:$K$823,10,FALSE)</f>
        <v>4</v>
      </c>
      <c r="Q522" s="97" t="str">
        <f>VLOOKUP(Table323[[#This Row],[Census Tract]],'ES Energy Burden'!$B$2:$E$914,4,FALSE)</f>
        <v>No</v>
      </c>
    </row>
    <row r="523" spans="1:17" x14ac:dyDescent="0.2">
      <c r="A523" s="30" t="s">
        <v>2817</v>
      </c>
      <c r="B523" s="169">
        <v>9001043700</v>
      </c>
      <c r="C523" s="232" t="s">
        <v>944</v>
      </c>
      <c r="D523" s="182">
        <v>23978.845086000001</v>
      </c>
      <c r="E523" s="182">
        <v>12341.02</v>
      </c>
      <c r="F523" s="13">
        <f>[1]!Table323[[#This Row],[Single Family]]+[1]!Table323[[#This Row],[2-4 Units]]+[1]!Table323[[#This Row],[&gt;4 Units]]</f>
        <v>0</v>
      </c>
      <c r="G523" s="30">
        <v>0</v>
      </c>
      <c r="H523" s="30">
        <v>0</v>
      </c>
      <c r="I523" s="30">
        <v>0</v>
      </c>
      <c r="J523" s="231">
        <v>94.83</v>
      </c>
      <c r="K523">
        <f t="shared" si="8"/>
        <v>1</v>
      </c>
      <c r="L523" s="30">
        <v>1</v>
      </c>
      <c r="M523" s="30">
        <v>0</v>
      </c>
      <c r="N523" s="30">
        <v>0</v>
      </c>
      <c r="O523" s="231">
        <v>1004.13</v>
      </c>
      <c r="P523" s="97">
        <f>VLOOKUP(Table323[[#This Row],[Census Tract]],'Population and Diversity Data'!$B$2:$K$823,10,FALSE)</f>
        <v>4</v>
      </c>
      <c r="Q523" s="97" t="str">
        <f>VLOOKUP(Table323[[#This Row],[Census Tract]],'ES Energy Burden'!$B$2:$E$914,4,FALSE)</f>
        <v>No</v>
      </c>
    </row>
    <row r="524" spans="1:17" x14ac:dyDescent="0.2">
      <c r="A524" s="30" t="s">
        <v>2817</v>
      </c>
      <c r="B524" s="169">
        <v>9001043800</v>
      </c>
      <c r="C524" s="232" t="s">
        <v>944</v>
      </c>
      <c r="D524" s="182">
        <v>64265.555339999999</v>
      </c>
      <c r="E524" s="182">
        <v>23954.17</v>
      </c>
      <c r="F524" s="13">
        <f>[1]!Table323[[#This Row],[Single Family]]+[1]!Table323[[#This Row],[2-4 Units]]+[1]!Table323[[#This Row],[&gt;4 Units]]</f>
        <v>0</v>
      </c>
      <c r="G524" s="30">
        <v>0</v>
      </c>
      <c r="H524" s="30">
        <v>0</v>
      </c>
      <c r="I524" s="30">
        <v>0</v>
      </c>
      <c r="J524" s="231">
        <v>1289.5899999999999</v>
      </c>
      <c r="K524">
        <f t="shared" si="8"/>
        <v>6</v>
      </c>
      <c r="L524" s="30">
        <v>5</v>
      </c>
      <c r="M524" s="30">
        <v>1</v>
      </c>
      <c r="N524" s="30">
        <v>0</v>
      </c>
      <c r="O524" s="231">
        <v>9537.44</v>
      </c>
      <c r="P524" s="97">
        <f>VLOOKUP(Table323[[#This Row],[Census Tract]],'Population and Diversity Data'!$B$2:$K$823,10,FALSE)</f>
        <v>4</v>
      </c>
      <c r="Q524" s="97" t="str">
        <f>VLOOKUP(Table323[[#This Row],[Census Tract]],'ES Energy Burden'!$B$2:$E$914,4,FALSE)</f>
        <v>No</v>
      </c>
    </row>
    <row r="525" spans="1:17" x14ac:dyDescent="0.2">
      <c r="A525" s="30" t="s">
        <v>2817</v>
      </c>
      <c r="B525" s="169">
        <v>9001043900</v>
      </c>
      <c r="C525" s="232" t="s">
        <v>944</v>
      </c>
      <c r="D525" s="182">
        <v>52499.392302</v>
      </c>
      <c r="E525" s="182">
        <v>40667.61</v>
      </c>
      <c r="F525" s="13">
        <f>[1]!Table323[[#This Row],[Single Family]]+[1]!Table323[[#This Row],[2-4 Units]]+[1]!Table323[[#This Row],[&gt;4 Units]]</f>
        <v>0</v>
      </c>
      <c r="G525" s="30">
        <v>0</v>
      </c>
      <c r="H525" s="30">
        <v>0</v>
      </c>
      <c r="I525" s="30">
        <v>0</v>
      </c>
      <c r="J525" s="231">
        <v>24688.93</v>
      </c>
      <c r="K525">
        <f t="shared" si="8"/>
        <v>2</v>
      </c>
      <c r="L525" s="30">
        <v>2</v>
      </c>
      <c r="M525" s="30">
        <v>0</v>
      </c>
      <c r="N525" s="30">
        <v>0</v>
      </c>
      <c r="O525" s="231">
        <v>1372.42</v>
      </c>
      <c r="P525" s="97">
        <f>VLOOKUP(Table323[[#This Row],[Census Tract]],'Population and Diversity Data'!$B$2:$K$823,10,FALSE)</f>
        <v>5</v>
      </c>
      <c r="Q525" s="97" t="str">
        <f>VLOOKUP(Table323[[#This Row],[Census Tract]],'ES Energy Burden'!$B$2:$E$914,4,FALSE)</f>
        <v>No</v>
      </c>
    </row>
    <row r="526" spans="1:17" x14ac:dyDescent="0.2">
      <c r="A526" s="30" t="s">
        <v>2817</v>
      </c>
      <c r="B526" s="169">
        <v>9001044000</v>
      </c>
      <c r="C526" s="232" t="s">
        <v>944</v>
      </c>
      <c r="D526" s="182">
        <v>5511.7110300000004</v>
      </c>
      <c r="E526" s="182">
        <v>164994.15</v>
      </c>
      <c r="F526" s="13">
        <f>[1]!Table323[[#This Row],[Single Family]]+[1]!Table323[[#This Row],[2-4 Units]]+[1]!Table323[[#This Row],[&gt;4 Units]]</f>
        <v>0</v>
      </c>
      <c r="G526" s="30">
        <v>0</v>
      </c>
      <c r="H526" s="30">
        <v>0</v>
      </c>
      <c r="I526" s="30">
        <v>0</v>
      </c>
      <c r="J526" s="231">
        <v>0</v>
      </c>
      <c r="K526">
        <f t="shared" si="8"/>
        <v>288</v>
      </c>
      <c r="L526" s="30">
        <v>2</v>
      </c>
      <c r="M526" s="30">
        <v>0</v>
      </c>
      <c r="N526" s="30">
        <v>286</v>
      </c>
      <c r="O526" s="231">
        <v>164994.15</v>
      </c>
      <c r="P526" s="97">
        <f>VLOOKUP(Table323[[#This Row],[Census Tract]],'Population and Diversity Data'!$B$2:$K$823,10,FALSE)</f>
        <v>4</v>
      </c>
      <c r="Q526" s="97" t="str">
        <f>VLOOKUP(Table323[[#This Row],[Census Tract]],'ES Energy Burden'!$B$2:$E$914,4,FALSE)</f>
        <v>No</v>
      </c>
    </row>
    <row r="527" spans="1:17" x14ac:dyDescent="0.2">
      <c r="A527" s="30" t="s">
        <v>2817</v>
      </c>
      <c r="B527" s="169">
        <v>9001044200</v>
      </c>
      <c r="C527" s="232" t="s">
        <v>944</v>
      </c>
      <c r="D527" s="182">
        <v>931.11291000000006</v>
      </c>
      <c r="E527" s="182">
        <v>102.16</v>
      </c>
      <c r="F527" s="13">
        <f>[1]!Table323[[#This Row],[Single Family]]+[1]!Table323[[#This Row],[2-4 Units]]+[1]!Table323[[#This Row],[&gt;4 Units]]</f>
        <v>0</v>
      </c>
      <c r="G527" s="30">
        <v>0</v>
      </c>
      <c r="H527" s="30">
        <v>0</v>
      </c>
      <c r="I527" s="30">
        <v>0</v>
      </c>
      <c r="J527" s="231">
        <v>192.21</v>
      </c>
      <c r="K527">
        <f t="shared" si="8"/>
        <v>0</v>
      </c>
      <c r="L527" s="30">
        <v>0</v>
      </c>
      <c r="M527" s="30">
        <v>0</v>
      </c>
      <c r="N527" s="30">
        <v>0</v>
      </c>
      <c r="O527" s="231">
        <v>0</v>
      </c>
      <c r="P527" s="97">
        <f>VLOOKUP(Table323[[#This Row],[Census Tract]],'Population and Diversity Data'!$B$2:$K$823,10,FALSE)</f>
        <v>4</v>
      </c>
      <c r="Q527" s="97" t="str">
        <f>VLOOKUP(Table323[[#This Row],[Census Tract]],'ES Energy Burden'!$B$2:$E$914,4,FALSE)</f>
        <v>No</v>
      </c>
    </row>
    <row r="528" spans="1:17" x14ac:dyDescent="0.2">
      <c r="A528" s="30" t="s">
        <v>2817</v>
      </c>
      <c r="B528" s="169">
        <v>9001044300</v>
      </c>
      <c r="C528" s="232" t="s">
        <v>944</v>
      </c>
      <c r="D528" s="182">
        <v>2718.0535199999999</v>
      </c>
      <c r="E528" s="182">
        <v>0</v>
      </c>
      <c r="F528" s="13">
        <f>[1]!Table323[[#This Row],[Single Family]]+[1]!Table323[[#This Row],[2-4 Units]]+[1]!Table323[[#This Row],[&gt;4 Units]]</f>
        <v>0</v>
      </c>
      <c r="G528" s="30">
        <v>0</v>
      </c>
      <c r="H528" s="30">
        <v>0</v>
      </c>
      <c r="I528" s="30">
        <v>0</v>
      </c>
      <c r="J528" s="231">
        <v>0</v>
      </c>
      <c r="K528">
        <f t="shared" si="8"/>
        <v>0</v>
      </c>
      <c r="L528" s="30">
        <v>0</v>
      </c>
      <c r="M528" s="30">
        <v>0</v>
      </c>
      <c r="N528" s="30">
        <v>0</v>
      </c>
      <c r="O528" s="231">
        <v>0</v>
      </c>
      <c r="P528" s="97">
        <f>VLOOKUP(Table323[[#This Row],[Census Tract]],'Population and Diversity Data'!$B$2:$K$823,10,FALSE)</f>
        <v>3</v>
      </c>
      <c r="Q528" s="97" t="str">
        <f>VLOOKUP(Table323[[#This Row],[Census Tract]],'ES Energy Burden'!$B$2:$E$914,4,FALSE)</f>
        <v>No</v>
      </c>
    </row>
    <row r="529" spans="1:17" x14ac:dyDescent="0.2">
      <c r="A529" s="30" t="s">
        <v>2817</v>
      </c>
      <c r="B529" s="169">
        <v>9001044400</v>
      </c>
      <c r="C529" s="232" t="s">
        <v>944</v>
      </c>
      <c r="D529" s="182">
        <v>7686.9691499999999</v>
      </c>
      <c r="E529" s="182">
        <v>1735.61</v>
      </c>
      <c r="F529" s="13">
        <f>[1]!Table323[[#This Row],[Single Family]]+[1]!Table323[[#This Row],[2-4 Units]]+[1]!Table323[[#This Row],[&gt;4 Units]]</f>
        <v>0</v>
      </c>
      <c r="G529" s="30">
        <v>0</v>
      </c>
      <c r="H529" s="30">
        <v>0</v>
      </c>
      <c r="I529" s="30">
        <v>0</v>
      </c>
      <c r="J529" s="231">
        <v>0</v>
      </c>
      <c r="K529">
        <f t="shared" si="8"/>
        <v>2</v>
      </c>
      <c r="L529" s="30">
        <v>2</v>
      </c>
      <c r="M529" s="30">
        <v>0</v>
      </c>
      <c r="N529" s="30">
        <v>0</v>
      </c>
      <c r="O529" s="231">
        <v>0</v>
      </c>
      <c r="P529" s="97">
        <f>VLOOKUP(Table323[[#This Row],[Census Tract]],'Population and Diversity Data'!$B$2:$K$823,10,FALSE)</f>
        <v>2</v>
      </c>
      <c r="Q529" s="97" t="str">
        <f>VLOOKUP(Table323[[#This Row],[Census Tract]],'ES Energy Burden'!$B$2:$E$914,4,FALSE)</f>
        <v>No</v>
      </c>
    </row>
    <row r="530" spans="1:17" x14ac:dyDescent="0.2">
      <c r="A530" s="30" t="s">
        <v>2817</v>
      </c>
      <c r="B530" s="169">
        <v>9001044500</v>
      </c>
      <c r="C530" s="232" t="s">
        <v>944</v>
      </c>
      <c r="D530" s="182">
        <v>12912.217710000001</v>
      </c>
      <c r="E530" s="182">
        <v>384.42</v>
      </c>
      <c r="F530" s="13">
        <f>[1]!Table323[[#This Row],[Single Family]]+[1]!Table323[[#This Row],[2-4 Units]]+[1]!Table323[[#This Row],[&gt;4 Units]]</f>
        <v>0</v>
      </c>
      <c r="G530" s="30">
        <v>0</v>
      </c>
      <c r="H530" s="30">
        <v>0</v>
      </c>
      <c r="I530" s="30">
        <v>0</v>
      </c>
      <c r="J530" s="231">
        <v>0</v>
      </c>
      <c r="K530">
        <f t="shared" si="8"/>
        <v>1</v>
      </c>
      <c r="L530" s="30">
        <v>1</v>
      </c>
      <c r="M530" s="30">
        <v>0</v>
      </c>
      <c r="N530" s="30">
        <v>0</v>
      </c>
      <c r="O530" s="231">
        <v>180.65</v>
      </c>
      <c r="P530" s="97">
        <f>VLOOKUP(Table323[[#This Row],[Census Tract]],'Population and Diversity Data'!$B$2:$K$823,10,FALSE)</f>
        <v>3</v>
      </c>
      <c r="Q530" s="97" t="str">
        <f>VLOOKUP(Table323[[#This Row],[Census Tract]],'ES Energy Burden'!$B$2:$E$914,4,FALSE)</f>
        <v>No</v>
      </c>
    </row>
    <row r="531" spans="1:17" x14ac:dyDescent="0.2">
      <c r="A531" s="30" t="s">
        <v>2817</v>
      </c>
      <c r="B531" s="169">
        <v>9001044600</v>
      </c>
      <c r="C531" s="232" t="s">
        <v>944</v>
      </c>
      <c r="D531" s="182">
        <v>66609.119640000004</v>
      </c>
      <c r="E531" s="182">
        <v>26423.49</v>
      </c>
      <c r="F531" s="13">
        <f>[1]!Table323[[#This Row],[Single Family]]+[1]!Table323[[#This Row],[2-4 Units]]+[1]!Table323[[#This Row],[&gt;4 Units]]</f>
        <v>284</v>
      </c>
      <c r="G531" s="30">
        <v>278</v>
      </c>
      <c r="H531" s="30">
        <v>6</v>
      </c>
      <c r="I531" s="30">
        <v>0</v>
      </c>
      <c r="J531" s="231">
        <v>563796.19999999995</v>
      </c>
      <c r="K531">
        <f t="shared" si="8"/>
        <v>35</v>
      </c>
      <c r="L531" s="30">
        <v>25</v>
      </c>
      <c r="M531" s="30">
        <v>10</v>
      </c>
      <c r="N531" s="30">
        <v>0</v>
      </c>
      <c r="O531" s="231">
        <v>126829.71</v>
      </c>
      <c r="P531" s="97">
        <f>VLOOKUP(Table323[[#This Row],[Census Tract]],'Population and Diversity Data'!$B$2:$K$823,10,FALSE)</f>
        <v>1</v>
      </c>
      <c r="Q531" s="97" t="str">
        <f>VLOOKUP(Table323[[#This Row],[Census Tract]],'ES Energy Burden'!$B$2:$E$914,4,FALSE)</f>
        <v>No</v>
      </c>
    </row>
    <row r="532" spans="1:17" x14ac:dyDescent="0.2">
      <c r="A532" s="30" t="s">
        <v>2817</v>
      </c>
      <c r="B532" s="169">
        <v>9001045300</v>
      </c>
      <c r="C532" s="232" t="s">
        <v>944</v>
      </c>
      <c r="D532" s="182">
        <v>140.07</v>
      </c>
      <c r="E532" s="182">
        <v>1569.51</v>
      </c>
      <c r="F532" s="13">
        <f>[1]!Table323[[#This Row],[Single Family]]+[1]!Table323[[#This Row],[2-4 Units]]+[1]!Table323[[#This Row],[&gt;4 Units]]</f>
        <v>0</v>
      </c>
      <c r="G532" s="30">
        <v>0</v>
      </c>
      <c r="H532" s="30">
        <v>0</v>
      </c>
      <c r="I532" s="30">
        <v>0</v>
      </c>
      <c r="J532" s="231">
        <v>69.819999999999993</v>
      </c>
      <c r="K532">
        <f t="shared" si="8"/>
        <v>0</v>
      </c>
      <c r="L532" s="30">
        <v>0</v>
      </c>
      <c r="M532" s="30">
        <v>0</v>
      </c>
      <c r="N532" s="30">
        <v>0</v>
      </c>
      <c r="O532" s="231">
        <v>0</v>
      </c>
      <c r="P532" s="97">
        <f>VLOOKUP(Table323[[#This Row],[Census Tract]],'Population and Diversity Data'!$B$2:$K$823,10,FALSE)</f>
        <v>4</v>
      </c>
      <c r="Q532" s="97" t="str">
        <f>VLOOKUP(Table323[[#This Row],[Census Tract]],'ES Energy Burden'!$B$2:$E$914,4,FALSE)</f>
        <v>No</v>
      </c>
    </row>
    <row r="533" spans="1:17" x14ac:dyDescent="0.2">
      <c r="A533" s="30" t="s">
        <v>2817</v>
      </c>
      <c r="B533" s="169">
        <v>9001045400</v>
      </c>
      <c r="C533" s="232" t="s">
        <v>944</v>
      </c>
      <c r="D533" s="182">
        <v>1766.5000500000001</v>
      </c>
      <c r="E533" s="182">
        <v>1185.68</v>
      </c>
      <c r="F533" s="13">
        <f>[1]!Table323[[#This Row],[Single Family]]+[1]!Table323[[#This Row],[2-4 Units]]+[1]!Table323[[#This Row],[&gt;4 Units]]</f>
        <v>0</v>
      </c>
      <c r="G533" s="30">
        <v>0</v>
      </c>
      <c r="H533" s="30">
        <v>0</v>
      </c>
      <c r="I533" s="30">
        <v>0</v>
      </c>
      <c r="J533" s="231">
        <v>0</v>
      </c>
      <c r="K533">
        <f t="shared" si="8"/>
        <v>0</v>
      </c>
      <c r="L533" s="30">
        <v>0</v>
      </c>
      <c r="M533" s="30">
        <v>0</v>
      </c>
      <c r="N533" s="30">
        <v>0</v>
      </c>
      <c r="O533" s="231">
        <v>0</v>
      </c>
      <c r="P533" s="97">
        <f>VLOOKUP(Table323[[#This Row],[Census Tract]],'Population and Diversity Data'!$B$2:$K$823,10,FALSE)</f>
        <v>4</v>
      </c>
      <c r="Q533" s="97" t="str">
        <f>VLOOKUP(Table323[[#This Row],[Census Tract]],'ES Energy Burden'!$B$2:$E$914,4,FALSE)</f>
        <v>No</v>
      </c>
    </row>
    <row r="534" spans="1:17" x14ac:dyDescent="0.2">
      <c r="A534" s="30" t="s">
        <v>2818</v>
      </c>
      <c r="B534" s="169">
        <v>9011650100</v>
      </c>
      <c r="C534" s="232" t="s">
        <v>944</v>
      </c>
      <c r="D534" s="182">
        <v>2193.3319799999999</v>
      </c>
      <c r="E534" s="182">
        <v>2095.67</v>
      </c>
      <c r="F534" s="13">
        <f>[1]!Table323[[#This Row],[Single Family]]+[1]!Table323[[#This Row],[2-4 Units]]+[1]!Table323[[#This Row],[&gt;4 Units]]</f>
        <v>0</v>
      </c>
      <c r="G534" s="30">
        <v>0</v>
      </c>
      <c r="H534" s="30">
        <v>0</v>
      </c>
      <c r="I534" s="30">
        <v>0</v>
      </c>
      <c r="J534" s="231">
        <v>0</v>
      </c>
      <c r="K534">
        <f t="shared" si="8"/>
        <v>0</v>
      </c>
      <c r="L534" s="30">
        <v>0</v>
      </c>
      <c r="M534" s="30">
        <v>0</v>
      </c>
      <c r="N534" s="30">
        <v>0</v>
      </c>
      <c r="O534" s="231">
        <v>0</v>
      </c>
      <c r="P534" s="97">
        <f>VLOOKUP(Table323[[#This Row],[Census Tract]],'Population and Diversity Data'!$B$2:$K$823,10,FALSE)</f>
        <v>1</v>
      </c>
      <c r="Q534" s="97" t="str">
        <f>VLOOKUP(Table323[[#This Row],[Census Tract]],'ES Energy Burden'!$B$2:$E$914,4,FALSE)</f>
        <v>No</v>
      </c>
    </row>
    <row r="535" spans="1:17" x14ac:dyDescent="0.2">
      <c r="A535" s="30" t="s">
        <v>2818</v>
      </c>
      <c r="B535" s="169">
        <v>9011660101</v>
      </c>
      <c r="C535" s="232" t="s">
        <v>944</v>
      </c>
      <c r="D535" s="182">
        <v>128876.033538</v>
      </c>
      <c r="E535" s="182">
        <v>324657.59499999997</v>
      </c>
      <c r="F535" s="13">
        <f>[1]!Table323[[#This Row],[Single Family]]+[1]!Table323[[#This Row],[2-4 Units]]+[1]!Table323[[#This Row],[&gt;4 Units]]</f>
        <v>1</v>
      </c>
      <c r="G535" s="30">
        <v>1</v>
      </c>
      <c r="H535" s="30">
        <v>0</v>
      </c>
      <c r="I535" s="30">
        <v>0</v>
      </c>
      <c r="J535" s="231">
        <v>38428.28</v>
      </c>
      <c r="K535">
        <f t="shared" si="8"/>
        <v>3</v>
      </c>
      <c r="L535" s="30">
        <v>3</v>
      </c>
      <c r="M535" s="30">
        <v>0</v>
      </c>
      <c r="N535" s="30">
        <v>0</v>
      </c>
      <c r="O535" s="231">
        <v>12477.53</v>
      </c>
      <c r="P535" s="97">
        <f>VLOOKUP(Table323[[#This Row],[Census Tract]],'Population and Diversity Data'!$B$2:$K$823,10,FALSE)</f>
        <v>2</v>
      </c>
      <c r="Q535" s="97" t="str">
        <f>VLOOKUP(Table323[[#This Row],[Census Tract]],'ES Energy Burden'!$B$2:$E$914,4,FALSE)</f>
        <v>No</v>
      </c>
    </row>
    <row r="536" spans="1:17" x14ac:dyDescent="0.2">
      <c r="A536" s="30" t="s">
        <v>2818</v>
      </c>
      <c r="B536" s="169">
        <v>9011660102</v>
      </c>
      <c r="C536" s="232" t="s">
        <v>944</v>
      </c>
      <c r="D536" s="182">
        <v>68340.617645999999</v>
      </c>
      <c r="E536" s="182">
        <v>140152.995</v>
      </c>
      <c r="F536" s="13">
        <f>[1]!Table323[[#This Row],[Single Family]]+[1]!Table323[[#This Row],[2-4 Units]]+[1]!Table323[[#This Row],[&gt;4 Units]]</f>
        <v>108</v>
      </c>
      <c r="G536" s="30">
        <v>107</v>
      </c>
      <c r="H536" s="30">
        <v>1</v>
      </c>
      <c r="I536" s="30">
        <v>0</v>
      </c>
      <c r="J536" s="231">
        <v>245133.84</v>
      </c>
      <c r="K536">
        <f t="shared" si="8"/>
        <v>35</v>
      </c>
      <c r="L536" s="30">
        <v>10</v>
      </c>
      <c r="M536" s="30">
        <v>1</v>
      </c>
      <c r="N536" s="30">
        <v>24</v>
      </c>
      <c r="O536" s="231">
        <v>77905.06</v>
      </c>
      <c r="P536" s="97">
        <f>VLOOKUP(Table323[[#This Row],[Census Tract]],'Population and Diversity Data'!$B$2:$K$823,10,FALSE)</f>
        <v>1</v>
      </c>
      <c r="Q536" s="97" t="str">
        <f>VLOOKUP(Table323[[#This Row],[Census Tract]],'ES Energy Burden'!$B$2:$E$914,4,FALSE)</f>
        <v>No</v>
      </c>
    </row>
    <row r="537" spans="1:17" x14ac:dyDescent="0.2">
      <c r="A537" s="30" t="s">
        <v>2819</v>
      </c>
      <c r="B537" s="169">
        <v>9007670100</v>
      </c>
      <c r="C537" s="232" t="s">
        <v>944</v>
      </c>
      <c r="D537" s="182">
        <v>72743.177135999998</v>
      </c>
      <c r="E537" s="182">
        <v>85663.29</v>
      </c>
      <c r="F537" s="13">
        <f>[1]!Table323[[#This Row],[Single Family]]+[1]!Table323[[#This Row],[2-4 Units]]+[1]!Table323[[#This Row],[&gt;4 Units]]</f>
        <v>1</v>
      </c>
      <c r="G537" s="30">
        <v>1</v>
      </c>
      <c r="H537" s="30">
        <v>0</v>
      </c>
      <c r="I537" s="30">
        <v>0</v>
      </c>
      <c r="J537" s="231">
        <v>15377.63</v>
      </c>
      <c r="K537">
        <f t="shared" si="8"/>
        <v>7</v>
      </c>
      <c r="L537" s="30">
        <v>7</v>
      </c>
      <c r="M537" s="30">
        <v>0</v>
      </c>
      <c r="N537" s="30">
        <v>0</v>
      </c>
      <c r="O537" s="231">
        <v>51914.31</v>
      </c>
      <c r="P537" s="97">
        <f>VLOOKUP(Table323[[#This Row],[Census Tract]],'Population and Diversity Data'!$B$2:$K$823,10,FALSE)</f>
        <v>2</v>
      </c>
      <c r="Q537" s="97" t="str">
        <f>VLOOKUP(Table323[[#This Row],[Census Tract]],'ES Energy Burden'!$B$2:$E$914,4,FALSE)</f>
        <v>No</v>
      </c>
    </row>
    <row r="538" spans="1:17" x14ac:dyDescent="0.2">
      <c r="A538" s="30" t="s">
        <v>2819</v>
      </c>
      <c r="B538" s="169">
        <v>9007670200</v>
      </c>
      <c r="C538" s="232" t="s">
        <v>944</v>
      </c>
      <c r="D538" s="182">
        <v>165478.35651899999</v>
      </c>
      <c r="E538" s="182">
        <v>309457.03249999997</v>
      </c>
      <c r="F538" s="13">
        <f>[1]!Table323[[#This Row],[Single Family]]+[1]!Table323[[#This Row],[2-4 Units]]+[1]!Table323[[#This Row],[&gt;4 Units]]</f>
        <v>130</v>
      </c>
      <c r="G538" s="30">
        <v>127</v>
      </c>
      <c r="H538" s="30">
        <v>3</v>
      </c>
      <c r="I538" s="30">
        <v>0</v>
      </c>
      <c r="J538" s="231">
        <v>203850.62</v>
      </c>
      <c r="K538">
        <f t="shared" si="8"/>
        <v>16</v>
      </c>
      <c r="L538" s="30">
        <v>3</v>
      </c>
      <c r="M538" s="30">
        <v>1</v>
      </c>
      <c r="N538" s="30">
        <v>12</v>
      </c>
      <c r="O538" s="231">
        <v>17406.28</v>
      </c>
      <c r="P538" s="97">
        <f>VLOOKUP(Table323[[#This Row],[Census Tract]],'Population and Diversity Data'!$B$2:$K$823,10,FALSE)</f>
        <v>1</v>
      </c>
      <c r="Q538" s="97" t="str">
        <f>VLOOKUP(Table323[[#This Row],[Census Tract]],'ES Energy Burden'!$B$2:$E$914,4,FALSE)</f>
        <v>No</v>
      </c>
    </row>
    <row r="539" spans="1:17" x14ac:dyDescent="0.2">
      <c r="A539" s="30" t="s">
        <v>2820</v>
      </c>
      <c r="B539" s="169">
        <v>9009344200</v>
      </c>
      <c r="C539" s="232" t="s">
        <v>944</v>
      </c>
      <c r="D539" s="182">
        <v>379.04390999999998</v>
      </c>
      <c r="E539" s="182">
        <v>0</v>
      </c>
      <c r="F539" s="13">
        <f>[1]!Table323[[#This Row],[Single Family]]+[1]!Table323[[#This Row],[2-4 Units]]+[1]!Table323[[#This Row],[&gt;4 Units]]</f>
        <v>0</v>
      </c>
      <c r="G539" s="30">
        <v>0</v>
      </c>
      <c r="H539" s="30">
        <v>0</v>
      </c>
      <c r="I539" s="30">
        <v>0</v>
      </c>
      <c r="J539" s="231">
        <v>0</v>
      </c>
      <c r="K539">
        <f t="shared" si="8"/>
        <v>0</v>
      </c>
      <c r="L539" s="30">
        <v>0</v>
      </c>
      <c r="M539" s="30">
        <v>0</v>
      </c>
      <c r="N539" s="30">
        <v>0</v>
      </c>
      <c r="O539" s="231">
        <v>0</v>
      </c>
      <c r="P539" s="97">
        <f>VLOOKUP(Table323[[#This Row],[Census Tract]],'Population and Diversity Data'!$B$2:$K$823,10,FALSE)</f>
        <v>3</v>
      </c>
      <c r="Q539" s="97" t="str">
        <f>VLOOKUP(Table323[[#This Row],[Census Tract]],'ES Energy Burden'!$B$2:$E$914,4,FALSE)</f>
        <v>No</v>
      </c>
    </row>
    <row r="540" spans="1:17" x14ac:dyDescent="0.2">
      <c r="A540" s="30" t="s">
        <v>2820</v>
      </c>
      <c r="B540" s="169">
        <v>9009346101</v>
      </c>
      <c r="C540" s="232" t="s">
        <v>944</v>
      </c>
      <c r="D540" s="182">
        <v>150811.170384</v>
      </c>
      <c r="E540" s="182">
        <v>218372.89</v>
      </c>
      <c r="F540" s="13">
        <f>[1]!Table323[[#This Row],[Single Family]]+[1]!Table323[[#This Row],[2-4 Units]]+[1]!Table323[[#This Row],[&gt;4 Units]]</f>
        <v>72</v>
      </c>
      <c r="G540" s="30">
        <v>72</v>
      </c>
      <c r="H540" s="30">
        <v>0</v>
      </c>
      <c r="I540" s="30">
        <v>0</v>
      </c>
      <c r="J540" s="231">
        <v>170769.33</v>
      </c>
      <c r="K540">
        <f t="shared" si="8"/>
        <v>8</v>
      </c>
      <c r="L540" s="30">
        <v>8</v>
      </c>
      <c r="M540" s="30">
        <v>0</v>
      </c>
      <c r="N540" s="30">
        <v>0</v>
      </c>
      <c r="O540" s="231">
        <v>34856.04</v>
      </c>
      <c r="P540" s="97">
        <f>VLOOKUP(Table323[[#This Row],[Census Tract]],'Population and Diversity Data'!$B$2:$K$823,10,FALSE)</f>
        <v>1</v>
      </c>
      <c r="Q540" s="97" t="str">
        <f>VLOOKUP(Table323[[#This Row],[Census Tract]],'ES Energy Burden'!$B$2:$E$914,4,FALSE)</f>
        <v>No</v>
      </c>
    </row>
    <row r="541" spans="1:17" x14ac:dyDescent="0.2">
      <c r="A541" s="30" t="s">
        <v>2820</v>
      </c>
      <c r="B541" s="169">
        <v>9009346102</v>
      </c>
      <c r="C541" s="232" t="s">
        <v>944</v>
      </c>
      <c r="D541" s="182">
        <v>78888.896184000012</v>
      </c>
      <c r="E541" s="182">
        <v>127516.02</v>
      </c>
      <c r="F541" s="13">
        <f>[1]!Table323[[#This Row],[Single Family]]+[1]!Table323[[#This Row],[2-4 Units]]+[1]!Table323[[#This Row],[&gt;4 Units]]</f>
        <v>0</v>
      </c>
      <c r="G541" s="30">
        <v>0</v>
      </c>
      <c r="H541" s="30">
        <v>0</v>
      </c>
      <c r="I541" s="30">
        <v>0</v>
      </c>
      <c r="J541" s="231">
        <v>32497.919999999998</v>
      </c>
      <c r="K541">
        <f t="shared" si="8"/>
        <v>3</v>
      </c>
      <c r="L541" s="30">
        <v>3</v>
      </c>
      <c r="M541" s="30">
        <v>0</v>
      </c>
      <c r="N541" s="30">
        <v>0</v>
      </c>
      <c r="O541" s="231">
        <v>61118.559999999998</v>
      </c>
      <c r="P541" s="97">
        <f>VLOOKUP(Table323[[#This Row],[Census Tract]],'Population and Diversity Data'!$B$2:$K$823,10,FALSE)</f>
        <v>2</v>
      </c>
      <c r="Q541" s="97" t="str">
        <f>VLOOKUP(Table323[[#This Row],[Census Tract]],'ES Energy Burden'!$B$2:$E$914,4,FALSE)</f>
        <v>No</v>
      </c>
    </row>
    <row r="542" spans="1:17" x14ac:dyDescent="0.2">
      <c r="A542" s="30" t="s">
        <v>2821</v>
      </c>
      <c r="B542" s="169">
        <v>9011709100</v>
      </c>
      <c r="C542" s="232" t="s">
        <v>944</v>
      </c>
      <c r="D542" s="182">
        <v>223.51308</v>
      </c>
      <c r="E542" s="182">
        <v>45508.805</v>
      </c>
      <c r="F542" s="13">
        <f>[1]!Table323[[#This Row],[Single Family]]+[1]!Table323[[#This Row],[2-4 Units]]+[1]!Table323[[#This Row],[&gt;4 Units]]</f>
        <v>0</v>
      </c>
      <c r="G542" s="30">
        <v>0</v>
      </c>
      <c r="H542" s="30">
        <v>0</v>
      </c>
      <c r="I542" s="30">
        <v>0</v>
      </c>
      <c r="J542" s="231">
        <v>0</v>
      </c>
      <c r="K542">
        <f t="shared" si="8"/>
        <v>0</v>
      </c>
      <c r="L542" s="30">
        <v>0</v>
      </c>
      <c r="M542" s="30">
        <v>0</v>
      </c>
      <c r="N542" s="30">
        <v>0</v>
      </c>
      <c r="O542" s="231">
        <v>0</v>
      </c>
      <c r="P542" s="97">
        <f>VLOOKUP(Table323[[#This Row],[Census Tract]],'Population and Diversity Data'!$B$2:$K$823,10,FALSE)</f>
        <v>3</v>
      </c>
      <c r="Q542" s="97" t="str">
        <f>VLOOKUP(Table323[[#This Row],[Census Tract]],'ES Energy Burden'!$B$2:$E$914,4,FALSE)</f>
        <v>No</v>
      </c>
    </row>
    <row r="543" spans="1:17" x14ac:dyDescent="0.2">
      <c r="A543" s="30" t="s">
        <v>2821</v>
      </c>
      <c r="B543" s="169">
        <v>9015906100</v>
      </c>
      <c r="C543" s="232" t="s">
        <v>944</v>
      </c>
      <c r="D543" s="182">
        <v>148.76400000000001</v>
      </c>
      <c r="E543" s="182">
        <v>0</v>
      </c>
      <c r="F543" s="13">
        <f>[1]!Table323[[#This Row],[Single Family]]+[1]!Table323[[#This Row],[2-4 Units]]+[1]!Table323[[#This Row],[&gt;4 Units]]</f>
        <v>0</v>
      </c>
      <c r="G543" s="30">
        <v>0</v>
      </c>
      <c r="H543" s="30">
        <v>0</v>
      </c>
      <c r="I543" s="30">
        <v>0</v>
      </c>
      <c r="J543" s="231">
        <v>0</v>
      </c>
      <c r="K543">
        <f t="shared" si="8"/>
        <v>0</v>
      </c>
      <c r="L543" s="30">
        <v>0</v>
      </c>
      <c r="M543" s="30">
        <v>0</v>
      </c>
      <c r="N543" s="30">
        <v>0</v>
      </c>
      <c r="O543" s="231">
        <v>0</v>
      </c>
      <c r="P543" s="97">
        <f>VLOOKUP(Table323[[#This Row],[Census Tract]],'Population and Diversity Data'!$B$2:$K$823,10,FALSE)</f>
        <v>1</v>
      </c>
      <c r="Q543" s="97" t="str">
        <f>VLOOKUP(Table323[[#This Row],[Census Tract]],'ES Energy Burden'!$B$2:$E$914,4,FALSE)</f>
        <v>No</v>
      </c>
    </row>
    <row r="544" spans="1:17" x14ac:dyDescent="0.2">
      <c r="A544" s="30" t="s">
        <v>2821</v>
      </c>
      <c r="B544" s="169">
        <v>9015907100</v>
      </c>
      <c r="C544" s="232" t="s">
        <v>944</v>
      </c>
      <c r="D544" s="182">
        <v>118125.439341</v>
      </c>
      <c r="E544" s="182">
        <v>178747.58</v>
      </c>
      <c r="F544" s="13">
        <f>[1]!Table323[[#This Row],[Single Family]]+[1]!Table323[[#This Row],[2-4 Units]]+[1]!Table323[[#This Row],[&gt;4 Units]]</f>
        <v>0</v>
      </c>
      <c r="G544" s="30">
        <v>0</v>
      </c>
      <c r="H544" s="30">
        <v>0</v>
      </c>
      <c r="I544" s="30">
        <v>0</v>
      </c>
      <c r="J544" s="231">
        <v>6925.68</v>
      </c>
      <c r="K544">
        <f t="shared" si="8"/>
        <v>9</v>
      </c>
      <c r="L544" s="30">
        <v>6</v>
      </c>
      <c r="M544" s="30">
        <v>3</v>
      </c>
      <c r="N544" s="30">
        <v>0</v>
      </c>
      <c r="O544" s="231">
        <v>15417.53</v>
      </c>
      <c r="P544" s="97">
        <f>VLOOKUP(Table323[[#This Row],[Census Tract]],'Population and Diversity Data'!$B$2:$K$823,10,FALSE)</f>
        <v>4</v>
      </c>
      <c r="Q544" s="97" t="str">
        <f>VLOOKUP(Table323[[#This Row],[Census Tract]],'ES Energy Burden'!$B$2:$E$914,4,FALSE)</f>
        <v>No</v>
      </c>
    </row>
    <row r="545" spans="1:17" x14ac:dyDescent="0.2">
      <c r="A545" s="30" t="s">
        <v>2821</v>
      </c>
      <c r="B545" s="169">
        <v>9015907200</v>
      </c>
      <c r="C545" s="232" t="s">
        <v>944</v>
      </c>
      <c r="D545" s="182">
        <v>54276.186047999996</v>
      </c>
      <c r="E545" s="182">
        <v>85040.21</v>
      </c>
      <c r="F545" s="13">
        <f>[1]!Table323[[#This Row],[Single Family]]+[1]!Table323[[#This Row],[2-4 Units]]+[1]!Table323[[#This Row],[&gt;4 Units]]</f>
        <v>32</v>
      </c>
      <c r="G545" s="30">
        <v>31</v>
      </c>
      <c r="H545" s="30">
        <v>1</v>
      </c>
      <c r="I545" s="30">
        <v>0</v>
      </c>
      <c r="J545" s="231">
        <v>54758.41</v>
      </c>
      <c r="K545">
        <f t="shared" si="8"/>
        <v>34</v>
      </c>
      <c r="L545" s="30">
        <v>22</v>
      </c>
      <c r="M545" s="30">
        <v>7</v>
      </c>
      <c r="N545" s="30">
        <v>5</v>
      </c>
      <c r="O545" s="231">
        <v>127024.71</v>
      </c>
      <c r="P545" s="97">
        <f>VLOOKUP(Table323[[#This Row],[Census Tract]],'Population and Diversity Data'!$B$2:$K$823,10,FALSE)</f>
        <v>3</v>
      </c>
      <c r="Q545" s="97" t="str">
        <f>VLOOKUP(Table323[[#This Row],[Census Tract]],'ES Energy Burden'!$B$2:$E$914,4,FALSE)</f>
        <v>No</v>
      </c>
    </row>
    <row r="546" spans="1:17" x14ac:dyDescent="0.2">
      <c r="A546" s="30" t="s">
        <v>2821</v>
      </c>
      <c r="B546" s="169">
        <v>9015907300</v>
      </c>
      <c r="C546" s="232" t="s">
        <v>944</v>
      </c>
      <c r="D546" s="182">
        <v>60815.317773000002</v>
      </c>
      <c r="E546" s="182">
        <v>69144.09</v>
      </c>
      <c r="F546" s="13">
        <f>[1]!Table323[[#This Row],[Single Family]]+[1]!Table323[[#This Row],[2-4 Units]]+[1]!Table323[[#This Row],[&gt;4 Units]]</f>
        <v>31</v>
      </c>
      <c r="G546" s="30">
        <v>28</v>
      </c>
      <c r="H546" s="30">
        <v>3</v>
      </c>
      <c r="I546" s="30">
        <v>0</v>
      </c>
      <c r="J546" s="231">
        <v>67204.41</v>
      </c>
      <c r="K546">
        <f t="shared" si="8"/>
        <v>20</v>
      </c>
      <c r="L546" s="30">
        <v>9</v>
      </c>
      <c r="M546" s="30">
        <v>11</v>
      </c>
      <c r="N546" s="30">
        <v>0</v>
      </c>
      <c r="O546" s="231">
        <v>62932.77</v>
      </c>
      <c r="P546" s="97">
        <f>VLOOKUP(Table323[[#This Row],[Census Tract]],'Population and Diversity Data'!$B$2:$K$823,10,FALSE)</f>
        <v>5</v>
      </c>
      <c r="Q546" s="97" t="str">
        <f>VLOOKUP(Table323[[#This Row],[Census Tract]],'ES Energy Burden'!$B$2:$E$914,4,FALSE)</f>
        <v>No</v>
      </c>
    </row>
    <row r="547" spans="1:17" x14ac:dyDescent="0.2">
      <c r="A547" s="30" t="s">
        <v>2822</v>
      </c>
      <c r="B547" s="169">
        <v>9003405401</v>
      </c>
      <c r="C547" s="232" t="s">
        <v>944</v>
      </c>
      <c r="D547" s="182">
        <v>662.36688000000004</v>
      </c>
      <c r="E547" s="182">
        <v>0</v>
      </c>
      <c r="F547" s="13">
        <f>[1]!Table323[[#This Row],[Single Family]]+[1]!Table323[[#This Row],[2-4 Units]]+[1]!Table323[[#This Row],[&gt;4 Units]]</f>
        <v>0</v>
      </c>
      <c r="G547" s="30">
        <v>0</v>
      </c>
      <c r="H547" s="30">
        <v>0</v>
      </c>
      <c r="I547" s="30">
        <v>0</v>
      </c>
      <c r="J547" s="231">
        <v>0</v>
      </c>
      <c r="K547">
        <f t="shared" si="8"/>
        <v>0</v>
      </c>
      <c r="L547" s="30">
        <v>0</v>
      </c>
      <c r="M547" s="30">
        <v>0</v>
      </c>
      <c r="N547" s="30">
        <v>0</v>
      </c>
      <c r="O547" s="231">
        <v>0</v>
      </c>
      <c r="P547" s="97">
        <f>VLOOKUP(Table323[[#This Row],[Census Tract]],'Population and Diversity Data'!$B$2:$K$823,10,FALSE)</f>
        <v>4</v>
      </c>
      <c r="Q547" s="97" t="str">
        <f>VLOOKUP(Table323[[#This Row],[Census Tract]],'ES Energy Burden'!$B$2:$E$914,4,FALSE)</f>
        <v>No</v>
      </c>
    </row>
    <row r="548" spans="1:17" x14ac:dyDescent="0.2">
      <c r="A548" s="30" t="s">
        <v>2822</v>
      </c>
      <c r="B548" s="169">
        <v>9003420400</v>
      </c>
      <c r="C548" s="232" t="s">
        <v>944</v>
      </c>
      <c r="D548" s="182">
        <v>35687.456258999999</v>
      </c>
      <c r="E548" s="182">
        <v>40212.58</v>
      </c>
      <c r="F548" s="13">
        <f>[1]!Table323[[#This Row],[Single Family]]+[1]!Table323[[#This Row],[2-4 Units]]+[1]!Table323[[#This Row],[&gt;4 Units]]</f>
        <v>0</v>
      </c>
      <c r="G548" s="30">
        <v>0</v>
      </c>
      <c r="H548" s="30">
        <v>0</v>
      </c>
      <c r="I548" s="30">
        <v>0</v>
      </c>
      <c r="J548" s="231">
        <v>15207.58</v>
      </c>
      <c r="K548">
        <f t="shared" si="8"/>
        <v>0</v>
      </c>
      <c r="L548" s="30">
        <v>0</v>
      </c>
      <c r="M548" s="30">
        <v>0</v>
      </c>
      <c r="N548" s="30">
        <v>0</v>
      </c>
      <c r="O548" s="231">
        <v>0</v>
      </c>
      <c r="P548" s="97">
        <f>VLOOKUP(Table323[[#This Row],[Census Tract]],'Population and Diversity Data'!$B$2:$K$823,10,FALSE)</f>
        <v>4</v>
      </c>
      <c r="Q548" s="97" t="str">
        <f>VLOOKUP(Table323[[#This Row],[Census Tract]],'ES Energy Burden'!$B$2:$E$914,4,FALSE)</f>
        <v>No</v>
      </c>
    </row>
    <row r="549" spans="1:17" x14ac:dyDescent="0.2">
      <c r="A549" s="30" t="s">
        <v>2822</v>
      </c>
      <c r="B549" s="169">
        <v>9003420500</v>
      </c>
      <c r="C549" s="232" t="s">
        <v>944</v>
      </c>
      <c r="D549" s="182">
        <v>56413.975925999999</v>
      </c>
      <c r="E549" s="182">
        <v>124645.66</v>
      </c>
      <c r="F549" s="13">
        <f>[1]!Table323[[#This Row],[Single Family]]+[1]!Table323[[#This Row],[2-4 Units]]+[1]!Table323[[#This Row],[&gt;4 Units]]</f>
        <v>119</v>
      </c>
      <c r="G549" s="30">
        <v>119</v>
      </c>
      <c r="H549" s="30">
        <v>0</v>
      </c>
      <c r="I549" s="30">
        <v>0</v>
      </c>
      <c r="J549" s="231">
        <v>126571.19</v>
      </c>
      <c r="K549">
        <f t="shared" si="8"/>
        <v>65</v>
      </c>
      <c r="L549" s="30">
        <v>18</v>
      </c>
      <c r="M549" s="30">
        <v>1</v>
      </c>
      <c r="N549" s="30">
        <v>46</v>
      </c>
      <c r="O549" s="231">
        <v>153277.60999999999</v>
      </c>
      <c r="P549" s="97">
        <f>VLOOKUP(Table323[[#This Row],[Census Tract]],'Population and Diversity Data'!$B$2:$K$823,10,FALSE)</f>
        <v>4</v>
      </c>
      <c r="Q549" s="97" t="str">
        <f>VLOOKUP(Table323[[#This Row],[Census Tract]],'ES Energy Burden'!$B$2:$E$914,4,FALSE)</f>
        <v>No</v>
      </c>
    </row>
    <row r="550" spans="1:17" x14ac:dyDescent="0.2">
      <c r="A550" s="30" t="s">
        <v>2822</v>
      </c>
      <c r="B550" s="169">
        <v>9003420600</v>
      </c>
      <c r="C550" s="232" t="s">
        <v>944</v>
      </c>
      <c r="D550" s="182">
        <v>149006.447163</v>
      </c>
      <c r="E550" s="182">
        <v>275245.35499999998</v>
      </c>
      <c r="F550" s="13">
        <f>[1]!Table323[[#This Row],[Single Family]]+[1]!Table323[[#This Row],[2-4 Units]]+[1]!Table323[[#This Row],[&gt;4 Units]]</f>
        <v>0</v>
      </c>
      <c r="G550" s="30">
        <v>0</v>
      </c>
      <c r="H550" s="30">
        <v>0</v>
      </c>
      <c r="I550" s="30">
        <v>0</v>
      </c>
      <c r="J550" s="231">
        <v>21652.52</v>
      </c>
      <c r="K550">
        <f t="shared" si="8"/>
        <v>121</v>
      </c>
      <c r="L550" s="30">
        <v>5</v>
      </c>
      <c r="M550" s="30">
        <v>0</v>
      </c>
      <c r="N550" s="30">
        <v>116</v>
      </c>
      <c r="O550" s="231">
        <v>62584.57</v>
      </c>
      <c r="P550" s="97">
        <f>VLOOKUP(Table323[[#This Row],[Census Tract]],'Population and Diversity Data'!$B$2:$K$823,10,FALSE)</f>
        <v>3</v>
      </c>
      <c r="Q550" s="97" t="str">
        <f>VLOOKUP(Table323[[#This Row],[Census Tract]],'ES Energy Burden'!$B$2:$E$914,4,FALSE)</f>
        <v>No</v>
      </c>
    </row>
    <row r="551" spans="1:17" x14ac:dyDescent="0.2">
      <c r="A551" s="30" t="s">
        <v>2822</v>
      </c>
      <c r="B551" s="169">
        <v>9003420700</v>
      </c>
      <c r="C551" s="232" t="s">
        <v>944</v>
      </c>
      <c r="D551" s="182">
        <v>40227.401234999998</v>
      </c>
      <c r="E551" s="182">
        <v>42437.39</v>
      </c>
      <c r="F551" s="13">
        <f>[1]!Table323[[#This Row],[Single Family]]+[1]!Table323[[#This Row],[2-4 Units]]+[1]!Table323[[#This Row],[&gt;4 Units]]</f>
        <v>0</v>
      </c>
      <c r="G551" s="30">
        <v>0</v>
      </c>
      <c r="H551" s="30">
        <v>0</v>
      </c>
      <c r="I551" s="30">
        <v>0</v>
      </c>
      <c r="J551" s="231">
        <v>21622.98</v>
      </c>
      <c r="K551">
        <f t="shared" si="8"/>
        <v>3</v>
      </c>
      <c r="L551" s="30">
        <v>3</v>
      </c>
      <c r="M551" s="30">
        <v>0</v>
      </c>
      <c r="N551" s="30">
        <v>0</v>
      </c>
      <c r="O551" s="231">
        <v>2541.9499999999998</v>
      </c>
      <c r="P551" s="97">
        <f>VLOOKUP(Table323[[#This Row],[Census Tract]],'Population and Diversity Data'!$B$2:$K$823,10,FALSE)</f>
        <v>1</v>
      </c>
      <c r="Q551" s="97" t="str">
        <f>VLOOKUP(Table323[[#This Row],[Census Tract]],'ES Energy Burden'!$B$2:$E$914,4,FALSE)</f>
        <v>No</v>
      </c>
    </row>
    <row r="552" spans="1:17" x14ac:dyDescent="0.2">
      <c r="A552" s="30" t="s">
        <v>2823</v>
      </c>
      <c r="B552" s="169">
        <v>9005349200</v>
      </c>
      <c r="C552" s="232" t="s">
        <v>944</v>
      </c>
      <c r="D552" s="182">
        <v>63.59178</v>
      </c>
      <c r="E552" s="182">
        <v>17038.25</v>
      </c>
      <c r="F552" s="13">
        <f>[1]!Table323[[#This Row],[Single Family]]+[1]!Table323[[#This Row],[2-4 Units]]+[1]!Table323[[#This Row],[&gt;4 Units]]</f>
        <v>0</v>
      </c>
      <c r="G552" s="30">
        <v>0</v>
      </c>
      <c r="H552" s="30">
        <v>0</v>
      </c>
      <c r="I552" s="30">
        <v>0</v>
      </c>
      <c r="J552" s="231">
        <v>0</v>
      </c>
      <c r="K552">
        <f t="shared" si="8"/>
        <v>0</v>
      </c>
      <c r="L552" s="30">
        <v>0</v>
      </c>
      <c r="M552" s="30">
        <v>0</v>
      </c>
      <c r="N552" s="30">
        <v>0</v>
      </c>
      <c r="O552" s="231">
        <v>0</v>
      </c>
      <c r="P552" s="97">
        <f>VLOOKUP(Table323[[#This Row],[Census Tract]],'Population and Diversity Data'!$B$2:$K$823,10,FALSE)</f>
        <v>1</v>
      </c>
      <c r="Q552" s="97" t="str">
        <f>VLOOKUP(Table323[[#This Row],[Census Tract]],'ES Energy Burden'!$B$2:$E$914,4,FALSE)</f>
        <v>No</v>
      </c>
    </row>
    <row r="553" spans="1:17" x14ac:dyDescent="0.2">
      <c r="A553" s="30" t="s">
        <v>2823</v>
      </c>
      <c r="B553" s="169">
        <v>9005425300</v>
      </c>
      <c r="C553" s="232" t="s">
        <v>944</v>
      </c>
      <c r="D553" s="182">
        <v>108070.297041</v>
      </c>
      <c r="E553" s="182">
        <v>124211.66</v>
      </c>
      <c r="F553" s="13">
        <f>[1]!Table323[[#This Row],[Single Family]]+[1]!Table323[[#This Row],[2-4 Units]]+[1]!Table323[[#This Row],[&gt;4 Units]]</f>
        <v>0</v>
      </c>
      <c r="G553" s="30">
        <v>0</v>
      </c>
      <c r="H553" s="30">
        <v>0</v>
      </c>
      <c r="I553" s="30">
        <v>0</v>
      </c>
      <c r="J553" s="231">
        <v>2669.64</v>
      </c>
      <c r="K553">
        <f t="shared" si="8"/>
        <v>2</v>
      </c>
      <c r="L553" s="30">
        <v>2</v>
      </c>
      <c r="M553" s="30">
        <v>0</v>
      </c>
      <c r="N553" s="30">
        <v>0</v>
      </c>
      <c r="O553" s="231">
        <v>2363.4299999999998</v>
      </c>
      <c r="P553" s="97">
        <f>VLOOKUP(Table323[[#This Row],[Census Tract]],'Population and Diversity Data'!$B$2:$K$823,10,FALSE)</f>
        <v>1</v>
      </c>
      <c r="Q553" s="97" t="str">
        <f>VLOOKUP(Table323[[#This Row],[Census Tract]],'ES Energy Burden'!$B$2:$E$914,4,FALSE)</f>
        <v>No</v>
      </c>
    </row>
    <row r="554" spans="1:17" x14ac:dyDescent="0.2">
      <c r="A554" s="30" t="s">
        <v>2823</v>
      </c>
      <c r="B554" s="169">
        <v>9005425400</v>
      </c>
      <c r="C554" s="232" t="s">
        <v>944</v>
      </c>
      <c r="D554" s="182">
        <v>61133.092167000003</v>
      </c>
      <c r="E554" s="182">
        <v>43027.99</v>
      </c>
      <c r="F554" s="13">
        <f>[1]!Table323[[#This Row],[Single Family]]+[1]!Table323[[#This Row],[2-4 Units]]+[1]!Table323[[#This Row],[&gt;4 Units]]</f>
        <v>0</v>
      </c>
      <c r="G554" s="30">
        <v>0</v>
      </c>
      <c r="H554" s="30">
        <v>0</v>
      </c>
      <c r="I554" s="30">
        <v>0</v>
      </c>
      <c r="J554" s="231">
        <v>9465.67</v>
      </c>
      <c r="K554">
        <f t="shared" si="8"/>
        <v>1</v>
      </c>
      <c r="L554" s="30">
        <v>1</v>
      </c>
      <c r="M554" s="30">
        <v>0</v>
      </c>
      <c r="N554" s="30">
        <v>0</v>
      </c>
      <c r="O554" s="231">
        <v>1434.27</v>
      </c>
      <c r="P554" s="97">
        <f>VLOOKUP(Table323[[#This Row],[Census Tract]],'Population and Diversity Data'!$B$2:$K$823,10,FALSE)</f>
        <v>2</v>
      </c>
      <c r="Q554" s="97" t="str">
        <f>VLOOKUP(Table323[[#This Row],[Census Tract]],'ES Energy Burden'!$B$2:$E$914,4,FALSE)</f>
        <v>No</v>
      </c>
    </row>
    <row r="555" spans="1:17" x14ac:dyDescent="0.2">
      <c r="A555" s="30" t="s">
        <v>2823</v>
      </c>
      <c r="B555" s="169">
        <v>9005425500</v>
      </c>
      <c r="C555" s="232" t="s">
        <v>944</v>
      </c>
      <c r="D555" s="182">
        <v>33257.810250000002</v>
      </c>
      <c r="E555" s="182">
        <v>14886.14</v>
      </c>
      <c r="F555" s="13">
        <f>[1]!Table323[[#This Row],[Single Family]]+[1]!Table323[[#This Row],[2-4 Units]]+[1]!Table323[[#This Row],[&gt;4 Units]]</f>
        <v>64</v>
      </c>
      <c r="G555" s="30">
        <v>64</v>
      </c>
      <c r="H555" s="30">
        <v>0</v>
      </c>
      <c r="I555" s="30">
        <v>0</v>
      </c>
      <c r="J555" s="231">
        <v>74017.59</v>
      </c>
      <c r="K555">
        <f t="shared" si="8"/>
        <v>16</v>
      </c>
      <c r="L555" s="30">
        <v>16</v>
      </c>
      <c r="M555" s="30">
        <v>0</v>
      </c>
      <c r="N555" s="30">
        <v>0</v>
      </c>
      <c r="O555" s="231">
        <v>57352.72</v>
      </c>
      <c r="P555" s="97">
        <f>VLOOKUP(Table323[[#This Row],[Census Tract]],'Population and Diversity Data'!$B$2:$K$823,10,FALSE)</f>
        <v>3</v>
      </c>
      <c r="Q555" s="97" t="str">
        <f>VLOOKUP(Table323[[#This Row],[Census Tract]],'ES Energy Burden'!$B$2:$E$914,4,FALSE)</f>
        <v>No</v>
      </c>
    </row>
    <row r="556" spans="1:17" x14ac:dyDescent="0.2">
      <c r="A556" s="30" t="s">
        <v>2824</v>
      </c>
      <c r="B556" s="169">
        <v>9015901100</v>
      </c>
      <c r="C556" s="232" t="s">
        <v>944</v>
      </c>
      <c r="D556" s="182">
        <v>95.189639999999997</v>
      </c>
      <c r="E556" s="182">
        <v>11144.51</v>
      </c>
      <c r="F556" s="13">
        <f>[1]!Table323[[#This Row],[Single Family]]+[1]!Table323[[#This Row],[2-4 Units]]+[1]!Table323[[#This Row],[&gt;4 Units]]</f>
        <v>0</v>
      </c>
      <c r="G556" s="30">
        <v>0</v>
      </c>
      <c r="H556" s="30">
        <v>0</v>
      </c>
      <c r="I556" s="30">
        <v>0</v>
      </c>
      <c r="J556" s="231">
        <v>0</v>
      </c>
      <c r="K556">
        <f t="shared" si="8"/>
        <v>0</v>
      </c>
      <c r="L556" s="30">
        <v>0</v>
      </c>
      <c r="M556" s="30">
        <v>0</v>
      </c>
      <c r="N556" s="30">
        <v>0</v>
      </c>
      <c r="O556" s="231">
        <v>0</v>
      </c>
      <c r="P556" s="97">
        <f>VLOOKUP(Table323[[#This Row],[Census Tract]],'Population and Diversity Data'!$B$2:$K$823,10,FALSE)</f>
        <v>1</v>
      </c>
      <c r="Q556" s="97" t="str">
        <f>VLOOKUP(Table323[[#This Row],[Census Tract]],'ES Energy Burden'!$B$2:$E$914,4,FALSE)</f>
        <v>No</v>
      </c>
    </row>
    <row r="557" spans="1:17" x14ac:dyDescent="0.2">
      <c r="A557" s="30" t="s">
        <v>2824</v>
      </c>
      <c r="B557" s="169">
        <v>9015902500</v>
      </c>
      <c r="C557" s="232" t="s">
        <v>944</v>
      </c>
      <c r="D557" s="182">
        <v>67551.353625000003</v>
      </c>
      <c r="E557" s="182">
        <v>48692.565000000002</v>
      </c>
      <c r="F557" s="13">
        <f>[1]!Table323[[#This Row],[Single Family]]+[1]!Table323[[#This Row],[2-4 Units]]+[1]!Table323[[#This Row],[&gt;4 Units]]</f>
        <v>12</v>
      </c>
      <c r="G557" s="30">
        <v>12</v>
      </c>
      <c r="H557" s="30">
        <v>0</v>
      </c>
      <c r="I557" s="30">
        <v>0</v>
      </c>
      <c r="J557" s="231">
        <v>39346.93</v>
      </c>
      <c r="K557">
        <f t="shared" si="8"/>
        <v>4</v>
      </c>
      <c r="L557" s="30">
        <v>4</v>
      </c>
      <c r="M557" s="30">
        <v>0</v>
      </c>
      <c r="N557" s="30">
        <v>0</v>
      </c>
      <c r="O557" s="231">
        <v>3656.1</v>
      </c>
      <c r="P557" s="97">
        <f>VLOOKUP(Table323[[#This Row],[Census Tract]],'Population and Diversity Data'!$B$2:$K$823,10,FALSE)</f>
        <v>2</v>
      </c>
      <c r="Q557" s="97" t="str">
        <f>VLOOKUP(Table323[[#This Row],[Census Tract]],'ES Energy Burden'!$B$2:$E$914,4,FALSE)</f>
        <v>No</v>
      </c>
    </row>
    <row r="558" spans="1:17" x14ac:dyDescent="0.2">
      <c r="A558" s="30" t="s">
        <v>2824</v>
      </c>
      <c r="B558" s="169">
        <v>9015905100</v>
      </c>
      <c r="C558" s="232" t="s">
        <v>944</v>
      </c>
      <c r="D558" s="182">
        <v>500.39766000000003</v>
      </c>
      <c r="E558" s="182">
        <v>0</v>
      </c>
      <c r="F558" s="13">
        <f>[1]!Table323[[#This Row],[Single Family]]+[1]!Table323[[#This Row],[2-4 Units]]+[1]!Table323[[#This Row],[&gt;4 Units]]</f>
        <v>0</v>
      </c>
      <c r="G558" s="30">
        <v>0</v>
      </c>
      <c r="H558" s="30">
        <v>0</v>
      </c>
      <c r="I558" s="30">
        <v>0</v>
      </c>
      <c r="J558" s="231">
        <v>0</v>
      </c>
      <c r="K558">
        <f t="shared" si="8"/>
        <v>0</v>
      </c>
      <c r="L558" s="30">
        <v>0</v>
      </c>
      <c r="M558" s="30">
        <v>0</v>
      </c>
      <c r="N558" s="30">
        <v>0</v>
      </c>
      <c r="O558" s="231">
        <v>0</v>
      </c>
      <c r="P558" s="97">
        <f>VLOOKUP(Table323[[#This Row],[Census Tract]],'Population and Diversity Data'!$B$2:$K$823,10,FALSE)</f>
        <v>4</v>
      </c>
      <c r="Q558" s="97" t="str">
        <f>VLOOKUP(Table323[[#This Row],[Census Tract]],'ES Energy Burden'!$B$2:$E$914,4,FALSE)</f>
        <v>No</v>
      </c>
    </row>
    <row r="559" spans="1:17" x14ac:dyDescent="0.2">
      <c r="A559" s="30" t="s">
        <v>2825</v>
      </c>
      <c r="B559" s="169">
        <v>9007560100</v>
      </c>
      <c r="C559" s="232" t="s">
        <v>944</v>
      </c>
      <c r="D559" s="182">
        <v>71395.951515000008</v>
      </c>
      <c r="E559" s="182">
        <v>80971.360000000001</v>
      </c>
      <c r="F559" s="13">
        <f>[1]!Table323[[#This Row],[Single Family]]+[1]!Table323[[#This Row],[2-4 Units]]+[1]!Table323[[#This Row],[&gt;4 Units]]</f>
        <v>71</v>
      </c>
      <c r="G559" s="30">
        <v>71</v>
      </c>
      <c r="H559" s="30">
        <v>0</v>
      </c>
      <c r="I559" s="30">
        <v>0</v>
      </c>
      <c r="J559" s="231">
        <v>136954.78</v>
      </c>
      <c r="K559">
        <f t="shared" si="8"/>
        <v>15</v>
      </c>
      <c r="L559" s="30">
        <v>7</v>
      </c>
      <c r="M559" s="30">
        <v>8</v>
      </c>
      <c r="N559" s="30">
        <v>0</v>
      </c>
      <c r="O559" s="231">
        <v>20261.400000000001</v>
      </c>
      <c r="P559" s="97">
        <f>VLOOKUP(Table323[[#This Row],[Census Tract]],'Population and Diversity Data'!$B$2:$K$823,10,FALSE)</f>
        <v>1</v>
      </c>
      <c r="Q559" s="97" t="str">
        <f>VLOOKUP(Table323[[#This Row],[Census Tract]],'ES Energy Burden'!$B$2:$E$914,4,FALSE)</f>
        <v>No</v>
      </c>
    </row>
    <row r="560" spans="1:17" x14ac:dyDescent="0.2">
      <c r="A560" s="30" t="s">
        <v>2825</v>
      </c>
      <c r="B560" s="169">
        <v>9007560200</v>
      </c>
      <c r="C560" s="232" t="s">
        <v>936</v>
      </c>
      <c r="D560" s="182">
        <v>84395.686409999995</v>
      </c>
      <c r="E560" s="182">
        <v>167508.58499999999</v>
      </c>
      <c r="F560" s="13">
        <f>[1]!Table323[[#This Row],[Single Family]]+[1]!Table323[[#This Row],[2-4 Units]]+[1]!Table323[[#This Row],[&gt;4 Units]]</f>
        <v>0</v>
      </c>
      <c r="G560" s="30">
        <v>0</v>
      </c>
      <c r="H560" s="30">
        <v>0</v>
      </c>
      <c r="I560" s="30">
        <v>0</v>
      </c>
      <c r="J560" s="231">
        <v>8200.64</v>
      </c>
      <c r="K560">
        <f t="shared" si="8"/>
        <v>6</v>
      </c>
      <c r="L560" s="30">
        <v>3</v>
      </c>
      <c r="M560" s="30">
        <v>3</v>
      </c>
      <c r="N560" s="30">
        <v>0</v>
      </c>
      <c r="O560" s="231">
        <v>34429.660000000003</v>
      </c>
      <c r="P560" s="97">
        <f>VLOOKUP(Table323[[#This Row],[Census Tract]],'Population and Diversity Data'!$B$2:$K$823,10,FALSE)</f>
        <v>1</v>
      </c>
      <c r="Q560" s="97" t="str">
        <f>VLOOKUP(Table323[[#This Row],[Census Tract]],'ES Energy Burden'!$B$2:$E$914,4,FALSE)</f>
        <v>No</v>
      </c>
    </row>
    <row r="561" spans="1:17" x14ac:dyDescent="0.2">
      <c r="A561" s="30" t="s">
        <v>2826</v>
      </c>
      <c r="B561" s="169">
        <v>9011700100</v>
      </c>
      <c r="C561" s="232" t="s">
        <v>944</v>
      </c>
      <c r="D561" s="182">
        <v>90254.142656999989</v>
      </c>
      <c r="E561" s="182">
        <v>80069.065000000002</v>
      </c>
      <c r="F561" s="13">
        <f>[1]!Table323[[#This Row],[Single Family]]+[1]!Table323[[#This Row],[2-4 Units]]+[1]!Table323[[#This Row],[&gt;4 Units]]</f>
        <v>26</v>
      </c>
      <c r="G561" s="30">
        <v>26</v>
      </c>
      <c r="H561" s="30">
        <v>0</v>
      </c>
      <c r="I561" s="30">
        <v>0</v>
      </c>
      <c r="J561" s="231">
        <v>49484.08</v>
      </c>
      <c r="K561">
        <f t="shared" si="8"/>
        <v>3</v>
      </c>
      <c r="L561" s="30">
        <v>3</v>
      </c>
      <c r="M561" s="30">
        <v>0</v>
      </c>
      <c r="N561" s="30">
        <v>0</v>
      </c>
      <c r="O561" s="231">
        <v>2018.43</v>
      </c>
      <c r="P561" s="97">
        <f>VLOOKUP(Table323[[#This Row],[Census Tract]],'Population and Diversity Data'!$B$2:$K$823,10,FALSE)</f>
        <v>4</v>
      </c>
      <c r="Q561" s="97" t="str">
        <f>VLOOKUP(Table323[[#This Row],[Census Tract]],'ES Energy Burden'!$B$2:$E$914,4,FALSE)</f>
        <v>No</v>
      </c>
    </row>
    <row r="562" spans="1:17" x14ac:dyDescent="0.2">
      <c r="A562" s="30" t="s">
        <v>2826</v>
      </c>
      <c r="B562" s="169">
        <v>9011707100</v>
      </c>
      <c r="C562" s="232" t="s">
        <v>944</v>
      </c>
      <c r="D562" s="182">
        <v>595.22505000000001</v>
      </c>
      <c r="E562" s="182">
        <v>462.76</v>
      </c>
      <c r="F562" s="13">
        <f>[1]!Table323[[#This Row],[Single Family]]+[1]!Table323[[#This Row],[2-4 Units]]+[1]!Table323[[#This Row],[&gt;4 Units]]</f>
        <v>0</v>
      </c>
      <c r="G562" s="30">
        <v>0</v>
      </c>
      <c r="H562" s="30">
        <v>0</v>
      </c>
      <c r="I562" s="30">
        <v>0</v>
      </c>
      <c r="J562" s="231">
        <v>0</v>
      </c>
      <c r="K562">
        <f t="shared" si="8"/>
        <v>1</v>
      </c>
      <c r="L562" s="30">
        <v>1</v>
      </c>
      <c r="M562" s="30">
        <v>0</v>
      </c>
      <c r="N562" s="30">
        <v>0</v>
      </c>
      <c r="O562" s="231">
        <v>462.76</v>
      </c>
      <c r="P562" s="97">
        <f>VLOOKUP(Table323[[#This Row],[Census Tract]],'Population and Diversity Data'!$B$2:$K$823,10,FALSE)</f>
        <v>3</v>
      </c>
      <c r="Q562" s="97" t="str">
        <f>VLOOKUP(Table323[[#This Row],[Census Tract]],'ES Energy Burden'!$B$2:$E$914,4,FALSE)</f>
        <v>No</v>
      </c>
    </row>
    <row r="563" spans="1:17" x14ac:dyDescent="0.2">
      <c r="A563" s="30" t="s">
        <v>2827</v>
      </c>
      <c r="B563" s="169">
        <v>9009347100</v>
      </c>
      <c r="C563" s="232" t="s">
        <v>944</v>
      </c>
      <c r="D563" s="182">
        <v>121821.162624</v>
      </c>
      <c r="E563" s="182">
        <v>236724.505</v>
      </c>
      <c r="F563" s="13">
        <f>[1]!Table323[[#This Row],[Single Family]]+[1]!Table323[[#This Row],[2-4 Units]]+[1]!Table323[[#This Row],[&gt;4 Units]]</f>
        <v>50</v>
      </c>
      <c r="G563" s="30">
        <v>49</v>
      </c>
      <c r="H563" s="30">
        <v>1</v>
      </c>
      <c r="I563" s="30">
        <v>0</v>
      </c>
      <c r="J563" s="231">
        <v>142409.89000000001</v>
      </c>
      <c r="K563">
        <f t="shared" si="8"/>
        <v>15</v>
      </c>
      <c r="L563" s="30">
        <v>14</v>
      </c>
      <c r="M563" s="30">
        <v>1</v>
      </c>
      <c r="N563" s="30">
        <v>0</v>
      </c>
      <c r="O563" s="231">
        <v>77231.75</v>
      </c>
      <c r="P563" s="97">
        <f>VLOOKUP(Table323[[#This Row],[Census Tract]],'Population and Diversity Data'!$B$2:$K$823,10,FALSE)</f>
        <v>1</v>
      </c>
      <c r="Q563" s="97" t="str">
        <f>VLOOKUP(Table323[[#This Row],[Census Tract]],'ES Energy Burden'!$B$2:$E$914,4,FALSE)</f>
        <v>No</v>
      </c>
    </row>
    <row r="564" spans="1:17" x14ac:dyDescent="0.2">
      <c r="A564" s="30" t="s">
        <v>2827</v>
      </c>
      <c r="B564" s="169">
        <v>9009347200</v>
      </c>
      <c r="C564" s="232" t="s">
        <v>944</v>
      </c>
      <c r="D564" s="182">
        <v>41695.198145999995</v>
      </c>
      <c r="E564" s="182">
        <v>57181</v>
      </c>
      <c r="F564" s="13">
        <f>[1]!Table323[[#This Row],[Single Family]]+[1]!Table323[[#This Row],[2-4 Units]]+[1]!Table323[[#This Row],[&gt;4 Units]]</f>
        <v>0</v>
      </c>
      <c r="G564" s="30">
        <v>0</v>
      </c>
      <c r="H564" s="30">
        <v>0</v>
      </c>
      <c r="I564" s="30">
        <v>0</v>
      </c>
      <c r="J564" s="231">
        <v>15818.32</v>
      </c>
      <c r="K564">
        <f t="shared" si="8"/>
        <v>4</v>
      </c>
      <c r="L564" s="30">
        <v>4</v>
      </c>
      <c r="M564" s="30">
        <v>0</v>
      </c>
      <c r="N564" s="30">
        <v>0</v>
      </c>
      <c r="O564" s="231">
        <v>13819.28</v>
      </c>
      <c r="P564" s="97">
        <f>VLOOKUP(Table323[[#This Row],[Census Tract]],'Population and Diversity Data'!$B$2:$K$823,10,FALSE)</f>
        <v>2</v>
      </c>
      <c r="Q564" s="97" t="str">
        <f>VLOOKUP(Table323[[#This Row],[Census Tract]],'ES Energy Burden'!$B$2:$E$914,4,FALSE)</f>
        <v>No</v>
      </c>
    </row>
    <row r="565" spans="1:17" x14ac:dyDescent="0.2">
      <c r="A565" s="30" t="s">
        <v>2827</v>
      </c>
      <c r="B565" s="169">
        <v>9009352800</v>
      </c>
      <c r="C565" s="232" t="s">
        <v>944</v>
      </c>
      <c r="D565" s="182">
        <v>825.21033</v>
      </c>
      <c r="E565" s="182">
        <v>1572.2</v>
      </c>
      <c r="F565" s="13">
        <f>[1]!Table323[[#This Row],[Single Family]]+[1]!Table323[[#This Row],[2-4 Units]]+[1]!Table323[[#This Row],[&gt;4 Units]]</f>
        <v>0</v>
      </c>
      <c r="G565" s="30">
        <v>0</v>
      </c>
      <c r="H565" s="30">
        <v>0</v>
      </c>
      <c r="I565" s="30">
        <v>0</v>
      </c>
      <c r="J565" s="231">
        <v>0</v>
      </c>
      <c r="K565">
        <f t="shared" si="8"/>
        <v>1</v>
      </c>
      <c r="L565" s="30">
        <v>1</v>
      </c>
      <c r="M565" s="30">
        <v>0</v>
      </c>
      <c r="N565" s="30">
        <v>0</v>
      </c>
      <c r="O565" s="231">
        <v>1572.2</v>
      </c>
      <c r="P565" s="97">
        <f>VLOOKUP(Table323[[#This Row],[Census Tract]],'Population and Diversity Data'!$B$2:$K$823,10,FALSE)</f>
        <v>5</v>
      </c>
      <c r="Q565" s="97" t="str">
        <f>VLOOKUP(Table323[[#This Row],[Census Tract]],'ES Energy Burden'!$B$2:$E$914,4,FALSE)</f>
        <v>No</v>
      </c>
    </row>
    <row r="566" spans="1:17" x14ac:dyDescent="0.2">
      <c r="A566" s="30" t="s">
        <v>2828</v>
      </c>
      <c r="B566" s="169">
        <v>9015901100</v>
      </c>
      <c r="C566" s="232" t="s">
        <v>944</v>
      </c>
      <c r="D566" s="182">
        <v>99.396569999999997</v>
      </c>
      <c r="E566" s="182">
        <v>0</v>
      </c>
      <c r="F566" s="13">
        <f>[1]!Table323[[#This Row],[Single Family]]+[1]!Table323[[#This Row],[2-4 Units]]+[1]!Table323[[#This Row],[&gt;4 Units]]</f>
        <v>0</v>
      </c>
      <c r="G566" s="30">
        <v>0</v>
      </c>
      <c r="H566" s="30">
        <v>0</v>
      </c>
      <c r="I566" s="30">
        <v>0</v>
      </c>
      <c r="J566" s="231">
        <v>0</v>
      </c>
      <c r="K566">
        <f t="shared" si="8"/>
        <v>0</v>
      </c>
      <c r="L566" s="30">
        <v>0</v>
      </c>
      <c r="M566" s="30">
        <v>0</v>
      </c>
      <c r="N566" s="30">
        <v>0</v>
      </c>
      <c r="O566" s="231">
        <v>0</v>
      </c>
      <c r="P566" s="97">
        <f>VLOOKUP(Table323[[#This Row],[Census Tract]],'Population and Diversity Data'!$B$2:$K$823,10,FALSE)</f>
        <v>1</v>
      </c>
      <c r="Q566" s="97" t="str">
        <f>VLOOKUP(Table323[[#This Row],[Census Tract]],'ES Energy Burden'!$B$2:$E$914,4,FALSE)</f>
        <v>No</v>
      </c>
    </row>
    <row r="567" spans="1:17" x14ac:dyDescent="0.2">
      <c r="A567" s="30" t="s">
        <v>2828</v>
      </c>
      <c r="B567" s="169">
        <v>9015902500</v>
      </c>
      <c r="C567" s="232" t="s">
        <v>944</v>
      </c>
      <c r="D567" s="182">
        <v>121.56723600000001</v>
      </c>
      <c r="E567" s="182">
        <v>0</v>
      </c>
      <c r="F567" s="13">
        <f>[1]!Table323[[#This Row],[Single Family]]+[1]!Table323[[#This Row],[2-4 Units]]+[1]!Table323[[#This Row],[&gt;4 Units]]</f>
        <v>0</v>
      </c>
      <c r="G567" s="30">
        <v>0</v>
      </c>
      <c r="H567" s="30">
        <v>0</v>
      </c>
      <c r="I567" s="30">
        <v>0</v>
      </c>
      <c r="J567" s="231">
        <v>0</v>
      </c>
      <c r="K567">
        <f t="shared" si="8"/>
        <v>0</v>
      </c>
      <c r="L567" s="30">
        <v>0</v>
      </c>
      <c r="M567" s="30">
        <v>0</v>
      </c>
      <c r="N567" s="30">
        <v>0</v>
      </c>
      <c r="O567" s="231">
        <v>0</v>
      </c>
      <c r="P567" s="97">
        <f>VLOOKUP(Table323[[#This Row],[Census Tract]],'Population and Diversity Data'!$B$2:$K$823,10,FALSE)</f>
        <v>2</v>
      </c>
      <c r="Q567" s="97" t="str">
        <f>VLOOKUP(Table323[[#This Row],[Census Tract]],'ES Energy Burden'!$B$2:$E$914,4,FALSE)</f>
        <v>No</v>
      </c>
    </row>
    <row r="568" spans="1:17" x14ac:dyDescent="0.2">
      <c r="A568" s="30" t="s">
        <v>2828</v>
      </c>
      <c r="B568" s="169">
        <v>9015903100</v>
      </c>
      <c r="C568" s="232" t="s">
        <v>944</v>
      </c>
      <c r="D568" s="182">
        <v>118068.95200800001</v>
      </c>
      <c r="E568" s="182">
        <v>95700.07</v>
      </c>
      <c r="F568" s="13">
        <f>[1]!Table323[[#This Row],[Single Family]]+[1]!Table323[[#This Row],[2-4 Units]]+[1]!Table323[[#This Row],[&gt;4 Units]]</f>
        <v>45</v>
      </c>
      <c r="G568" s="30">
        <v>29</v>
      </c>
      <c r="H568" s="30">
        <v>1</v>
      </c>
      <c r="I568" s="30">
        <v>15</v>
      </c>
      <c r="J568" s="231">
        <v>39860.11</v>
      </c>
      <c r="K568">
        <f t="shared" si="8"/>
        <v>14</v>
      </c>
      <c r="L568" s="30">
        <v>10</v>
      </c>
      <c r="M568" s="30">
        <v>4</v>
      </c>
      <c r="N568" s="30">
        <v>0</v>
      </c>
      <c r="O568" s="231">
        <v>27466.41</v>
      </c>
      <c r="P568" s="97">
        <f>VLOOKUP(Table323[[#This Row],[Census Tract]],'Population and Diversity Data'!$B$2:$K$823,10,FALSE)</f>
        <v>2</v>
      </c>
      <c r="Q568" s="97" t="str">
        <f>VLOOKUP(Table323[[#This Row],[Census Tract]],'ES Energy Burden'!$B$2:$E$914,4,FALSE)</f>
        <v>No</v>
      </c>
    </row>
    <row r="569" spans="1:17" x14ac:dyDescent="0.2">
      <c r="A569" s="30" t="s">
        <v>2828</v>
      </c>
      <c r="B569" s="169">
        <v>9015903200</v>
      </c>
      <c r="C569" s="232" t="s">
        <v>944</v>
      </c>
      <c r="D569" s="182">
        <v>25402.228214999999</v>
      </c>
      <c r="E569" s="182">
        <v>16329.46</v>
      </c>
      <c r="F569" s="13">
        <f>[1]!Table323[[#This Row],[Single Family]]+[1]!Table323[[#This Row],[2-4 Units]]+[1]!Table323[[#This Row],[&gt;4 Units]]</f>
        <v>0</v>
      </c>
      <c r="G569" s="30">
        <v>0</v>
      </c>
      <c r="H569" s="30">
        <v>0</v>
      </c>
      <c r="I569" s="30">
        <v>0</v>
      </c>
      <c r="J569" s="231">
        <v>4801.6400000000003</v>
      </c>
      <c r="K569">
        <f t="shared" si="8"/>
        <v>4</v>
      </c>
      <c r="L569" s="30">
        <v>4</v>
      </c>
      <c r="M569" s="30">
        <v>0</v>
      </c>
      <c r="N569" s="30">
        <v>0</v>
      </c>
      <c r="O569" s="231">
        <v>6342.55</v>
      </c>
      <c r="P569" s="97">
        <f>VLOOKUP(Table323[[#This Row],[Census Tract]],'Population and Diversity Data'!$B$2:$K$823,10,FALSE)</f>
        <v>3</v>
      </c>
      <c r="Q569" s="97" t="str">
        <f>VLOOKUP(Table323[[#This Row],[Census Tract]],'ES Energy Burden'!$B$2:$E$914,4,FALSE)</f>
        <v>No</v>
      </c>
    </row>
    <row r="570" spans="1:17" x14ac:dyDescent="0.2">
      <c r="A570" s="30" t="s">
        <v>2829</v>
      </c>
      <c r="B570" s="169">
        <v>9001055100</v>
      </c>
      <c r="C570" s="232" t="s">
        <v>944</v>
      </c>
      <c r="D570" s="182">
        <v>3507.4204199999999</v>
      </c>
      <c r="E570" s="182">
        <v>16482.080000000002</v>
      </c>
      <c r="F570" s="13">
        <f>[1]!Table323[[#This Row],[Single Family]]+[1]!Table323[[#This Row],[2-4 Units]]+[1]!Table323[[#This Row],[&gt;4 Units]]</f>
        <v>0</v>
      </c>
      <c r="G570" s="30">
        <v>0</v>
      </c>
      <c r="H570" s="30">
        <v>0</v>
      </c>
      <c r="I570" s="30">
        <v>0</v>
      </c>
      <c r="J570" s="231">
        <v>0</v>
      </c>
      <c r="K570">
        <f t="shared" si="8"/>
        <v>0</v>
      </c>
      <c r="L570" s="30">
        <v>0</v>
      </c>
      <c r="M570" s="30">
        <v>0</v>
      </c>
      <c r="N570" s="30">
        <v>0</v>
      </c>
      <c r="O570" s="231">
        <v>0</v>
      </c>
      <c r="P570" s="97">
        <f>VLOOKUP(Table323[[#This Row],[Census Tract]],'Population and Diversity Data'!$B$2:$K$823,10,FALSE)</f>
        <v>4</v>
      </c>
      <c r="Q570" s="97" t="str">
        <f>VLOOKUP(Table323[[#This Row],[Census Tract]],'ES Energy Burden'!$B$2:$E$914,4,FALSE)</f>
        <v>No</v>
      </c>
    </row>
    <row r="571" spans="1:17" x14ac:dyDescent="0.2">
      <c r="A571" s="30" t="s">
        <v>2829</v>
      </c>
      <c r="B571" s="169">
        <v>9001240100</v>
      </c>
      <c r="C571" s="232" t="s">
        <v>944</v>
      </c>
      <c r="D571" s="182">
        <v>60110.244515999999</v>
      </c>
      <c r="E571" s="182">
        <v>45503</v>
      </c>
      <c r="F571" s="13">
        <f>[1]!Table323[[#This Row],[Single Family]]+[1]!Table323[[#This Row],[2-4 Units]]+[1]!Table323[[#This Row],[&gt;4 Units]]</f>
        <v>0</v>
      </c>
      <c r="G571" s="30">
        <v>0</v>
      </c>
      <c r="H571" s="30">
        <v>0</v>
      </c>
      <c r="I571" s="30">
        <v>0</v>
      </c>
      <c r="J571" s="231">
        <v>19824.88</v>
      </c>
      <c r="K571">
        <f t="shared" si="8"/>
        <v>0</v>
      </c>
      <c r="L571" s="30">
        <v>0</v>
      </c>
      <c r="M571" s="30">
        <v>0</v>
      </c>
      <c r="N571" s="30">
        <v>0</v>
      </c>
      <c r="O571" s="231">
        <v>0</v>
      </c>
      <c r="P571" s="97">
        <f>VLOOKUP(Table323[[#This Row],[Census Tract]],'Population and Diversity Data'!$B$2:$K$823,10,FALSE)</f>
        <v>1</v>
      </c>
      <c r="Q571" s="97" t="str">
        <f>VLOOKUP(Table323[[#This Row],[Census Tract]],'ES Energy Burden'!$B$2:$E$914,4,FALSE)</f>
        <v>No</v>
      </c>
    </row>
    <row r="572" spans="1:17" x14ac:dyDescent="0.2">
      <c r="A572" s="30" t="s">
        <v>2829</v>
      </c>
      <c r="B572" s="169">
        <v>9001240200</v>
      </c>
      <c r="C572" s="232" t="s">
        <v>944</v>
      </c>
      <c r="D572" s="182">
        <v>149326.444323</v>
      </c>
      <c r="E572" s="182">
        <v>212190.125</v>
      </c>
      <c r="F572" s="13">
        <f>[1]!Table323[[#This Row],[Single Family]]+[1]!Table323[[#This Row],[2-4 Units]]+[1]!Table323[[#This Row],[&gt;4 Units]]</f>
        <v>80</v>
      </c>
      <c r="G572" s="30">
        <v>80</v>
      </c>
      <c r="H572" s="30">
        <v>0</v>
      </c>
      <c r="I572" s="30">
        <v>0</v>
      </c>
      <c r="J572" s="231">
        <v>166213.97</v>
      </c>
      <c r="K572">
        <f t="shared" si="8"/>
        <v>1</v>
      </c>
      <c r="L572" s="30">
        <v>1</v>
      </c>
      <c r="M572" s="30">
        <v>0</v>
      </c>
      <c r="N572" s="30">
        <v>0</v>
      </c>
      <c r="O572" s="231">
        <v>3621.23</v>
      </c>
      <c r="P572" s="97">
        <f>VLOOKUP(Table323[[#This Row],[Census Tract]],'Population and Diversity Data'!$B$2:$K$823,10,FALSE)</f>
        <v>2</v>
      </c>
      <c r="Q572" s="97" t="str">
        <f>VLOOKUP(Table323[[#This Row],[Census Tract]],'ES Energy Burden'!$B$2:$E$914,4,FALSE)</f>
        <v>No</v>
      </c>
    </row>
    <row r="573" spans="1:17" x14ac:dyDescent="0.2">
      <c r="A573" s="30" t="s">
        <v>2829</v>
      </c>
      <c r="B573" s="169">
        <v>9001245200</v>
      </c>
      <c r="C573" s="232" t="s">
        <v>944</v>
      </c>
      <c r="D573" s="182">
        <v>203.28504000000001</v>
      </c>
      <c r="E573" s="182">
        <v>0</v>
      </c>
      <c r="F573" s="13">
        <f>[1]!Table323[[#This Row],[Single Family]]+[1]!Table323[[#This Row],[2-4 Units]]+[1]!Table323[[#This Row],[&gt;4 Units]]</f>
        <v>0</v>
      </c>
      <c r="G573" s="30">
        <v>0</v>
      </c>
      <c r="H573" s="30">
        <v>0</v>
      </c>
      <c r="I573" s="30">
        <v>0</v>
      </c>
      <c r="J573" s="231">
        <v>0</v>
      </c>
      <c r="K573">
        <f t="shared" si="8"/>
        <v>0</v>
      </c>
      <c r="L573" s="30">
        <v>0</v>
      </c>
      <c r="M573" s="30">
        <v>0</v>
      </c>
      <c r="N573" s="30">
        <v>0</v>
      </c>
      <c r="O573" s="231">
        <v>0</v>
      </c>
      <c r="P573" s="97">
        <f>VLOOKUP(Table323[[#This Row],[Census Tract]],'Population and Diversity Data'!$B$2:$K$823,10,FALSE)</f>
        <v>3</v>
      </c>
      <c r="Q573" s="97" t="str">
        <f>VLOOKUP(Table323[[#This Row],[Census Tract]],'ES Energy Burden'!$B$2:$E$914,4,FALSE)</f>
        <v>No</v>
      </c>
    </row>
    <row r="574" spans="1:17" x14ac:dyDescent="0.2">
      <c r="A574" s="30" t="s">
        <v>2830</v>
      </c>
      <c r="B574" s="169">
        <v>9001210500</v>
      </c>
      <c r="C574" s="232" t="s">
        <v>944</v>
      </c>
      <c r="D574" s="182">
        <v>217.91028</v>
      </c>
      <c r="E574" s="182">
        <v>26.25</v>
      </c>
      <c r="F574" s="13">
        <f>[1]!Table323[[#This Row],[Single Family]]+[1]!Table323[[#This Row],[2-4 Units]]+[1]!Table323[[#This Row],[&gt;4 Units]]</f>
        <v>0</v>
      </c>
      <c r="G574" s="30">
        <v>0</v>
      </c>
      <c r="H574" s="30">
        <v>0</v>
      </c>
      <c r="I574" s="30">
        <v>0</v>
      </c>
      <c r="J574" s="231">
        <v>0</v>
      </c>
      <c r="K574">
        <f t="shared" si="8"/>
        <v>0</v>
      </c>
      <c r="L574" s="30">
        <v>0</v>
      </c>
      <c r="M574" s="30">
        <v>0</v>
      </c>
      <c r="N574" s="30">
        <v>0</v>
      </c>
      <c r="O574" s="231">
        <v>0</v>
      </c>
      <c r="P574" s="97">
        <f>VLOOKUP(Table323[[#This Row],[Census Tract]],'Population and Diversity Data'!$B$2:$K$823,10,FALSE)</f>
        <v>4</v>
      </c>
      <c r="Q574" s="97" t="str">
        <f>VLOOKUP(Table323[[#This Row],[Census Tract]],'ES Energy Burden'!$B$2:$E$914,4,FALSE)</f>
        <v>No</v>
      </c>
    </row>
    <row r="575" spans="1:17" x14ac:dyDescent="0.2">
      <c r="A575" s="30" t="s">
        <v>2830</v>
      </c>
      <c r="B575" s="169">
        <v>9001240100</v>
      </c>
      <c r="C575" s="232" t="s">
        <v>944</v>
      </c>
      <c r="D575" s="182">
        <v>368.51934</v>
      </c>
      <c r="E575" s="182">
        <v>0</v>
      </c>
      <c r="F575" s="13">
        <f>[1]!Table323[[#This Row],[Single Family]]+[1]!Table323[[#This Row],[2-4 Units]]+[1]!Table323[[#This Row],[&gt;4 Units]]</f>
        <v>0</v>
      </c>
      <c r="G575" s="30">
        <v>0</v>
      </c>
      <c r="H575" s="30">
        <v>0</v>
      </c>
      <c r="I575" s="30">
        <v>0</v>
      </c>
      <c r="J575" s="231">
        <v>0</v>
      </c>
      <c r="K575">
        <f t="shared" si="8"/>
        <v>0</v>
      </c>
      <c r="L575" s="30">
        <v>0</v>
      </c>
      <c r="M575" s="30">
        <v>0</v>
      </c>
      <c r="N575" s="30">
        <v>0</v>
      </c>
      <c r="O575" s="231">
        <v>0</v>
      </c>
      <c r="P575" s="97">
        <f>VLOOKUP(Table323[[#This Row],[Census Tract]],'Population and Diversity Data'!$B$2:$K$823,10,FALSE)</f>
        <v>1</v>
      </c>
      <c r="Q575" s="97" t="str">
        <f>VLOOKUP(Table323[[#This Row],[Census Tract]],'ES Energy Burden'!$B$2:$E$914,4,FALSE)</f>
        <v>No</v>
      </c>
    </row>
    <row r="576" spans="1:17" x14ac:dyDescent="0.2">
      <c r="A576" s="30" t="s">
        <v>2830</v>
      </c>
      <c r="B576" s="169">
        <v>9001245100</v>
      </c>
      <c r="C576" s="232" t="s">
        <v>944</v>
      </c>
      <c r="D576" s="182">
        <v>33072.37689</v>
      </c>
      <c r="E576" s="182">
        <v>41884.339999999997</v>
      </c>
      <c r="F576" s="13">
        <f>[1]!Table323[[#This Row],[Single Family]]+[1]!Table323[[#This Row],[2-4 Units]]+[1]!Table323[[#This Row],[&gt;4 Units]]</f>
        <v>189</v>
      </c>
      <c r="G576" s="30">
        <v>188</v>
      </c>
      <c r="H576" s="30">
        <v>1</v>
      </c>
      <c r="I576" s="30">
        <v>0</v>
      </c>
      <c r="J576" s="231">
        <v>356964.07</v>
      </c>
      <c r="K576">
        <f t="shared" si="8"/>
        <v>10</v>
      </c>
      <c r="L576" s="30">
        <v>6</v>
      </c>
      <c r="M576" s="30">
        <v>4</v>
      </c>
      <c r="N576" s="30">
        <v>0</v>
      </c>
      <c r="O576" s="231">
        <v>9810.2000000000007</v>
      </c>
      <c r="P576" s="97">
        <f>VLOOKUP(Table323[[#This Row],[Census Tract]],'Population and Diversity Data'!$B$2:$K$823,10,FALSE)</f>
        <v>1</v>
      </c>
      <c r="Q576" s="97" t="str">
        <f>VLOOKUP(Table323[[#This Row],[Census Tract]],'ES Energy Burden'!$B$2:$E$914,4,FALSE)</f>
        <v>No</v>
      </c>
    </row>
    <row r="577" spans="1:17" x14ac:dyDescent="0.2">
      <c r="A577" s="30" t="s">
        <v>2830</v>
      </c>
      <c r="B577" s="169">
        <v>9001245200</v>
      </c>
      <c r="C577" s="232" t="s">
        <v>944</v>
      </c>
      <c r="D577" s="182">
        <v>234055.90112100003</v>
      </c>
      <c r="E577" s="182">
        <v>383821.09749999997</v>
      </c>
      <c r="F577" s="13">
        <f>[1]!Table323[[#This Row],[Single Family]]+[1]!Table323[[#This Row],[2-4 Units]]+[1]!Table323[[#This Row],[&gt;4 Units]]</f>
        <v>0</v>
      </c>
      <c r="G577" s="30">
        <v>0</v>
      </c>
      <c r="H577" s="30">
        <v>0</v>
      </c>
      <c r="I577" s="30">
        <v>0</v>
      </c>
      <c r="J577" s="231">
        <v>15375.5</v>
      </c>
      <c r="K577">
        <f t="shared" si="8"/>
        <v>1</v>
      </c>
      <c r="L577" s="30">
        <v>1</v>
      </c>
      <c r="M577" s="30">
        <v>0</v>
      </c>
      <c r="N577" s="30">
        <v>0</v>
      </c>
      <c r="O577" s="231">
        <v>338.24</v>
      </c>
      <c r="P577" s="97">
        <f>VLOOKUP(Table323[[#This Row],[Census Tract]],'Population and Diversity Data'!$B$2:$K$823,10,FALSE)</f>
        <v>3</v>
      </c>
      <c r="Q577" s="97" t="str">
        <f>VLOOKUP(Table323[[#This Row],[Census Tract]],'ES Energy Burden'!$B$2:$E$914,4,FALSE)</f>
        <v>No</v>
      </c>
    </row>
    <row r="578" spans="1:17" x14ac:dyDescent="0.2">
      <c r="A578" s="30" t="s">
        <v>2830</v>
      </c>
      <c r="B578" s="169">
        <v>9001245300</v>
      </c>
      <c r="C578" s="232" t="s">
        <v>944</v>
      </c>
      <c r="D578" s="182">
        <v>77014.340339999995</v>
      </c>
      <c r="E578" s="182">
        <v>26086.63</v>
      </c>
      <c r="F578" s="13">
        <f>[1]!Table323[[#This Row],[Single Family]]+[1]!Table323[[#This Row],[2-4 Units]]+[1]!Table323[[#This Row],[&gt;4 Units]]</f>
        <v>1</v>
      </c>
      <c r="G578" s="30">
        <v>1</v>
      </c>
      <c r="H578" s="30">
        <v>0</v>
      </c>
      <c r="I578" s="30">
        <v>0</v>
      </c>
      <c r="J578" s="231">
        <v>4843.47</v>
      </c>
      <c r="K578">
        <f t="shared" si="8"/>
        <v>1</v>
      </c>
      <c r="L578" s="30">
        <v>0</v>
      </c>
      <c r="M578" s="30">
        <v>1</v>
      </c>
      <c r="N578" s="30">
        <v>0</v>
      </c>
      <c r="O578" s="231">
        <v>307.45999999999998</v>
      </c>
      <c r="P578" s="97">
        <f>VLOOKUP(Table323[[#This Row],[Census Tract]],'Population and Diversity Data'!$B$2:$K$823,10,FALSE)</f>
        <v>2</v>
      </c>
      <c r="Q578" s="97" t="str">
        <f>VLOOKUP(Table323[[#This Row],[Census Tract]],'ES Energy Burden'!$B$2:$E$914,4,FALSE)</f>
        <v>No</v>
      </c>
    </row>
    <row r="579" spans="1:17" x14ac:dyDescent="0.2">
      <c r="A579" s="30" t="s">
        <v>2830</v>
      </c>
      <c r="B579" s="169">
        <v>9001245400</v>
      </c>
      <c r="C579" s="232" t="s">
        <v>944</v>
      </c>
      <c r="D579" s="182">
        <v>53062.085370000001</v>
      </c>
      <c r="E579" s="182">
        <v>13607.26</v>
      </c>
      <c r="F579" s="13">
        <f>[1]!Table323[[#This Row],[Single Family]]+[1]!Table323[[#This Row],[2-4 Units]]+[1]!Table323[[#This Row],[&gt;4 Units]]</f>
        <v>1</v>
      </c>
      <c r="G579" s="30">
        <v>1</v>
      </c>
      <c r="H579" s="30">
        <v>0</v>
      </c>
      <c r="I579" s="30">
        <v>0</v>
      </c>
      <c r="J579" s="231">
        <v>9366</v>
      </c>
      <c r="K579">
        <f t="shared" si="8"/>
        <v>0</v>
      </c>
      <c r="L579" s="30">
        <v>0</v>
      </c>
      <c r="M579" s="30">
        <v>0</v>
      </c>
      <c r="N579" s="30">
        <v>0</v>
      </c>
      <c r="O579" s="231">
        <v>0</v>
      </c>
      <c r="P579" s="97">
        <f>VLOOKUP(Table323[[#This Row],[Census Tract]],'Population and Diversity Data'!$B$2:$K$823,10,FALSE)</f>
        <v>1</v>
      </c>
      <c r="Q579" s="97" t="str">
        <f>VLOOKUP(Table323[[#This Row],[Census Tract]],'ES Energy Burden'!$B$2:$E$914,4,FALSE)</f>
        <v>No</v>
      </c>
    </row>
    <row r="580" spans="1:17" x14ac:dyDescent="0.2">
      <c r="A580" s="30" t="s">
        <v>2830</v>
      </c>
      <c r="B580" s="169">
        <v>9001245500</v>
      </c>
      <c r="C580" s="232" t="s">
        <v>944</v>
      </c>
      <c r="D580" s="182">
        <v>46970.230482000006</v>
      </c>
      <c r="E580" s="182">
        <v>19536.689999999999</v>
      </c>
      <c r="F580" s="13">
        <f>[1]!Table323[[#This Row],[Single Family]]+[1]!Table323[[#This Row],[2-4 Units]]+[1]!Table323[[#This Row],[&gt;4 Units]]</f>
        <v>0</v>
      </c>
      <c r="G580" s="30">
        <v>0</v>
      </c>
      <c r="H580" s="30">
        <v>0</v>
      </c>
      <c r="I580" s="30">
        <v>0</v>
      </c>
      <c r="J580" s="231">
        <v>131.57</v>
      </c>
      <c r="K580">
        <f t="shared" si="8"/>
        <v>2</v>
      </c>
      <c r="L580" s="30">
        <v>2</v>
      </c>
      <c r="M580" s="30">
        <v>0</v>
      </c>
      <c r="N580" s="30">
        <v>0</v>
      </c>
      <c r="O580" s="231">
        <v>2434.85</v>
      </c>
      <c r="P580" s="97">
        <f>VLOOKUP(Table323[[#This Row],[Census Tract]],'Population and Diversity Data'!$B$2:$K$823,10,FALSE)</f>
        <v>3</v>
      </c>
      <c r="Q580" s="97" t="str">
        <f>VLOOKUP(Table323[[#This Row],[Census Tract]],'ES Energy Burden'!$B$2:$E$914,4,FALSE)</f>
        <v>No</v>
      </c>
    </row>
    <row r="581" spans="1:17" x14ac:dyDescent="0.2">
      <c r="A581" s="30" t="s">
        <v>2830</v>
      </c>
      <c r="B581" s="169">
        <v>9001245600</v>
      </c>
      <c r="C581" s="232" t="s">
        <v>944</v>
      </c>
      <c r="D581" s="182">
        <v>90802.915181999997</v>
      </c>
      <c r="E581" s="182">
        <v>57749.06</v>
      </c>
      <c r="F581" s="13">
        <f>[1]!Table323[[#This Row],[Single Family]]+[1]!Table323[[#This Row],[2-4 Units]]+[1]!Table323[[#This Row],[&gt;4 Units]]</f>
        <v>0</v>
      </c>
      <c r="G581" s="30">
        <v>0</v>
      </c>
      <c r="H581" s="30">
        <v>0</v>
      </c>
      <c r="I581" s="30">
        <v>0</v>
      </c>
      <c r="J581" s="231">
        <v>18477.02</v>
      </c>
      <c r="K581">
        <f t="shared" si="8"/>
        <v>1</v>
      </c>
      <c r="L581" s="30">
        <v>1</v>
      </c>
      <c r="M581" s="30">
        <v>0</v>
      </c>
      <c r="N581" s="30">
        <v>0</v>
      </c>
      <c r="O581" s="231">
        <v>1204.8499999999999</v>
      </c>
      <c r="P581" s="97">
        <f>VLOOKUP(Table323[[#This Row],[Census Tract]],'Population and Diversity Data'!$B$2:$K$823,10,FALSE)</f>
        <v>3</v>
      </c>
      <c r="Q581" s="97" t="str">
        <f>VLOOKUP(Table323[[#This Row],[Census Tract]],'ES Energy Burden'!$B$2:$E$914,4,FALSE)</f>
        <v>No</v>
      </c>
    </row>
    <row r="582" spans="1:17" x14ac:dyDescent="0.2">
      <c r="A582" s="30" t="s">
        <v>2831</v>
      </c>
      <c r="B582" s="169">
        <v>9003490100</v>
      </c>
      <c r="C582" s="232" t="s">
        <v>944</v>
      </c>
      <c r="D582" s="182">
        <v>46378.276790999997</v>
      </c>
      <c r="E582" s="182">
        <v>72265.899999999994</v>
      </c>
      <c r="F582" s="13">
        <f>[1]!Table323[[#This Row],[Single Family]]+[1]!Table323[[#This Row],[2-4 Units]]+[1]!Table323[[#This Row],[&gt;4 Units]]</f>
        <v>458</v>
      </c>
      <c r="G582" s="30">
        <v>115</v>
      </c>
      <c r="H582" s="30">
        <v>1</v>
      </c>
      <c r="I582" s="30">
        <v>342</v>
      </c>
      <c r="J582" s="231">
        <v>164335.66</v>
      </c>
      <c r="K582">
        <f t="shared" ref="K582:K645" si="9">L582+M582+N582</f>
        <v>77</v>
      </c>
      <c r="L582" s="30">
        <v>4</v>
      </c>
      <c r="M582" s="30">
        <v>3</v>
      </c>
      <c r="N582" s="30">
        <v>70</v>
      </c>
      <c r="O582" s="231">
        <v>51399.14</v>
      </c>
      <c r="P582" s="97">
        <f>VLOOKUP(Table323[[#This Row],[Census Tract]],'Population and Diversity Data'!$B$2:$K$823,10,FALSE)</f>
        <v>4</v>
      </c>
      <c r="Q582" s="97" t="str">
        <f>VLOOKUP(Table323[[#This Row],[Census Tract]],'ES Energy Burden'!$B$2:$E$914,4,FALSE)</f>
        <v>No</v>
      </c>
    </row>
    <row r="583" spans="1:17" x14ac:dyDescent="0.2">
      <c r="A583" s="30" t="s">
        <v>2831</v>
      </c>
      <c r="B583" s="169">
        <v>9003490302</v>
      </c>
      <c r="C583" s="232" t="s">
        <v>944</v>
      </c>
      <c r="D583" s="182">
        <v>171705.22294800001</v>
      </c>
      <c r="E583" s="182">
        <v>208482.1225</v>
      </c>
      <c r="F583" s="13">
        <f>[1]!Table323[[#This Row],[Single Family]]+[1]!Table323[[#This Row],[2-4 Units]]+[1]!Table323[[#This Row],[&gt;4 Units]]</f>
        <v>0</v>
      </c>
      <c r="G583" s="30">
        <v>0</v>
      </c>
      <c r="H583" s="30">
        <v>0</v>
      </c>
      <c r="I583" s="30">
        <v>0</v>
      </c>
      <c r="J583" s="231">
        <v>6228.45</v>
      </c>
      <c r="K583">
        <f t="shared" si="9"/>
        <v>2</v>
      </c>
      <c r="L583" s="30">
        <v>2</v>
      </c>
      <c r="M583" s="30">
        <v>0</v>
      </c>
      <c r="N583" s="30">
        <v>0</v>
      </c>
      <c r="O583" s="231">
        <v>5972.87</v>
      </c>
      <c r="P583" s="97">
        <f>VLOOKUP(Table323[[#This Row],[Census Tract]],'Population and Diversity Data'!$B$2:$K$823,10,FALSE)</f>
        <v>5</v>
      </c>
      <c r="Q583" s="97" t="str">
        <f>VLOOKUP(Table323[[#This Row],[Census Tract]],'ES Energy Burden'!$B$2:$E$914,4,FALSE)</f>
        <v>No</v>
      </c>
    </row>
    <row r="584" spans="1:17" x14ac:dyDescent="0.2">
      <c r="A584" s="30" t="s">
        <v>2831</v>
      </c>
      <c r="B584" s="169">
        <v>9003492600</v>
      </c>
      <c r="C584" s="232" t="s">
        <v>944</v>
      </c>
      <c r="D584" s="182">
        <v>31.32255</v>
      </c>
      <c r="E584" s="182">
        <v>0</v>
      </c>
      <c r="F584" s="13">
        <f>[1]!Table323[[#This Row],[Single Family]]+[1]!Table323[[#This Row],[2-4 Units]]+[1]!Table323[[#This Row],[&gt;4 Units]]</f>
        <v>0</v>
      </c>
      <c r="G584" s="30">
        <v>0</v>
      </c>
      <c r="H584" s="30">
        <v>0</v>
      </c>
      <c r="I584" s="30">
        <v>0</v>
      </c>
      <c r="J584" s="231">
        <v>0</v>
      </c>
      <c r="K584">
        <f t="shared" si="9"/>
        <v>0</v>
      </c>
      <c r="L584" s="30">
        <v>0</v>
      </c>
      <c r="M584" s="30">
        <v>0</v>
      </c>
      <c r="N584" s="30">
        <v>0</v>
      </c>
      <c r="O584" s="231">
        <v>0</v>
      </c>
      <c r="P584" s="97">
        <f>VLOOKUP(Table323[[#This Row],[Census Tract]],'Population and Diversity Data'!$B$2:$K$823,10,FALSE)</f>
        <v>1</v>
      </c>
      <c r="Q584" s="97" t="str">
        <f>VLOOKUP(Table323[[#This Row],[Census Tract]],'ES Energy Burden'!$B$2:$E$914,4,FALSE)</f>
        <v>No</v>
      </c>
    </row>
    <row r="585" spans="1:17" x14ac:dyDescent="0.2">
      <c r="A585" s="30" t="s">
        <v>2831</v>
      </c>
      <c r="B585" s="169">
        <v>9003524200</v>
      </c>
      <c r="C585" s="232" t="s">
        <v>944</v>
      </c>
      <c r="D585" s="182">
        <v>57713.538140999997</v>
      </c>
      <c r="E585" s="182">
        <v>31825.62</v>
      </c>
      <c r="F585" s="13">
        <f>[1]!Table323[[#This Row],[Single Family]]+[1]!Table323[[#This Row],[2-4 Units]]+[1]!Table323[[#This Row],[&gt;4 Units]]</f>
        <v>0</v>
      </c>
      <c r="G585" s="30">
        <v>0</v>
      </c>
      <c r="H585" s="30">
        <v>0</v>
      </c>
      <c r="I585" s="30">
        <v>0</v>
      </c>
      <c r="J585" s="231">
        <v>12594.23</v>
      </c>
      <c r="K585">
        <f t="shared" si="9"/>
        <v>6</v>
      </c>
      <c r="L585" s="30">
        <v>6</v>
      </c>
      <c r="M585" s="30">
        <v>0</v>
      </c>
      <c r="N585" s="30">
        <v>0</v>
      </c>
      <c r="O585" s="231">
        <v>1660.98</v>
      </c>
      <c r="P585" s="97">
        <f>VLOOKUP(Table323[[#This Row],[Census Tract]],'Population and Diversity Data'!$B$2:$K$823,10,FALSE)</f>
        <v>4</v>
      </c>
      <c r="Q585" s="97" t="str">
        <f>VLOOKUP(Table323[[#This Row],[Census Tract]],'ES Energy Burden'!$B$2:$E$914,4,FALSE)</f>
        <v>No</v>
      </c>
    </row>
    <row r="586" spans="1:17" x14ac:dyDescent="0.2">
      <c r="A586" s="30" t="s">
        <v>2832</v>
      </c>
      <c r="B586" s="169">
        <v>9005268100</v>
      </c>
      <c r="C586" s="232" t="s">
        <v>944</v>
      </c>
      <c r="D586" s="182">
        <v>78854.891052000006</v>
      </c>
      <c r="E586" s="182">
        <v>115655.435</v>
      </c>
      <c r="F586" s="13">
        <f>[1]!Table323[[#This Row],[Single Family]]+[1]!Table323[[#This Row],[2-4 Units]]+[1]!Table323[[#This Row],[&gt;4 Units]]</f>
        <v>14</v>
      </c>
      <c r="G586" s="30">
        <v>14</v>
      </c>
      <c r="H586" s="30">
        <v>0</v>
      </c>
      <c r="I586" s="30">
        <v>0</v>
      </c>
      <c r="J586" s="231">
        <v>66517.56</v>
      </c>
      <c r="K586">
        <f t="shared" si="9"/>
        <v>2</v>
      </c>
      <c r="L586" s="30">
        <v>2</v>
      </c>
      <c r="M586" s="30">
        <v>0</v>
      </c>
      <c r="N586" s="30">
        <v>0</v>
      </c>
      <c r="O586" s="231">
        <v>46446.33</v>
      </c>
      <c r="P586" s="97">
        <f>VLOOKUP(Table323[[#This Row],[Census Tract]],'Population and Diversity Data'!$B$2:$K$823,10,FALSE)</f>
        <v>1</v>
      </c>
      <c r="Q586" s="97" t="str">
        <f>VLOOKUP(Table323[[#This Row],[Census Tract]],'ES Energy Burden'!$B$2:$E$914,4,FALSE)</f>
        <v>No</v>
      </c>
    </row>
    <row r="587" spans="1:17" x14ac:dyDescent="0.2">
      <c r="A587" s="30" t="s">
        <v>2833</v>
      </c>
      <c r="B587" s="169">
        <v>9007595101</v>
      </c>
      <c r="C587" s="232" t="s">
        <v>944</v>
      </c>
      <c r="D587" s="182">
        <v>310.96989000000002</v>
      </c>
      <c r="E587" s="182">
        <v>0</v>
      </c>
      <c r="F587" s="13">
        <f>[1]!Table323[[#This Row],[Single Family]]+[1]!Table323[[#This Row],[2-4 Units]]+[1]!Table323[[#This Row],[&gt;4 Units]]</f>
        <v>0</v>
      </c>
      <c r="G587" s="30">
        <v>0</v>
      </c>
      <c r="H587" s="30">
        <v>0</v>
      </c>
      <c r="I587" s="30">
        <v>0</v>
      </c>
      <c r="J587" s="231">
        <v>0</v>
      </c>
      <c r="K587">
        <f t="shared" si="9"/>
        <v>0</v>
      </c>
      <c r="L587" s="30">
        <v>0</v>
      </c>
      <c r="M587" s="30">
        <v>0</v>
      </c>
      <c r="N587" s="30">
        <v>0</v>
      </c>
      <c r="O587" s="231">
        <v>0</v>
      </c>
      <c r="P587" s="97">
        <f>VLOOKUP(Table323[[#This Row],[Census Tract]],'Population and Diversity Data'!$B$2:$K$823,10,FALSE)</f>
        <v>1</v>
      </c>
      <c r="Q587" s="97" t="str">
        <f>VLOOKUP(Table323[[#This Row],[Census Tract]],'ES Energy Burden'!$B$2:$E$914,4,FALSE)</f>
        <v>No</v>
      </c>
    </row>
    <row r="588" spans="1:17" x14ac:dyDescent="0.2">
      <c r="A588" s="30" t="s">
        <v>2833</v>
      </c>
      <c r="B588" s="169">
        <v>9011715100</v>
      </c>
      <c r="C588" s="232" t="s">
        <v>944</v>
      </c>
      <c r="D588" s="182">
        <v>81863.863683000003</v>
      </c>
      <c r="E588" s="182">
        <v>122564.54</v>
      </c>
      <c r="F588" s="13">
        <f>[1]!Table323[[#This Row],[Single Family]]+[1]!Table323[[#This Row],[2-4 Units]]+[1]!Table323[[#This Row],[&gt;4 Units]]</f>
        <v>17</v>
      </c>
      <c r="G588" s="30">
        <v>17</v>
      </c>
      <c r="H588" s="30">
        <v>0</v>
      </c>
      <c r="I588" s="30">
        <v>0</v>
      </c>
      <c r="J588" s="231">
        <v>48262.55</v>
      </c>
      <c r="K588">
        <f t="shared" si="9"/>
        <v>3</v>
      </c>
      <c r="L588" s="30">
        <v>3</v>
      </c>
      <c r="M588" s="30">
        <v>0</v>
      </c>
      <c r="N588" s="30">
        <v>0</v>
      </c>
      <c r="O588" s="231">
        <v>15059.77</v>
      </c>
      <c r="P588" s="97">
        <f>VLOOKUP(Table323[[#This Row],[Census Tract]],'Population and Diversity Data'!$B$2:$K$823,10,FALSE)</f>
        <v>3</v>
      </c>
      <c r="Q588" s="97" t="str">
        <f>VLOOKUP(Table323[[#This Row],[Census Tract]],'ES Energy Burden'!$B$2:$E$914,4,FALSE)</f>
        <v>No</v>
      </c>
    </row>
    <row r="589" spans="1:17" x14ac:dyDescent="0.2">
      <c r="A589" s="30" t="s">
        <v>2834</v>
      </c>
      <c r="B589" s="169">
        <v>9005261100</v>
      </c>
      <c r="C589" s="232" t="s">
        <v>944</v>
      </c>
      <c r="D589" s="182">
        <v>117172.90827900001</v>
      </c>
      <c r="E589" s="182">
        <v>85628.214999999997</v>
      </c>
      <c r="F589" s="13">
        <f>[1]!Table323[[#This Row],[Single Family]]+[1]!Table323[[#This Row],[2-4 Units]]+[1]!Table323[[#This Row],[&gt;4 Units]]</f>
        <v>14</v>
      </c>
      <c r="G589" s="30">
        <v>14</v>
      </c>
      <c r="H589" s="30">
        <v>0</v>
      </c>
      <c r="I589" s="30">
        <v>0</v>
      </c>
      <c r="J589" s="231">
        <v>25688.33</v>
      </c>
      <c r="K589">
        <f t="shared" si="9"/>
        <v>2</v>
      </c>
      <c r="L589" s="30">
        <v>2</v>
      </c>
      <c r="M589" s="30">
        <v>0</v>
      </c>
      <c r="N589" s="30">
        <v>0</v>
      </c>
      <c r="O589" s="231">
        <v>20418.560000000001</v>
      </c>
      <c r="P589" s="97">
        <f>VLOOKUP(Table323[[#This Row],[Census Tract]],'Population and Diversity Data'!$B$2:$K$823,10,FALSE)</f>
        <v>1</v>
      </c>
      <c r="Q589" s="97" t="str">
        <f>VLOOKUP(Table323[[#This Row],[Census Tract]],'ES Energy Burden'!$B$2:$E$914,4,FALSE)</f>
        <v>No</v>
      </c>
    </row>
    <row r="590" spans="1:17" x14ac:dyDescent="0.2">
      <c r="A590" s="30" t="s">
        <v>2834</v>
      </c>
      <c r="B590" s="169">
        <v>9005262100</v>
      </c>
      <c r="C590" s="232" t="s">
        <v>944</v>
      </c>
      <c r="D590" s="182">
        <v>515.77638000000002</v>
      </c>
      <c r="E590" s="182">
        <v>0</v>
      </c>
      <c r="F590" s="13">
        <f>[1]!Table323[[#This Row],[Single Family]]+[1]!Table323[[#This Row],[2-4 Units]]+[1]!Table323[[#This Row],[&gt;4 Units]]</f>
        <v>0</v>
      </c>
      <c r="G590" s="30">
        <v>0</v>
      </c>
      <c r="H590" s="30">
        <v>0</v>
      </c>
      <c r="I590" s="30">
        <v>0</v>
      </c>
      <c r="J590" s="231">
        <v>0</v>
      </c>
      <c r="K590">
        <f t="shared" si="9"/>
        <v>0</v>
      </c>
      <c r="L590" s="30">
        <v>0</v>
      </c>
      <c r="M590" s="30">
        <v>0</v>
      </c>
      <c r="N590" s="30">
        <v>0</v>
      </c>
      <c r="O590" s="231">
        <v>0</v>
      </c>
      <c r="P590" s="97">
        <f>VLOOKUP(Table323[[#This Row],[Census Tract]],'Population and Diversity Data'!$B$2:$K$823,10,FALSE)</f>
        <v>1</v>
      </c>
      <c r="Q590" s="97" t="str">
        <f>VLOOKUP(Table323[[#This Row],[Census Tract]],'ES Energy Burden'!$B$2:$E$914,4,FALSE)</f>
        <v>No</v>
      </c>
    </row>
    <row r="591" spans="1:17" x14ac:dyDescent="0.2">
      <c r="A591" s="30" t="s">
        <v>2835</v>
      </c>
      <c r="B591" s="169">
        <v>9015825000</v>
      </c>
      <c r="C591" s="232" t="s">
        <v>944</v>
      </c>
      <c r="D591" s="182">
        <v>26886.393512999999</v>
      </c>
      <c r="E591" s="182">
        <v>26036.080000000002</v>
      </c>
      <c r="F591" s="13">
        <f>[1]!Table323[[#This Row],[Single Family]]+[1]!Table323[[#This Row],[2-4 Units]]+[1]!Table323[[#This Row],[&gt;4 Units]]</f>
        <v>12</v>
      </c>
      <c r="G591" s="30">
        <v>12</v>
      </c>
      <c r="H591" s="30">
        <v>0</v>
      </c>
      <c r="I591" s="30">
        <v>0</v>
      </c>
      <c r="J591" s="231">
        <v>17836.939999999999</v>
      </c>
      <c r="K591">
        <f t="shared" si="9"/>
        <v>3</v>
      </c>
      <c r="L591" s="30">
        <v>3</v>
      </c>
      <c r="M591" s="30">
        <v>0</v>
      </c>
      <c r="N591" s="30">
        <v>0</v>
      </c>
      <c r="O591" s="231">
        <v>3106.63</v>
      </c>
      <c r="P591" s="97">
        <f>VLOOKUP(Table323[[#This Row],[Census Tract]],'Population and Diversity Data'!$B$2:$K$823,10,FALSE)</f>
        <v>2</v>
      </c>
      <c r="Q591" s="97" t="str">
        <f>VLOOKUP(Table323[[#This Row],[Census Tract]],'ES Energy Burden'!$B$2:$E$914,4,FALSE)</f>
        <v>No</v>
      </c>
    </row>
    <row r="592" spans="1:17" x14ac:dyDescent="0.2">
      <c r="A592" s="30" t="s">
        <v>2836</v>
      </c>
      <c r="B592" s="169">
        <v>9009120200</v>
      </c>
      <c r="C592" s="232" t="s">
        <v>944</v>
      </c>
      <c r="D592" s="182">
        <v>82.235579999999999</v>
      </c>
      <c r="E592" s="182">
        <v>0</v>
      </c>
      <c r="F592" s="13">
        <f>[1]!Table323[[#This Row],[Single Family]]+[1]!Table323[[#This Row],[2-4 Units]]+[1]!Table323[[#This Row],[&gt;4 Units]]</f>
        <v>0</v>
      </c>
      <c r="G592" s="30">
        <v>0</v>
      </c>
      <c r="H592" s="30">
        <v>0</v>
      </c>
      <c r="I592" s="30">
        <v>0</v>
      </c>
      <c r="J592" s="231">
        <v>0</v>
      </c>
      <c r="K592">
        <f t="shared" si="9"/>
        <v>0</v>
      </c>
      <c r="L592" s="30">
        <v>0</v>
      </c>
      <c r="M592" s="30">
        <v>0</v>
      </c>
      <c r="N592" s="30">
        <v>0</v>
      </c>
      <c r="O592" s="231">
        <v>0</v>
      </c>
      <c r="P592" s="97">
        <f>VLOOKUP(Table323[[#This Row],[Census Tract]],'Population and Diversity Data'!$B$2:$K$823,10,FALSE)</f>
        <v>4</v>
      </c>
      <c r="Q592" s="97" t="str">
        <f>VLOOKUP(Table323[[#This Row],[Census Tract]],'ES Energy Burden'!$B$2:$E$914,4,FALSE)</f>
        <v>Yes</v>
      </c>
    </row>
    <row r="593" spans="1:17" x14ac:dyDescent="0.2">
      <c r="A593" s="30" t="s">
        <v>2836</v>
      </c>
      <c r="B593" s="169">
        <v>9009125300</v>
      </c>
      <c r="C593" s="232" t="s">
        <v>944</v>
      </c>
      <c r="D593" s="182">
        <v>35.635739999999998</v>
      </c>
      <c r="E593" s="182">
        <v>0</v>
      </c>
      <c r="F593" s="13">
        <f>[1]!Table323[[#This Row],[Single Family]]+[1]!Table323[[#This Row],[2-4 Units]]+[1]!Table323[[#This Row],[&gt;4 Units]]</f>
        <v>0</v>
      </c>
      <c r="G593" s="30">
        <v>0</v>
      </c>
      <c r="H593" s="30">
        <v>0</v>
      </c>
      <c r="I593" s="30">
        <v>0</v>
      </c>
      <c r="J593" s="231">
        <v>0</v>
      </c>
      <c r="K593">
        <f t="shared" si="9"/>
        <v>0</v>
      </c>
      <c r="L593" s="30">
        <v>0</v>
      </c>
      <c r="M593" s="30">
        <v>0</v>
      </c>
      <c r="N593" s="30">
        <v>0</v>
      </c>
      <c r="O593" s="231">
        <v>0</v>
      </c>
      <c r="P593" s="97">
        <f>VLOOKUP(Table323[[#This Row],[Census Tract]],'Population and Diversity Data'!$B$2:$K$823,10,FALSE)</f>
        <v>5</v>
      </c>
      <c r="Q593" s="97" t="str">
        <f>VLOOKUP(Table323[[#This Row],[Census Tract]],'ES Energy Burden'!$B$2:$E$914,4,FALSE)</f>
        <v>No</v>
      </c>
    </row>
    <row r="594" spans="1:17" x14ac:dyDescent="0.2">
      <c r="A594" s="30" t="s">
        <v>2836</v>
      </c>
      <c r="B594" s="169">
        <v>9009125400</v>
      </c>
      <c r="C594" s="232" t="s">
        <v>944</v>
      </c>
      <c r="D594" s="182">
        <v>673.70771999999999</v>
      </c>
      <c r="E594" s="182">
        <v>2816.59</v>
      </c>
      <c r="F594" s="13">
        <f>[1]!Table323[[#This Row],[Single Family]]+[1]!Table323[[#This Row],[2-4 Units]]+[1]!Table323[[#This Row],[&gt;4 Units]]</f>
        <v>26</v>
      </c>
      <c r="G594" s="30">
        <v>26</v>
      </c>
      <c r="H594" s="30">
        <v>0</v>
      </c>
      <c r="I594" s="30">
        <v>0</v>
      </c>
      <c r="J594" s="231">
        <v>0</v>
      </c>
      <c r="K594">
        <f t="shared" si="9"/>
        <v>1</v>
      </c>
      <c r="L594" s="30">
        <v>1</v>
      </c>
      <c r="M594" s="30">
        <v>0</v>
      </c>
      <c r="N594" s="30">
        <v>0</v>
      </c>
      <c r="O594" s="231">
        <v>2816.59</v>
      </c>
      <c r="P594" s="97">
        <f>VLOOKUP(Table323[[#This Row],[Census Tract]],'Population and Diversity Data'!$B$2:$K$823,10,FALSE)</f>
        <v>3</v>
      </c>
      <c r="Q594" s="97" t="str">
        <f>VLOOKUP(Table323[[#This Row],[Census Tract]],'ES Energy Burden'!$B$2:$E$914,4,FALSE)</f>
        <v>No</v>
      </c>
    </row>
    <row r="595" spans="1:17" x14ac:dyDescent="0.2">
      <c r="A595" s="30" t="s">
        <v>2836</v>
      </c>
      <c r="B595" s="169">
        <v>9009130101</v>
      </c>
      <c r="C595" s="232" t="s">
        <v>944</v>
      </c>
      <c r="D595" s="182">
        <v>135871.99439099999</v>
      </c>
      <c r="E595" s="182">
        <v>320647.8</v>
      </c>
      <c r="F595" s="13">
        <f>[1]!Table323[[#This Row],[Single Family]]+[1]!Table323[[#This Row],[2-4 Units]]+[1]!Table323[[#This Row],[&gt;4 Units]]</f>
        <v>0</v>
      </c>
      <c r="G595" s="30">
        <v>0</v>
      </c>
      <c r="H595" s="30">
        <v>0</v>
      </c>
      <c r="I595" s="30">
        <v>0</v>
      </c>
      <c r="J595" s="231">
        <v>24411.39</v>
      </c>
      <c r="K595">
        <f t="shared" si="9"/>
        <v>5</v>
      </c>
      <c r="L595" s="30">
        <v>4</v>
      </c>
      <c r="M595" s="30">
        <v>1</v>
      </c>
      <c r="N595" s="30">
        <v>0</v>
      </c>
      <c r="O595" s="231">
        <v>34160.769999999997</v>
      </c>
      <c r="P595" s="97">
        <f>VLOOKUP(Table323[[#This Row],[Census Tract]],'Population and Diversity Data'!$B$2:$K$823,10,FALSE)</f>
        <v>2</v>
      </c>
      <c r="Q595" s="97" t="str">
        <f>VLOOKUP(Table323[[#This Row],[Census Tract]],'ES Energy Burden'!$B$2:$E$914,4,FALSE)</f>
        <v>No</v>
      </c>
    </row>
    <row r="596" spans="1:17" x14ac:dyDescent="0.2">
      <c r="A596" s="30" t="s">
        <v>2836</v>
      </c>
      <c r="B596" s="169">
        <v>9009130102</v>
      </c>
      <c r="C596" s="232" t="s">
        <v>944</v>
      </c>
      <c r="D596" s="182">
        <v>31390.566060000001</v>
      </c>
      <c r="E596" s="182">
        <v>13943.8</v>
      </c>
      <c r="F596" s="13">
        <f>[1]!Table323[[#This Row],[Single Family]]+[1]!Table323[[#This Row],[2-4 Units]]+[1]!Table323[[#This Row],[&gt;4 Units]]</f>
        <v>0</v>
      </c>
      <c r="G596" s="30">
        <v>0</v>
      </c>
      <c r="H596" s="30">
        <v>0</v>
      </c>
      <c r="I596" s="30">
        <v>0</v>
      </c>
      <c r="J596" s="231">
        <v>78.930000000000007</v>
      </c>
      <c r="K596">
        <f t="shared" si="9"/>
        <v>3</v>
      </c>
      <c r="L596" s="30">
        <v>3</v>
      </c>
      <c r="M596" s="30">
        <v>0</v>
      </c>
      <c r="N596" s="30">
        <v>0</v>
      </c>
      <c r="O596" s="231">
        <v>3866.43</v>
      </c>
      <c r="P596" s="97">
        <f>VLOOKUP(Table323[[#This Row],[Census Tract]],'Population and Diversity Data'!$B$2:$K$823,10,FALSE)</f>
        <v>2</v>
      </c>
      <c r="Q596" s="97" t="str">
        <f>VLOOKUP(Table323[[#This Row],[Census Tract]],'ES Energy Burden'!$B$2:$E$914,4,FALSE)</f>
        <v>No</v>
      </c>
    </row>
    <row r="597" spans="1:17" x14ac:dyDescent="0.2">
      <c r="A597" s="30" t="s">
        <v>2836</v>
      </c>
      <c r="B597" s="169">
        <v>9009130200</v>
      </c>
      <c r="C597" s="232" t="s">
        <v>944</v>
      </c>
      <c r="D597" s="182">
        <v>94043.91231900001</v>
      </c>
      <c r="E597" s="182">
        <v>140529.685</v>
      </c>
      <c r="F597" s="13">
        <f>[1]!Table323[[#This Row],[Single Family]]+[1]!Table323[[#This Row],[2-4 Units]]+[1]!Table323[[#This Row],[&gt;4 Units]]</f>
        <v>102</v>
      </c>
      <c r="G597" s="30">
        <v>101</v>
      </c>
      <c r="H597" s="30">
        <v>1</v>
      </c>
      <c r="I597" s="30">
        <v>0</v>
      </c>
      <c r="J597" s="231">
        <v>282028.21999999997</v>
      </c>
      <c r="K597">
        <f t="shared" si="9"/>
        <v>18</v>
      </c>
      <c r="L597" s="30">
        <v>13</v>
      </c>
      <c r="M597" s="30">
        <v>5</v>
      </c>
      <c r="N597" s="30">
        <v>0</v>
      </c>
      <c r="O597" s="231">
        <v>73607.08</v>
      </c>
      <c r="P597" s="97">
        <f>VLOOKUP(Table323[[#This Row],[Census Tract]],'Population and Diversity Data'!$B$2:$K$823,10,FALSE)</f>
        <v>3</v>
      </c>
      <c r="Q597" s="97" t="str">
        <f>VLOOKUP(Table323[[#This Row],[Census Tract]],'ES Energy Burden'!$B$2:$E$914,4,FALSE)</f>
        <v>No</v>
      </c>
    </row>
    <row r="598" spans="1:17" x14ac:dyDescent="0.2">
      <c r="A598" s="30" t="s">
        <v>2837</v>
      </c>
      <c r="B598" s="169">
        <v>9005262100</v>
      </c>
      <c r="C598" s="232" t="s">
        <v>944</v>
      </c>
      <c r="D598" s="182">
        <v>83729.574830999991</v>
      </c>
      <c r="E598" s="182">
        <v>46758.102500000001</v>
      </c>
      <c r="F598" s="13">
        <f>[1]!Table323[[#This Row],[Single Family]]+[1]!Table323[[#This Row],[2-4 Units]]+[1]!Table323[[#This Row],[&gt;4 Units]]</f>
        <v>12</v>
      </c>
      <c r="G598" s="30">
        <v>12</v>
      </c>
      <c r="H598" s="30">
        <v>0</v>
      </c>
      <c r="I598" s="30">
        <v>0</v>
      </c>
      <c r="J598" s="231">
        <v>29877.56</v>
      </c>
      <c r="K598">
        <f t="shared" si="9"/>
        <v>1</v>
      </c>
      <c r="L598" s="30">
        <v>0</v>
      </c>
      <c r="M598" s="30">
        <v>1</v>
      </c>
      <c r="N598" s="30">
        <v>0</v>
      </c>
      <c r="O598" s="231">
        <v>355.02</v>
      </c>
      <c r="P598" s="97">
        <f>VLOOKUP(Table323[[#This Row],[Census Tract]],'Population and Diversity Data'!$B$2:$K$823,10,FALSE)</f>
        <v>1</v>
      </c>
      <c r="Q598" s="97" t="str">
        <f>VLOOKUP(Table323[[#This Row],[Census Tract]],'ES Energy Burden'!$B$2:$E$914,4,FALSE)</f>
        <v>No</v>
      </c>
    </row>
    <row r="599" spans="1:17" x14ac:dyDescent="0.2">
      <c r="A599" s="30" t="s">
        <v>2837</v>
      </c>
      <c r="B599" s="169">
        <v>9005266100</v>
      </c>
      <c r="C599" s="232" t="s">
        <v>944</v>
      </c>
      <c r="D599" s="182">
        <v>419.75115</v>
      </c>
      <c r="E599" s="182">
        <v>0</v>
      </c>
      <c r="F599" s="13">
        <f>[1]!Table323[[#This Row],[Single Family]]+[1]!Table323[[#This Row],[2-4 Units]]+[1]!Table323[[#This Row],[&gt;4 Units]]</f>
        <v>0</v>
      </c>
      <c r="G599" s="30">
        <v>0</v>
      </c>
      <c r="H599" s="30">
        <v>0</v>
      </c>
      <c r="I599" s="30">
        <v>0</v>
      </c>
      <c r="J599" s="231">
        <v>0</v>
      </c>
      <c r="K599">
        <f t="shared" si="9"/>
        <v>0</v>
      </c>
      <c r="L599" s="30">
        <v>0</v>
      </c>
      <c r="M599" s="30">
        <v>0</v>
      </c>
      <c r="N599" s="30">
        <v>0</v>
      </c>
      <c r="O599" s="231">
        <v>0</v>
      </c>
      <c r="P599" s="97">
        <f>VLOOKUP(Table323[[#This Row],[Census Tract]],'Population and Diversity Data'!$B$2:$K$823,10,FALSE)</f>
        <v>2</v>
      </c>
      <c r="Q599" s="97" t="str">
        <f>VLOOKUP(Table323[[#This Row],[Census Tract]],'ES Energy Burden'!$B$2:$E$914,4,FALSE)</f>
        <v>No</v>
      </c>
    </row>
    <row r="600" spans="1:17" x14ac:dyDescent="0.2">
      <c r="A600" s="30" t="s">
        <v>2838</v>
      </c>
      <c r="B600" s="169">
        <v>9001220200</v>
      </c>
      <c r="C600" s="232" t="s">
        <v>944</v>
      </c>
      <c r="D600" s="182">
        <v>270.75047999999998</v>
      </c>
      <c r="E600" s="182">
        <v>0</v>
      </c>
      <c r="F600" s="13">
        <f>[1]!Table323[[#This Row],[Single Family]]+[1]!Table323[[#This Row],[2-4 Units]]+[1]!Table323[[#This Row],[&gt;4 Units]]</f>
        <v>0</v>
      </c>
      <c r="G600" s="30">
        <v>0</v>
      </c>
      <c r="H600" s="30">
        <v>0</v>
      </c>
      <c r="I600" s="30">
        <v>0</v>
      </c>
      <c r="J600" s="231">
        <v>0</v>
      </c>
      <c r="K600">
        <f t="shared" si="9"/>
        <v>0</v>
      </c>
      <c r="L600" s="30">
        <v>0</v>
      </c>
      <c r="M600" s="30">
        <v>0</v>
      </c>
      <c r="N600" s="30">
        <v>0</v>
      </c>
      <c r="O600" s="231">
        <v>0</v>
      </c>
      <c r="P600" s="97">
        <f>VLOOKUP(Table323[[#This Row],[Census Tract]],'Population and Diversity Data'!$B$2:$K$823,10,FALSE)</f>
        <v>3</v>
      </c>
      <c r="Q600" s="97" t="str">
        <f>VLOOKUP(Table323[[#This Row],[Census Tract]],'ES Energy Burden'!$B$2:$E$914,4,FALSE)</f>
        <v>No</v>
      </c>
    </row>
    <row r="601" spans="1:17" x14ac:dyDescent="0.2">
      <c r="A601" s="30" t="s">
        <v>2838</v>
      </c>
      <c r="B601" s="169">
        <v>9001220300</v>
      </c>
      <c r="C601" s="232" t="s">
        <v>944</v>
      </c>
      <c r="D601" s="182">
        <v>399.60522000000003</v>
      </c>
      <c r="E601" s="182">
        <v>0</v>
      </c>
      <c r="F601" s="13">
        <f>[1]!Table323[[#This Row],[Single Family]]+[1]!Table323[[#This Row],[2-4 Units]]+[1]!Table323[[#This Row],[&gt;4 Units]]</f>
        <v>0</v>
      </c>
      <c r="G601" s="30">
        <v>0</v>
      </c>
      <c r="H601" s="30">
        <v>0</v>
      </c>
      <c r="I601" s="30">
        <v>0</v>
      </c>
      <c r="J601" s="231">
        <v>0</v>
      </c>
      <c r="K601">
        <f t="shared" si="9"/>
        <v>0</v>
      </c>
      <c r="L601" s="30">
        <v>0</v>
      </c>
      <c r="M601" s="30">
        <v>0</v>
      </c>
      <c r="N601" s="30">
        <v>0</v>
      </c>
      <c r="O601" s="231">
        <v>0</v>
      </c>
      <c r="P601" s="97">
        <f>VLOOKUP(Table323[[#This Row],[Census Tract]],'Population and Diversity Data'!$B$2:$K$823,10,FALSE)</f>
        <v>2</v>
      </c>
      <c r="Q601" s="97" t="str">
        <f>VLOOKUP(Table323[[#This Row],[Census Tract]],'ES Energy Burden'!$B$2:$E$914,4,FALSE)</f>
        <v>No</v>
      </c>
    </row>
    <row r="602" spans="1:17" x14ac:dyDescent="0.2">
      <c r="A602" s="30" t="s">
        <v>2838</v>
      </c>
      <c r="B602" s="169">
        <v>9001257100</v>
      </c>
      <c r="C602" s="232" t="s">
        <v>944</v>
      </c>
      <c r="D602" s="182">
        <v>99224.223525000009</v>
      </c>
      <c r="E602" s="182">
        <v>116109.63</v>
      </c>
      <c r="F602" s="13">
        <f>[1]!Table323[[#This Row],[Single Family]]+[1]!Table323[[#This Row],[2-4 Units]]+[1]!Table323[[#This Row],[&gt;4 Units]]</f>
        <v>38</v>
      </c>
      <c r="G602" s="30">
        <v>38</v>
      </c>
      <c r="H602" s="30">
        <v>0</v>
      </c>
      <c r="I602" s="30">
        <v>0</v>
      </c>
      <c r="J602" s="231">
        <v>63674.77</v>
      </c>
      <c r="K602">
        <f t="shared" si="9"/>
        <v>2</v>
      </c>
      <c r="L602" s="30">
        <v>2</v>
      </c>
      <c r="M602" s="30">
        <v>0</v>
      </c>
      <c r="N602" s="30">
        <v>0</v>
      </c>
      <c r="O602" s="231">
        <v>22257.13</v>
      </c>
      <c r="P602" s="97">
        <f>VLOOKUP(Table323[[#This Row],[Census Tract]],'Population and Diversity Data'!$B$2:$K$823,10,FALSE)</f>
        <v>1</v>
      </c>
      <c r="Q602" s="97" t="str">
        <f>VLOOKUP(Table323[[#This Row],[Census Tract]],'ES Energy Burden'!$B$2:$E$914,4,FALSE)</f>
        <v>No</v>
      </c>
    </row>
    <row r="603" spans="1:17" x14ac:dyDescent="0.2">
      <c r="A603" s="30" t="s">
        <v>2838</v>
      </c>
      <c r="B603" s="169">
        <v>9005253400</v>
      </c>
      <c r="C603" s="232" t="s">
        <v>944</v>
      </c>
      <c r="D603" s="182">
        <v>537.46307999999999</v>
      </c>
      <c r="E603" s="182">
        <v>0</v>
      </c>
      <c r="F603" s="13">
        <f>[1]!Table323[[#This Row],[Single Family]]+[1]!Table323[[#This Row],[2-4 Units]]+[1]!Table323[[#This Row],[&gt;4 Units]]</f>
        <v>0</v>
      </c>
      <c r="G603" s="30">
        <v>0</v>
      </c>
      <c r="H603" s="30">
        <v>0</v>
      </c>
      <c r="I603" s="30">
        <v>0</v>
      </c>
      <c r="J603" s="231">
        <v>0</v>
      </c>
      <c r="K603">
        <f t="shared" si="9"/>
        <v>0</v>
      </c>
      <c r="L603" s="30">
        <v>0</v>
      </c>
      <c r="M603" s="30">
        <v>0</v>
      </c>
      <c r="N603" s="30">
        <v>0</v>
      </c>
      <c r="O603" s="231">
        <v>0</v>
      </c>
      <c r="P603" s="97">
        <f>VLOOKUP(Table323[[#This Row],[Census Tract]],'Population and Diversity Data'!$B$2:$K$823,10,FALSE)</f>
        <v>2</v>
      </c>
      <c r="Q603" s="97" t="str">
        <f>VLOOKUP(Table323[[#This Row],[Census Tract]],'ES Energy Burden'!$B$2:$E$914,4,FALSE)</f>
        <v>No</v>
      </c>
    </row>
    <row r="604" spans="1:17" x14ac:dyDescent="0.2">
      <c r="A604" s="30" t="s">
        <v>2839</v>
      </c>
      <c r="B604" s="169">
        <v>9003464101</v>
      </c>
      <c r="C604" s="232" t="s">
        <v>944</v>
      </c>
      <c r="D604" s="182">
        <v>632.32911000000001</v>
      </c>
      <c r="E604" s="182">
        <v>25930.91</v>
      </c>
      <c r="F604" s="13">
        <f>[1]!Table323[[#This Row],[Single Family]]+[1]!Table323[[#This Row],[2-4 Units]]+[1]!Table323[[#This Row],[&gt;4 Units]]</f>
        <v>0</v>
      </c>
      <c r="G604" s="30">
        <v>0</v>
      </c>
      <c r="H604" s="30">
        <v>0</v>
      </c>
      <c r="I604" s="30">
        <v>0</v>
      </c>
      <c r="J604" s="231">
        <v>0</v>
      </c>
      <c r="K604">
        <f t="shared" si="9"/>
        <v>0</v>
      </c>
      <c r="L604" s="30">
        <v>0</v>
      </c>
      <c r="M604" s="30">
        <v>0</v>
      </c>
      <c r="N604" s="30">
        <v>0</v>
      </c>
      <c r="O604" s="231">
        <v>0</v>
      </c>
      <c r="P604" s="97">
        <f>VLOOKUP(Table323[[#This Row],[Census Tract]],'Population and Diversity Data'!$B$2:$K$823,10,FALSE)</f>
        <v>1</v>
      </c>
      <c r="Q604" s="97" t="str">
        <f>VLOOKUP(Table323[[#This Row],[Census Tract]],'ES Energy Burden'!$B$2:$E$914,4,FALSE)</f>
        <v>No</v>
      </c>
    </row>
    <row r="605" spans="1:17" x14ac:dyDescent="0.2">
      <c r="A605" s="30" t="s">
        <v>2839</v>
      </c>
      <c r="B605" s="169">
        <v>9003466101</v>
      </c>
      <c r="C605" s="232" t="s">
        <v>944</v>
      </c>
      <c r="D605" s="182">
        <v>53075.812230000003</v>
      </c>
      <c r="E605" s="182">
        <v>51010.19</v>
      </c>
      <c r="F605" s="13">
        <f>[1]!Table323[[#This Row],[Single Family]]+[1]!Table323[[#This Row],[2-4 Units]]+[1]!Table323[[#This Row],[&gt;4 Units]]</f>
        <v>0</v>
      </c>
      <c r="G605" s="30">
        <v>0</v>
      </c>
      <c r="H605" s="30">
        <v>0</v>
      </c>
      <c r="I605" s="30">
        <v>0</v>
      </c>
      <c r="J605" s="231">
        <v>28907.97</v>
      </c>
      <c r="K605">
        <f t="shared" si="9"/>
        <v>0</v>
      </c>
      <c r="L605" s="30">
        <v>0</v>
      </c>
      <c r="M605" s="30">
        <v>0</v>
      </c>
      <c r="N605" s="30">
        <v>0</v>
      </c>
      <c r="O605" s="231">
        <v>0</v>
      </c>
      <c r="P605" s="97">
        <f>VLOOKUP(Table323[[#This Row],[Census Tract]],'Population and Diversity Data'!$B$2:$K$823,10,FALSE)</f>
        <v>1</v>
      </c>
      <c r="Q605" s="97" t="str">
        <f>VLOOKUP(Table323[[#This Row],[Census Tract]],'ES Energy Burden'!$B$2:$E$914,4,FALSE)</f>
        <v>No</v>
      </c>
    </row>
    <row r="606" spans="1:17" x14ac:dyDescent="0.2">
      <c r="A606" s="30" t="s">
        <v>2839</v>
      </c>
      <c r="B606" s="169">
        <v>9003466102</v>
      </c>
      <c r="C606" s="232" t="s">
        <v>944</v>
      </c>
      <c r="D606" s="182">
        <v>62044.981677000003</v>
      </c>
      <c r="E606" s="182">
        <v>57366.044999999998</v>
      </c>
      <c r="F606" s="13">
        <f>[1]!Table323[[#This Row],[Single Family]]+[1]!Table323[[#This Row],[2-4 Units]]+[1]!Table323[[#This Row],[&gt;4 Units]]</f>
        <v>141</v>
      </c>
      <c r="G606" s="30">
        <v>138</v>
      </c>
      <c r="H606" s="30">
        <v>3</v>
      </c>
      <c r="I606" s="30">
        <v>0</v>
      </c>
      <c r="J606" s="231">
        <v>219651.64</v>
      </c>
      <c r="K606">
        <f t="shared" si="9"/>
        <v>1</v>
      </c>
      <c r="L606" s="30">
        <v>1</v>
      </c>
      <c r="M606" s="30">
        <v>0</v>
      </c>
      <c r="N606" s="30">
        <v>0</v>
      </c>
      <c r="O606" s="231">
        <v>7474.13</v>
      </c>
      <c r="P606" s="97">
        <f>VLOOKUP(Table323[[#This Row],[Census Tract]],'Population and Diversity Data'!$B$2:$K$823,10,FALSE)</f>
        <v>2</v>
      </c>
      <c r="Q606" s="97" t="str">
        <f>VLOOKUP(Table323[[#This Row],[Census Tract]],'ES Energy Burden'!$B$2:$E$914,4,FALSE)</f>
        <v>No</v>
      </c>
    </row>
    <row r="607" spans="1:17" x14ac:dyDescent="0.2">
      <c r="A607" s="30" t="s">
        <v>2839</v>
      </c>
      <c r="B607" s="169">
        <v>9003466201</v>
      </c>
      <c r="C607" s="232" t="s">
        <v>944</v>
      </c>
      <c r="D607" s="182">
        <v>172999.42531200001</v>
      </c>
      <c r="E607" s="182">
        <v>318478.40000000002</v>
      </c>
      <c r="F607" s="13">
        <f>[1]!Table323[[#This Row],[Single Family]]+[1]!Table323[[#This Row],[2-4 Units]]+[1]!Table323[[#This Row],[&gt;4 Units]]</f>
        <v>224</v>
      </c>
      <c r="G607" s="30">
        <v>56</v>
      </c>
      <c r="H607" s="30">
        <v>0</v>
      </c>
      <c r="I607" s="30">
        <v>168</v>
      </c>
      <c r="J607" s="231">
        <v>68035.070000000007</v>
      </c>
      <c r="K607">
        <f t="shared" si="9"/>
        <v>113</v>
      </c>
      <c r="L607" s="30">
        <v>3</v>
      </c>
      <c r="M607" s="30">
        <v>0</v>
      </c>
      <c r="N607" s="30">
        <v>110</v>
      </c>
      <c r="O607" s="231">
        <v>23699.02</v>
      </c>
      <c r="P607" s="97">
        <f>VLOOKUP(Table323[[#This Row],[Census Tract]],'Population and Diversity Data'!$B$2:$K$823,10,FALSE)</f>
        <v>3</v>
      </c>
      <c r="Q607" s="97" t="str">
        <f>VLOOKUP(Table323[[#This Row],[Census Tract]],'ES Energy Burden'!$B$2:$E$914,4,FALSE)</f>
        <v>No</v>
      </c>
    </row>
    <row r="608" spans="1:17" x14ac:dyDescent="0.2">
      <c r="A608" s="30" t="s">
        <v>2839</v>
      </c>
      <c r="B608" s="169">
        <v>9003466202</v>
      </c>
      <c r="C608" s="232" t="s">
        <v>944</v>
      </c>
      <c r="D608" s="182">
        <v>57805.937490000004</v>
      </c>
      <c r="E608" s="182">
        <v>75848.67</v>
      </c>
      <c r="F608" s="13">
        <f>[1]!Table323[[#This Row],[Single Family]]+[1]!Table323[[#This Row],[2-4 Units]]+[1]!Table323[[#This Row],[&gt;4 Units]]</f>
        <v>0</v>
      </c>
      <c r="G608" s="30">
        <v>0</v>
      </c>
      <c r="H608" s="30">
        <v>0</v>
      </c>
      <c r="I608" s="30">
        <v>0</v>
      </c>
      <c r="J608" s="231">
        <v>24247.200000000001</v>
      </c>
      <c r="K608">
        <f t="shared" si="9"/>
        <v>1</v>
      </c>
      <c r="L608" s="30">
        <v>1</v>
      </c>
      <c r="M608" s="30">
        <v>0</v>
      </c>
      <c r="N608" s="30">
        <v>0</v>
      </c>
      <c r="O608" s="231">
        <v>7064.82</v>
      </c>
      <c r="P608" s="97">
        <f>VLOOKUP(Table323[[#This Row],[Census Tract]],'Population and Diversity Data'!$B$2:$K$823,10,FALSE)</f>
        <v>2</v>
      </c>
      <c r="Q608" s="97" t="str">
        <f>VLOOKUP(Table323[[#This Row],[Census Tract]],'ES Energy Burden'!$B$2:$E$914,4,FALSE)</f>
        <v>No</v>
      </c>
    </row>
    <row r="609" spans="1:17" x14ac:dyDescent="0.2">
      <c r="A609" s="30" t="s">
        <v>2839</v>
      </c>
      <c r="B609" s="169">
        <v>9003466300</v>
      </c>
      <c r="C609" s="232" t="s">
        <v>944</v>
      </c>
      <c r="D609" s="182">
        <v>58728.268977</v>
      </c>
      <c r="E609" s="182">
        <v>86922.46</v>
      </c>
      <c r="F609" s="13">
        <f>[1]!Table323[[#This Row],[Single Family]]+[1]!Table323[[#This Row],[2-4 Units]]+[1]!Table323[[#This Row],[&gt;4 Units]]</f>
        <v>0</v>
      </c>
      <c r="G609" s="30">
        <v>0</v>
      </c>
      <c r="H609" s="30">
        <v>0</v>
      </c>
      <c r="I609" s="30">
        <v>0</v>
      </c>
      <c r="J609" s="231">
        <v>53659.43</v>
      </c>
      <c r="K609">
        <f t="shared" si="9"/>
        <v>1</v>
      </c>
      <c r="L609" s="30">
        <v>1</v>
      </c>
      <c r="M609" s="30">
        <v>0</v>
      </c>
      <c r="N609" s="30">
        <v>0</v>
      </c>
      <c r="O609" s="231">
        <v>176.48</v>
      </c>
      <c r="P609" s="97">
        <f>VLOOKUP(Table323[[#This Row],[Census Tract]],'Population and Diversity Data'!$B$2:$K$823,10,FALSE)</f>
        <v>2</v>
      </c>
      <c r="Q609" s="97" t="str">
        <f>VLOOKUP(Table323[[#This Row],[Census Tract]],'ES Energy Burden'!$B$2:$E$914,4,FALSE)</f>
        <v>No</v>
      </c>
    </row>
    <row r="610" spans="1:17" x14ac:dyDescent="0.2">
      <c r="A610" s="30" t="s">
        <v>2839</v>
      </c>
      <c r="B610" s="169">
        <v>9003466400</v>
      </c>
      <c r="C610" s="232" t="s">
        <v>944</v>
      </c>
      <c r="D610" s="182">
        <v>34736.427810000001</v>
      </c>
      <c r="E610" s="182">
        <v>91814.76</v>
      </c>
      <c r="F610" s="13">
        <f>[1]!Table323[[#This Row],[Single Family]]+[1]!Table323[[#This Row],[2-4 Units]]+[1]!Table323[[#This Row],[&gt;4 Units]]</f>
        <v>0</v>
      </c>
      <c r="G610" s="30">
        <v>0</v>
      </c>
      <c r="H610" s="30">
        <v>0</v>
      </c>
      <c r="I610" s="30">
        <v>0</v>
      </c>
      <c r="J610" s="231">
        <v>19743.86</v>
      </c>
      <c r="K610">
        <f t="shared" si="9"/>
        <v>82</v>
      </c>
      <c r="L610" s="30">
        <v>0</v>
      </c>
      <c r="M610" s="30">
        <v>1</v>
      </c>
      <c r="N610" s="30">
        <v>81</v>
      </c>
      <c r="O610" s="231">
        <v>60638.05</v>
      </c>
      <c r="P610" s="97">
        <f>VLOOKUP(Table323[[#This Row],[Census Tract]],'Population and Diversity Data'!$B$2:$K$823,10,FALSE)</f>
        <v>3</v>
      </c>
      <c r="Q610" s="97" t="str">
        <f>VLOOKUP(Table323[[#This Row],[Census Tract]],'ES Energy Burden'!$B$2:$E$914,4,FALSE)</f>
        <v>No</v>
      </c>
    </row>
    <row r="611" spans="1:17" x14ac:dyDescent="0.2">
      <c r="A611" s="30" t="s">
        <v>2840</v>
      </c>
      <c r="B611" s="169">
        <v>9013538201</v>
      </c>
      <c r="C611" s="232" t="s">
        <v>944</v>
      </c>
      <c r="D611" s="182">
        <v>116232.574416</v>
      </c>
      <c r="E611" s="182">
        <v>159517.255</v>
      </c>
      <c r="F611" s="13">
        <f>[1]!Table323[[#This Row],[Single Family]]+[1]!Table323[[#This Row],[2-4 Units]]+[1]!Table323[[#This Row],[&gt;4 Units]]</f>
        <v>84</v>
      </c>
      <c r="G611" s="30">
        <v>84</v>
      </c>
      <c r="H611" s="30">
        <v>0</v>
      </c>
      <c r="I611" s="30">
        <v>0</v>
      </c>
      <c r="J611" s="231">
        <v>110046.58</v>
      </c>
      <c r="K611">
        <f t="shared" si="9"/>
        <v>7</v>
      </c>
      <c r="L611" s="30">
        <v>6</v>
      </c>
      <c r="M611" s="30">
        <v>1</v>
      </c>
      <c r="N611" s="30">
        <v>0</v>
      </c>
      <c r="O611" s="231">
        <v>20153.150000000001</v>
      </c>
      <c r="P611" s="97">
        <f>VLOOKUP(Table323[[#This Row],[Census Tract]],'Population and Diversity Data'!$B$2:$K$823,10,FALSE)</f>
        <v>3</v>
      </c>
      <c r="Q611" s="97" t="str">
        <f>VLOOKUP(Table323[[#This Row],[Census Tract]],'ES Energy Burden'!$B$2:$E$914,4,FALSE)</f>
        <v>No</v>
      </c>
    </row>
    <row r="612" spans="1:17" x14ac:dyDescent="0.2">
      <c r="A612" s="30" t="s">
        <v>2840</v>
      </c>
      <c r="B612" s="169">
        <v>9013538202</v>
      </c>
      <c r="C612" s="232" t="s">
        <v>944</v>
      </c>
      <c r="D612" s="182">
        <v>51155.911379999998</v>
      </c>
      <c r="E612" s="182">
        <v>44366.26</v>
      </c>
      <c r="F612" s="13">
        <f>[1]!Table323[[#This Row],[Single Family]]+[1]!Table323[[#This Row],[2-4 Units]]+[1]!Table323[[#This Row],[&gt;4 Units]]</f>
        <v>0</v>
      </c>
      <c r="G612" s="30">
        <v>0</v>
      </c>
      <c r="H612" s="30">
        <v>0</v>
      </c>
      <c r="I612" s="30">
        <v>0</v>
      </c>
      <c r="J612" s="231">
        <v>13239.48</v>
      </c>
      <c r="K612">
        <f t="shared" si="9"/>
        <v>1</v>
      </c>
      <c r="L612" s="30">
        <v>1</v>
      </c>
      <c r="M612" s="30">
        <v>0</v>
      </c>
      <c r="N612" s="30">
        <v>0</v>
      </c>
      <c r="O612" s="231">
        <v>1136.4000000000001</v>
      </c>
      <c r="P612" s="97">
        <f>VLOOKUP(Table323[[#This Row],[Census Tract]],'Population and Diversity Data'!$B$2:$K$823,10,FALSE)</f>
        <v>1</v>
      </c>
      <c r="Q612" s="97" t="str">
        <f>VLOOKUP(Table323[[#This Row],[Census Tract]],'ES Energy Burden'!$B$2:$E$914,4,FALSE)</f>
        <v>No</v>
      </c>
    </row>
    <row r="613" spans="1:17" x14ac:dyDescent="0.2">
      <c r="A613" s="30" t="s">
        <v>2840</v>
      </c>
      <c r="B613" s="169">
        <v>9013890202</v>
      </c>
      <c r="C613" s="232" t="s">
        <v>944</v>
      </c>
      <c r="D613" s="182">
        <v>745.263687</v>
      </c>
      <c r="E613" s="182">
        <v>0</v>
      </c>
      <c r="F613" s="13">
        <f>[1]!Table323[[#This Row],[Single Family]]+[1]!Table323[[#This Row],[2-4 Units]]+[1]!Table323[[#This Row],[&gt;4 Units]]</f>
        <v>0</v>
      </c>
      <c r="G613" s="30">
        <v>0</v>
      </c>
      <c r="H613" s="30">
        <v>0</v>
      </c>
      <c r="I613" s="30">
        <v>0</v>
      </c>
      <c r="J613" s="231">
        <v>0</v>
      </c>
      <c r="K613">
        <f t="shared" si="9"/>
        <v>0</v>
      </c>
      <c r="L613" s="30">
        <v>0</v>
      </c>
      <c r="M613" s="30">
        <v>0</v>
      </c>
      <c r="N613" s="30">
        <v>0</v>
      </c>
      <c r="O613" s="231">
        <v>0</v>
      </c>
      <c r="P613" s="97">
        <f>VLOOKUP(Table323[[#This Row],[Census Tract]],'Population and Diversity Data'!$B$2:$K$823,10,FALSE)</f>
        <v>4</v>
      </c>
      <c r="Q613" s="97" t="str">
        <f>VLOOKUP(Table323[[#This Row],[Census Tract]],'ES Energy Burden'!$B$2:$E$914,4,FALSE)</f>
        <v>No</v>
      </c>
    </row>
    <row r="614" spans="1:17" x14ac:dyDescent="0.2">
      <c r="A614" s="30" t="s">
        <v>2841</v>
      </c>
      <c r="B614" s="169">
        <v>9003484200</v>
      </c>
      <c r="C614" s="232" t="s">
        <v>944</v>
      </c>
      <c r="D614" s="182">
        <v>148.3776</v>
      </c>
      <c r="E614" s="182">
        <v>35</v>
      </c>
      <c r="F614" s="13">
        <f>[1]!Table323[[#This Row],[Single Family]]+[1]!Table323[[#This Row],[2-4 Units]]+[1]!Table323[[#This Row],[&gt;4 Units]]</f>
        <v>0</v>
      </c>
      <c r="G614" s="30">
        <v>0</v>
      </c>
      <c r="H614" s="30">
        <v>0</v>
      </c>
      <c r="I614" s="30">
        <v>0</v>
      </c>
      <c r="J614" s="231">
        <v>0</v>
      </c>
      <c r="K614">
        <f t="shared" si="9"/>
        <v>0</v>
      </c>
      <c r="L614" s="30">
        <v>0</v>
      </c>
      <c r="M614" s="30">
        <v>0</v>
      </c>
      <c r="N614" s="30">
        <v>0</v>
      </c>
      <c r="O614" s="231">
        <v>0</v>
      </c>
      <c r="P614" s="97">
        <f>VLOOKUP(Table323[[#This Row],[Census Tract]],'Population and Diversity Data'!$B$2:$K$823,10,FALSE)</f>
        <v>3</v>
      </c>
      <c r="Q614" s="97" t="str">
        <f>VLOOKUP(Table323[[#This Row],[Census Tract]],'ES Energy Burden'!$B$2:$E$914,4,FALSE)</f>
        <v>No</v>
      </c>
    </row>
    <row r="615" spans="1:17" x14ac:dyDescent="0.2">
      <c r="A615" s="30" t="s">
        <v>2841</v>
      </c>
      <c r="B615" s="169">
        <v>9003487100</v>
      </c>
      <c r="C615" s="232" t="s">
        <v>944</v>
      </c>
      <c r="D615" s="182">
        <v>74702.025657000006</v>
      </c>
      <c r="E615" s="182">
        <v>50562.555</v>
      </c>
      <c r="F615" s="13">
        <f>[1]!Table323[[#This Row],[Single Family]]+[1]!Table323[[#This Row],[2-4 Units]]+[1]!Table323[[#This Row],[&gt;4 Units]]</f>
        <v>220</v>
      </c>
      <c r="G615" s="30">
        <v>216</v>
      </c>
      <c r="H615" s="30">
        <v>4</v>
      </c>
      <c r="I615" s="30">
        <v>0</v>
      </c>
      <c r="J615" s="231">
        <v>190767.52</v>
      </c>
      <c r="K615">
        <f t="shared" si="9"/>
        <v>14</v>
      </c>
      <c r="L615" s="30">
        <v>12</v>
      </c>
      <c r="M615" s="30">
        <v>2</v>
      </c>
      <c r="N615" s="30">
        <v>0</v>
      </c>
      <c r="O615" s="231">
        <v>7136.5</v>
      </c>
      <c r="P615" s="97">
        <f>VLOOKUP(Table323[[#This Row],[Census Tract]],'Population and Diversity Data'!$B$2:$K$823,10,FALSE)</f>
        <v>3</v>
      </c>
      <c r="Q615" s="97" t="str">
        <f>VLOOKUP(Table323[[#This Row],[Census Tract]],'ES Energy Burden'!$B$2:$E$914,4,FALSE)</f>
        <v>No</v>
      </c>
    </row>
    <row r="616" spans="1:17" x14ac:dyDescent="0.2">
      <c r="A616" s="30" t="s">
        <v>2841</v>
      </c>
      <c r="B616" s="169">
        <v>9003487201</v>
      </c>
      <c r="C616" s="232" t="s">
        <v>944</v>
      </c>
      <c r="D616" s="182">
        <v>47597.775959999999</v>
      </c>
      <c r="E616" s="182">
        <v>31134.45</v>
      </c>
      <c r="F616" s="13">
        <f>[1]!Table323[[#This Row],[Single Family]]+[1]!Table323[[#This Row],[2-4 Units]]+[1]!Table323[[#This Row],[&gt;4 Units]]</f>
        <v>1</v>
      </c>
      <c r="G616" s="30">
        <v>1</v>
      </c>
      <c r="H616" s="30">
        <v>0</v>
      </c>
      <c r="I616" s="30">
        <v>0</v>
      </c>
      <c r="J616" s="231">
        <v>12371.71</v>
      </c>
      <c r="K616">
        <f t="shared" si="9"/>
        <v>2</v>
      </c>
      <c r="L616" s="30">
        <v>2</v>
      </c>
      <c r="M616" s="30">
        <v>0</v>
      </c>
      <c r="N616" s="30">
        <v>0</v>
      </c>
      <c r="O616" s="231">
        <v>9448.6299999999992</v>
      </c>
      <c r="P616" s="97">
        <f>VLOOKUP(Table323[[#This Row],[Census Tract]],'Population and Diversity Data'!$B$2:$K$823,10,FALSE)</f>
        <v>4</v>
      </c>
      <c r="Q616" s="97" t="str">
        <f>VLOOKUP(Table323[[#This Row],[Census Tract]],'ES Energy Burden'!$B$2:$E$914,4,FALSE)</f>
        <v>No</v>
      </c>
    </row>
    <row r="617" spans="1:17" x14ac:dyDescent="0.2">
      <c r="A617" s="30" t="s">
        <v>2841</v>
      </c>
      <c r="B617" s="169">
        <v>9003487202</v>
      </c>
      <c r="C617" s="232" t="s">
        <v>944</v>
      </c>
      <c r="D617" s="182">
        <v>37226.575848</v>
      </c>
      <c r="E617" s="182">
        <v>21440.59</v>
      </c>
      <c r="F617" s="13">
        <f>[1]!Table323[[#This Row],[Single Family]]+[1]!Table323[[#This Row],[2-4 Units]]+[1]!Table323[[#This Row],[&gt;4 Units]]</f>
        <v>2</v>
      </c>
      <c r="G617" s="30">
        <v>2</v>
      </c>
      <c r="H617" s="30">
        <v>0</v>
      </c>
      <c r="I617" s="30">
        <v>0</v>
      </c>
      <c r="J617" s="231">
        <v>6265.29</v>
      </c>
      <c r="K617">
        <f t="shared" si="9"/>
        <v>0</v>
      </c>
      <c r="L617" s="30">
        <v>0</v>
      </c>
      <c r="M617" s="30">
        <v>0</v>
      </c>
      <c r="N617" s="30">
        <v>0</v>
      </c>
      <c r="O617" s="231">
        <v>0</v>
      </c>
      <c r="P617" s="97">
        <f>VLOOKUP(Table323[[#This Row],[Census Tract]],'Population and Diversity Data'!$B$2:$K$823,10,FALSE)</f>
        <v>4</v>
      </c>
      <c r="Q617" s="97" t="str">
        <f>VLOOKUP(Table323[[#This Row],[Census Tract]],'ES Energy Burden'!$B$2:$E$914,4,FALSE)</f>
        <v>No</v>
      </c>
    </row>
    <row r="618" spans="1:17" x14ac:dyDescent="0.2">
      <c r="A618" s="30" t="s">
        <v>2841</v>
      </c>
      <c r="B618" s="169">
        <v>9003487300</v>
      </c>
      <c r="C618" s="232" t="s">
        <v>944</v>
      </c>
      <c r="D618" s="182">
        <v>140943.45671699999</v>
      </c>
      <c r="E618" s="182">
        <v>230552.59</v>
      </c>
      <c r="F618" s="13">
        <f>[1]!Table323[[#This Row],[Single Family]]+[1]!Table323[[#This Row],[2-4 Units]]+[1]!Table323[[#This Row],[&gt;4 Units]]</f>
        <v>0</v>
      </c>
      <c r="G618" s="30">
        <v>0</v>
      </c>
      <c r="H618" s="30">
        <v>0</v>
      </c>
      <c r="I618" s="30">
        <v>0</v>
      </c>
      <c r="J618" s="231">
        <v>5884.08</v>
      </c>
      <c r="K618">
        <f t="shared" si="9"/>
        <v>5</v>
      </c>
      <c r="L618" s="30">
        <v>5</v>
      </c>
      <c r="M618" s="30">
        <v>0</v>
      </c>
      <c r="N618" s="30">
        <v>0</v>
      </c>
      <c r="O618" s="231">
        <v>9145.48</v>
      </c>
      <c r="P618" s="97">
        <f>VLOOKUP(Table323[[#This Row],[Census Tract]],'Population and Diversity Data'!$B$2:$K$823,10,FALSE)</f>
        <v>3</v>
      </c>
      <c r="Q618" s="97" t="str">
        <f>VLOOKUP(Table323[[#This Row],[Census Tract]],'ES Energy Burden'!$B$2:$E$914,4,FALSE)</f>
        <v>No</v>
      </c>
    </row>
    <row r="619" spans="1:17" x14ac:dyDescent="0.2">
      <c r="A619" s="30" t="s">
        <v>2841</v>
      </c>
      <c r="B619" s="169">
        <v>9003487400</v>
      </c>
      <c r="C619" s="232" t="s">
        <v>944</v>
      </c>
      <c r="D619" s="182">
        <v>19669.320090000001</v>
      </c>
      <c r="E619" s="182">
        <v>7819.69</v>
      </c>
      <c r="F619" s="13">
        <f>[1]!Table323[[#This Row],[Single Family]]+[1]!Table323[[#This Row],[2-4 Units]]+[1]!Table323[[#This Row],[&gt;4 Units]]</f>
        <v>0</v>
      </c>
      <c r="G619" s="30">
        <v>0</v>
      </c>
      <c r="H619" s="30">
        <v>0</v>
      </c>
      <c r="I619" s="30">
        <v>0</v>
      </c>
      <c r="J619" s="231">
        <v>0</v>
      </c>
      <c r="K619">
        <f t="shared" si="9"/>
        <v>0</v>
      </c>
      <c r="L619" s="30">
        <v>0</v>
      </c>
      <c r="M619" s="30">
        <v>0</v>
      </c>
      <c r="N619" s="30">
        <v>0</v>
      </c>
      <c r="O619" s="231">
        <v>0</v>
      </c>
      <c r="P619" s="97">
        <f>VLOOKUP(Table323[[#This Row],[Census Tract]],'Population and Diversity Data'!$B$2:$K$823,10,FALSE)</f>
        <v>3</v>
      </c>
      <c r="Q619" s="97" t="str">
        <f>VLOOKUP(Table323[[#This Row],[Census Tract]],'ES Energy Burden'!$B$2:$E$914,4,FALSE)</f>
        <v>No</v>
      </c>
    </row>
    <row r="620" spans="1:17" x14ac:dyDescent="0.2">
      <c r="A620" s="30" t="s">
        <v>2841</v>
      </c>
      <c r="B620" s="169">
        <v>9003487500</v>
      </c>
      <c r="C620" s="232" t="s">
        <v>944</v>
      </c>
      <c r="D620" s="182">
        <v>78026.816049000001</v>
      </c>
      <c r="E620" s="182">
        <v>44735.17</v>
      </c>
      <c r="F620" s="13">
        <f>[1]!Table323[[#This Row],[Single Family]]+[1]!Table323[[#This Row],[2-4 Units]]+[1]!Table323[[#This Row],[&gt;4 Units]]</f>
        <v>0</v>
      </c>
      <c r="G620" s="30">
        <v>0</v>
      </c>
      <c r="H620" s="30">
        <v>0</v>
      </c>
      <c r="I620" s="30">
        <v>0</v>
      </c>
      <c r="J620" s="231">
        <v>18767.57</v>
      </c>
      <c r="K620">
        <f t="shared" si="9"/>
        <v>4</v>
      </c>
      <c r="L620" s="30">
        <v>3</v>
      </c>
      <c r="M620" s="30">
        <v>1</v>
      </c>
      <c r="N620" s="30">
        <v>0</v>
      </c>
      <c r="O620" s="231">
        <v>3243.93</v>
      </c>
      <c r="P620" s="97">
        <f>VLOOKUP(Table323[[#This Row],[Census Tract]],'Population and Diversity Data'!$B$2:$K$823,10,FALSE)</f>
        <v>5</v>
      </c>
      <c r="Q620" s="97" t="str">
        <f>VLOOKUP(Table323[[#This Row],[Census Tract]],'ES Energy Burden'!$B$2:$E$914,4,FALSE)</f>
        <v>No</v>
      </c>
    </row>
    <row r="621" spans="1:17" x14ac:dyDescent="0.2">
      <c r="A621" s="30" t="s">
        <v>2841</v>
      </c>
      <c r="B621" s="169">
        <v>9003514102</v>
      </c>
      <c r="C621" s="232" t="s">
        <v>944</v>
      </c>
      <c r="D621" s="182">
        <v>24.937290000000001</v>
      </c>
      <c r="E621" s="182">
        <v>0</v>
      </c>
      <c r="F621" s="13">
        <f>[1]!Table323[[#This Row],[Single Family]]+[1]!Table323[[#This Row],[2-4 Units]]+[1]!Table323[[#This Row],[&gt;4 Units]]</f>
        <v>0</v>
      </c>
      <c r="G621" s="30">
        <v>0</v>
      </c>
      <c r="H621" s="30">
        <v>0</v>
      </c>
      <c r="I621" s="30">
        <v>0</v>
      </c>
      <c r="J621" s="231">
        <v>0</v>
      </c>
      <c r="K621">
        <f t="shared" si="9"/>
        <v>0</v>
      </c>
      <c r="L621" s="30">
        <v>0</v>
      </c>
      <c r="M621" s="30">
        <v>0</v>
      </c>
      <c r="N621" s="30">
        <v>0</v>
      </c>
      <c r="O621" s="231">
        <v>0</v>
      </c>
      <c r="P621" s="97">
        <f>VLOOKUP(Table323[[#This Row],[Census Tract]],'Population and Diversity Data'!$B$2:$K$823,10,FALSE)</f>
        <v>5</v>
      </c>
      <c r="Q621" s="97" t="str">
        <f>VLOOKUP(Table323[[#This Row],[Census Tract]],'ES Energy Burden'!$B$2:$E$914,4,FALSE)</f>
        <v>No</v>
      </c>
    </row>
    <row r="622" spans="1:17" x14ac:dyDescent="0.2">
      <c r="A622" s="30" t="s">
        <v>2842</v>
      </c>
      <c r="B622" s="169">
        <v>9009348111</v>
      </c>
      <c r="C622" s="232" t="s">
        <v>944</v>
      </c>
      <c r="D622" s="182">
        <v>31605.300132000004</v>
      </c>
      <c r="E622" s="182">
        <v>27002.14</v>
      </c>
      <c r="F622" s="13">
        <f>[1]!Table323[[#This Row],[Single Family]]+[1]!Table323[[#This Row],[2-4 Units]]+[1]!Table323[[#This Row],[&gt;4 Units]]</f>
        <v>0</v>
      </c>
      <c r="G622" s="30">
        <v>0</v>
      </c>
      <c r="H622" s="30">
        <v>0</v>
      </c>
      <c r="I622" s="30">
        <v>0</v>
      </c>
      <c r="J622" s="231">
        <v>6598.7</v>
      </c>
      <c r="K622">
        <f t="shared" si="9"/>
        <v>1</v>
      </c>
      <c r="L622" s="30">
        <v>1</v>
      </c>
      <c r="M622" s="30">
        <v>0</v>
      </c>
      <c r="N622" s="30">
        <v>0</v>
      </c>
      <c r="O622" s="231">
        <v>298.08</v>
      </c>
      <c r="P622" s="97">
        <f>VLOOKUP(Table323[[#This Row],[Census Tract]],'Population and Diversity Data'!$B$2:$K$823,10,FALSE)</f>
        <v>2</v>
      </c>
      <c r="Q622" s="97" t="str">
        <f>VLOOKUP(Table323[[#This Row],[Census Tract]],'ES Energy Burden'!$B$2:$E$914,4,FALSE)</f>
        <v>No</v>
      </c>
    </row>
    <row r="623" spans="1:17" x14ac:dyDescent="0.2">
      <c r="A623" s="30" t="s">
        <v>2842</v>
      </c>
      <c r="B623" s="169">
        <v>9009348122</v>
      </c>
      <c r="C623" s="232" t="s">
        <v>944</v>
      </c>
      <c r="D623" s="182">
        <v>56275.587249000004</v>
      </c>
      <c r="E623" s="182">
        <v>92272.05</v>
      </c>
      <c r="F623" s="13">
        <f>[1]!Table323[[#This Row],[Single Family]]+[1]!Table323[[#This Row],[2-4 Units]]+[1]!Table323[[#This Row],[&gt;4 Units]]</f>
        <v>143</v>
      </c>
      <c r="G623" s="30">
        <v>140</v>
      </c>
      <c r="H623" s="30">
        <v>3</v>
      </c>
      <c r="I623" s="30">
        <v>0</v>
      </c>
      <c r="J623" s="231">
        <v>277920.28999999998</v>
      </c>
      <c r="K623">
        <f t="shared" si="9"/>
        <v>16</v>
      </c>
      <c r="L623" s="30">
        <v>14</v>
      </c>
      <c r="M623" s="30">
        <v>2</v>
      </c>
      <c r="N623" s="30">
        <v>0</v>
      </c>
      <c r="O623" s="231">
        <v>98740.97</v>
      </c>
      <c r="P623" s="97">
        <f>VLOOKUP(Table323[[#This Row],[Census Tract]],'Population and Diversity Data'!$B$2:$K$823,10,FALSE)</f>
        <v>1</v>
      </c>
      <c r="Q623" s="97" t="str">
        <f>VLOOKUP(Table323[[#This Row],[Census Tract]],'ES Energy Burden'!$B$2:$E$914,4,FALSE)</f>
        <v>No</v>
      </c>
    </row>
    <row r="624" spans="1:17" x14ac:dyDescent="0.2">
      <c r="A624" s="30" t="s">
        <v>2842</v>
      </c>
      <c r="B624" s="169">
        <v>9009348123</v>
      </c>
      <c r="C624" s="232" t="s">
        <v>944</v>
      </c>
      <c r="D624" s="182">
        <v>72691.761786000003</v>
      </c>
      <c r="E624" s="182">
        <v>95618.54</v>
      </c>
      <c r="F624" s="13">
        <f>[1]!Table323[[#This Row],[Single Family]]+[1]!Table323[[#This Row],[2-4 Units]]+[1]!Table323[[#This Row],[&gt;4 Units]]</f>
        <v>1</v>
      </c>
      <c r="G624" s="30">
        <v>0</v>
      </c>
      <c r="H624" s="30">
        <v>0</v>
      </c>
      <c r="I624" s="30">
        <v>1</v>
      </c>
      <c r="J624" s="231">
        <v>52668.63</v>
      </c>
      <c r="K624">
        <f t="shared" si="9"/>
        <v>2</v>
      </c>
      <c r="L624" s="30">
        <v>2</v>
      </c>
      <c r="M624" s="30">
        <v>0</v>
      </c>
      <c r="N624" s="30">
        <v>0</v>
      </c>
      <c r="O624" s="231">
        <v>6183.06</v>
      </c>
      <c r="P624" s="97">
        <f>VLOOKUP(Table323[[#This Row],[Census Tract]],'Population and Diversity Data'!$B$2:$K$823,10,FALSE)</f>
        <v>3</v>
      </c>
      <c r="Q624" s="97" t="str">
        <f>VLOOKUP(Table323[[#This Row],[Census Tract]],'ES Energy Burden'!$B$2:$E$914,4,FALSE)</f>
        <v>No</v>
      </c>
    </row>
    <row r="625" spans="1:17" x14ac:dyDescent="0.2">
      <c r="A625" s="30" t="s">
        <v>2842</v>
      </c>
      <c r="B625" s="169">
        <v>9009348124</v>
      </c>
      <c r="C625" s="232" t="s">
        <v>944</v>
      </c>
      <c r="D625" s="182">
        <v>225158.04517500001</v>
      </c>
      <c r="E625" s="182">
        <v>409436.20750000002</v>
      </c>
      <c r="F625" s="13">
        <f>[1]!Table323[[#This Row],[Single Family]]+[1]!Table323[[#This Row],[2-4 Units]]+[1]!Table323[[#This Row],[&gt;4 Units]]</f>
        <v>0</v>
      </c>
      <c r="G625" s="30">
        <v>0</v>
      </c>
      <c r="H625" s="30">
        <v>0</v>
      </c>
      <c r="I625" s="30">
        <v>0</v>
      </c>
      <c r="J625" s="231">
        <v>3999.75</v>
      </c>
      <c r="K625">
        <f t="shared" si="9"/>
        <v>9</v>
      </c>
      <c r="L625" s="30">
        <v>7</v>
      </c>
      <c r="M625" s="30">
        <v>2</v>
      </c>
      <c r="N625" s="30">
        <v>0</v>
      </c>
      <c r="O625" s="231">
        <v>17965.79</v>
      </c>
      <c r="P625" s="97">
        <f>VLOOKUP(Table323[[#This Row],[Census Tract]],'Population and Diversity Data'!$B$2:$K$823,10,FALSE)</f>
        <v>2</v>
      </c>
      <c r="Q625" s="97" t="str">
        <f>VLOOKUP(Table323[[#This Row],[Census Tract]],'ES Energy Burden'!$B$2:$E$914,4,FALSE)</f>
        <v>No</v>
      </c>
    </row>
    <row r="626" spans="1:17" x14ac:dyDescent="0.2">
      <c r="A626" s="30" t="s">
        <v>2842</v>
      </c>
      <c r="B626" s="169">
        <v>9009348125</v>
      </c>
      <c r="C626" s="232" t="s">
        <v>944</v>
      </c>
      <c r="D626" s="182">
        <v>75114.846239999999</v>
      </c>
      <c r="E626" s="182">
        <v>21603.38</v>
      </c>
      <c r="F626" s="13">
        <f>[1]!Table323[[#This Row],[Single Family]]+[1]!Table323[[#This Row],[2-4 Units]]+[1]!Table323[[#This Row],[&gt;4 Units]]</f>
        <v>0</v>
      </c>
      <c r="G626" s="30">
        <v>0</v>
      </c>
      <c r="H626" s="30">
        <v>0</v>
      </c>
      <c r="I626" s="30">
        <v>0</v>
      </c>
      <c r="J626" s="231">
        <v>2735.31</v>
      </c>
      <c r="K626">
        <f t="shared" si="9"/>
        <v>2</v>
      </c>
      <c r="L626" s="30">
        <v>1</v>
      </c>
      <c r="M626" s="30">
        <v>1</v>
      </c>
      <c r="N626" s="30">
        <v>0</v>
      </c>
      <c r="O626" s="231">
        <v>4126.66</v>
      </c>
      <c r="P626" s="97">
        <f>VLOOKUP(Table323[[#This Row],[Census Tract]],'Population and Diversity Data'!$B$2:$K$823,10,FALSE)</f>
        <v>1</v>
      </c>
      <c r="Q626" s="97" t="str">
        <f>VLOOKUP(Table323[[#This Row],[Census Tract]],'ES Energy Burden'!$B$2:$E$914,4,FALSE)</f>
        <v>No</v>
      </c>
    </row>
    <row r="627" spans="1:17" x14ac:dyDescent="0.2">
      <c r="A627" s="30" t="s">
        <v>2843</v>
      </c>
      <c r="B627" s="169">
        <v>9003430100</v>
      </c>
      <c r="C627" s="232" t="s">
        <v>944</v>
      </c>
      <c r="D627" s="182">
        <v>38355.52749</v>
      </c>
      <c r="E627" s="182">
        <v>48697.254999999997</v>
      </c>
      <c r="F627" s="13">
        <f>[1]!Table323[[#This Row],[Single Family]]+[1]!Table323[[#This Row],[2-4 Units]]+[1]!Table323[[#This Row],[&gt;4 Units]]</f>
        <v>0</v>
      </c>
      <c r="G627" s="30">
        <v>0</v>
      </c>
      <c r="H627" s="30">
        <v>0</v>
      </c>
      <c r="I627" s="30">
        <v>0</v>
      </c>
      <c r="J627" s="231">
        <v>5111.8999999999996</v>
      </c>
      <c r="K627">
        <f t="shared" si="9"/>
        <v>40</v>
      </c>
      <c r="L627" s="30">
        <v>0</v>
      </c>
      <c r="M627" s="30">
        <v>0</v>
      </c>
      <c r="N627" s="30">
        <v>40</v>
      </c>
      <c r="O627" s="231">
        <v>9970.81</v>
      </c>
      <c r="P627" s="97">
        <f>VLOOKUP(Table323[[#This Row],[Census Tract]],'Population and Diversity Data'!$B$2:$K$823,10,FALSE)</f>
        <v>3</v>
      </c>
      <c r="Q627" s="97" t="str">
        <f>VLOOKUP(Table323[[#This Row],[Census Tract]],'ES Energy Burden'!$B$2:$E$914,4,FALSE)</f>
        <v>No</v>
      </c>
    </row>
    <row r="628" spans="1:17" x14ac:dyDescent="0.2">
      <c r="A628" s="30" t="s">
        <v>2843</v>
      </c>
      <c r="B628" s="169">
        <v>9003430201</v>
      </c>
      <c r="C628" s="232" t="s">
        <v>944</v>
      </c>
      <c r="D628" s="182">
        <v>39128.653032000002</v>
      </c>
      <c r="E628" s="182">
        <v>22102.639999999999</v>
      </c>
      <c r="F628" s="13">
        <f>[1]!Table323[[#This Row],[Single Family]]+[1]!Table323[[#This Row],[2-4 Units]]+[1]!Table323[[#This Row],[&gt;4 Units]]</f>
        <v>247</v>
      </c>
      <c r="G628" s="30">
        <v>244</v>
      </c>
      <c r="H628" s="30">
        <v>3</v>
      </c>
      <c r="I628" s="30">
        <v>0</v>
      </c>
      <c r="J628" s="231">
        <v>259273.01</v>
      </c>
      <c r="K628">
        <f t="shared" si="9"/>
        <v>27</v>
      </c>
      <c r="L628" s="30">
        <v>26</v>
      </c>
      <c r="M628" s="30">
        <v>1</v>
      </c>
      <c r="N628" s="30">
        <v>0</v>
      </c>
      <c r="O628" s="231">
        <v>105436.52</v>
      </c>
      <c r="P628" s="97">
        <f>VLOOKUP(Table323[[#This Row],[Census Tract]],'Population and Diversity Data'!$B$2:$K$823,10,FALSE)</f>
        <v>2</v>
      </c>
      <c r="Q628" s="97" t="str">
        <f>VLOOKUP(Table323[[#This Row],[Census Tract]],'ES Energy Burden'!$B$2:$E$914,4,FALSE)</f>
        <v>No</v>
      </c>
    </row>
    <row r="629" spans="1:17" x14ac:dyDescent="0.2">
      <c r="A629" s="30" t="s">
        <v>2843</v>
      </c>
      <c r="B629" s="169">
        <v>9003430202</v>
      </c>
      <c r="C629" s="232" t="s">
        <v>944</v>
      </c>
      <c r="D629" s="182">
        <v>57801.578898</v>
      </c>
      <c r="E629" s="182">
        <v>57740.36</v>
      </c>
      <c r="F629" s="13">
        <f>[1]!Table323[[#This Row],[Single Family]]+[1]!Table323[[#This Row],[2-4 Units]]+[1]!Table323[[#This Row],[&gt;4 Units]]</f>
        <v>0</v>
      </c>
      <c r="G629" s="30">
        <v>0</v>
      </c>
      <c r="H629" s="30">
        <v>0</v>
      </c>
      <c r="I629" s="30">
        <v>0</v>
      </c>
      <c r="J629" s="231">
        <v>27230.26</v>
      </c>
      <c r="K629">
        <f t="shared" si="9"/>
        <v>0</v>
      </c>
      <c r="L629" s="30">
        <v>0</v>
      </c>
      <c r="M629" s="30">
        <v>0</v>
      </c>
      <c r="N629" s="30">
        <v>0</v>
      </c>
      <c r="O629" s="231">
        <v>0</v>
      </c>
      <c r="P629" s="97">
        <f>VLOOKUP(Table323[[#This Row],[Census Tract]],'Population and Diversity Data'!$B$2:$K$823,10,FALSE)</f>
        <v>2</v>
      </c>
      <c r="Q629" s="97" t="str">
        <f>VLOOKUP(Table323[[#This Row],[Census Tract]],'ES Energy Burden'!$B$2:$E$914,4,FALSE)</f>
        <v>No</v>
      </c>
    </row>
    <row r="630" spans="1:17" x14ac:dyDescent="0.2">
      <c r="A630" s="30" t="s">
        <v>2843</v>
      </c>
      <c r="B630" s="169">
        <v>9003430203</v>
      </c>
      <c r="C630" s="232" t="s">
        <v>944</v>
      </c>
      <c r="D630" s="182">
        <v>43923.895385999997</v>
      </c>
      <c r="E630" s="182">
        <v>47251.26</v>
      </c>
      <c r="F630" s="13">
        <f>[1]!Table323[[#This Row],[Single Family]]+[1]!Table323[[#This Row],[2-4 Units]]+[1]!Table323[[#This Row],[&gt;4 Units]]</f>
        <v>0</v>
      </c>
      <c r="G630" s="30">
        <v>0</v>
      </c>
      <c r="H630" s="30">
        <v>0</v>
      </c>
      <c r="I630" s="30">
        <v>0</v>
      </c>
      <c r="J630" s="231">
        <v>4313.03</v>
      </c>
      <c r="K630">
        <f t="shared" si="9"/>
        <v>2</v>
      </c>
      <c r="L630" s="30">
        <v>1</v>
      </c>
      <c r="M630" s="30">
        <v>1</v>
      </c>
      <c r="N630" s="30">
        <v>0</v>
      </c>
      <c r="O630" s="231">
        <v>29482.75</v>
      </c>
      <c r="P630" s="97">
        <f>VLOOKUP(Table323[[#This Row],[Census Tract]],'Population and Diversity Data'!$B$2:$K$823,10,FALSE)</f>
        <v>2</v>
      </c>
      <c r="Q630" s="97" t="str">
        <f>VLOOKUP(Table323[[#This Row],[Census Tract]],'ES Energy Burden'!$B$2:$E$914,4,FALSE)</f>
        <v>No</v>
      </c>
    </row>
    <row r="631" spans="1:17" x14ac:dyDescent="0.2">
      <c r="A631" s="30" t="s">
        <v>2843</v>
      </c>
      <c r="B631" s="169">
        <v>9003430301</v>
      </c>
      <c r="C631" s="232" t="s">
        <v>944</v>
      </c>
      <c r="D631" s="182">
        <v>44773.363907999999</v>
      </c>
      <c r="E631" s="182">
        <v>48176.584999999999</v>
      </c>
      <c r="F631" s="13">
        <f>[1]!Table323[[#This Row],[Single Family]]+[1]!Table323[[#This Row],[2-4 Units]]+[1]!Table323[[#This Row],[&gt;4 Units]]</f>
        <v>0</v>
      </c>
      <c r="G631" s="30">
        <v>0</v>
      </c>
      <c r="H631" s="30">
        <v>0</v>
      </c>
      <c r="I631" s="30">
        <v>0</v>
      </c>
      <c r="J631" s="231">
        <v>1085.25</v>
      </c>
      <c r="K631">
        <f t="shared" si="9"/>
        <v>4</v>
      </c>
      <c r="L631" s="30">
        <v>4</v>
      </c>
      <c r="M631" s="30">
        <v>0</v>
      </c>
      <c r="N631" s="30">
        <v>0</v>
      </c>
      <c r="O631" s="231">
        <v>14741.41</v>
      </c>
      <c r="P631" s="97">
        <f>VLOOKUP(Table323[[#This Row],[Census Tract]],'Population and Diversity Data'!$B$2:$K$823,10,FALSE)</f>
        <v>1</v>
      </c>
      <c r="Q631" s="97" t="str">
        <f>VLOOKUP(Table323[[#This Row],[Census Tract]],'ES Energy Burden'!$B$2:$E$914,4,FALSE)</f>
        <v>No</v>
      </c>
    </row>
    <row r="632" spans="1:17" x14ac:dyDescent="0.2">
      <c r="A632" s="30" t="s">
        <v>2843</v>
      </c>
      <c r="B632" s="169">
        <v>9003430302</v>
      </c>
      <c r="C632" s="232" t="s">
        <v>944</v>
      </c>
      <c r="D632" s="182">
        <v>31374.76713</v>
      </c>
      <c r="E632" s="182">
        <v>20294.47</v>
      </c>
      <c r="F632" s="13">
        <f>[1]!Table323[[#This Row],[Single Family]]+[1]!Table323[[#This Row],[2-4 Units]]+[1]!Table323[[#This Row],[&gt;4 Units]]</f>
        <v>0</v>
      </c>
      <c r="G632" s="30">
        <v>0</v>
      </c>
      <c r="H632" s="30">
        <v>0</v>
      </c>
      <c r="I632" s="30">
        <v>0</v>
      </c>
      <c r="J632" s="231">
        <v>2552.29</v>
      </c>
      <c r="K632">
        <f t="shared" si="9"/>
        <v>5</v>
      </c>
      <c r="L632" s="30">
        <v>5</v>
      </c>
      <c r="M632" s="30">
        <v>0</v>
      </c>
      <c r="N632" s="30">
        <v>0</v>
      </c>
      <c r="O632" s="231">
        <v>7704.15</v>
      </c>
      <c r="P632" s="97">
        <f>VLOOKUP(Table323[[#This Row],[Census Tract]],'Population and Diversity Data'!$B$2:$K$823,10,FALSE)</f>
        <v>1</v>
      </c>
      <c r="Q632" s="97" t="str">
        <f>VLOOKUP(Table323[[#This Row],[Census Tract]],'ES Energy Burden'!$B$2:$E$914,4,FALSE)</f>
        <v>No</v>
      </c>
    </row>
    <row r="633" spans="1:17" x14ac:dyDescent="0.2">
      <c r="A633" s="30" t="s">
        <v>2843</v>
      </c>
      <c r="B633" s="169">
        <v>9003430400</v>
      </c>
      <c r="C633" s="232" t="s">
        <v>944</v>
      </c>
      <c r="D633" s="182">
        <v>52394.084777999997</v>
      </c>
      <c r="E633" s="182">
        <v>35424.68</v>
      </c>
      <c r="F633" s="13">
        <f>[1]!Table323[[#This Row],[Single Family]]+[1]!Table323[[#This Row],[2-4 Units]]+[1]!Table323[[#This Row],[&gt;4 Units]]</f>
        <v>64</v>
      </c>
      <c r="G633" s="30">
        <v>64</v>
      </c>
      <c r="H633" s="30">
        <v>0</v>
      </c>
      <c r="I633" s="30">
        <v>0</v>
      </c>
      <c r="J633" s="231">
        <v>98266.64</v>
      </c>
      <c r="K633">
        <f t="shared" si="9"/>
        <v>147</v>
      </c>
      <c r="L633" s="30">
        <v>2</v>
      </c>
      <c r="M633" s="30">
        <v>1</v>
      </c>
      <c r="N633" s="30">
        <v>144</v>
      </c>
      <c r="O633" s="231">
        <v>11585.19</v>
      </c>
      <c r="P633" s="97">
        <f>VLOOKUP(Table323[[#This Row],[Census Tract]],'Population and Diversity Data'!$B$2:$K$823,10,FALSE)</f>
        <v>1</v>
      </c>
      <c r="Q633" s="97" t="str">
        <f>VLOOKUP(Table323[[#This Row],[Census Tract]],'ES Energy Burden'!$B$2:$E$914,4,FALSE)</f>
        <v>No</v>
      </c>
    </row>
    <row r="634" spans="1:17" x14ac:dyDescent="0.2">
      <c r="A634" s="30" t="s">
        <v>2843</v>
      </c>
      <c r="B634" s="169">
        <v>9003430500</v>
      </c>
      <c r="C634" s="232" t="s">
        <v>944</v>
      </c>
      <c r="D634" s="182">
        <v>292237.14265200001</v>
      </c>
      <c r="E634" s="182">
        <v>528449.83250000002</v>
      </c>
      <c r="F634" s="13">
        <f>[1]!Table323[[#This Row],[Single Family]]+[1]!Table323[[#This Row],[2-4 Units]]+[1]!Table323[[#This Row],[&gt;4 Units]]</f>
        <v>0</v>
      </c>
      <c r="G634" s="30">
        <v>0</v>
      </c>
      <c r="H634" s="30">
        <v>0</v>
      </c>
      <c r="I634" s="30">
        <v>0</v>
      </c>
      <c r="J634" s="231">
        <v>16247.06</v>
      </c>
      <c r="K634">
        <f t="shared" si="9"/>
        <v>0</v>
      </c>
      <c r="L634" s="30">
        <v>0</v>
      </c>
      <c r="M634" s="30">
        <v>0</v>
      </c>
      <c r="N634" s="30">
        <v>0</v>
      </c>
      <c r="O634" s="231">
        <v>0</v>
      </c>
      <c r="P634" s="97">
        <f>VLOOKUP(Table323[[#This Row],[Census Tract]],'Population and Diversity Data'!$B$2:$K$823,10,FALSE)</f>
        <v>1</v>
      </c>
      <c r="Q634" s="97" t="str">
        <f>VLOOKUP(Table323[[#This Row],[Census Tract]],'ES Energy Burden'!$B$2:$E$914,4,FALSE)</f>
        <v>No</v>
      </c>
    </row>
    <row r="635" spans="1:17" x14ac:dyDescent="0.2">
      <c r="A635" s="30" t="s">
        <v>2843</v>
      </c>
      <c r="B635" s="169">
        <v>9003430601</v>
      </c>
      <c r="C635" s="232" t="s">
        <v>944</v>
      </c>
      <c r="D635" s="182">
        <v>68556.467447999996</v>
      </c>
      <c r="E635" s="182">
        <v>78491.83</v>
      </c>
      <c r="F635" s="13">
        <f>[1]!Table323[[#This Row],[Single Family]]+[1]!Table323[[#This Row],[2-4 Units]]+[1]!Table323[[#This Row],[&gt;4 Units]]</f>
        <v>1</v>
      </c>
      <c r="G635" s="30">
        <v>1</v>
      </c>
      <c r="H635" s="30">
        <v>0</v>
      </c>
      <c r="I635" s="30">
        <v>0</v>
      </c>
      <c r="J635" s="231">
        <v>12476.31</v>
      </c>
      <c r="K635">
        <f t="shared" si="9"/>
        <v>73</v>
      </c>
      <c r="L635" s="30">
        <v>13</v>
      </c>
      <c r="M635" s="30">
        <v>0</v>
      </c>
      <c r="N635" s="30">
        <v>60</v>
      </c>
      <c r="O635" s="231">
        <v>53194.89</v>
      </c>
      <c r="P635" s="97">
        <f>VLOOKUP(Table323[[#This Row],[Census Tract]],'Population and Diversity Data'!$B$2:$K$823,10,FALSE)</f>
        <v>2</v>
      </c>
      <c r="Q635" s="97" t="str">
        <f>VLOOKUP(Table323[[#This Row],[Census Tract]],'ES Energy Burden'!$B$2:$E$914,4,FALSE)</f>
        <v>No</v>
      </c>
    </row>
    <row r="636" spans="1:17" x14ac:dyDescent="0.2">
      <c r="A636" s="30" t="s">
        <v>2843</v>
      </c>
      <c r="B636" s="169">
        <v>9003430602</v>
      </c>
      <c r="C636" s="232" t="s">
        <v>944</v>
      </c>
      <c r="D636" s="182">
        <v>39495.103199999998</v>
      </c>
      <c r="E636" s="182">
        <v>30148.89</v>
      </c>
      <c r="F636" s="13">
        <f>[1]!Table323[[#This Row],[Single Family]]+[1]!Table323[[#This Row],[2-4 Units]]+[1]!Table323[[#This Row],[&gt;4 Units]]</f>
        <v>0</v>
      </c>
      <c r="G636" s="30">
        <v>0</v>
      </c>
      <c r="H636" s="30">
        <v>0</v>
      </c>
      <c r="I636" s="30">
        <v>0</v>
      </c>
      <c r="J636" s="231">
        <v>6921.96</v>
      </c>
      <c r="K636">
        <f t="shared" si="9"/>
        <v>3</v>
      </c>
      <c r="L636" s="30">
        <v>2</v>
      </c>
      <c r="M636" s="30">
        <v>1</v>
      </c>
      <c r="N636" s="30">
        <v>0</v>
      </c>
      <c r="O636" s="231">
        <v>2158.86</v>
      </c>
      <c r="P636" s="97">
        <f>VLOOKUP(Table323[[#This Row],[Census Tract]],'Population and Diversity Data'!$B$2:$K$823,10,FALSE)</f>
        <v>2</v>
      </c>
      <c r="Q636" s="97" t="str">
        <f>VLOOKUP(Table323[[#This Row],[Census Tract]],'ES Energy Burden'!$B$2:$E$914,4,FALSE)</f>
        <v>No</v>
      </c>
    </row>
    <row r="637" spans="1:17" x14ac:dyDescent="0.2">
      <c r="A637" s="30" t="s">
        <v>2843</v>
      </c>
      <c r="B637" s="169">
        <v>9009343101</v>
      </c>
      <c r="C637" s="232" t="s">
        <v>944</v>
      </c>
      <c r="D637" s="182">
        <v>323.09802000000002</v>
      </c>
      <c r="E637" s="182">
        <v>200</v>
      </c>
      <c r="F637" s="13">
        <f>[1]!Table323[[#This Row],[Single Family]]+[1]!Table323[[#This Row],[2-4 Units]]+[1]!Table323[[#This Row],[&gt;4 Units]]</f>
        <v>0</v>
      </c>
      <c r="G637" s="30">
        <v>0</v>
      </c>
      <c r="H637" s="30">
        <v>0</v>
      </c>
      <c r="I637" s="30">
        <v>0</v>
      </c>
      <c r="J637" s="231">
        <v>0</v>
      </c>
      <c r="K637">
        <f t="shared" si="9"/>
        <v>0</v>
      </c>
      <c r="L637" s="30">
        <v>0</v>
      </c>
      <c r="M637" s="30">
        <v>0</v>
      </c>
      <c r="N637" s="30">
        <v>0</v>
      </c>
      <c r="O637" s="231">
        <v>0</v>
      </c>
      <c r="P637" s="97">
        <f>VLOOKUP(Table323[[#This Row],[Census Tract]],'Population and Diversity Data'!$B$2:$K$823,10,FALSE)</f>
        <v>4</v>
      </c>
      <c r="Q637" s="97" t="str">
        <f>VLOOKUP(Table323[[#This Row],[Census Tract]],'ES Energy Burden'!$B$2:$E$914,4,FALSE)</f>
        <v>No</v>
      </c>
    </row>
    <row r="638" spans="1:17" x14ac:dyDescent="0.2">
      <c r="A638" s="30" t="s">
        <v>2844</v>
      </c>
      <c r="B638" s="169">
        <v>9011711100</v>
      </c>
      <c r="C638" s="232" t="s">
        <v>944</v>
      </c>
      <c r="D638" s="182">
        <v>47872.593782999997</v>
      </c>
      <c r="E638" s="182">
        <v>50445.294999999998</v>
      </c>
      <c r="F638" s="13">
        <f>[1]!Table323[[#This Row],[Single Family]]+[1]!Table323[[#This Row],[2-4 Units]]+[1]!Table323[[#This Row],[&gt;4 Units]]</f>
        <v>11</v>
      </c>
      <c r="G638" s="30">
        <v>11</v>
      </c>
      <c r="H638" s="30">
        <v>0</v>
      </c>
      <c r="I638" s="30">
        <v>0</v>
      </c>
      <c r="J638" s="231">
        <v>29277.8</v>
      </c>
      <c r="K638">
        <f t="shared" si="9"/>
        <v>5</v>
      </c>
      <c r="L638" s="30">
        <v>5</v>
      </c>
      <c r="M638" s="30">
        <v>0</v>
      </c>
      <c r="N638" s="30">
        <v>0</v>
      </c>
      <c r="O638" s="231">
        <v>8930.25</v>
      </c>
      <c r="P638" s="97">
        <f>VLOOKUP(Table323[[#This Row],[Census Tract]],'Population and Diversity Data'!$B$2:$K$823,10,FALSE)</f>
        <v>4</v>
      </c>
      <c r="Q638" s="97" t="str">
        <f>VLOOKUP(Table323[[#This Row],[Census Tract]],'ES Energy Burden'!$B$2:$E$914,4,FALSE)</f>
        <v>No</v>
      </c>
    </row>
    <row r="639" spans="1:17" x14ac:dyDescent="0.2">
      <c r="A639" s="30" t="s">
        <v>2844</v>
      </c>
      <c r="B639" s="169">
        <v>9011712100</v>
      </c>
      <c r="C639" s="232" t="s">
        <v>944</v>
      </c>
      <c r="D639" s="182">
        <v>180.77241000000001</v>
      </c>
      <c r="E639" s="182">
        <v>1215.6099999999999</v>
      </c>
      <c r="F639" s="13">
        <f>[1]!Table323[[#This Row],[Single Family]]+[1]!Table323[[#This Row],[2-4 Units]]+[1]!Table323[[#This Row],[&gt;4 Units]]</f>
        <v>0</v>
      </c>
      <c r="G639" s="30">
        <v>0</v>
      </c>
      <c r="H639" s="30">
        <v>0</v>
      </c>
      <c r="I639" s="30">
        <v>0</v>
      </c>
      <c r="J639" s="231">
        <v>0</v>
      </c>
      <c r="K639">
        <f t="shared" si="9"/>
        <v>0</v>
      </c>
      <c r="L639" s="30">
        <v>0</v>
      </c>
      <c r="M639" s="30">
        <v>0</v>
      </c>
      <c r="N639" s="30">
        <v>0</v>
      </c>
      <c r="O639" s="231">
        <v>0</v>
      </c>
      <c r="P639" s="97">
        <f>VLOOKUP(Table323[[#This Row],[Census Tract]],'Population and Diversity Data'!$B$2:$K$823,10,FALSE)</f>
        <v>1</v>
      </c>
      <c r="Q639" s="97" t="str">
        <f>VLOOKUP(Table323[[#This Row],[Census Tract]],'ES Energy Burden'!$B$2:$E$914,4,FALSE)</f>
        <v>No</v>
      </c>
    </row>
    <row r="640" spans="1:17" x14ac:dyDescent="0.2">
      <c r="A640" s="30" t="s">
        <v>2845</v>
      </c>
      <c r="B640" s="169">
        <v>9013535200</v>
      </c>
      <c r="C640" s="232" t="s">
        <v>944</v>
      </c>
      <c r="D640" s="182">
        <v>184.04231999999999</v>
      </c>
      <c r="E640" s="182">
        <v>36172.574999999997</v>
      </c>
      <c r="F640" s="13">
        <f>[1]!Table323[[#This Row],[Single Family]]+[1]!Table323[[#This Row],[2-4 Units]]+[1]!Table323[[#This Row],[&gt;4 Units]]</f>
        <v>0</v>
      </c>
      <c r="G640" s="30">
        <v>0</v>
      </c>
      <c r="H640" s="30">
        <v>0</v>
      </c>
      <c r="I640" s="30">
        <v>0</v>
      </c>
      <c r="J640" s="231">
        <v>0</v>
      </c>
      <c r="K640">
        <f t="shared" si="9"/>
        <v>0</v>
      </c>
      <c r="L640" s="30">
        <v>0</v>
      </c>
      <c r="M640" s="30">
        <v>0</v>
      </c>
      <c r="N640" s="30">
        <v>0</v>
      </c>
      <c r="O640" s="231">
        <v>0</v>
      </c>
      <c r="P640" s="97">
        <f>VLOOKUP(Table323[[#This Row],[Census Tract]],'Population and Diversity Data'!$B$2:$K$823,10,FALSE)</f>
        <v>5</v>
      </c>
      <c r="Q640" s="97" t="str">
        <f>VLOOKUP(Table323[[#This Row],[Census Tract]],'ES Energy Burden'!$B$2:$E$914,4,FALSE)</f>
        <v>No</v>
      </c>
    </row>
    <row r="641" spans="1:17" x14ac:dyDescent="0.2">
      <c r="A641" s="30" t="s">
        <v>2845</v>
      </c>
      <c r="B641" s="169">
        <v>9013840100</v>
      </c>
      <c r="C641" s="232" t="s">
        <v>944</v>
      </c>
      <c r="D641" s="182">
        <v>190.17159000000001</v>
      </c>
      <c r="E641" s="182">
        <v>0</v>
      </c>
      <c r="F641" s="13">
        <f>[1]!Table323[[#This Row],[Single Family]]+[1]!Table323[[#This Row],[2-4 Units]]+[1]!Table323[[#This Row],[&gt;4 Units]]</f>
        <v>0</v>
      </c>
      <c r="G641" s="30">
        <v>0</v>
      </c>
      <c r="H641" s="30">
        <v>0</v>
      </c>
      <c r="I641" s="30">
        <v>0</v>
      </c>
      <c r="J641" s="231">
        <v>0</v>
      </c>
      <c r="K641">
        <f t="shared" si="9"/>
        <v>0</v>
      </c>
      <c r="L641" s="30">
        <v>0</v>
      </c>
      <c r="M641" s="30">
        <v>0</v>
      </c>
      <c r="N641" s="30">
        <v>0</v>
      </c>
      <c r="O641" s="231">
        <v>0</v>
      </c>
      <c r="P641" s="97">
        <f>VLOOKUP(Table323[[#This Row],[Census Tract]],'Population and Diversity Data'!$B$2:$K$823,10,FALSE)</f>
        <v>4</v>
      </c>
      <c r="Q641" s="97" t="str">
        <f>VLOOKUP(Table323[[#This Row],[Census Tract]],'ES Energy Burden'!$B$2:$E$914,4,FALSE)</f>
        <v>No</v>
      </c>
    </row>
    <row r="642" spans="1:17" x14ac:dyDescent="0.2">
      <c r="A642" s="30" t="s">
        <v>2845</v>
      </c>
      <c r="B642" s="169">
        <v>9013890100</v>
      </c>
      <c r="C642" s="232" t="s">
        <v>944</v>
      </c>
      <c r="D642" s="182">
        <v>44263.430379000005</v>
      </c>
      <c r="E642" s="182">
        <v>12627.035</v>
      </c>
      <c r="F642" s="13">
        <f>[1]!Table323[[#This Row],[Single Family]]+[1]!Table323[[#This Row],[2-4 Units]]+[1]!Table323[[#This Row],[&gt;4 Units]]</f>
        <v>0</v>
      </c>
      <c r="G642" s="30">
        <v>0</v>
      </c>
      <c r="H642" s="30">
        <v>0</v>
      </c>
      <c r="I642" s="30">
        <v>0</v>
      </c>
      <c r="J642" s="231">
        <v>4714.12</v>
      </c>
      <c r="K642">
        <f t="shared" si="9"/>
        <v>2</v>
      </c>
      <c r="L642" s="30">
        <v>2</v>
      </c>
      <c r="M642" s="30">
        <v>0</v>
      </c>
      <c r="N642" s="30">
        <v>0</v>
      </c>
      <c r="O642" s="231">
        <v>4565.8900000000003</v>
      </c>
      <c r="P642" s="97">
        <f>VLOOKUP(Table323[[#This Row],[Census Tract]],'Population and Diversity Data'!$B$2:$K$823,10,FALSE)</f>
        <v>2</v>
      </c>
      <c r="Q642" s="97" t="str">
        <f>VLOOKUP(Table323[[#This Row],[Census Tract]],'ES Energy Burden'!$B$2:$E$914,4,FALSE)</f>
        <v>No</v>
      </c>
    </row>
    <row r="643" spans="1:17" x14ac:dyDescent="0.2">
      <c r="A643" s="30" t="s">
        <v>2845</v>
      </c>
      <c r="B643" s="169">
        <v>9013890201</v>
      </c>
      <c r="C643" s="232" t="s">
        <v>944</v>
      </c>
      <c r="D643" s="182">
        <v>32684.178681000001</v>
      </c>
      <c r="E643" s="182">
        <v>28799.74</v>
      </c>
      <c r="F643" s="13">
        <f>[1]!Table323[[#This Row],[Single Family]]+[1]!Table323[[#This Row],[2-4 Units]]+[1]!Table323[[#This Row],[&gt;4 Units]]</f>
        <v>41</v>
      </c>
      <c r="G643" s="30">
        <v>41</v>
      </c>
      <c r="H643" s="30">
        <v>0</v>
      </c>
      <c r="I643" s="30">
        <v>0</v>
      </c>
      <c r="J643" s="231">
        <v>86840.79</v>
      </c>
      <c r="K643">
        <f t="shared" si="9"/>
        <v>7</v>
      </c>
      <c r="L643" s="30">
        <v>6</v>
      </c>
      <c r="M643" s="30">
        <v>1</v>
      </c>
      <c r="N643" s="30">
        <v>0</v>
      </c>
      <c r="O643" s="231">
        <v>8154.54</v>
      </c>
      <c r="P643" s="97">
        <f>VLOOKUP(Table323[[#This Row],[Census Tract]],'Population and Diversity Data'!$B$2:$K$823,10,FALSE)</f>
        <v>4</v>
      </c>
      <c r="Q643" s="97" t="str">
        <f>VLOOKUP(Table323[[#This Row],[Census Tract]],'ES Energy Burden'!$B$2:$E$914,4,FALSE)</f>
        <v>No</v>
      </c>
    </row>
    <row r="644" spans="1:17" x14ac:dyDescent="0.2">
      <c r="A644" s="30" t="s">
        <v>2845</v>
      </c>
      <c r="B644" s="169">
        <v>9013890202</v>
      </c>
      <c r="C644" s="232" t="s">
        <v>944</v>
      </c>
      <c r="D644" s="182">
        <v>118181.769216</v>
      </c>
      <c r="E644" s="182">
        <v>116633.87</v>
      </c>
      <c r="F644" s="13">
        <f>[1]!Table323[[#This Row],[Single Family]]+[1]!Table323[[#This Row],[2-4 Units]]+[1]!Table323[[#This Row],[&gt;4 Units]]</f>
        <v>0</v>
      </c>
      <c r="G644" s="30">
        <v>0</v>
      </c>
      <c r="H644" s="30">
        <v>0</v>
      </c>
      <c r="I644" s="30">
        <v>0</v>
      </c>
      <c r="J644" s="231">
        <v>6866.64</v>
      </c>
      <c r="K644">
        <f t="shared" si="9"/>
        <v>6</v>
      </c>
      <c r="L644" s="30">
        <v>6</v>
      </c>
      <c r="M644" s="30">
        <v>0</v>
      </c>
      <c r="N644" s="30">
        <v>0</v>
      </c>
      <c r="O644" s="231">
        <v>31517</v>
      </c>
      <c r="P644" s="97">
        <f>VLOOKUP(Table323[[#This Row],[Census Tract]],'Population and Diversity Data'!$B$2:$K$823,10,FALSE)</f>
        <v>4</v>
      </c>
      <c r="Q644" s="97" t="str">
        <f>VLOOKUP(Table323[[#This Row],[Census Tract]],'ES Energy Burden'!$B$2:$E$914,4,FALSE)</f>
        <v>No</v>
      </c>
    </row>
    <row r="645" spans="1:17" x14ac:dyDescent="0.2">
      <c r="A645" s="30" t="s">
        <v>988</v>
      </c>
      <c r="B645" s="169">
        <v>9001010202</v>
      </c>
      <c r="C645" s="232" t="s">
        <v>944</v>
      </c>
      <c r="D645" s="182">
        <v>309.91694999999999</v>
      </c>
      <c r="E645" s="182">
        <v>0</v>
      </c>
      <c r="F645" s="13">
        <f>[1]!Table323[[#This Row],[Single Family]]+[1]!Table323[[#This Row],[2-4 Units]]+[1]!Table323[[#This Row],[&gt;4 Units]]</f>
        <v>0</v>
      </c>
      <c r="G645" s="30">
        <v>0</v>
      </c>
      <c r="H645" s="30">
        <v>0</v>
      </c>
      <c r="I645" s="30">
        <v>0</v>
      </c>
      <c r="J645" s="231">
        <v>0</v>
      </c>
      <c r="K645">
        <f t="shared" si="9"/>
        <v>0</v>
      </c>
      <c r="L645" s="30">
        <v>0</v>
      </c>
      <c r="M645" s="30">
        <v>0</v>
      </c>
      <c r="N645" s="30">
        <v>0</v>
      </c>
      <c r="O645" s="231">
        <v>0</v>
      </c>
      <c r="P645" s="97">
        <f>VLOOKUP(Table323[[#This Row],[Census Tract]],'Population and Diversity Data'!$B$2:$K$823,10,FALSE)</f>
        <v>4</v>
      </c>
      <c r="Q645" s="97" t="str">
        <f>VLOOKUP(Table323[[#This Row],[Census Tract]],'ES Energy Burden'!$B$2:$E$914,4,FALSE)</f>
        <v>No</v>
      </c>
    </row>
    <row r="646" spans="1:17" x14ac:dyDescent="0.2">
      <c r="A646" s="30" t="s">
        <v>988</v>
      </c>
      <c r="B646" s="169">
        <v>9001020100</v>
      </c>
      <c r="C646" s="232" t="s">
        <v>936</v>
      </c>
      <c r="D646" s="182">
        <v>78812.023835999993</v>
      </c>
      <c r="E646" s="182">
        <v>2129.25</v>
      </c>
      <c r="F646" s="13">
        <f>[1]!Table323[[#This Row],[Single Family]]+[1]!Table323[[#This Row],[2-4 Units]]+[1]!Table323[[#This Row],[&gt;4 Units]]</f>
        <v>0</v>
      </c>
      <c r="G646" s="30">
        <v>0</v>
      </c>
      <c r="H646" s="30">
        <v>0</v>
      </c>
      <c r="I646" s="30">
        <v>0</v>
      </c>
      <c r="J646" s="231">
        <v>0</v>
      </c>
      <c r="K646">
        <f t="shared" ref="K646:K709" si="10">L646+M646+N646</f>
        <v>22</v>
      </c>
      <c r="L646" s="30">
        <v>0</v>
      </c>
      <c r="M646" s="30">
        <v>2</v>
      </c>
      <c r="N646" s="30">
        <v>20</v>
      </c>
      <c r="O646" s="231">
        <v>144.97</v>
      </c>
      <c r="P646" s="97">
        <f>VLOOKUP(Table323[[#This Row],[Census Tract]],'Population and Diversity Data'!$B$2:$K$823,10,FALSE)</f>
        <v>4</v>
      </c>
      <c r="Q646" s="97" t="str">
        <f>VLOOKUP(Table323[[#This Row],[Census Tract]],'ES Energy Burden'!$B$2:$E$914,4,FALSE)</f>
        <v>No</v>
      </c>
    </row>
    <row r="647" spans="1:17" x14ac:dyDescent="0.2">
      <c r="A647" s="30" t="s">
        <v>988</v>
      </c>
      <c r="B647" s="169">
        <v>9001020200</v>
      </c>
      <c r="C647" s="232" t="s">
        <v>944</v>
      </c>
      <c r="D647" s="182">
        <v>68572.666785000009</v>
      </c>
      <c r="E647" s="182">
        <v>23788.3</v>
      </c>
      <c r="F647" s="13">
        <f>[1]!Table323[[#This Row],[Single Family]]+[1]!Table323[[#This Row],[2-4 Units]]+[1]!Table323[[#This Row],[&gt;4 Units]]</f>
        <v>0</v>
      </c>
      <c r="G647" s="30">
        <v>0</v>
      </c>
      <c r="H647" s="30">
        <v>0</v>
      </c>
      <c r="I647" s="30">
        <v>0</v>
      </c>
      <c r="J647" s="231">
        <v>7764.2</v>
      </c>
      <c r="K647">
        <f t="shared" si="10"/>
        <v>0</v>
      </c>
      <c r="L647" s="30">
        <v>0</v>
      </c>
      <c r="M647" s="30">
        <v>0</v>
      </c>
      <c r="N647" s="30">
        <v>0</v>
      </c>
      <c r="O647" s="231">
        <v>0</v>
      </c>
      <c r="P647" s="97">
        <f>VLOOKUP(Table323[[#This Row],[Census Tract]],'Population and Diversity Data'!$B$2:$K$823,10,FALSE)</f>
        <v>4</v>
      </c>
      <c r="Q647" s="97" t="str">
        <f>VLOOKUP(Table323[[#This Row],[Census Tract]],'ES Energy Burden'!$B$2:$E$914,4,FALSE)</f>
        <v>No</v>
      </c>
    </row>
    <row r="648" spans="1:17" x14ac:dyDescent="0.2">
      <c r="A648" s="30" t="s">
        <v>988</v>
      </c>
      <c r="B648" s="169">
        <v>9001020300</v>
      </c>
      <c r="C648" s="232" t="s">
        <v>944</v>
      </c>
      <c r="D648" s="182">
        <v>135246.927669</v>
      </c>
      <c r="E648" s="182">
        <v>74877.14</v>
      </c>
      <c r="F648" s="13">
        <f>[1]!Table323[[#This Row],[Single Family]]+[1]!Table323[[#This Row],[2-4 Units]]+[1]!Table323[[#This Row],[&gt;4 Units]]</f>
        <v>0</v>
      </c>
      <c r="G648" s="30">
        <v>0</v>
      </c>
      <c r="H648" s="30">
        <v>0</v>
      </c>
      <c r="I648" s="30">
        <v>0</v>
      </c>
      <c r="J648" s="231">
        <v>28659.88</v>
      </c>
      <c r="K648">
        <f t="shared" si="10"/>
        <v>1</v>
      </c>
      <c r="L648" s="30">
        <v>1</v>
      </c>
      <c r="M648" s="30">
        <v>0</v>
      </c>
      <c r="N648" s="30">
        <v>0</v>
      </c>
      <c r="O648" s="231">
        <v>2254.41</v>
      </c>
      <c r="P648" s="97">
        <f>VLOOKUP(Table323[[#This Row],[Census Tract]],'Population and Diversity Data'!$B$2:$K$823,10,FALSE)</f>
        <v>3</v>
      </c>
      <c r="Q648" s="97" t="str">
        <f>VLOOKUP(Table323[[#This Row],[Census Tract]],'ES Energy Burden'!$B$2:$E$914,4,FALSE)</f>
        <v>No</v>
      </c>
    </row>
    <row r="649" spans="1:17" x14ac:dyDescent="0.2">
      <c r="A649" s="30" t="s">
        <v>988</v>
      </c>
      <c r="B649" s="169">
        <v>9001020400</v>
      </c>
      <c r="C649" s="232" t="s">
        <v>944</v>
      </c>
      <c r="D649" s="182">
        <v>58485.315630000005</v>
      </c>
      <c r="E649" s="182">
        <v>25348.73</v>
      </c>
      <c r="F649" s="13">
        <f>[1]!Table323[[#This Row],[Single Family]]+[1]!Table323[[#This Row],[2-4 Units]]+[1]!Table323[[#This Row],[&gt;4 Units]]</f>
        <v>1</v>
      </c>
      <c r="G649" s="30">
        <v>1</v>
      </c>
      <c r="H649" s="30">
        <v>0</v>
      </c>
      <c r="I649" s="30">
        <v>0</v>
      </c>
      <c r="J649" s="231">
        <v>4147.42</v>
      </c>
      <c r="K649">
        <f t="shared" si="10"/>
        <v>2</v>
      </c>
      <c r="L649" s="30">
        <v>2</v>
      </c>
      <c r="M649" s="30">
        <v>0</v>
      </c>
      <c r="N649" s="30">
        <v>0</v>
      </c>
      <c r="O649" s="231">
        <v>4471.0200000000004</v>
      </c>
      <c r="P649" s="97">
        <f>VLOOKUP(Table323[[#This Row],[Census Tract]],'Population and Diversity Data'!$B$2:$K$823,10,FALSE)</f>
        <v>4</v>
      </c>
      <c r="Q649" s="97" t="str">
        <f>VLOOKUP(Table323[[#This Row],[Census Tract]],'ES Energy Burden'!$B$2:$E$914,4,FALSE)</f>
        <v>No</v>
      </c>
    </row>
    <row r="650" spans="1:17" x14ac:dyDescent="0.2">
      <c r="A650" s="30" t="s">
        <v>988</v>
      </c>
      <c r="B650" s="169">
        <v>9001020500</v>
      </c>
      <c r="C650" s="232" t="s">
        <v>944</v>
      </c>
      <c r="D650" s="182">
        <v>80134.068735000008</v>
      </c>
      <c r="E650" s="182">
        <v>60912.480000000003</v>
      </c>
      <c r="F650" s="13">
        <f>[1]!Table323[[#This Row],[Single Family]]+[1]!Table323[[#This Row],[2-4 Units]]+[1]!Table323[[#This Row],[&gt;4 Units]]</f>
        <v>519</v>
      </c>
      <c r="G650" s="30">
        <v>499</v>
      </c>
      <c r="H650" s="30">
        <v>20</v>
      </c>
      <c r="I650" s="30">
        <v>0</v>
      </c>
      <c r="J650" s="231">
        <v>793066.179999999</v>
      </c>
      <c r="K650">
        <f t="shared" si="10"/>
        <v>18</v>
      </c>
      <c r="L650" s="30">
        <v>12</v>
      </c>
      <c r="M650" s="30">
        <v>6</v>
      </c>
      <c r="N650" s="30">
        <v>0</v>
      </c>
      <c r="O650" s="231">
        <v>236468.39</v>
      </c>
      <c r="P650" s="97">
        <f>VLOOKUP(Table323[[#This Row],[Census Tract]],'Population and Diversity Data'!$B$2:$K$823,10,FALSE)</f>
        <v>3</v>
      </c>
      <c r="Q650" s="97" t="str">
        <f>VLOOKUP(Table323[[#This Row],[Census Tract]],'ES Energy Burden'!$B$2:$E$914,4,FALSE)</f>
        <v>No</v>
      </c>
    </row>
    <row r="651" spans="1:17" x14ac:dyDescent="0.2">
      <c r="A651" s="30" t="s">
        <v>988</v>
      </c>
      <c r="B651" s="169">
        <v>9001020600</v>
      </c>
      <c r="C651" s="232" t="s">
        <v>944</v>
      </c>
      <c r="D651" s="182">
        <v>66300.907680000004</v>
      </c>
      <c r="E651" s="182">
        <v>52357.25</v>
      </c>
      <c r="F651" s="13">
        <f>[1]!Table323[[#This Row],[Single Family]]+[1]!Table323[[#This Row],[2-4 Units]]+[1]!Table323[[#This Row],[&gt;4 Units]]</f>
        <v>0</v>
      </c>
      <c r="G651" s="30">
        <v>0</v>
      </c>
      <c r="H651" s="30">
        <v>0</v>
      </c>
      <c r="I651" s="30">
        <v>0</v>
      </c>
      <c r="J651" s="231">
        <v>14755.47</v>
      </c>
      <c r="K651">
        <f t="shared" si="10"/>
        <v>2</v>
      </c>
      <c r="L651" s="30">
        <v>2</v>
      </c>
      <c r="M651" s="30">
        <v>0</v>
      </c>
      <c r="N651" s="30">
        <v>0</v>
      </c>
      <c r="O651" s="231">
        <v>1801.2</v>
      </c>
      <c r="P651" s="97">
        <f>VLOOKUP(Table323[[#This Row],[Census Tract]],'Population and Diversity Data'!$B$2:$K$823,10,FALSE)</f>
        <v>4</v>
      </c>
      <c r="Q651" s="97" t="str">
        <f>VLOOKUP(Table323[[#This Row],[Census Tract]],'ES Energy Burden'!$B$2:$E$914,4,FALSE)</f>
        <v>No</v>
      </c>
    </row>
    <row r="652" spans="1:17" x14ac:dyDescent="0.2">
      <c r="A652" s="30" t="s">
        <v>988</v>
      </c>
      <c r="B652" s="169">
        <v>9001020700</v>
      </c>
      <c r="C652" s="232" t="s">
        <v>944</v>
      </c>
      <c r="D652" s="182">
        <v>55072.519740000003</v>
      </c>
      <c r="E652" s="182">
        <v>24708.13</v>
      </c>
      <c r="F652" s="13">
        <f>[1]!Table323[[#This Row],[Single Family]]+[1]!Table323[[#This Row],[2-4 Units]]+[1]!Table323[[#This Row],[&gt;4 Units]]</f>
        <v>0</v>
      </c>
      <c r="G652" s="30">
        <v>0</v>
      </c>
      <c r="H652" s="30">
        <v>0</v>
      </c>
      <c r="I652" s="30">
        <v>0</v>
      </c>
      <c r="J652" s="231">
        <v>7519.48</v>
      </c>
      <c r="K652">
        <f t="shared" si="10"/>
        <v>0</v>
      </c>
      <c r="L652" s="30">
        <v>0</v>
      </c>
      <c r="M652" s="30">
        <v>0</v>
      </c>
      <c r="N652" s="30">
        <v>0</v>
      </c>
      <c r="O652" s="231">
        <v>0</v>
      </c>
      <c r="P652" s="97">
        <f>VLOOKUP(Table323[[#This Row],[Census Tract]],'Population and Diversity Data'!$B$2:$K$823,10,FALSE)</f>
        <v>3</v>
      </c>
      <c r="Q652" s="97" t="str">
        <f>VLOOKUP(Table323[[#This Row],[Census Tract]],'ES Energy Burden'!$B$2:$E$914,4,FALSE)</f>
        <v>No</v>
      </c>
    </row>
    <row r="653" spans="1:17" x14ac:dyDescent="0.2">
      <c r="A653" s="30" t="s">
        <v>988</v>
      </c>
      <c r="B653" s="169">
        <v>9001020800</v>
      </c>
      <c r="C653" s="232" t="s">
        <v>944</v>
      </c>
      <c r="D653" s="182">
        <v>36988.821029999999</v>
      </c>
      <c r="E653" s="182">
        <v>13018.45</v>
      </c>
      <c r="F653" s="13">
        <f>[1]!Table323[[#This Row],[Single Family]]+[1]!Table323[[#This Row],[2-4 Units]]+[1]!Table323[[#This Row],[&gt;4 Units]]</f>
        <v>0</v>
      </c>
      <c r="G653" s="30">
        <v>0</v>
      </c>
      <c r="H653" s="30">
        <v>0</v>
      </c>
      <c r="I653" s="30">
        <v>0</v>
      </c>
      <c r="J653" s="231">
        <v>3161.36</v>
      </c>
      <c r="K653">
        <f t="shared" si="10"/>
        <v>0</v>
      </c>
      <c r="L653" s="30">
        <v>0</v>
      </c>
      <c r="M653" s="30">
        <v>0</v>
      </c>
      <c r="N653" s="30">
        <v>0</v>
      </c>
      <c r="O653" s="231">
        <v>0</v>
      </c>
      <c r="P653" s="97">
        <f>VLOOKUP(Table323[[#This Row],[Census Tract]],'Population and Diversity Data'!$B$2:$K$823,10,FALSE)</f>
        <v>4</v>
      </c>
      <c r="Q653" s="97" t="str">
        <f>VLOOKUP(Table323[[#This Row],[Census Tract]],'ES Energy Burden'!$B$2:$E$914,4,FALSE)</f>
        <v>No</v>
      </c>
    </row>
    <row r="654" spans="1:17" x14ac:dyDescent="0.2">
      <c r="A654" s="30" t="s">
        <v>988</v>
      </c>
      <c r="B654" s="169">
        <v>9001020900</v>
      </c>
      <c r="C654" s="232" t="s">
        <v>944</v>
      </c>
      <c r="D654" s="182">
        <v>58716.095444999999</v>
      </c>
      <c r="E654" s="182">
        <v>23512.63</v>
      </c>
      <c r="F654" s="13">
        <f>[1]!Table323[[#This Row],[Single Family]]+[1]!Table323[[#This Row],[2-4 Units]]+[1]!Table323[[#This Row],[&gt;4 Units]]</f>
        <v>0</v>
      </c>
      <c r="G654" s="30">
        <v>0</v>
      </c>
      <c r="H654" s="30">
        <v>0</v>
      </c>
      <c r="I654" s="30">
        <v>0</v>
      </c>
      <c r="J654" s="231">
        <v>4979.46</v>
      </c>
      <c r="K654">
        <f t="shared" si="10"/>
        <v>3</v>
      </c>
      <c r="L654" s="30">
        <v>3</v>
      </c>
      <c r="M654" s="30">
        <v>0</v>
      </c>
      <c r="N654" s="30">
        <v>0</v>
      </c>
      <c r="O654" s="231">
        <v>680.26</v>
      </c>
      <c r="P654" s="97">
        <f>VLOOKUP(Table323[[#This Row],[Census Tract]],'Population and Diversity Data'!$B$2:$K$823,10,FALSE)</f>
        <v>4</v>
      </c>
      <c r="Q654" s="97" t="str">
        <f>VLOOKUP(Table323[[#This Row],[Census Tract]],'ES Energy Burden'!$B$2:$E$914,4,FALSE)</f>
        <v>No</v>
      </c>
    </row>
    <row r="655" spans="1:17" x14ac:dyDescent="0.2">
      <c r="A655" s="30" t="s">
        <v>988</v>
      </c>
      <c r="B655" s="169">
        <v>9001021000</v>
      </c>
      <c r="C655" s="232" t="s">
        <v>944</v>
      </c>
      <c r="D655" s="182">
        <v>40399.23573</v>
      </c>
      <c r="E655" s="182">
        <v>28401.18</v>
      </c>
      <c r="F655" s="13">
        <f>[1]!Table323[[#This Row],[Single Family]]+[1]!Table323[[#This Row],[2-4 Units]]+[1]!Table323[[#This Row],[&gt;4 Units]]</f>
        <v>0</v>
      </c>
      <c r="G655" s="30">
        <v>0</v>
      </c>
      <c r="H655" s="30">
        <v>0</v>
      </c>
      <c r="I655" s="30">
        <v>0</v>
      </c>
      <c r="J655" s="231">
        <v>13946.4</v>
      </c>
      <c r="K655">
        <f t="shared" si="10"/>
        <v>2</v>
      </c>
      <c r="L655" s="30">
        <v>2</v>
      </c>
      <c r="M655" s="30">
        <v>0</v>
      </c>
      <c r="N655" s="30">
        <v>0</v>
      </c>
      <c r="O655" s="231">
        <v>1408.23</v>
      </c>
      <c r="P655" s="97">
        <f>VLOOKUP(Table323[[#This Row],[Census Tract]],'Population and Diversity Data'!$B$2:$K$823,10,FALSE)</f>
        <v>4</v>
      </c>
      <c r="Q655" s="97" t="str">
        <f>VLOOKUP(Table323[[#This Row],[Census Tract]],'ES Energy Burden'!$B$2:$E$914,4,FALSE)</f>
        <v>No</v>
      </c>
    </row>
    <row r="656" spans="1:17" x14ac:dyDescent="0.2">
      <c r="A656" s="30" t="s">
        <v>988</v>
      </c>
      <c r="B656" s="169">
        <v>9001021100</v>
      </c>
      <c r="C656" s="232" t="s">
        <v>944</v>
      </c>
      <c r="D656" s="182">
        <v>62757.015930000001</v>
      </c>
      <c r="E656" s="182">
        <v>42749.3</v>
      </c>
      <c r="F656" s="13">
        <f>[1]!Table323[[#This Row],[Single Family]]+[1]!Table323[[#This Row],[2-4 Units]]+[1]!Table323[[#This Row],[&gt;4 Units]]</f>
        <v>1</v>
      </c>
      <c r="G656" s="30">
        <v>1</v>
      </c>
      <c r="H656" s="30">
        <v>0</v>
      </c>
      <c r="I656" s="30">
        <v>0</v>
      </c>
      <c r="J656" s="231">
        <v>9119.93</v>
      </c>
      <c r="K656">
        <f t="shared" si="10"/>
        <v>3</v>
      </c>
      <c r="L656" s="30">
        <v>2</v>
      </c>
      <c r="M656" s="30">
        <v>1</v>
      </c>
      <c r="N656" s="30">
        <v>0</v>
      </c>
      <c r="O656" s="231">
        <v>21060.66</v>
      </c>
      <c r="P656" s="97">
        <f>VLOOKUP(Table323[[#This Row],[Census Tract]],'Population and Diversity Data'!$B$2:$K$823,10,FALSE)</f>
        <v>4</v>
      </c>
      <c r="Q656" s="97" t="str">
        <f>VLOOKUP(Table323[[#This Row],[Census Tract]],'ES Energy Burden'!$B$2:$E$914,4,FALSE)</f>
        <v>No</v>
      </c>
    </row>
    <row r="657" spans="1:17" x14ac:dyDescent="0.2">
      <c r="A657" s="30" t="s">
        <v>988</v>
      </c>
      <c r="B657" s="169">
        <v>9001021200</v>
      </c>
      <c r="C657" s="232" t="s">
        <v>944</v>
      </c>
      <c r="D657" s="182">
        <v>63821.906799000004</v>
      </c>
      <c r="E657" s="182">
        <v>52536.29</v>
      </c>
      <c r="F657" s="13">
        <f>[1]!Table323[[#This Row],[Single Family]]+[1]!Table323[[#This Row],[2-4 Units]]+[1]!Table323[[#This Row],[&gt;4 Units]]</f>
        <v>0</v>
      </c>
      <c r="G657" s="30">
        <v>0</v>
      </c>
      <c r="H657" s="30">
        <v>0</v>
      </c>
      <c r="I657" s="30">
        <v>0</v>
      </c>
      <c r="J657" s="231">
        <v>21462.22</v>
      </c>
      <c r="K657">
        <f t="shared" si="10"/>
        <v>0</v>
      </c>
      <c r="L657" s="30">
        <v>0</v>
      </c>
      <c r="M657" s="30">
        <v>0</v>
      </c>
      <c r="N657" s="30">
        <v>0</v>
      </c>
      <c r="O657" s="231">
        <v>0</v>
      </c>
      <c r="P657" s="97">
        <f>VLOOKUP(Table323[[#This Row],[Census Tract]],'Population and Diversity Data'!$B$2:$K$823,10,FALSE)</f>
        <v>4</v>
      </c>
      <c r="Q657" s="97" t="str">
        <f>VLOOKUP(Table323[[#This Row],[Census Tract]],'ES Energy Burden'!$B$2:$E$914,4,FALSE)</f>
        <v>No</v>
      </c>
    </row>
    <row r="658" spans="1:17" x14ac:dyDescent="0.2">
      <c r="A658" s="30" t="s">
        <v>988</v>
      </c>
      <c r="B658" s="169">
        <v>9001021300</v>
      </c>
      <c r="C658" s="232" t="s">
        <v>944</v>
      </c>
      <c r="D658" s="182">
        <v>42841.815029999998</v>
      </c>
      <c r="E658" s="182">
        <v>41538.239999999998</v>
      </c>
      <c r="F658" s="13">
        <f>[1]!Table323[[#This Row],[Single Family]]+[1]!Table323[[#This Row],[2-4 Units]]+[1]!Table323[[#This Row],[&gt;4 Units]]</f>
        <v>1</v>
      </c>
      <c r="G658" s="30">
        <v>1</v>
      </c>
      <c r="H658" s="30">
        <v>0</v>
      </c>
      <c r="I658" s="30">
        <v>0</v>
      </c>
      <c r="J658" s="231">
        <v>15893.47</v>
      </c>
      <c r="K658">
        <f t="shared" si="10"/>
        <v>7</v>
      </c>
      <c r="L658" s="30">
        <v>1</v>
      </c>
      <c r="M658" s="30">
        <v>6</v>
      </c>
      <c r="N658" s="30">
        <v>0</v>
      </c>
      <c r="O658" s="231">
        <v>11598.88</v>
      </c>
      <c r="P658" s="97">
        <f>VLOOKUP(Table323[[#This Row],[Census Tract]],'Population and Diversity Data'!$B$2:$K$823,10,FALSE)</f>
        <v>4</v>
      </c>
      <c r="Q658" s="97" t="str">
        <f>VLOOKUP(Table323[[#This Row],[Census Tract]],'ES Energy Burden'!$B$2:$E$914,4,FALSE)</f>
        <v>No</v>
      </c>
    </row>
    <row r="659" spans="1:17" x14ac:dyDescent="0.2">
      <c r="A659" s="30" t="s">
        <v>988</v>
      </c>
      <c r="B659" s="169">
        <v>9001021400</v>
      </c>
      <c r="C659" s="232" t="s">
        <v>944</v>
      </c>
      <c r="D659" s="182">
        <v>822269.718291</v>
      </c>
      <c r="E659" s="182">
        <v>962595.1825</v>
      </c>
      <c r="F659" s="13">
        <f>[1]!Table323[[#This Row],[Single Family]]+[1]!Table323[[#This Row],[2-4 Units]]+[1]!Table323[[#This Row],[&gt;4 Units]]</f>
        <v>0</v>
      </c>
      <c r="G659" s="30">
        <v>0</v>
      </c>
      <c r="H659" s="30">
        <v>0</v>
      </c>
      <c r="I659" s="30">
        <v>0</v>
      </c>
      <c r="J659" s="231">
        <v>0</v>
      </c>
      <c r="K659">
        <f t="shared" si="10"/>
        <v>4</v>
      </c>
      <c r="L659" s="30">
        <v>2</v>
      </c>
      <c r="M659" s="30">
        <v>2</v>
      </c>
      <c r="N659" s="30">
        <v>0</v>
      </c>
      <c r="O659" s="231">
        <v>5498.35</v>
      </c>
      <c r="P659" s="97">
        <f>VLOOKUP(Table323[[#This Row],[Census Tract]],'Population and Diversity Data'!$B$2:$K$823,10,FALSE)</f>
        <v>4</v>
      </c>
      <c r="Q659" s="97" t="str">
        <f>VLOOKUP(Table323[[#This Row],[Census Tract]],'ES Energy Burden'!$B$2:$E$914,4,FALSE)</f>
        <v>No</v>
      </c>
    </row>
    <row r="660" spans="1:17" x14ac:dyDescent="0.2">
      <c r="A660" s="30" t="s">
        <v>988</v>
      </c>
      <c r="B660" s="169">
        <v>9001021500</v>
      </c>
      <c r="C660" s="232" t="s">
        <v>944</v>
      </c>
      <c r="D660" s="182">
        <v>40504.845612000005</v>
      </c>
      <c r="E660" s="182">
        <v>2054.09</v>
      </c>
      <c r="F660" s="13">
        <f>[1]!Table323[[#This Row],[Single Family]]+[1]!Table323[[#This Row],[2-4 Units]]+[1]!Table323[[#This Row],[&gt;4 Units]]</f>
        <v>0</v>
      </c>
      <c r="G660" s="30">
        <v>0</v>
      </c>
      <c r="H660" s="30">
        <v>0</v>
      </c>
      <c r="I660" s="30">
        <v>0</v>
      </c>
      <c r="J660" s="231">
        <v>19.77</v>
      </c>
      <c r="K660">
        <f t="shared" si="10"/>
        <v>2</v>
      </c>
      <c r="L660" s="30">
        <v>0</v>
      </c>
      <c r="M660" s="30">
        <v>2</v>
      </c>
      <c r="N660" s="30">
        <v>0</v>
      </c>
      <c r="O660" s="231">
        <v>621.65</v>
      </c>
      <c r="P660" s="97">
        <f>VLOOKUP(Table323[[#This Row],[Census Tract]],'Population and Diversity Data'!$B$2:$K$823,10,FALSE)</f>
        <v>5</v>
      </c>
      <c r="Q660" s="97" t="str">
        <f>VLOOKUP(Table323[[#This Row],[Census Tract]],'ES Energy Burden'!$B$2:$E$914,4,FALSE)</f>
        <v>No</v>
      </c>
    </row>
    <row r="661" spans="1:17" x14ac:dyDescent="0.2">
      <c r="A661" s="30" t="s">
        <v>988</v>
      </c>
      <c r="B661" s="169">
        <v>9001021600</v>
      </c>
      <c r="C661" s="232" t="s">
        <v>944</v>
      </c>
      <c r="D661" s="182">
        <v>53767.613129999998</v>
      </c>
      <c r="E661" s="182">
        <v>9208.34</v>
      </c>
      <c r="F661" s="13">
        <f>[1]!Table323[[#This Row],[Single Family]]+[1]!Table323[[#This Row],[2-4 Units]]+[1]!Table323[[#This Row],[&gt;4 Units]]</f>
        <v>2</v>
      </c>
      <c r="G661" s="30">
        <v>2</v>
      </c>
      <c r="H661" s="30">
        <v>0</v>
      </c>
      <c r="I661" s="30">
        <v>0</v>
      </c>
      <c r="J661" s="231">
        <v>152.5</v>
      </c>
      <c r="K661">
        <f t="shared" si="10"/>
        <v>2</v>
      </c>
      <c r="L661" s="30">
        <v>1</v>
      </c>
      <c r="M661" s="30">
        <v>1</v>
      </c>
      <c r="N661" s="30">
        <v>0</v>
      </c>
      <c r="O661" s="231">
        <v>447.17</v>
      </c>
      <c r="P661" s="97">
        <f>VLOOKUP(Table323[[#This Row],[Census Tract]],'Population and Diversity Data'!$B$2:$K$823,10,FALSE)</f>
        <v>5</v>
      </c>
      <c r="Q661" s="97" t="str">
        <f>VLOOKUP(Table323[[#This Row],[Census Tract]],'ES Energy Burden'!$B$2:$E$914,4,FALSE)</f>
        <v>No</v>
      </c>
    </row>
    <row r="662" spans="1:17" x14ac:dyDescent="0.2">
      <c r="A662" s="30" t="s">
        <v>988</v>
      </c>
      <c r="B662" s="169">
        <v>9001021700</v>
      </c>
      <c r="C662" s="232" t="s">
        <v>944</v>
      </c>
      <c r="D662" s="182">
        <v>53211.921147000001</v>
      </c>
      <c r="E662" s="182">
        <v>14602.3</v>
      </c>
      <c r="F662" s="13">
        <f>[1]!Table323[[#This Row],[Single Family]]+[1]!Table323[[#This Row],[2-4 Units]]+[1]!Table323[[#This Row],[&gt;4 Units]]</f>
        <v>507</v>
      </c>
      <c r="G662" s="30">
        <v>0</v>
      </c>
      <c r="H662" s="30">
        <v>0</v>
      </c>
      <c r="I662" s="30">
        <v>507</v>
      </c>
      <c r="J662" s="231">
        <v>8907.4599999999991</v>
      </c>
      <c r="K662">
        <f t="shared" si="10"/>
        <v>551</v>
      </c>
      <c r="L662" s="30">
        <v>1</v>
      </c>
      <c r="M662" s="30">
        <v>1</v>
      </c>
      <c r="N662" s="30">
        <v>549</v>
      </c>
      <c r="O662" s="231">
        <v>1518.27</v>
      </c>
      <c r="P662" s="97">
        <f>VLOOKUP(Table323[[#This Row],[Census Tract]],'Population and Diversity Data'!$B$2:$K$823,10,FALSE)</f>
        <v>5</v>
      </c>
      <c r="Q662" s="97" t="str">
        <f>VLOOKUP(Table323[[#This Row],[Census Tract]],'ES Energy Burden'!$B$2:$E$914,4,FALSE)</f>
        <v>No</v>
      </c>
    </row>
    <row r="663" spans="1:17" x14ac:dyDescent="0.2">
      <c r="A663" s="30" t="s">
        <v>988</v>
      </c>
      <c r="B663" s="169">
        <v>9001021801</v>
      </c>
      <c r="C663" s="232" t="s">
        <v>944</v>
      </c>
      <c r="D663" s="182">
        <v>36227.888339999998</v>
      </c>
      <c r="E663" s="182">
        <v>14887.2</v>
      </c>
      <c r="F663" s="13">
        <f>[1]!Table323[[#This Row],[Single Family]]+[1]!Table323[[#This Row],[2-4 Units]]+[1]!Table323[[#This Row],[&gt;4 Units]]</f>
        <v>1</v>
      </c>
      <c r="G663" s="30">
        <v>1</v>
      </c>
      <c r="H663" s="30">
        <v>0</v>
      </c>
      <c r="I663" s="30">
        <v>0</v>
      </c>
      <c r="J663" s="231">
        <v>3791.89</v>
      </c>
      <c r="K663">
        <f t="shared" si="10"/>
        <v>1</v>
      </c>
      <c r="L663" s="30">
        <v>1</v>
      </c>
      <c r="M663" s="30">
        <v>0</v>
      </c>
      <c r="N663" s="30">
        <v>0</v>
      </c>
      <c r="O663" s="231">
        <v>581.91999999999996</v>
      </c>
      <c r="P663" s="97">
        <f>VLOOKUP(Table323[[#This Row],[Census Tract]],'Population and Diversity Data'!$B$2:$K$823,10,FALSE)</f>
        <v>5</v>
      </c>
      <c r="Q663" s="97" t="str">
        <f>VLOOKUP(Table323[[#This Row],[Census Tract]],'ES Energy Burden'!$B$2:$E$914,4,FALSE)</f>
        <v>No</v>
      </c>
    </row>
    <row r="664" spans="1:17" x14ac:dyDescent="0.2">
      <c r="A664" s="30" t="s">
        <v>988</v>
      </c>
      <c r="B664" s="169">
        <v>9001021802</v>
      </c>
      <c r="C664" s="232" t="s">
        <v>944</v>
      </c>
      <c r="D664" s="182">
        <v>43858.587507000004</v>
      </c>
      <c r="E664" s="182">
        <v>11169.85</v>
      </c>
      <c r="F664" s="13">
        <f>[1]!Table323[[#This Row],[Single Family]]+[1]!Table323[[#This Row],[2-4 Units]]+[1]!Table323[[#This Row],[&gt;4 Units]]</f>
        <v>0</v>
      </c>
      <c r="G664" s="30">
        <v>0</v>
      </c>
      <c r="H664" s="30">
        <v>0</v>
      </c>
      <c r="I664" s="30">
        <v>0</v>
      </c>
      <c r="J664" s="231">
        <v>327.5</v>
      </c>
      <c r="K664">
        <f t="shared" si="10"/>
        <v>3</v>
      </c>
      <c r="L664" s="30">
        <v>2</v>
      </c>
      <c r="M664" s="30">
        <v>1</v>
      </c>
      <c r="N664" s="30">
        <v>0</v>
      </c>
      <c r="O664" s="231">
        <v>6065.62</v>
      </c>
      <c r="P664" s="97">
        <f>VLOOKUP(Table323[[#This Row],[Census Tract]],'Population and Diversity Data'!$B$2:$K$823,10,FALSE)</f>
        <v>5</v>
      </c>
      <c r="Q664" s="97" t="str">
        <f>VLOOKUP(Table323[[#This Row],[Census Tract]],'ES Energy Burden'!$B$2:$E$914,4,FALSE)</f>
        <v>No</v>
      </c>
    </row>
    <row r="665" spans="1:17" x14ac:dyDescent="0.2">
      <c r="A665" s="30" t="s">
        <v>988</v>
      </c>
      <c r="B665" s="169">
        <v>9001021900</v>
      </c>
      <c r="C665" s="232" t="s">
        <v>944</v>
      </c>
      <c r="D665" s="182">
        <v>64076.867042999998</v>
      </c>
      <c r="E665" s="182">
        <v>8116.83</v>
      </c>
      <c r="F665" s="13">
        <f>[1]!Table323[[#This Row],[Single Family]]+[1]!Table323[[#This Row],[2-4 Units]]+[1]!Table323[[#This Row],[&gt;4 Units]]</f>
        <v>0</v>
      </c>
      <c r="G665" s="30">
        <v>0</v>
      </c>
      <c r="H665" s="30">
        <v>0</v>
      </c>
      <c r="I665" s="30">
        <v>0</v>
      </c>
      <c r="J665" s="231">
        <v>158.75</v>
      </c>
      <c r="K665">
        <f t="shared" si="10"/>
        <v>1</v>
      </c>
      <c r="L665" s="30">
        <v>1</v>
      </c>
      <c r="M665" s="30">
        <v>0</v>
      </c>
      <c r="N665" s="30">
        <v>0</v>
      </c>
      <c r="O665" s="231">
        <v>533.34</v>
      </c>
      <c r="P665" s="97">
        <f>VLOOKUP(Table323[[#This Row],[Census Tract]],'Population and Diversity Data'!$B$2:$K$823,10,FALSE)</f>
        <v>4</v>
      </c>
      <c r="Q665" s="97" t="str">
        <f>VLOOKUP(Table323[[#This Row],[Census Tract]],'ES Energy Burden'!$B$2:$E$914,4,FALSE)</f>
        <v>No</v>
      </c>
    </row>
    <row r="666" spans="1:17" x14ac:dyDescent="0.2">
      <c r="A666" s="30" t="s">
        <v>988</v>
      </c>
      <c r="B666" s="169">
        <v>9001022000</v>
      </c>
      <c r="C666" s="232" t="s">
        <v>944</v>
      </c>
      <c r="D666" s="182">
        <v>20920.572162</v>
      </c>
      <c r="E666" s="182">
        <v>405.38</v>
      </c>
      <c r="F666" s="13">
        <f>[1]!Table323[[#This Row],[Single Family]]+[1]!Table323[[#This Row],[2-4 Units]]+[1]!Table323[[#This Row],[&gt;4 Units]]</f>
        <v>1</v>
      </c>
      <c r="G666" s="30">
        <v>1</v>
      </c>
      <c r="H666" s="30">
        <v>0</v>
      </c>
      <c r="I666" s="30">
        <v>0</v>
      </c>
      <c r="J666" s="231">
        <v>164.3</v>
      </c>
      <c r="K666">
        <f t="shared" si="10"/>
        <v>0</v>
      </c>
      <c r="L666" s="30">
        <v>0</v>
      </c>
      <c r="M666" s="30">
        <v>0</v>
      </c>
      <c r="N666" s="30">
        <v>0</v>
      </c>
      <c r="O666" s="231">
        <v>0</v>
      </c>
      <c r="P666" s="97">
        <f>VLOOKUP(Table323[[#This Row],[Census Tract]],'Population and Diversity Data'!$B$2:$K$823,10,FALSE)</f>
        <v>4</v>
      </c>
      <c r="Q666" s="97" t="str">
        <f>VLOOKUP(Table323[[#This Row],[Census Tract]],'ES Energy Burden'!$B$2:$E$914,4,FALSE)</f>
        <v>No</v>
      </c>
    </row>
    <row r="667" spans="1:17" x14ac:dyDescent="0.2">
      <c r="A667" s="30" t="s">
        <v>988</v>
      </c>
      <c r="B667" s="169">
        <v>9001022100</v>
      </c>
      <c r="C667" s="232" t="s">
        <v>944</v>
      </c>
      <c r="D667" s="182">
        <v>52368.806006999999</v>
      </c>
      <c r="E667" s="182">
        <v>3743.21</v>
      </c>
      <c r="F667" s="13">
        <f>[1]!Table323[[#This Row],[Single Family]]+[1]!Table323[[#This Row],[2-4 Units]]+[1]!Table323[[#This Row],[&gt;4 Units]]</f>
        <v>0</v>
      </c>
      <c r="G667" s="30">
        <v>0</v>
      </c>
      <c r="H667" s="30">
        <v>0</v>
      </c>
      <c r="I667" s="30">
        <v>0</v>
      </c>
      <c r="J667" s="231">
        <v>456.19</v>
      </c>
      <c r="K667">
        <f t="shared" si="10"/>
        <v>2</v>
      </c>
      <c r="L667" s="30">
        <v>1</v>
      </c>
      <c r="M667" s="30">
        <v>1</v>
      </c>
      <c r="N667" s="30">
        <v>0</v>
      </c>
      <c r="O667" s="231">
        <v>1355.06</v>
      </c>
      <c r="P667" s="97">
        <f>VLOOKUP(Table323[[#This Row],[Census Tract]],'Population and Diversity Data'!$B$2:$K$823,10,FALSE)</f>
        <v>5</v>
      </c>
      <c r="Q667" s="97" t="str">
        <f>VLOOKUP(Table323[[#This Row],[Census Tract]],'ES Energy Burden'!$B$2:$E$914,4,FALSE)</f>
        <v>No</v>
      </c>
    </row>
    <row r="668" spans="1:17" x14ac:dyDescent="0.2">
      <c r="A668" s="30" t="s">
        <v>988</v>
      </c>
      <c r="B668" s="169">
        <v>9001022200</v>
      </c>
      <c r="C668" s="232" t="s">
        <v>944</v>
      </c>
      <c r="D668" s="182">
        <v>39090.204299999998</v>
      </c>
      <c r="E668" s="182">
        <v>70</v>
      </c>
      <c r="F668" s="13">
        <f>[1]!Table323[[#This Row],[Single Family]]+[1]!Table323[[#This Row],[2-4 Units]]+[1]!Table323[[#This Row],[&gt;4 Units]]</f>
        <v>0</v>
      </c>
      <c r="G668" s="30">
        <v>0</v>
      </c>
      <c r="H668" s="30">
        <v>0</v>
      </c>
      <c r="I668" s="30">
        <v>0</v>
      </c>
      <c r="J668" s="231">
        <v>0</v>
      </c>
      <c r="K668">
        <f t="shared" si="10"/>
        <v>0</v>
      </c>
      <c r="L668" s="30">
        <v>0</v>
      </c>
      <c r="M668" s="30">
        <v>0</v>
      </c>
      <c r="N668" s="30">
        <v>0</v>
      </c>
      <c r="O668" s="231">
        <v>0</v>
      </c>
      <c r="P668" s="97">
        <f>VLOOKUP(Table323[[#This Row],[Census Tract]],'Population and Diversity Data'!$B$2:$K$823,10,FALSE)</f>
        <v>5</v>
      </c>
      <c r="Q668" s="97" t="str">
        <f>VLOOKUP(Table323[[#This Row],[Census Tract]],'ES Energy Burden'!$B$2:$E$914,4,FALSE)</f>
        <v>No</v>
      </c>
    </row>
    <row r="669" spans="1:17" x14ac:dyDescent="0.2">
      <c r="A669" s="30" t="s">
        <v>988</v>
      </c>
      <c r="B669" s="169">
        <v>9001022300</v>
      </c>
      <c r="C669" s="232" t="s">
        <v>944</v>
      </c>
      <c r="D669" s="182">
        <v>45628.350705000004</v>
      </c>
      <c r="E669" s="182">
        <v>7588.75</v>
      </c>
      <c r="F669" s="13">
        <f>[1]!Table323[[#This Row],[Single Family]]+[1]!Table323[[#This Row],[2-4 Units]]+[1]!Table323[[#This Row],[&gt;4 Units]]</f>
        <v>1</v>
      </c>
      <c r="G669" s="30">
        <v>1</v>
      </c>
      <c r="H669" s="30">
        <v>0</v>
      </c>
      <c r="I669" s="30">
        <v>0</v>
      </c>
      <c r="J669" s="231">
        <v>1564.98</v>
      </c>
      <c r="K669">
        <f t="shared" si="10"/>
        <v>0</v>
      </c>
      <c r="L669" s="30">
        <v>0</v>
      </c>
      <c r="M669" s="30">
        <v>0</v>
      </c>
      <c r="N669" s="30">
        <v>0</v>
      </c>
      <c r="O669" s="231">
        <v>0</v>
      </c>
      <c r="P669" s="97">
        <f>VLOOKUP(Table323[[#This Row],[Census Tract]],'Population and Diversity Data'!$B$2:$K$823,10,FALSE)</f>
        <v>5</v>
      </c>
      <c r="Q669" s="97" t="str">
        <f>VLOOKUP(Table323[[#This Row],[Census Tract]],'ES Energy Burden'!$B$2:$E$914,4,FALSE)</f>
        <v>No</v>
      </c>
    </row>
    <row r="670" spans="1:17" x14ac:dyDescent="0.2">
      <c r="A670" s="30" t="s">
        <v>988</v>
      </c>
      <c r="B670" s="169">
        <v>9001022400</v>
      </c>
      <c r="C670" s="232" t="s">
        <v>944</v>
      </c>
      <c r="D670" s="182">
        <v>38408.729939999997</v>
      </c>
      <c r="E670" s="182">
        <v>17249.05</v>
      </c>
      <c r="F670" s="13">
        <f>[1]!Table323[[#This Row],[Single Family]]+[1]!Table323[[#This Row],[2-4 Units]]+[1]!Table323[[#This Row],[&gt;4 Units]]</f>
        <v>1</v>
      </c>
      <c r="G670" s="30">
        <v>1</v>
      </c>
      <c r="H670" s="30">
        <v>0</v>
      </c>
      <c r="I670" s="30">
        <v>0</v>
      </c>
      <c r="J670" s="231">
        <v>4864.78</v>
      </c>
      <c r="K670">
        <f t="shared" si="10"/>
        <v>0</v>
      </c>
      <c r="L670" s="30">
        <v>0</v>
      </c>
      <c r="M670" s="30">
        <v>0</v>
      </c>
      <c r="N670" s="30">
        <v>0</v>
      </c>
      <c r="O670" s="231">
        <v>0</v>
      </c>
      <c r="P670" s="97">
        <f>VLOOKUP(Table323[[#This Row],[Census Tract]],'Population and Diversity Data'!$B$2:$K$823,10,FALSE)</f>
        <v>2</v>
      </c>
      <c r="Q670" s="97" t="str">
        <f>VLOOKUP(Table323[[#This Row],[Census Tract]],'ES Energy Burden'!$B$2:$E$914,4,FALSE)</f>
        <v>No</v>
      </c>
    </row>
    <row r="671" spans="1:17" x14ac:dyDescent="0.2">
      <c r="A671" s="30" t="s">
        <v>2846</v>
      </c>
      <c r="B671" s="169">
        <v>9015907200</v>
      </c>
      <c r="C671" s="232" t="s">
        <v>944</v>
      </c>
      <c r="D671" s="182">
        <v>189.88661999999999</v>
      </c>
      <c r="E671" s="182">
        <v>850</v>
      </c>
      <c r="F671" s="13">
        <f>[1]!Table323[[#This Row],[Single Family]]+[1]!Table323[[#This Row],[2-4 Units]]+[1]!Table323[[#This Row],[&gt;4 Units]]</f>
        <v>0</v>
      </c>
      <c r="G671" s="30">
        <v>0</v>
      </c>
      <c r="H671" s="30">
        <v>0</v>
      </c>
      <c r="I671" s="30">
        <v>0</v>
      </c>
      <c r="J671" s="231">
        <v>0</v>
      </c>
      <c r="K671">
        <f t="shared" si="10"/>
        <v>0</v>
      </c>
      <c r="L671" s="30">
        <v>0</v>
      </c>
      <c r="M671" s="30">
        <v>0</v>
      </c>
      <c r="N671" s="30">
        <v>0</v>
      </c>
      <c r="O671" s="231">
        <v>0</v>
      </c>
      <c r="P671" s="97">
        <f>VLOOKUP(Table323[[#This Row],[Census Tract]],'Population and Diversity Data'!$B$2:$K$823,10,FALSE)</f>
        <v>3</v>
      </c>
      <c r="Q671" s="97" t="str">
        <f>VLOOKUP(Table323[[#This Row],[Census Tract]],'ES Energy Burden'!$B$2:$E$914,4,FALSE)</f>
        <v>No</v>
      </c>
    </row>
    <row r="672" spans="1:17" x14ac:dyDescent="0.2">
      <c r="A672" s="30" t="s">
        <v>2846</v>
      </c>
      <c r="B672" s="169">
        <v>9015908100</v>
      </c>
      <c r="C672" s="232" t="s">
        <v>944</v>
      </c>
      <c r="D672" s="182">
        <v>64346.015412000001</v>
      </c>
      <c r="E672" s="182">
        <v>41347.040000000001</v>
      </c>
      <c r="F672" s="13">
        <f>[1]!Table323[[#This Row],[Single Family]]+[1]!Table323[[#This Row],[2-4 Units]]+[1]!Table323[[#This Row],[&gt;4 Units]]</f>
        <v>13</v>
      </c>
      <c r="G672" s="30">
        <v>13</v>
      </c>
      <c r="H672" s="30">
        <v>0</v>
      </c>
      <c r="I672" s="30">
        <v>0</v>
      </c>
      <c r="J672" s="231">
        <v>18075.25</v>
      </c>
      <c r="K672">
        <f t="shared" si="10"/>
        <v>8</v>
      </c>
      <c r="L672" s="30">
        <v>5</v>
      </c>
      <c r="M672" s="30">
        <v>3</v>
      </c>
      <c r="N672" s="30">
        <v>0</v>
      </c>
      <c r="O672" s="231">
        <v>11138.13</v>
      </c>
      <c r="P672" s="97" t="e">
        <f>VLOOKUP(Table323[[#This Row],[Census Tract]],'Population and Diversity Data'!$B$2:$K$823,10,FALSE)</f>
        <v>#N/A</v>
      </c>
      <c r="Q672" s="97" t="e">
        <f>VLOOKUP(Table323[[#This Row],[Census Tract]],'ES Energy Burden'!$B$2:$E$914,4,FALSE)</f>
        <v>#N/A</v>
      </c>
    </row>
    <row r="673" spans="1:17" x14ac:dyDescent="0.2">
      <c r="A673" s="30" t="s">
        <v>2847</v>
      </c>
      <c r="B673" s="169">
        <v>9011702100</v>
      </c>
      <c r="C673" s="232" t="s">
        <v>944</v>
      </c>
      <c r="D673" s="182">
        <v>40.494720000000001</v>
      </c>
      <c r="E673" s="182">
        <v>123169.66</v>
      </c>
      <c r="F673" s="13">
        <f>[1]!Table323[[#This Row],[Single Family]]+[1]!Table323[[#This Row],[2-4 Units]]+[1]!Table323[[#This Row],[&gt;4 Units]]</f>
        <v>1</v>
      </c>
      <c r="G673" s="30">
        <v>1</v>
      </c>
      <c r="H673" s="30">
        <v>0</v>
      </c>
      <c r="I673" s="30">
        <v>0</v>
      </c>
      <c r="J673" s="231">
        <v>4507.78</v>
      </c>
      <c r="K673">
        <f t="shared" si="10"/>
        <v>2</v>
      </c>
      <c r="L673" s="30">
        <v>2</v>
      </c>
      <c r="M673" s="30">
        <v>0</v>
      </c>
      <c r="N673" s="30">
        <v>0</v>
      </c>
      <c r="O673" s="231">
        <v>7657.46</v>
      </c>
      <c r="P673" s="97">
        <f>VLOOKUP(Table323[[#This Row],[Census Tract]],'Population and Diversity Data'!$B$2:$K$823,10,FALSE)</f>
        <v>4</v>
      </c>
      <c r="Q673" s="97" t="str">
        <f>VLOOKUP(Table323[[#This Row],[Census Tract]],'ES Energy Burden'!$B$2:$E$914,4,FALSE)</f>
        <v>No</v>
      </c>
    </row>
    <row r="674" spans="1:17" x14ac:dyDescent="0.2">
      <c r="A674" s="30" t="s">
        <v>2847</v>
      </c>
      <c r="B674" s="169">
        <v>9011702800</v>
      </c>
      <c r="C674" s="232" t="s">
        <v>944</v>
      </c>
      <c r="D674" s="182">
        <v>85225.010934000005</v>
      </c>
      <c r="E674" s="182">
        <v>182853.13750000001</v>
      </c>
      <c r="F674" s="13">
        <f>[1]!Table323[[#This Row],[Single Family]]+[1]!Table323[[#This Row],[2-4 Units]]+[1]!Table323[[#This Row],[&gt;4 Units]]</f>
        <v>0</v>
      </c>
      <c r="G674" s="30">
        <v>0</v>
      </c>
      <c r="H674" s="30">
        <v>0</v>
      </c>
      <c r="I674" s="30">
        <v>0</v>
      </c>
      <c r="J674" s="231">
        <v>7373.4</v>
      </c>
      <c r="K674">
        <f t="shared" si="10"/>
        <v>0</v>
      </c>
      <c r="L674" s="30">
        <v>0</v>
      </c>
      <c r="M674" s="30">
        <v>0</v>
      </c>
      <c r="N674" s="30">
        <v>0</v>
      </c>
      <c r="O674" s="231">
        <v>0</v>
      </c>
      <c r="P674" s="97">
        <f>VLOOKUP(Table323[[#This Row],[Census Tract]],'Population and Diversity Data'!$B$2:$K$823,10,FALSE)</f>
        <v>5</v>
      </c>
      <c r="Q674" s="97" t="str">
        <f>VLOOKUP(Table323[[#This Row],[Census Tract]],'ES Energy Burden'!$B$2:$E$914,4,FALSE)</f>
        <v>No</v>
      </c>
    </row>
    <row r="675" spans="1:17" x14ac:dyDescent="0.2">
      <c r="A675" s="30" t="s">
        <v>2847</v>
      </c>
      <c r="B675" s="169">
        <v>9011703000</v>
      </c>
      <c r="C675" s="232" t="s">
        <v>944</v>
      </c>
      <c r="D675" s="182">
        <v>427.87038000000001</v>
      </c>
      <c r="E675" s="182">
        <v>0</v>
      </c>
      <c r="F675" s="13">
        <f>[1]!Table323[[#This Row],[Single Family]]+[1]!Table323[[#This Row],[2-4 Units]]+[1]!Table323[[#This Row],[&gt;4 Units]]</f>
        <v>0</v>
      </c>
      <c r="G675" s="30">
        <v>0</v>
      </c>
      <c r="H675" s="30">
        <v>0</v>
      </c>
      <c r="I675" s="30">
        <v>0</v>
      </c>
      <c r="J675" s="231">
        <v>2092.3000000000002</v>
      </c>
      <c r="K675">
        <f t="shared" si="10"/>
        <v>0</v>
      </c>
      <c r="L675" s="30">
        <v>0</v>
      </c>
      <c r="M675" s="30">
        <v>0</v>
      </c>
      <c r="N675" s="30">
        <v>0</v>
      </c>
      <c r="O675" s="231">
        <v>0</v>
      </c>
      <c r="P675" s="97">
        <f>VLOOKUP(Table323[[#This Row],[Census Tract]],'Population and Diversity Data'!$B$2:$K$823,10,FALSE)</f>
        <v>2</v>
      </c>
      <c r="Q675" s="97" t="str">
        <f>VLOOKUP(Table323[[#This Row],[Census Tract]],'ES Energy Burden'!$B$2:$E$914,4,FALSE)</f>
        <v>No</v>
      </c>
    </row>
    <row r="676" spans="1:17" x14ac:dyDescent="0.2">
      <c r="A676" s="30" t="s">
        <v>2847</v>
      </c>
      <c r="B676" s="169">
        <v>9011705101</v>
      </c>
      <c r="C676" s="232" t="s">
        <v>944</v>
      </c>
      <c r="D676" s="182">
        <v>47347.379099999998</v>
      </c>
      <c r="E676" s="182">
        <v>23702.744999999999</v>
      </c>
      <c r="F676" s="13">
        <f>[1]!Table323[[#This Row],[Single Family]]+[1]!Table323[[#This Row],[2-4 Units]]+[1]!Table323[[#This Row],[&gt;4 Units]]</f>
        <v>1</v>
      </c>
      <c r="G676" s="30">
        <v>1</v>
      </c>
      <c r="H676" s="30">
        <v>0</v>
      </c>
      <c r="I676" s="30">
        <v>0</v>
      </c>
      <c r="J676" s="231">
        <v>6303.3</v>
      </c>
      <c r="K676">
        <f t="shared" si="10"/>
        <v>0</v>
      </c>
      <c r="L676" s="30">
        <v>0</v>
      </c>
      <c r="M676" s="30">
        <v>0</v>
      </c>
      <c r="N676" s="30">
        <v>0</v>
      </c>
      <c r="O676" s="231">
        <v>0</v>
      </c>
      <c r="P676" s="97">
        <f>VLOOKUP(Table323[[#This Row],[Census Tract]],'Population and Diversity Data'!$B$2:$K$823,10,FALSE)</f>
        <v>1</v>
      </c>
      <c r="Q676" s="97" t="str">
        <f>VLOOKUP(Table323[[#This Row],[Census Tract]],'ES Energy Burden'!$B$2:$E$914,4,FALSE)</f>
        <v>No</v>
      </c>
    </row>
    <row r="677" spans="1:17" x14ac:dyDescent="0.2">
      <c r="A677" s="30" t="s">
        <v>2847</v>
      </c>
      <c r="B677" s="169">
        <v>9011705102</v>
      </c>
      <c r="C677" s="232" t="s">
        <v>944</v>
      </c>
      <c r="D677" s="182">
        <v>40340.074026000002</v>
      </c>
      <c r="E677" s="182">
        <v>35105.31</v>
      </c>
      <c r="F677" s="13">
        <f>[1]!Table323[[#This Row],[Single Family]]+[1]!Table323[[#This Row],[2-4 Units]]+[1]!Table323[[#This Row],[&gt;4 Units]]</f>
        <v>204</v>
      </c>
      <c r="G677" s="30">
        <v>191</v>
      </c>
      <c r="H677" s="30">
        <v>13</v>
      </c>
      <c r="I677" s="30">
        <v>0</v>
      </c>
      <c r="J677" s="231">
        <v>283789.02</v>
      </c>
      <c r="K677">
        <f t="shared" si="10"/>
        <v>17</v>
      </c>
      <c r="L677" s="30">
        <v>16</v>
      </c>
      <c r="M677" s="30">
        <v>1</v>
      </c>
      <c r="N677" s="30">
        <v>0</v>
      </c>
      <c r="O677" s="231">
        <v>214179.74</v>
      </c>
      <c r="P677" s="97">
        <f>VLOOKUP(Table323[[#This Row],[Census Tract]],'Population and Diversity Data'!$B$2:$K$823,10,FALSE)</f>
        <v>4</v>
      </c>
      <c r="Q677" s="97" t="str">
        <f>VLOOKUP(Table323[[#This Row],[Census Tract]],'ES Energy Burden'!$B$2:$E$914,4,FALSE)</f>
        <v>No</v>
      </c>
    </row>
    <row r="678" spans="1:17" x14ac:dyDescent="0.2">
      <c r="A678" s="30" t="s">
        <v>2847</v>
      </c>
      <c r="B678" s="169">
        <v>9011705200</v>
      </c>
      <c r="C678" s="232" t="s">
        <v>944</v>
      </c>
      <c r="D678" s="182">
        <v>59627.732829000008</v>
      </c>
      <c r="E678" s="182">
        <v>43198.025000000001</v>
      </c>
      <c r="F678" s="13">
        <f>[1]!Table323[[#This Row],[Single Family]]+[1]!Table323[[#This Row],[2-4 Units]]+[1]!Table323[[#This Row],[&gt;4 Units]]</f>
        <v>0</v>
      </c>
      <c r="G678" s="30">
        <v>0</v>
      </c>
      <c r="H678" s="30">
        <v>0</v>
      </c>
      <c r="I678" s="30">
        <v>0</v>
      </c>
      <c r="J678" s="231">
        <v>8302.9</v>
      </c>
      <c r="K678">
        <f t="shared" si="10"/>
        <v>2</v>
      </c>
      <c r="L678" s="30">
        <v>2</v>
      </c>
      <c r="M678" s="30">
        <v>0</v>
      </c>
      <c r="N678" s="30">
        <v>0</v>
      </c>
      <c r="O678" s="231">
        <v>10077.24</v>
      </c>
      <c r="P678" s="97">
        <f>VLOOKUP(Table323[[#This Row],[Census Tract]],'Population and Diversity Data'!$B$2:$K$823,10,FALSE)</f>
        <v>2</v>
      </c>
      <c r="Q678" s="97" t="str">
        <f>VLOOKUP(Table323[[#This Row],[Census Tract]],'ES Energy Burden'!$B$2:$E$914,4,FALSE)</f>
        <v>No</v>
      </c>
    </row>
    <row r="679" spans="1:17" x14ac:dyDescent="0.2">
      <c r="A679" s="30" t="s">
        <v>2847</v>
      </c>
      <c r="B679" s="169">
        <v>9011705300</v>
      </c>
      <c r="C679" s="232" t="s">
        <v>944</v>
      </c>
      <c r="D679" s="182">
        <v>6979.192059</v>
      </c>
      <c r="E679" s="182">
        <v>1213.375</v>
      </c>
      <c r="F679" s="13">
        <f>[1]!Table323[[#This Row],[Single Family]]+[1]!Table323[[#This Row],[2-4 Units]]+[1]!Table323[[#This Row],[&gt;4 Units]]</f>
        <v>0</v>
      </c>
      <c r="G679" s="30">
        <v>0</v>
      </c>
      <c r="H679" s="30">
        <v>0</v>
      </c>
      <c r="I679" s="30">
        <v>0</v>
      </c>
      <c r="J679" s="231">
        <v>16350.04</v>
      </c>
      <c r="K679">
        <f t="shared" si="10"/>
        <v>36</v>
      </c>
      <c r="L679" s="30">
        <v>2</v>
      </c>
      <c r="M679" s="30">
        <v>1</v>
      </c>
      <c r="N679" s="30">
        <v>33</v>
      </c>
      <c r="O679" s="231">
        <v>2944.8</v>
      </c>
      <c r="P679" s="97">
        <f>VLOOKUP(Table323[[#This Row],[Census Tract]],'Population and Diversity Data'!$B$2:$K$823,10,FALSE)</f>
        <v>3</v>
      </c>
      <c r="Q679" s="97" t="str">
        <f>VLOOKUP(Table323[[#This Row],[Census Tract]],'ES Energy Burden'!$B$2:$E$914,4,FALSE)</f>
        <v>No</v>
      </c>
    </row>
    <row r="680" spans="1:17" x14ac:dyDescent="0.2">
      <c r="A680" s="30" t="s">
        <v>2847</v>
      </c>
      <c r="B680" s="169">
        <v>9011705400</v>
      </c>
      <c r="C680" s="232" t="s">
        <v>944</v>
      </c>
      <c r="D680" s="182">
        <v>27787.212180000002</v>
      </c>
      <c r="E680" s="182">
        <v>18165.86</v>
      </c>
      <c r="F680" s="13">
        <f>[1]!Table323[[#This Row],[Single Family]]+[1]!Table323[[#This Row],[2-4 Units]]+[1]!Table323[[#This Row],[&gt;4 Units]]</f>
        <v>1</v>
      </c>
      <c r="G680" s="30">
        <v>1</v>
      </c>
      <c r="H680" s="30">
        <v>0</v>
      </c>
      <c r="I680" s="30">
        <v>0</v>
      </c>
      <c r="J680" s="231">
        <v>13002.35</v>
      </c>
      <c r="K680">
        <f t="shared" si="10"/>
        <v>0</v>
      </c>
      <c r="L680" s="30">
        <v>0</v>
      </c>
      <c r="M680" s="30">
        <v>0</v>
      </c>
      <c r="N680" s="30">
        <v>0</v>
      </c>
      <c r="O680" s="231">
        <v>0</v>
      </c>
      <c r="P680" s="97">
        <f>VLOOKUP(Table323[[#This Row],[Census Tract]],'Population and Diversity Data'!$B$2:$K$823,10,FALSE)</f>
        <v>1</v>
      </c>
      <c r="Q680" s="97" t="str">
        <f>VLOOKUP(Table323[[#This Row],[Census Tract]],'ES Energy Burden'!$B$2:$E$914,4,FALSE)</f>
        <v>No</v>
      </c>
    </row>
    <row r="681" spans="1:17" x14ac:dyDescent="0.2">
      <c r="A681" s="30" t="s">
        <v>2848</v>
      </c>
      <c r="B681" s="169">
        <v>9003470100</v>
      </c>
      <c r="C681" s="232" t="s">
        <v>944</v>
      </c>
      <c r="D681" s="182">
        <v>112.98819</v>
      </c>
      <c r="E681" s="182">
        <v>10607.365</v>
      </c>
      <c r="F681" s="13">
        <f>[1]!Table323[[#This Row],[Single Family]]+[1]!Table323[[#This Row],[2-4 Units]]+[1]!Table323[[#This Row],[&gt;4 Units]]</f>
        <v>0</v>
      </c>
      <c r="G681" s="30">
        <v>0</v>
      </c>
      <c r="H681" s="30">
        <v>0</v>
      </c>
      <c r="I681" s="30">
        <v>0</v>
      </c>
      <c r="J681" s="231">
        <v>0</v>
      </c>
      <c r="K681">
        <f t="shared" si="10"/>
        <v>0</v>
      </c>
      <c r="L681" s="30">
        <v>0</v>
      </c>
      <c r="M681" s="30">
        <v>0</v>
      </c>
      <c r="N681" s="30">
        <v>0</v>
      </c>
      <c r="O681" s="231">
        <v>0</v>
      </c>
      <c r="P681" s="97">
        <f>VLOOKUP(Table323[[#This Row],[Census Tract]],'Population and Diversity Data'!$B$2:$K$823,10,FALSE)</f>
        <v>3</v>
      </c>
      <c r="Q681" s="97" t="str">
        <f>VLOOKUP(Table323[[#This Row],[Census Tract]],'ES Energy Burden'!$B$2:$E$914,4,FALSE)</f>
        <v>No</v>
      </c>
    </row>
    <row r="682" spans="1:17" x14ac:dyDescent="0.2">
      <c r="A682" s="30" t="s">
        <v>2848</v>
      </c>
      <c r="B682" s="169">
        <v>9003477101</v>
      </c>
      <c r="C682" s="232" t="s">
        <v>944</v>
      </c>
      <c r="D682" s="182">
        <v>54529.115277000004</v>
      </c>
      <c r="E682" s="182">
        <v>55086.004999999997</v>
      </c>
      <c r="F682" s="13">
        <f>[1]!Table323[[#This Row],[Single Family]]+[1]!Table323[[#This Row],[2-4 Units]]+[1]!Table323[[#This Row],[&gt;4 Units]]</f>
        <v>0</v>
      </c>
      <c r="G682" s="30">
        <v>0</v>
      </c>
      <c r="H682" s="30">
        <v>0</v>
      </c>
      <c r="I682" s="30">
        <v>0</v>
      </c>
      <c r="J682" s="231">
        <v>27559.79</v>
      </c>
      <c r="K682">
        <f t="shared" si="10"/>
        <v>1</v>
      </c>
      <c r="L682" s="30">
        <v>1</v>
      </c>
      <c r="M682" s="30">
        <v>0</v>
      </c>
      <c r="N682" s="30">
        <v>0</v>
      </c>
      <c r="O682" s="231">
        <v>1144.3699999999999</v>
      </c>
      <c r="P682" s="97">
        <f>VLOOKUP(Table323[[#This Row],[Census Tract]],'Population and Diversity Data'!$B$2:$K$823,10,FALSE)</f>
        <v>1</v>
      </c>
      <c r="Q682" s="97" t="str">
        <f>VLOOKUP(Table323[[#This Row],[Census Tract]],'ES Energy Burden'!$B$2:$E$914,4,FALSE)</f>
        <v>No</v>
      </c>
    </row>
    <row r="683" spans="1:17" x14ac:dyDescent="0.2">
      <c r="A683" s="30" t="s">
        <v>2848</v>
      </c>
      <c r="B683" s="169">
        <v>9003477102</v>
      </c>
      <c r="C683" s="232" t="s">
        <v>944</v>
      </c>
      <c r="D683" s="182">
        <v>157747.31700000001</v>
      </c>
      <c r="E683" s="182">
        <v>238144.76500000001</v>
      </c>
      <c r="F683" s="13">
        <f>[1]!Table323[[#This Row],[Single Family]]+[1]!Table323[[#This Row],[2-4 Units]]+[1]!Table323[[#This Row],[&gt;4 Units]]</f>
        <v>1</v>
      </c>
      <c r="G683" s="30">
        <v>1</v>
      </c>
      <c r="H683" s="30">
        <v>0</v>
      </c>
      <c r="I683" s="30">
        <v>0</v>
      </c>
      <c r="J683" s="231">
        <v>24404.13</v>
      </c>
      <c r="K683">
        <f t="shared" si="10"/>
        <v>2</v>
      </c>
      <c r="L683" s="30">
        <v>2</v>
      </c>
      <c r="M683" s="30">
        <v>0</v>
      </c>
      <c r="N683" s="30">
        <v>0</v>
      </c>
      <c r="O683" s="231">
        <v>10012.86</v>
      </c>
      <c r="P683" s="97">
        <f>VLOOKUP(Table323[[#This Row],[Census Tract]],'Population and Diversity Data'!$B$2:$K$823,10,FALSE)</f>
        <v>4</v>
      </c>
      <c r="Q683" s="97" t="str">
        <f>VLOOKUP(Table323[[#This Row],[Census Tract]],'ES Energy Burden'!$B$2:$E$914,4,FALSE)</f>
        <v>No</v>
      </c>
    </row>
    <row r="684" spans="1:17" x14ac:dyDescent="0.2">
      <c r="A684" s="30" t="s">
        <v>2848</v>
      </c>
      <c r="B684" s="169">
        <v>9003477200</v>
      </c>
      <c r="C684" s="232" t="s">
        <v>944</v>
      </c>
      <c r="D684" s="182">
        <v>38110.940637</v>
      </c>
      <c r="E684" s="182">
        <v>49642.815000000002</v>
      </c>
      <c r="F684" s="13">
        <f>[1]!Table323[[#This Row],[Single Family]]+[1]!Table323[[#This Row],[2-4 Units]]+[1]!Table323[[#This Row],[&gt;4 Units]]</f>
        <v>129</v>
      </c>
      <c r="G684" s="30">
        <v>126</v>
      </c>
      <c r="H684" s="30">
        <v>3</v>
      </c>
      <c r="I684" s="30">
        <v>0</v>
      </c>
      <c r="J684" s="231">
        <v>197651.14</v>
      </c>
      <c r="K684">
        <f t="shared" si="10"/>
        <v>4</v>
      </c>
      <c r="L684" s="30">
        <v>4</v>
      </c>
      <c r="M684" s="30">
        <v>0</v>
      </c>
      <c r="N684" s="30">
        <v>0</v>
      </c>
      <c r="O684" s="231">
        <v>10892.12</v>
      </c>
      <c r="P684" s="97">
        <f>VLOOKUP(Table323[[#This Row],[Census Tract]],'Population and Diversity Data'!$B$2:$K$823,10,FALSE)</f>
        <v>1</v>
      </c>
      <c r="Q684" s="97" t="str">
        <f>VLOOKUP(Table323[[#This Row],[Census Tract]],'ES Energy Burden'!$B$2:$E$914,4,FALSE)</f>
        <v>No</v>
      </c>
    </row>
    <row r="685" spans="1:17" x14ac:dyDescent="0.2">
      <c r="A685" s="30" t="s">
        <v>2849</v>
      </c>
      <c r="B685" s="169">
        <v>9005300500</v>
      </c>
      <c r="C685" s="232" t="s">
        <v>944</v>
      </c>
      <c r="D685" s="182">
        <v>1484.7410339999999</v>
      </c>
      <c r="E685" s="182">
        <v>0</v>
      </c>
      <c r="F685" s="13">
        <f>[1]!Table323[[#This Row],[Single Family]]+[1]!Table323[[#This Row],[2-4 Units]]+[1]!Table323[[#This Row],[&gt;4 Units]]</f>
        <v>0</v>
      </c>
      <c r="G685" s="30">
        <v>0</v>
      </c>
      <c r="H685" s="30">
        <v>0</v>
      </c>
      <c r="I685" s="30">
        <v>0</v>
      </c>
      <c r="J685" s="231">
        <v>0</v>
      </c>
      <c r="K685">
        <f t="shared" si="10"/>
        <v>0</v>
      </c>
      <c r="L685" s="30">
        <v>0</v>
      </c>
      <c r="M685" s="30">
        <v>0</v>
      </c>
      <c r="N685" s="30">
        <v>0</v>
      </c>
      <c r="O685" s="231">
        <v>0</v>
      </c>
      <c r="P685" s="97">
        <f>VLOOKUP(Table323[[#This Row],[Census Tract]],'Population and Diversity Data'!$B$2:$K$823,10,FALSE)</f>
        <v>1</v>
      </c>
      <c r="Q685" s="97" t="str">
        <f>VLOOKUP(Table323[[#This Row],[Census Tract]],'ES Energy Burden'!$B$2:$E$914,4,FALSE)</f>
        <v>No</v>
      </c>
    </row>
    <row r="686" spans="1:17" x14ac:dyDescent="0.2">
      <c r="A686" s="30" t="s">
        <v>2849</v>
      </c>
      <c r="B686" s="169">
        <v>9005349100</v>
      </c>
      <c r="C686" s="232" t="s">
        <v>944</v>
      </c>
      <c r="D686" s="182">
        <v>58745.166249000002</v>
      </c>
      <c r="E686" s="182">
        <v>79376.61</v>
      </c>
      <c r="F686" s="13">
        <f>[1]!Table323[[#This Row],[Single Family]]+[1]!Table323[[#This Row],[2-4 Units]]+[1]!Table323[[#This Row],[&gt;4 Units]]</f>
        <v>0</v>
      </c>
      <c r="G686" s="30">
        <v>0</v>
      </c>
      <c r="H686" s="30">
        <v>0</v>
      </c>
      <c r="I686" s="30">
        <v>0</v>
      </c>
      <c r="J686" s="231">
        <v>24382.97</v>
      </c>
      <c r="K686">
        <f t="shared" si="10"/>
        <v>9</v>
      </c>
      <c r="L686" s="30">
        <v>5</v>
      </c>
      <c r="M686" s="30">
        <v>4</v>
      </c>
      <c r="N686" s="30">
        <v>0</v>
      </c>
      <c r="O686" s="231">
        <v>27307.17</v>
      </c>
      <c r="P686" s="97">
        <f>VLOOKUP(Table323[[#This Row],[Census Tract]],'Population and Diversity Data'!$B$2:$K$823,10,FALSE)</f>
        <v>1</v>
      </c>
      <c r="Q686" s="97" t="str">
        <f>VLOOKUP(Table323[[#This Row],[Census Tract]],'ES Energy Burden'!$B$2:$E$914,4,FALSE)</f>
        <v>No</v>
      </c>
    </row>
    <row r="687" spans="1:17" x14ac:dyDescent="0.2">
      <c r="A687" s="30" t="s">
        <v>2849</v>
      </c>
      <c r="B687" s="169">
        <v>9005349200</v>
      </c>
      <c r="C687" s="232" t="s">
        <v>944</v>
      </c>
      <c r="D687" s="182">
        <v>69789.499310999992</v>
      </c>
      <c r="E687" s="182">
        <v>116925.56</v>
      </c>
      <c r="F687" s="13">
        <f>[1]!Table323[[#This Row],[Single Family]]+[1]!Table323[[#This Row],[2-4 Units]]+[1]!Table323[[#This Row],[&gt;4 Units]]</f>
        <v>48</v>
      </c>
      <c r="G687" s="30">
        <v>48</v>
      </c>
      <c r="H687" s="30">
        <v>0</v>
      </c>
      <c r="I687" s="30">
        <v>0</v>
      </c>
      <c r="J687" s="231">
        <v>62369.74</v>
      </c>
      <c r="K687">
        <f t="shared" si="10"/>
        <v>5</v>
      </c>
      <c r="L687" s="30">
        <v>3</v>
      </c>
      <c r="M687" s="30">
        <v>2</v>
      </c>
      <c r="N687" s="30">
        <v>0</v>
      </c>
      <c r="O687" s="231">
        <v>48749.26</v>
      </c>
      <c r="P687" s="97">
        <f>VLOOKUP(Table323[[#This Row],[Census Tract]],'Population and Diversity Data'!$B$2:$K$823,10,FALSE)</f>
        <v>1</v>
      </c>
      <c r="Q687" s="97" t="str">
        <f>VLOOKUP(Table323[[#This Row],[Census Tract]],'ES Energy Burden'!$B$2:$E$914,4,FALSE)</f>
        <v>No</v>
      </c>
    </row>
    <row r="688" spans="1:17" x14ac:dyDescent="0.2">
      <c r="A688" s="30" t="s">
        <v>2850</v>
      </c>
      <c r="B688" s="169">
        <v>9015900100</v>
      </c>
      <c r="C688" s="232" t="s">
        <v>944</v>
      </c>
      <c r="D688" s="182">
        <v>66740.186520000003</v>
      </c>
      <c r="E688" s="182">
        <v>40704.925000000003</v>
      </c>
      <c r="F688" s="13">
        <f>[1]!Table323[[#This Row],[Single Family]]+[1]!Table323[[#This Row],[2-4 Units]]+[1]!Table323[[#This Row],[&gt;4 Units]]</f>
        <v>0</v>
      </c>
      <c r="G688" s="30">
        <v>0</v>
      </c>
      <c r="H688" s="30">
        <v>0</v>
      </c>
      <c r="I688" s="30">
        <v>0</v>
      </c>
      <c r="J688" s="231">
        <v>2757.44</v>
      </c>
      <c r="K688">
        <f t="shared" si="10"/>
        <v>2</v>
      </c>
      <c r="L688" s="30">
        <v>2</v>
      </c>
      <c r="M688" s="30">
        <v>0</v>
      </c>
      <c r="N688" s="30">
        <v>0</v>
      </c>
      <c r="O688" s="231">
        <v>1586.2</v>
      </c>
      <c r="P688" s="97">
        <f>VLOOKUP(Table323[[#This Row],[Census Tract]],'Population and Diversity Data'!$B$2:$K$823,10,FALSE)</f>
        <v>2</v>
      </c>
      <c r="Q688" s="97" t="str">
        <f>VLOOKUP(Table323[[#This Row],[Census Tract]],'ES Energy Burden'!$B$2:$E$914,4,FALSE)</f>
        <v>No</v>
      </c>
    </row>
    <row r="689" spans="1:17" x14ac:dyDescent="0.2">
      <c r="A689" s="30" t="s">
        <v>2850</v>
      </c>
      <c r="B689" s="169">
        <v>9015900200</v>
      </c>
      <c r="C689" s="232" t="s">
        <v>944</v>
      </c>
      <c r="D689" s="182">
        <v>96273.130716</v>
      </c>
      <c r="E689" s="182">
        <v>150507.54999999999</v>
      </c>
      <c r="F689" s="13">
        <f>[1]!Table323[[#This Row],[Single Family]]+[1]!Table323[[#This Row],[2-4 Units]]+[1]!Table323[[#This Row],[&gt;4 Units]]</f>
        <v>26</v>
      </c>
      <c r="G689" s="30">
        <v>26</v>
      </c>
      <c r="H689" s="30">
        <v>0</v>
      </c>
      <c r="I689" s="30">
        <v>0</v>
      </c>
      <c r="J689" s="231">
        <v>65032.51</v>
      </c>
      <c r="K689">
        <f t="shared" si="10"/>
        <v>39</v>
      </c>
      <c r="L689" s="30">
        <v>11</v>
      </c>
      <c r="M689" s="30">
        <v>0</v>
      </c>
      <c r="N689" s="30">
        <v>28</v>
      </c>
      <c r="O689" s="231">
        <v>76766.080000000002</v>
      </c>
      <c r="P689" s="97">
        <f>VLOOKUP(Table323[[#This Row],[Census Tract]],'Population and Diversity Data'!$B$2:$K$823,10,FALSE)</f>
        <v>2</v>
      </c>
      <c r="Q689" s="97" t="str">
        <f>VLOOKUP(Table323[[#This Row],[Census Tract]],'ES Energy Burden'!$B$2:$E$914,4,FALSE)</f>
        <v>No</v>
      </c>
    </row>
    <row r="690" spans="1:17" x14ac:dyDescent="0.2">
      <c r="A690" s="30" t="s">
        <v>2850</v>
      </c>
      <c r="B690" s="169">
        <v>9015901100</v>
      </c>
      <c r="C690" s="232" t="s">
        <v>944</v>
      </c>
      <c r="D690" s="182">
        <v>44.223480000000002</v>
      </c>
      <c r="E690" s="182">
        <v>0</v>
      </c>
      <c r="F690" s="13">
        <f>[1]!Table323[[#This Row],[Single Family]]+[1]!Table323[[#This Row],[2-4 Units]]+[1]!Table323[[#This Row],[&gt;4 Units]]</f>
        <v>0</v>
      </c>
      <c r="G690" s="30">
        <v>0</v>
      </c>
      <c r="H690" s="30">
        <v>0</v>
      </c>
      <c r="I690" s="30">
        <v>0</v>
      </c>
      <c r="J690" s="231">
        <v>0</v>
      </c>
      <c r="K690">
        <f t="shared" si="10"/>
        <v>0</v>
      </c>
      <c r="L690" s="30">
        <v>0</v>
      </c>
      <c r="M690" s="30">
        <v>0</v>
      </c>
      <c r="N690" s="30">
        <v>0</v>
      </c>
      <c r="O690" s="231">
        <v>0</v>
      </c>
      <c r="P690" s="97">
        <f>VLOOKUP(Table323[[#This Row],[Census Tract]],'Population and Diversity Data'!$B$2:$K$823,10,FALSE)</f>
        <v>1</v>
      </c>
      <c r="Q690" s="97" t="str">
        <f>VLOOKUP(Table323[[#This Row],[Census Tract]],'ES Energy Burden'!$B$2:$E$914,4,FALSE)</f>
        <v>No</v>
      </c>
    </row>
    <row r="691" spans="1:17" x14ac:dyDescent="0.2">
      <c r="A691" s="30" t="s">
        <v>2851</v>
      </c>
      <c r="B691" s="169">
        <v>9013530600</v>
      </c>
      <c r="C691" s="232" t="s">
        <v>944</v>
      </c>
      <c r="D691" s="182">
        <v>270.15156000000002</v>
      </c>
      <c r="E691" s="182">
        <v>0</v>
      </c>
      <c r="F691" s="13">
        <f>[1]!Table323[[#This Row],[Single Family]]+[1]!Table323[[#This Row],[2-4 Units]]+[1]!Table323[[#This Row],[&gt;4 Units]]</f>
        <v>0</v>
      </c>
      <c r="G691" s="30">
        <v>0</v>
      </c>
      <c r="H691" s="30">
        <v>0</v>
      </c>
      <c r="I691" s="30">
        <v>0</v>
      </c>
      <c r="J691" s="231">
        <v>0</v>
      </c>
      <c r="K691">
        <f t="shared" si="10"/>
        <v>0</v>
      </c>
      <c r="L691" s="30">
        <v>0</v>
      </c>
      <c r="M691" s="30">
        <v>0</v>
      </c>
      <c r="N691" s="30">
        <v>0</v>
      </c>
      <c r="O691" s="231">
        <v>0</v>
      </c>
      <c r="P691" s="97">
        <f>VLOOKUP(Table323[[#This Row],[Census Tract]],'Population and Diversity Data'!$B$2:$K$823,10,FALSE)</f>
        <v>4</v>
      </c>
      <c r="Q691" s="97" t="str">
        <f>VLOOKUP(Table323[[#This Row],[Census Tract]],'ES Energy Burden'!$B$2:$E$914,4,FALSE)</f>
        <v>No</v>
      </c>
    </row>
    <row r="692" spans="1:17" x14ac:dyDescent="0.2">
      <c r="A692" s="30" t="s">
        <v>2851</v>
      </c>
      <c r="B692" s="169">
        <v>9013533101</v>
      </c>
      <c r="C692" s="232" t="s">
        <v>944</v>
      </c>
      <c r="D692" s="182">
        <v>171347.98310700001</v>
      </c>
      <c r="E692" s="182">
        <v>473928.47499999998</v>
      </c>
      <c r="F692" s="13">
        <f>[1]!Table323[[#This Row],[Single Family]]+[1]!Table323[[#This Row],[2-4 Units]]+[1]!Table323[[#This Row],[&gt;4 Units]]</f>
        <v>136</v>
      </c>
      <c r="G692" s="30">
        <v>136</v>
      </c>
      <c r="H692" s="30">
        <v>0</v>
      </c>
      <c r="I692" s="30">
        <v>0</v>
      </c>
      <c r="J692" s="231">
        <v>250882.6</v>
      </c>
      <c r="K692">
        <f t="shared" si="10"/>
        <v>71</v>
      </c>
      <c r="L692" s="30">
        <v>9</v>
      </c>
      <c r="M692" s="30">
        <v>0</v>
      </c>
      <c r="N692" s="30">
        <v>62</v>
      </c>
      <c r="O692" s="231">
        <v>137656.19</v>
      </c>
      <c r="P692" s="97">
        <f>VLOOKUP(Table323[[#This Row],[Census Tract]],'Population and Diversity Data'!$B$2:$K$823,10,FALSE)</f>
        <v>2</v>
      </c>
      <c r="Q692" s="97" t="str">
        <f>VLOOKUP(Table323[[#This Row],[Census Tract]],'ES Energy Burden'!$B$2:$E$914,4,FALSE)</f>
        <v>No</v>
      </c>
    </row>
    <row r="693" spans="1:17" x14ac:dyDescent="0.2">
      <c r="A693" s="30" t="s">
        <v>2851</v>
      </c>
      <c r="B693" s="169">
        <v>9013533102</v>
      </c>
      <c r="C693" s="232" t="s">
        <v>944</v>
      </c>
      <c r="D693" s="182">
        <v>61303.583922000005</v>
      </c>
      <c r="E693" s="182">
        <v>57496.474999999999</v>
      </c>
      <c r="F693" s="13">
        <f>[1]!Table323[[#This Row],[Single Family]]+[1]!Table323[[#This Row],[2-4 Units]]+[1]!Table323[[#This Row],[&gt;4 Units]]</f>
        <v>1</v>
      </c>
      <c r="G693" s="30">
        <v>1</v>
      </c>
      <c r="H693" s="30">
        <v>0</v>
      </c>
      <c r="I693" s="30">
        <v>0</v>
      </c>
      <c r="J693" s="231">
        <v>22208.38</v>
      </c>
      <c r="K693">
        <f t="shared" si="10"/>
        <v>2</v>
      </c>
      <c r="L693" s="30">
        <v>2</v>
      </c>
      <c r="M693" s="30">
        <v>0</v>
      </c>
      <c r="N693" s="30">
        <v>0</v>
      </c>
      <c r="O693" s="231">
        <v>1876.41</v>
      </c>
      <c r="P693" s="97">
        <f>VLOOKUP(Table323[[#This Row],[Census Tract]],'Population and Diversity Data'!$B$2:$K$823,10,FALSE)</f>
        <v>4</v>
      </c>
      <c r="Q693" s="97" t="str">
        <f>VLOOKUP(Table323[[#This Row],[Census Tract]],'ES Energy Burden'!$B$2:$E$914,4,FALSE)</f>
        <v>No</v>
      </c>
    </row>
    <row r="694" spans="1:17" x14ac:dyDescent="0.2">
      <c r="A694" s="30" t="s">
        <v>2852</v>
      </c>
      <c r="B694" s="169">
        <v>9005310100</v>
      </c>
      <c r="C694" s="232" t="s">
        <v>944</v>
      </c>
      <c r="D694" s="182">
        <v>46978.149267000001</v>
      </c>
      <c r="E694" s="182">
        <v>56563.3</v>
      </c>
      <c r="F694" s="13">
        <f>[1]!Table323[[#This Row],[Single Family]]+[1]!Table323[[#This Row],[2-4 Units]]+[1]!Table323[[#This Row],[&gt;4 Units]]</f>
        <v>0</v>
      </c>
      <c r="G694" s="30">
        <v>0</v>
      </c>
      <c r="H694" s="30">
        <v>0</v>
      </c>
      <c r="I694" s="30">
        <v>0</v>
      </c>
      <c r="J694" s="231">
        <v>14235.29</v>
      </c>
      <c r="K694">
        <f t="shared" si="10"/>
        <v>149</v>
      </c>
      <c r="L694" s="30">
        <v>1</v>
      </c>
      <c r="M694" s="30">
        <v>1</v>
      </c>
      <c r="N694" s="30">
        <v>147</v>
      </c>
      <c r="O694" s="231">
        <v>29095.43</v>
      </c>
      <c r="P694" s="97">
        <f>VLOOKUP(Table323[[#This Row],[Census Tract]],'Population and Diversity Data'!$B$2:$K$823,10,FALSE)</f>
        <v>3</v>
      </c>
      <c r="Q694" s="97" t="str">
        <f>VLOOKUP(Table323[[#This Row],[Census Tract]],'ES Energy Burden'!$B$2:$E$914,4,FALSE)</f>
        <v>No</v>
      </c>
    </row>
    <row r="695" spans="1:17" x14ac:dyDescent="0.2">
      <c r="A695" s="30" t="s">
        <v>2852</v>
      </c>
      <c r="B695" s="169">
        <v>9005310200</v>
      </c>
      <c r="C695" s="232" t="s">
        <v>944</v>
      </c>
      <c r="D695" s="182">
        <v>20265.39039</v>
      </c>
      <c r="E695" s="182">
        <v>5612.24</v>
      </c>
      <c r="F695" s="13">
        <f>[1]!Table323[[#This Row],[Single Family]]+[1]!Table323[[#This Row],[2-4 Units]]+[1]!Table323[[#This Row],[&gt;4 Units]]</f>
        <v>0</v>
      </c>
      <c r="G695" s="30">
        <v>0</v>
      </c>
      <c r="H695" s="30">
        <v>0</v>
      </c>
      <c r="I695" s="30">
        <v>0</v>
      </c>
      <c r="J695" s="231">
        <v>19.77</v>
      </c>
      <c r="K695">
        <f t="shared" si="10"/>
        <v>4</v>
      </c>
      <c r="L695" s="30">
        <v>1</v>
      </c>
      <c r="M695" s="30">
        <v>3</v>
      </c>
      <c r="N695" s="30">
        <v>0</v>
      </c>
      <c r="O695" s="231">
        <v>1422.02</v>
      </c>
      <c r="P695" s="97">
        <f>VLOOKUP(Table323[[#This Row],[Census Tract]],'Population and Diversity Data'!$B$2:$K$823,10,FALSE)</f>
        <v>2</v>
      </c>
      <c r="Q695" s="97" t="str">
        <f>VLOOKUP(Table323[[#This Row],[Census Tract]],'ES Energy Burden'!$B$2:$E$914,4,FALSE)</f>
        <v>No</v>
      </c>
    </row>
    <row r="696" spans="1:17" x14ac:dyDescent="0.2">
      <c r="A696" s="30" t="s">
        <v>2852</v>
      </c>
      <c r="B696" s="169">
        <v>9005310300</v>
      </c>
      <c r="C696" s="232" t="s">
        <v>944</v>
      </c>
      <c r="D696" s="182">
        <v>15107.104950000001</v>
      </c>
      <c r="E696" s="182">
        <v>14784.33</v>
      </c>
      <c r="F696" s="13">
        <f>[1]!Table323[[#This Row],[Single Family]]+[1]!Table323[[#This Row],[2-4 Units]]+[1]!Table323[[#This Row],[&gt;4 Units]]</f>
        <v>176</v>
      </c>
      <c r="G696" s="30">
        <v>164</v>
      </c>
      <c r="H696" s="30">
        <v>12</v>
      </c>
      <c r="I696" s="30">
        <v>0</v>
      </c>
      <c r="J696" s="231">
        <v>200895.44</v>
      </c>
      <c r="K696">
        <f t="shared" si="10"/>
        <v>43</v>
      </c>
      <c r="L696" s="30">
        <v>34</v>
      </c>
      <c r="M696" s="30">
        <v>9</v>
      </c>
      <c r="N696" s="30">
        <v>0</v>
      </c>
      <c r="O696" s="231">
        <v>160632.62</v>
      </c>
      <c r="P696" s="97">
        <f>VLOOKUP(Table323[[#This Row],[Census Tract]],'Population and Diversity Data'!$B$2:$K$823,10,FALSE)</f>
        <v>2</v>
      </c>
      <c r="Q696" s="97" t="str">
        <f>VLOOKUP(Table323[[#This Row],[Census Tract]],'ES Energy Burden'!$B$2:$E$914,4,FALSE)</f>
        <v>Yes</v>
      </c>
    </row>
    <row r="697" spans="1:17" x14ac:dyDescent="0.2">
      <c r="A697" s="30" t="s">
        <v>2852</v>
      </c>
      <c r="B697" s="169">
        <v>9005310400</v>
      </c>
      <c r="C697" s="232" t="s">
        <v>944</v>
      </c>
      <c r="D697" s="182">
        <v>28510.833119999999</v>
      </c>
      <c r="E697" s="182">
        <v>28110.3</v>
      </c>
      <c r="F697" s="13">
        <f>[1]!Table323[[#This Row],[Single Family]]+[1]!Table323[[#This Row],[2-4 Units]]+[1]!Table323[[#This Row],[&gt;4 Units]]</f>
        <v>0</v>
      </c>
      <c r="G697" s="30">
        <v>0</v>
      </c>
      <c r="H697" s="30">
        <v>0</v>
      </c>
      <c r="I697" s="30">
        <v>0</v>
      </c>
      <c r="J697" s="231">
        <v>8193.4</v>
      </c>
      <c r="K697">
        <f t="shared" si="10"/>
        <v>63</v>
      </c>
      <c r="L697" s="30">
        <v>1</v>
      </c>
      <c r="M697" s="30">
        <v>0</v>
      </c>
      <c r="N697" s="30">
        <v>62</v>
      </c>
      <c r="O697" s="231">
        <v>8302.01</v>
      </c>
      <c r="P697" s="97">
        <f>VLOOKUP(Table323[[#This Row],[Census Tract]],'Population and Diversity Data'!$B$2:$K$823,10,FALSE)</f>
        <v>3</v>
      </c>
      <c r="Q697" s="97" t="str">
        <f>VLOOKUP(Table323[[#This Row],[Census Tract]],'ES Energy Burden'!$B$2:$E$914,4,FALSE)</f>
        <v>No</v>
      </c>
    </row>
    <row r="698" spans="1:17" x14ac:dyDescent="0.2">
      <c r="A698" s="30" t="s">
        <v>2852</v>
      </c>
      <c r="B698" s="169">
        <v>9005310500</v>
      </c>
      <c r="C698" s="232" t="s">
        <v>944</v>
      </c>
      <c r="D698" s="182">
        <v>20394.061107000001</v>
      </c>
      <c r="E698" s="182">
        <v>45042.37</v>
      </c>
      <c r="F698" s="13">
        <f>[1]!Table323[[#This Row],[Single Family]]+[1]!Table323[[#This Row],[2-4 Units]]+[1]!Table323[[#This Row],[&gt;4 Units]]</f>
        <v>0</v>
      </c>
      <c r="G698" s="30">
        <v>0</v>
      </c>
      <c r="H698" s="30">
        <v>0</v>
      </c>
      <c r="I698" s="30">
        <v>0</v>
      </c>
      <c r="J698" s="231">
        <v>6867.44</v>
      </c>
      <c r="K698">
        <f t="shared" si="10"/>
        <v>1</v>
      </c>
      <c r="L698" s="30">
        <v>1</v>
      </c>
      <c r="M698" s="30">
        <v>0</v>
      </c>
      <c r="N698" s="30">
        <v>0</v>
      </c>
      <c r="O698" s="231">
        <v>6377.61</v>
      </c>
      <c r="P698" s="97">
        <f>VLOOKUP(Table323[[#This Row],[Census Tract]],'Population and Diversity Data'!$B$2:$K$823,10,FALSE)</f>
        <v>1</v>
      </c>
      <c r="Q698" s="97" t="str">
        <f>VLOOKUP(Table323[[#This Row],[Census Tract]],'ES Energy Burden'!$B$2:$E$914,4,FALSE)</f>
        <v>No</v>
      </c>
    </row>
    <row r="699" spans="1:17" x14ac:dyDescent="0.2">
      <c r="A699" s="30" t="s">
        <v>2852</v>
      </c>
      <c r="B699" s="169">
        <v>9005310601</v>
      </c>
      <c r="C699" s="232" t="s">
        <v>944</v>
      </c>
      <c r="D699" s="182">
        <v>35280.058799999999</v>
      </c>
      <c r="E699" s="182">
        <v>18001.21</v>
      </c>
      <c r="F699" s="13">
        <f>[1]!Table323[[#This Row],[Single Family]]+[1]!Table323[[#This Row],[2-4 Units]]+[1]!Table323[[#This Row],[&gt;4 Units]]</f>
        <v>0</v>
      </c>
      <c r="G699" s="30">
        <v>0</v>
      </c>
      <c r="H699" s="30">
        <v>0</v>
      </c>
      <c r="I699" s="30">
        <v>0</v>
      </c>
      <c r="J699" s="231">
        <v>4216.8500000000004</v>
      </c>
      <c r="K699">
        <f t="shared" si="10"/>
        <v>2</v>
      </c>
      <c r="L699" s="30">
        <v>2</v>
      </c>
      <c r="M699" s="30">
        <v>0</v>
      </c>
      <c r="N699" s="30">
        <v>0</v>
      </c>
      <c r="O699" s="231">
        <v>2457.42</v>
      </c>
      <c r="P699" s="97">
        <f>VLOOKUP(Table323[[#This Row],[Census Tract]],'Population and Diversity Data'!$B$2:$K$823,10,FALSE)</f>
        <v>3</v>
      </c>
      <c r="Q699" s="97" t="str">
        <f>VLOOKUP(Table323[[#This Row],[Census Tract]],'ES Energy Burden'!$B$2:$E$914,4,FALSE)</f>
        <v>No</v>
      </c>
    </row>
    <row r="700" spans="1:17" x14ac:dyDescent="0.2">
      <c r="A700" s="30" t="s">
        <v>2852</v>
      </c>
      <c r="B700" s="169">
        <v>9005310602</v>
      </c>
      <c r="C700" s="232" t="s">
        <v>944</v>
      </c>
      <c r="D700" s="182">
        <v>43225.474488</v>
      </c>
      <c r="E700" s="182">
        <v>22009.26</v>
      </c>
      <c r="F700" s="13">
        <f>[1]!Table323[[#This Row],[Single Family]]+[1]!Table323[[#This Row],[2-4 Units]]+[1]!Table323[[#This Row],[&gt;4 Units]]</f>
        <v>0</v>
      </c>
      <c r="G700" s="30">
        <v>0</v>
      </c>
      <c r="H700" s="30">
        <v>0</v>
      </c>
      <c r="I700" s="30">
        <v>0</v>
      </c>
      <c r="J700" s="231">
        <v>7249.26</v>
      </c>
      <c r="K700">
        <f t="shared" si="10"/>
        <v>3</v>
      </c>
      <c r="L700" s="30">
        <v>3</v>
      </c>
      <c r="M700" s="30">
        <v>0</v>
      </c>
      <c r="N700" s="30">
        <v>0</v>
      </c>
      <c r="O700" s="231">
        <v>749.55</v>
      </c>
      <c r="P700" s="97">
        <f>VLOOKUP(Table323[[#This Row],[Census Tract]],'Population and Diversity Data'!$B$2:$K$823,10,FALSE)</f>
        <v>1</v>
      </c>
      <c r="Q700" s="97" t="str">
        <f>VLOOKUP(Table323[[#This Row],[Census Tract]],'ES Energy Burden'!$B$2:$E$914,4,FALSE)</f>
        <v>No</v>
      </c>
    </row>
    <row r="701" spans="1:17" x14ac:dyDescent="0.2">
      <c r="A701" s="30" t="s">
        <v>2852</v>
      </c>
      <c r="B701" s="169">
        <v>9005310700</v>
      </c>
      <c r="C701" s="232" t="s">
        <v>944</v>
      </c>
      <c r="D701" s="182">
        <v>251438.46785399999</v>
      </c>
      <c r="E701" s="182">
        <v>377459.93</v>
      </c>
      <c r="F701" s="13">
        <f>[1]!Table323[[#This Row],[Single Family]]+[1]!Table323[[#This Row],[2-4 Units]]+[1]!Table323[[#This Row],[&gt;4 Units]]</f>
        <v>1</v>
      </c>
      <c r="G701" s="30">
        <v>1</v>
      </c>
      <c r="H701" s="30">
        <v>0</v>
      </c>
      <c r="I701" s="30">
        <v>0</v>
      </c>
      <c r="J701" s="231">
        <v>11910.78</v>
      </c>
      <c r="K701">
        <f t="shared" si="10"/>
        <v>4</v>
      </c>
      <c r="L701" s="30">
        <v>3</v>
      </c>
      <c r="M701" s="30">
        <v>1</v>
      </c>
      <c r="N701" s="30">
        <v>0</v>
      </c>
      <c r="O701" s="231">
        <v>10820.3</v>
      </c>
      <c r="P701" s="97">
        <f>VLOOKUP(Table323[[#This Row],[Census Tract]],'Population and Diversity Data'!$B$2:$K$823,10,FALSE)</f>
        <v>1</v>
      </c>
      <c r="Q701" s="97" t="str">
        <f>VLOOKUP(Table323[[#This Row],[Census Tract]],'ES Energy Burden'!$B$2:$E$914,4,FALSE)</f>
        <v>No</v>
      </c>
    </row>
    <row r="702" spans="1:17" x14ac:dyDescent="0.2">
      <c r="A702" s="30" t="s">
        <v>2852</v>
      </c>
      <c r="B702" s="169">
        <v>9005310801</v>
      </c>
      <c r="C702" s="232" t="s">
        <v>944</v>
      </c>
      <c r="D702" s="182">
        <v>22948.7307</v>
      </c>
      <c r="E702" s="182">
        <v>24077.17</v>
      </c>
      <c r="F702" s="13">
        <f>[1]!Table323[[#This Row],[Single Family]]+[1]!Table323[[#This Row],[2-4 Units]]+[1]!Table323[[#This Row],[&gt;4 Units]]</f>
        <v>0</v>
      </c>
      <c r="G702" s="30">
        <v>0</v>
      </c>
      <c r="H702" s="30">
        <v>0</v>
      </c>
      <c r="I702" s="30">
        <v>0</v>
      </c>
      <c r="J702" s="231">
        <v>26.36</v>
      </c>
      <c r="K702">
        <f t="shared" si="10"/>
        <v>4</v>
      </c>
      <c r="L702" s="30">
        <v>3</v>
      </c>
      <c r="M702" s="30">
        <v>1</v>
      </c>
      <c r="N702" s="30">
        <v>0</v>
      </c>
      <c r="O702" s="231">
        <v>19764.689999999999</v>
      </c>
      <c r="P702" s="97">
        <f>VLOOKUP(Table323[[#This Row],[Census Tract]],'Population and Diversity Data'!$B$2:$K$823,10,FALSE)</f>
        <v>3</v>
      </c>
      <c r="Q702" s="97" t="str">
        <f>VLOOKUP(Table323[[#This Row],[Census Tract]],'ES Energy Burden'!$B$2:$E$914,4,FALSE)</f>
        <v>No</v>
      </c>
    </row>
    <row r="703" spans="1:17" x14ac:dyDescent="0.2">
      <c r="A703" s="30" t="s">
        <v>2852</v>
      </c>
      <c r="B703" s="169">
        <v>9005310803</v>
      </c>
      <c r="C703" s="232" t="s">
        <v>944</v>
      </c>
      <c r="D703" s="182">
        <v>51618.152040000001</v>
      </c>
      <c r="E703" s="182">
        <v>32602.01</v>
      </c>
      <c r="F703" s="13">
        <f>[1]!Table323[[#This Row],[Single Family]]+[1]!Table323[[#This Row],[2-4 Units]]+[1]!Table323[[#This Row],[&gt;4 Units]]</f>
        <v>1</v>
      </c>
      <c r="G703" s="30">
        <v>1</v>
      </c>
      <c r="H703" s="30">
        <v>0</v>
      </c>
      <c r="I703" s="30">
        <v>0</v>
      </c>
      <c r="J703" s="231">
        <v>3856.27</v>
      </c>
      <c r="K703">
        <f t="shared" si="10"/>
        <v>5</v>
      </c>
      <c r="L703" s="30">
        <v>2</v>
      </c>
      <c r="M703" s="30">
        <v>3</v>
      </c>
      <c r="N703" s="30">
        <v>0</v>
      </c>
      <c r="O703" s="231">
        <v>1647.54</v>
      </c>
      <c r="P703" s="97">
        <f>VLOOKUP(Table323[[#This Row],[Census Tract]],'Population and Diversity Data'!$B$2:$K$823,10,FALSE)</f>
        <v>4</v>
      </c>
      <c r="Q703" s="97" t="str">
        <f>VLOOKUP(Table323[[#This Row],[Census Tract]],'ES Energy Burden'!$B$2:$E$914,4,FALSE)</f>
        <v>Yes</v>
      </c>
    </row>
    <row r="704" spans="1:17" x14ac:dyDescent="0.2">
      <c r="A704" s="30" t="s">
        <v>2852</v>
      </c>
      <c r="B704" s="169">
        <v>9005310804</v>
      </c>
      <c r="C704" s="232" t="s">
        <v>944</v>
      </c>
      <c r="D704" s="182">
        <v>24409.89747</v>
      </c>
      <c r="E704" s="182">
        <v>24823.07</v>
      </c>
      <c r="F704" s="13">
        <f>[1]!Table323[[#This Row],[Single Family]]+[1]!Table323[[#This Row],[2-4 Units]]+[1]!Table323[[#This Row],[&gt;4 Units]]</f>
        <v>0</v>
      </c>
      <c r="G704" s="30">
        <v>0</v>
      </c>
      <c r="H704" s="30">
        <v>0</v>
      </c>
      <c r="I704" s="30">
        <v>0</v>
      </c>
      <c r="J704" s="231">
        <v>0</v>
      </c>
      <c r="K704">
        <f t="shared" si="10"/>
        <v>2</v>
      </c>
      <c r="L704" s="30">
        <v>2</v>
      </c>
      <c r="M704" s="30">
        <v>0</v>
      </c>
      <c r="N704" s="30">
        <v>0</v>
      </c>
      <c r="O704" s="231">
        <v>1525.03</v>
      </c>
      <c r="P704" s="97">
        <f>VLOOKUP(Table323[[#This Row],[Census Tract]],'Population and Diversity Data'!$B$2:$K$823,10,FALSE)</f>
        <v>2</v>
      </c>
      <c r="Q704" s="97" t="str">
        <f>VLOOKUP(Table323[[#This Row],[Census Tract]],'ES Energy Burden'!$B$2:$E$914,4,FALSE)</f>
        <v>No</v>
      </c>
    </row>
    <row r="705" spans="1:17" x14ac:dyDescent="0.2">
      <c r="A705" s="30" t="s">
        <v>2852</v>
      </c>
      <c r="B705" s="169">
        <v>9005320200</v>
      </c>
      <c r="C705" s="232" t="s">
        <v>944</v>
      </c>
      <c r="D705" s="182">
        <v>31.573710000000002</v>
      </c>
      <c r="E705" s="182">
        <v>0</v>
      </c>
      <c r="F705" s="13">
        <f>[1]!Table323[[#This Row],[Single Family]]+[1]!Table323[[#This Row],[2-4 Units]]+[1]!Table323[[#This Row],[&gt;4 Units]]</f>
        <v>0</v>
      </c>
      <c r="G705" s="30">
        <v>0</v>
      </c>
      <c r="H705" s="30">
        <v>0</v>
      </c>
      <c r="I705" s="30">
        <v>0</v>
      </c>
      <c r="J705" s="231">
        <v>0</v>
      </c>
      <c r="K705">
        <f t="shared" si="10"/>
        <v>0</v>
      </c>
      <c r="L705" s="30">
        <v>0</v>
      </c>
      <c r="M705" s="30">
        <v>0</v>
      </c>
      <c r="N705" s="30">
        <v>0</v>
      </c>
      <c r="O705" s="231">
        <v>0</v>
      </c>
      <c r="P705" s="97">
        <f>VLOOKUP(Table323[[#This Row],[Census Tract]],'Population and Diversity Data'!$B$2:$K$823,10,FALSE)</f>
        <v>3</v>
      </c>
      <c r="Q705" s="97" t="str">
        <f>VLOOKUP(Table323[[#This Row],[Census Tract]],'ES Energy Burden'!$B$2:$E$914,4,FALSE)</f>
        <v>No</v>
      </c>
    </row>
    <row r="706" spans="1:17" x14ac:dyDescent="0.2">
      <c r="A706" s="119" t="s">
        <v>2853</v>
      </c>
      <c r="B706" s="169">
        <v>9013890100</v>
      </c>
      <c r="C706" s="232" t="s">
        <v>944</v>
      </c>
      <c r="D706" s="182">
        <v>1850.545431</v>
      </c>
      <c r="E706" s="182">
        <v>0</v>
      </c>
      <c r="F706" s="13">
        <f>[1]!Table323[[#This Row],[Single Family]]+[1]!Table323[[#This Row],[2-4 Units]]+[1]!Table323[[#This Row],[&gt;4 Units]]</f>
        <v>0</v>
      </c>
      <c r="G706" s="30">
        <v>0</v>
      </c>
      <c r="H706" s="30">
        <v>0</v>
      </c>
      <c r="I706" s="30">
        <v>0</v>
      </c>
      <c r="J706" s="231">
        <v>0</v>
      </c>
      <c r="K706">
        <f t="shared" si="10"/>
        <v>0</v>
      </c>
      <c r="L706" s="30">
        <v>0</v>
      </c>
      <c r="M706" s="30">
        <v>0</v>
      </c>
      <c r="N706" s="30">
        <v>0</v>
      </c>
      <c r="O706" s="231">
        <v>0</v>
      </c>
      <c r="P706" s="97">
        <f>VLOOKUP(Table323[[#This Row],[Census Tract]],'Population and Diversity Data'!$B$2:$K$823,10,FALSE)</f>
        <v>2</v>
      </c>
      <c r="Q706" s="97" t="str">
        <f>VLOOKUP(Table323[[#This Row],[Census Tract]],'ES Energy Burden'!$B$2:$E$914,4,FALSE)</f>
        <v>No</v>
      </c>
    </row>
    <row r="707" spans="1:17" x14ac:dyDescent="0.2">
      <c r="A707" s="119" t="s">
        <v>2853</v>
      </c>
      <c r="B707" s="169">
        <v>9013890201</v>
      </c>
      <c r="C707" s="232" t="s">
        <v>944</v>
      </c>
      <c r="D707" s="182">
        <v>13524.197547</v>
      </c>
      <c r="E707" s="182">
        <v>27261.01</v>
      </c>
      <c r="F707" s="13">
        <f>[1]!Table323[[#This Row],[Single Family]]+[1]!Table323[[#This Row],[2-4 Units]]+[1]!Table323[[#This Row],[&gt;4 Units]]</f>
        <v>8</v>
      </c>
      <c r="G707" s="30">
        <v>8</v>
      </c>
      <c r="H707" s="30">
        <v>0</v>
      </c>
      <c r="I707" s="30">
        <v>0</v>
      </c>
      <c r="J707" s="231">
        <v>21141.93</v>
      </c>
      <c r="K707">
        <f t="shared" si="10"/>
        <v>2</v>
      </c>
      <c r="L707" s="30">
        <v>2</v>
      </c>
      <c r="M707" s="30">
        <v>0</v>
      </c>
      <c r="N707" s="30">
        <v>0</v>
      </c>
      <c r="O707" s="231">
        <v>1480.33</v>
      </c>
      <c r="P707" s="97">
        <f>VLOOKUP(Table323[[#This Row],[Census Tract]],'Population and Diversity Data'!$B$2:$K$823,10,FALSE)</f>
        <v>4</v>
      </c>
      <c r="Q707" s="97" t="str">
        <f>VLOOKUP(Table323[[#This Row],[Census Tract]],'ES Energy Burden'!$B$2:$E$914,4,FALSE)</f>
        <v>No</v>
      </c>
    </row>
    <row r="708" spans="1:17" x14ac:dyDescent="0.2">
      <c r="A708" s="119" t="s">
        <v>2853</v>
      </c>
      <c r="B708" s="169">
        <v>9013890202</v>
      </c>
      <c r="C708" s="232" t="s">
        <v>944</v>
      </c>
      <c r="D708" s="182">
        <v>41.359290000000001</v>
      </c>
      <c r="E708" s="182">
        <v>0</v>
      </c>
      <c r="F708" s="13">
        <f>[1]!Table323[[#This Row],[Single Family]]+[1]!Table323[[#This Row],[2-4 Units]]+[1]!Table323[[#This Row],[&gt;4 Units]]</f>
        <v>0</v>
      </c>
      <c r="G708" s="30">
        <v>0</v>
      </c>
      <c r="H708" s="30">
        <v>0</v>
      </c>
      <c r="I708" s="30">
        <v>0</v>
      </c>
      <c r="J708" s="231">
        <v>0</v>
      </c>
      <c r="K708">
        <f t="shared" si="10"/>
        <v>0</v>
      </c>
      <c r="L708" s="30">
        <v>0</v>
      </c>
      <c r="M708" s="30">
        <v>0</v>
      </c>
      <c r="N708" s="30">
        <v>0</v>
      </c>
      <c r="O708" s="231">
        <v>0</v>
      </c>
      <c r="P708" s="97">
        <f>VLOOKUP(Table323[[#This Row],[Census Tract]],'Population and Diversity Data'!$B$2:$K$823,10,FALSE)</f>
        <v>4</v>
      </c>
      <c r="Q708" s="97" t="str">
        <f>VLOOKUP(Table323[[#This Row],[Census Tract]],'ES Energy Burden'!$B$2:$E$914,4,FALSE)</f>
        <v>No</v>
      </c>
    </row>
    <row r="709" spans="1:17" x14ac:dyDescent="0.2">
      <c r="A709" s="30" t="s">
        <v>2854</v>
      </c>
      <c r="B709" s="169">
        <v>9003487202</v>
      </c>
      <c r="C709" s="232" t="s">
        <v>944</v>
      </c>
      <c r="D709" s="182">
        <v>162.26867999999999</v>
      </c>
      <c r="E709" s="182">
        <v>1618.75</v>
      </c>
      <c r="F709" s="13">
        <f>[1]!Table323[[#This Row],[Single Family]]+[1]!Table323[[#This Row],[2-4 Units]]+[1]!Table323[[#This Row],[&gt;4 Units]]</f>
        <v>0</v>
      </c>
      <c r="G709" s="30">
        <v>0</v>
      </c>
      <c r="H709" s="30">
        <v>0</v>
      </c>
      <c r="I709" s="30">
        <v>0</v>
      </c>
      <c r="J709" s="231">
        <v>0</v>
      </c>
      <c r="K709">
        <f t="shared" si="10"/>
        <v>0</v>
      </c>
      <c r="L709" s="30">
        <v>0</v>
      </c>
      <c r="M709" s="30">
        <v>0</v>
      </c>
      <c r="N709" s="30">
        <v>0</v>
      </c>
      <c r="O709" s="231">
        <v>0</v>
      </c>
      <c r="P709" s="97">
        <f>VLOOKUP(Table323[[#This Row],[Census Tract]],'Population and Diversity Data'!$B$2:$K$823,10,FALSE)</f>
        <v>4</v>
      </c>
      <c r="Q709" s="97" t="str">
        <f>VLOOKUP(Table323[[#This Row],[Census Tract]],'ES Energy Burden'!$B$2:$E$914,4,FALSE)</f>
        <v>No</v>
      </c>
    </row>
    <row r="710" spans="1:17" x14ac:dyDescent="0.2">
      <c r="A710" s="119" t="s">
        <v>2854</v>
      </c>
      <c r="B710" s="169">
        <v>9003514101</v>
      </c>
      <c r="C710" s="232" t="s">
        <v>944</v>
      </c>
      <c r="D710" s="182">
        <v>285.68484000000001</v>
      </c>
      <c r="E710" s="182">
        <v>0</v>
      </c>
      <c r="F710" s="13">
        <f>[1]!Table323[[#This Row],[Single Family]]+[1]!Table323[[#This Row],[2-4 Units]]+[1]!Table323[[#This Row],[&gt;4 Units]]</f>
        <v>0</v>
      </c>
      <c r="G710" s="30">
        <v>0</v>
      </c>
      <c r="H710" s="30">
        <v>0</v>
      </c>
      <c r="I710" s="30">
        <v>0</v>
      </c>
      <c r="J710" s="231">
        <v>0</v>
      </c>
      <c r="K710">
        <f t="shared" ref="K710:K773" si="11">L710+M710+N710</f>
        <v>0</v>
      </c>
      <c r="L710" s="30">
        <v>0</v>
      </c>
      <c r="M710" s="30">
        <v>0</v>
      </c>
      <c r="N710" s="30">
        <v>0</v>
      </c>
      <c r="O710" s="231">
        <v>0</v>
      </c>
      <c r="P710" s="97">
        <f>VLOOKUP(Table323[[#This Row],[Census Tract]],'Population and Diversity Data'!$B$2:$K$823,10,FALSE)</f>
        <v>3</v>
      </c>
      <c r="Q710" s="97" t="str">
        <f>VLOOKUP(Table323[[#This Row],[Census Tract]],'ES Energy Burden'!$B$2:$E$914,4,FALSE)</f>
        <v>No</v>
      </c>
    </row>
    <row r="711" spans="1:17" x14ac:dyDescent="0.2">
      <c r="A711" s="119" t="s">
        <v>2854</v>
      </c>
      <c r="B711" s="169">
        <v>9013530100</v>
      </c>
      <c r="C711" s="232" t="s">
        <v>944</v>
      </c>
      <c r="D711" s="182">
        <v>19799.478930000001</v>
      </c>
      <c r="E711" s="182">
        <v>13785.48</v>
      </c>
      <c r="F711" s="13">
        <f>[1]!Table323[[#This Row],[Single Family]]+[1]!Table323[[#This Row],[2-4 Units]]+[1]!Table323[[#This Row],[&gt;4 Units]]</f>
        <v>0</v>
      </c>
      <c r="G711" s="30">
        <v>0</v>
      </c>
      <c r="H711" s="30">
        <v>0</v>
      </c>
      <c r="I711" s="30">
        <v>0</v>
      </c>
      <c r="J711" s="231">
        <v>0</v>
      </c>
      <c r="K711">
        <f t="shared" si="11"/>
        <v>4</v>
      </c>
      <c r="L711" s="30">
        <v>2</v>
      </c>
      <c r="M711" s="30">
        <v>2</v>
      </c>
      <c r="N711" s="30">
        <v>0</v>
      </c>
      <c r="O711" s="231">
        <v>5165.83</v>
      </c>
      <c r="P711" s="97">
        <f>VLOOKUP(Table323[[#This Row],[Census Tract]],'Population and Diversity Data'!$B$2:$K$823,10,FALSE)</f>
        <v>5</v>
      </c>
      <c r="Q711" s="97" t="str">
        <f>VLOOKUP(Table323[[#This Row],[Census Tract]],'ES Energy Burden'!$B$2:$E$914,4,FALSE)</f>
        <v>No</v>
      </c>
    </row>
    <row r="712" spans="1:17" x14ac:dyDescent="0.2">
      <c r="A712" s="119" t="s">
        <v>2854</v>
      </c>
      <c r="B712" s="169">
        <v>9013530200</v>
      </c>
      <c r="C712" s="232" t="s">
        <v>944</v>
      </c>
      <c r="D712" s="182">
        <v>44244.281844000005</v>
      </c>
      <c r="E712" s="182">
        <v>41263.214999999997</v>
      </c>
      <c r="F712" s="13">
        <f>[1]!Table323[[#This Row],[Single Family]]+[1]!Table323[[#This Row],[2-4 Units]]+[1]!Table323[[#This Row],[&gt;4 Units]]</f>
        <v>581</v>
      </c>
      <c r="G712" s="30">
        <v>0</v>
      </c>
      <c r="H712" s="30">
        <v>0</v>
      </c>
      <c r="I712" s="30">
        <v>581</v>
      </c>
      <c r="J712" s="231">
        <v>16788.52</v>
      </c>
      <c r="K712">
        <f t="shared" si="11"/>
        <v>302</v>
      </c>
      <c r="L712" s="30">
        <v>6</v>
      </c>
      <c r="M712" s="30">
        <v>4</v>
      </c>
      <c r="N712" s="30">
        <v>292</v>
      </c>
      <c r="O712" s="231">
        <v>14043.28</v>
      </c>
      <c r="P712" s="97">
        <f>VLOOKUP(Table323[[#This Row],[Census Tract]],'Population and Diversity Data'!$B$2:$K$823,10,FALSE)</f>
        <v>4</v>
      </c>
      <c r="Q712" s="97" t="str">
        <f>VLOOKUP(Table323[[#This Row],[Census Tract]],'ES Energy Burden'!$B$2:$E$914,4,FALSE)</f>
        <v>No</v>
      </c>
    </row>
    <row r="713" spans="1:17" x14ac:dyDescent="0.2">
      <c r="A713" s="119" t="s">
        <v>2854</v>
      </c>
      <c r="B713" s="169">
        <v>9013530301</v>
      </c>
      <c r="C713" s="232" t="s">
        <v>944</v>
      </c>
      <c r="D713" s="182">
        <v>42821.970492</v>
      </c>
      <c r="E713" s="182">
        <v>20861.705000000002</v>
      </c>
      <c r="F713" s="13">
        <f>[1]!Table323[[#This Row],[Single Family]]+[1]!Table323[[#This Row],[2-4 Units]]+[1]!Table323[[#This Row],[&gt;4 Units]]</f>
        <v>0</v>
      </c>
      <c r="G713" s="30">
        <v>0</v>
      </c>
      <c r="H713" s="30">
        <v>0</v>
      </c>
      <c r="I713" s="30">
        <v>0</v>
      </c>
      <c r="J713" s="231">
        <v>4871.3999999999996</v>
      </c>
      <c r="K713">
        <f t="shared" si="11"/>
        <v>21</v>
      </c>
      <c r="L713" s="30">
        <v>2</v>
      </c>
      <c r="M713" s="30">
        <v>0</v>
      </c>
      <c r="N713" s="30">
        <v>19</v>
      </c>
      <c r="O713" s="231">
        <v>5487.72</v>
      </c>
      <c r="P713" s="97">
        <f>VLOOKUP(Table323[[#This Row],[Census Tract]],'Population and Diversity Data'!$B$2:$K$823,10,FALSE)</f>
        <v>2</v>
      </c>
      <c r="Q713" s="97" t="str">
        <f>VLOOKUP(Table323[[#This Row],[Census Tract]],'ES Energy Burden'!$B$2:$E$914,4,FALSE)</f>
        <v>No</v>
      </c>
    </row>
    <row r="714" spans="1:17" x14ac:dyDescent="0.2">
      <c r="A714" s="119" t="s">
        <v>2854</v>
      </c>
      <c r="B714" s="169">
        <v>9013530302</v>
      </c>
      <c r="C714" s="232" t="s">
        <v>944</v>
      </c>
      <c r="D714" s="182">
        <v>205215.11524499999</v>
      </c>
      <c r="E714" s="182">
        <v>545177.29500000004</v>
      </c>
      <c r="F714" s="13">
        <f>[1]!Table323[[#This Row],[Single Family]]+[1]!Table323[[#This Row],[2-4 Units]]+[1]!Table323[[#This Row],[&gt;4 Units]]</f>
        <v>0</v>
      </c>
      <c r="G714" s="30">
        <v>0</v>
      </c>
      <c r="H714" s="30">
        <v>0</v>
      </c>
      <c r="I714" s="30">
        <v>0</v>
      </c>
      <c r="J714" s="231">
        <v>13170.55</v>
      </c>
      <c r="K714">
        <f t="shared" si="11"/>
        <v>36</v>
      </c>
      <c r="L714" s="30">
        <v>5</v>
      </c>
      <c r="M714" s="30">
        <v>0</v>
      </c>
      <c r="N714" s="30">
        <v>31</v>
      </c>
      <c r="O714" s="231">
        <v>48908.27</v>
      </c>
      <c r="P714" s="97">
        <f>VLOOKUP(Table323[[#This Row],[Census Tract]],'Population and Diversity Data'!$B$2:$K$823,10,FALSE)</f>
        <v>5</v>
      </c>
      <c r="Q714" s="97" t="str">
        <f>VLOOKUP(Table323[[#This Row],[Census Tract]],'ES Energy Burden'!$B$2:$E$914,4,FALSE)</f>
        <v>No</v>
      </c>
    </row>
    <row r="715" spans="1:17" x14ac:dyDescent="0.2">
      <c r="A715" s="119" t="s">
        <v>2854</v>
      </c>
      <c r="B715" s="169">
        <v>9013530400</v>
      </c>
      <c r="C715" s="232" t="s">
        <v>944</v>
      </c>
      <c r="D715" s="182">
        <v>36310.123437000002</v>
      </c>
      <c r="E715" s="182">
        <v>23887.19</v>
      </c>
      <c r="F715" s="13">
        <f>[1]!Table323[[#This Row],[Single Family]]+[1]!Table323[[#This Row],[2-4 Units]]+[1]!Table323[[#This Row],[&gt;4 Units]]</f>
        <v>0</v>
      </c>
      <c r="G715" s="30">
        <v>0</v>
      </c>
      <c r="H715" s="30">
        <v>0</v>
      </c>
      <c r="I715" s="30">
        <v>0</v>
      </c>
      <c r="J715" s="231">
        <v>8926.2099999999991</v>
      </c>
      <c r="K715">
        <f t="shared" si="11"/>
        <v>85</v>
      </c>
      <c r="L715" s="30">
        <v>1</v>
      </c>
      <c r="M715" s="30">
        <v>0</v>
      </c>
      <c r="N715" s="30">
        <v>84</v>
      </c>
      <c r="O715" s="231">
        <v>7187.52</v>
      </c>
      <c r="P715" s="97">
        <f>VLOOKUP(Table323[[#This Row],[Census Tract]],'Population and Diversity Data'!$B$2:$K$823,10,FALSE)</f>
        <v>5</v>
      </c>
      <c r="Q715" s="97" t="str">
        <f>VLOOKUP(Table323[[#This Row],[Census Tract]],'ES Energy Burden'!$B$2:$E$914,4,FALSE)</f>
        <v>No</v>
      </c>
    </row>
    <row r="716" spans="1:17" x14ac:dyDescent="0.2">
      <c r="A716" s="119" t="s">
        <v>2854</v>
      </c>
      <c r="B716" s="169">
        <v>9013530500</v>
      </c>
      <c r="C716" s="232" t="s">
        <v>944</v>
      </c>
      <c r="D716" s="182">
        <v>37242.180612000004</v>
      </c>
      <c r="E716" s="182">
        <v>48754.07</v>
      </c>
      <c r="F716" s="13">
        <f>[1]!Table323[[#This Row],[Single Family]]+[1]!Table323[[#This Row],[2-4 Units]]+[1]!Table323[[#This Row],[&gt;4 Units]]</f>
        <v>1</v>
      </c>
      <c r="G716" s="30">
        <v>1</v>
      </c>
      <c r="H716" s="30">
        <v>0</v>
      </c>
      <c r="I716" s="30">
        <v>0</v>
      </c>
      <c r="J716" s="231">
        <v>22821.1</v>
      </c>
      <c r="K716">
        <f t="shared" si="11"/>
        <v>2</v>
      </c>
      <c r="L716" s="30">
        <v>2</v>
      </c>
      <c r="M716" s="30">
        <v>0</v>
      </c>
      <c r="N716" s="30">
        <v>0</v>
      </c>
      <c r="O716" s="231">
        <v>6898.64</v>
      </c>
      <c r="P716" s="97">
        <f>VLOOKUP(Table323[[#This Row],[Census Tract]],'Population and Diversity Data'!$B$2:$K$823,10,FALSE)</f>
        <v>4</v>
      </c>
      <c r="Q716" s="97" t="str">
        <f>VLOOKUP(Table323[[#This Row],[Census Tract]],'ES Energy Burden'!$B$2:$E$914,4,FALSE)</f>
        <v>No</v>
      </c>
    </row>
    <row r="717" spans="1:17" x14ac:dyDescent="0.2">
      <c r="A717" s="119" t="s">
        <v>2854</v>
      </c>
      <c r="B717" s="169">
        <v>9013530600</v>
      </c>
      <c r="C717" s="232" t="s">
        <v>944</v>
      </c>
      <c r="D717" s="182">
        <v>30897.422094000001</v>
      </c>
      <c r="E717" s="182">
        <v>25912.400000000001</v>
      </c>
      <c r="F717" s="13">
        <f>[1]!Table323[[#This Row],[Single Family]]+[1]!Table323[[#This Row],[2-4 Units]]+[1]!Table323[[#This Row],[&gt;4 Units]]</f>
        <v>141</v>
      </c>
      <c r="G717" s="30">
        <v>141</v>
      </c>
      <c r="H717" s="30">
        <v>0</v>
      </c>
      <c r="I717" s="30">
        <v>0</v>
      </c>
      <c r="J717" s="231">
        <v>204797.56</v>
      </c>
      <c r="K717">
        <f t="shared" si="11"/>
        <v>29</v>
      </c>
      <c r="L717" s="30">
        <v>19</v>
      </c>
      <c r="M717" s="30">
        <v>10</v>
      </c>
      <c r="N717" s="30">
        <v>0</v>
      </c>
      <c r="O717" s="231">
        <v>255574.75</v>
      </c>
      <c r="P717" s="97">
        <f>VLOOKUP(Table323[[#This Row],[Census Tract]],'Population and Diversity Data'!$B$2:$K$823,10,FALSE)</f>
        <v>4</v>
      </c>
      <c r="Q717" s="97" t="str">
        <f>VLOOKUP(Table323[[#This Row],[Census Tract]],'ES Energy Burden'!$B$2:$E$914,4,FALSE)</f>
        <v>No</v>
      </c>
    </row>
    <row r="718" spans="1:17" x14ac:dyDescent="0.2">
      <c r="A718" s="119" t="s">
        <v>2854</v>
      </c>
      <c r="B718" s="169">
        <v>9013535100</v>
      </c>
      <c r="C718" s="232" t="s">
        <v>944</v>
      </c>
      <c r="D718" s="182">
        <v>342.93966</v>
      </c>
      <c r="E718" s="182">
        <v>0</v>
      </c>
      <c r="F718" s="13">
        <f>[1]!Table323[[#This Row],[Single Family]]+[1]!Table323[[#This Row],[2-4 Units]]+[1]!Table323[[#This Row],[&gt;4 Units]]</f>
        <v>0</v>
      </c>
      <c r="G718" s="30">
        <v>0</v>
      </c>
      <c r="H718" s="30">
        <v>0</v>
      </c>
      <c r="I718" s="30">
        <v>0</v>
      </c>
      <c r="J718" s="231">
        <v>0</v>
      </c>
      <c r="K718">
        <f t="shared" si="11"/>
        <v>0</v>
      </c>
      <c r="L718" s="30">
        <v>0</v>
      </c>
      <c r="M718" s="30">
        <v>0</v>
      </c>
      <c r="N718" s="30">
        <v>0</v>
      </c>
      <c r="O718" s="231">
        <v>0</v>
      </c>
      <c r="P718" s="97">
        <f>VLOOKUP(Table323[[#This Row],[Census Tract]],'Population and Diversity Data'!$B$2:$K$823,10,FALSE)</f>
        <v>4</v>
      </c>
      <c r="Q718" s="97" t="str">
        <f>VLOOKUP(Table323[[#This Row],[Census Tract]],'ES Energy Burden'!$B$2:$E$914,4,FALSE)</f>
        <v>No</v>
      </c>
    </row>
    <row r="719" spans="1:17" x14ac:dyDescent="0.2">
      <c r="A719" s="30" t="s">
        <v>2855</v>
      </c>
      <c r="B719" s="169">
        <v>9011708100</v>
      </c>
      <c r="C719" s="232" t="s">
        <v>944</v>
      </c>
      <c r="D719" s="182">
        <v>49383.412952999999</v>
      </c>
      <c r="E719" s="182">
        <v>81345.205000000002</v>
      </c>
      <c r="F719" s="13">
        <f>[1]!Table323[[#This Row],[Single Family]]+[1]!Table323[[#This Row],[2-4 Units]]+[1]!Table323[[#This Row],[&gt;4 Units]]</f>
        <v>6</v>
      </c>
      <c r="G719" s="30">
        <v>6</v>
      </c>
      <c r="H719" s="30">
        <v>0</v>
      </c>
      <c r="I719" s="30">
        <v>0</v>
      </c>
      <c r="J719" s="231">
        <v>27381.33</v>
      </c>
      <c r="K719">
        <f t="shared" si="11"/>
        <v>3</v>
      </c>
      <c r="L719" s="30">
        <v>3</v>
      </c>
      <c r="M719" s="30">
        <v>0</v>
      </c>
      <c r="N719" s="30">
        <v>0</v>
      </c>
      <c r="O719" s="231">
        <v>30164.16</v>
      </c>
      <c r="P719" s="97">
        <f>VLOOKUP(Table323[[#This Row],[Census Tract]],'Population and Diversity Data'!$B$2:$K$823,10,FALSE)</f>
        <v>2</v>
      </c>
      <c r="Q719" s="97" t="str">
        <f>VLOOKUP(Table323[[#This Row],[Census Tract]],'ES Energy Burden'!$B$2:$E$914,4,FALSE)</f>
        <v>No</v>
      </c>
    </row>
    <row r="720" spans="1:17" x14ac:dyDescent="0.2">
      <c r="A720" s="119" t="s">
        <v>2856</v>
      </c>
      <c r="B720" s="169">
        <v>9005263200</v>
      </c>
      <c r="C720" s="232" t="s">
        <v>944</v>
      </c>
      <c r="D720" s="182">
        <v>673.37976300000003</v>
      </c>
      <c r="E720" s="182">
        <v>200</v>
      </c>
      <c r="F720" s="13">
        <f>[1]!Table323[[#This Row],[Single Family]]+[1]!Table323[[#This Row],[2-4 Units]]+[1]!Table323[[#This Row],[&gt;4 Units]]</f>
        <v>0</v>
      </c>
      <c r="G720" s="30">
        <v>0</v>
      </c>
      <c r="H720" s="30">
        <v>0</v>
      </c>
      <c r="I720" s="30">
        <v>0</v>
      </c>
      <c r="J720" s="231">
        <v>0</v>
      </c>
      <c r="K720">
        <f t="shared" si="11"/>
        <v>0</v>
      </c>
      <c r="L720" s="30">
        <v>0</v>
      </c>
      <c r="M720" s="30">
        <v>0</v>
      </c>
      <c r="N720" s="30">
        <v>0</v>
      </c>
      <c r="O720" s="231">
        <v>0</v>
      </c>
      <c r="P720" s="97">
        <f>VLOOKUP(Table323[[#This Row],[Census Tract]],'Population and Diversity Data'!$B$2:$K$823,10,FALSE)</f>
        <v>3</v>
      </c>
      <c r="Q720" s="97" t="str">
        <f>VLOOKUP(Table323[[#This Row],[Census Tract]],'ES Energy Burden'!$B$2:$E$914,4,FALSE)</f>
        <v>No</v>
      </c>
    </row>
    <row r="721" spans="1:17" x14ac:dyDescent="0.2">
      <c r="A721" s="119" t="s">
        <v>2856</v>
      </c>
      <c r="B721" s="169">
        <v>9005265100</v>
      </c>
      <c r="C721" s="232" t="s">
        <v>944</v>
      </c>
      <c r="D721" s="182">
        <v>24777.743991000003</v>
      </c>
      <c r="E721" s="182">
        <v>54379.39</v>
      </c>
      <c r="F721" s="13">
        <f>[1]!Table323[[#This Row],[Single Family]]+[1]!Table323[[#This Row],[2-4 Units]]+[1]!Table323[[#This Row],[&gt;4 Units]]</f>
        <v>11</v>
      </c>
      <c r="G721" s="30">
        <v>11</v>
      </c>
      <c r="H721" s="30">
        <v>0</v>
      </c>
      <c r="I721" s="30">
        <v>0</v>
      </c>
      <c r="J721" s="231">
        <v>25530.15</v>
      </c>
      <c r="K721">
        <f t="shared" si="11"/>
        <v>1</v>
      </c>
      <c r="L721" s="30">
        <v>1</v>
      </c>
      <c r="M721" s="30">
        <v>0</v>
      </c>
      <c r="N721" s="30">
        <v>0</v>
      </c>
      <c r="O721" s="231">
        <v>1933.34</v>
      </c>
      <c r="P721" s="97">
        <f>VLOOKUP(Table323[[#This Row],[Census Tract]],'Population and Diversity Data'!$B$2:$K$823,10,FALSE)</f>
        <v>1</v>
      </c>
      <c r="Q721" s="97" t="str">
        <f>VLOOKUP(Table323[[#This Row],[Census Tract]],'ES Energy Burden'!$B$2:$E$914,4,FALSE)</f>
        <v>No</v>
      </c>
    </row>
    <row r="722" spans="1:17" x14ac:dyDescent="0.2">
      <c r="A722" s="119" t="s">
        <v>2856</v>
      </c>
      <c r="B722" s="169">
        <v>9005266100</v>
      </c>
      <c r="C722" s="232" t="s">
        <v>944</v>
      </c>
      <c r="D722" s="182">
        <v>72.126390000000001</v>
      </c>
      <c r="E722" s="182">
        <v>0</v>
      </c>
      <c r="F722" s="13">
        <f>[1]!Table323[[#This Row],[Single Family]]+[1]!Table323[[#This Row],[2-4 Units]]+[1]!Table323[[#This Row],[&gt;4 Units]]</f>
        <v>0</v>
      </c>
      <c r="G722" s="30">
        <v>0</v>
      </c>
      <c r="H722" s="30">
        <v>0</v>
      </c>
      <c r="I722" s="30">
        <v>0</v>
      </c>
      <c r="J722" s="231">
        <v>0</v>
      </c>
      <c r="K722">
        <f t="shared" si="11"/>
        <v>0</v>
      </c>
      <c r="L722" s="30">
        <v>0</v>
      </c>
      <c r="M722" s="30">
        <v>0</v>
      </c>
      <c r="N722" s="30">
        <v>0</v>
      </c>
      <c r="O722" s="231">
        <v>0</v>
      </c>
      <c r="P722" s="97">
        <f>VLOOKUP(Table323[[#This Row],[Census Tract]],'Population and Diversity Data'!$B$2:$K$823,10,FALSE)</f>
        <v>2</v>
      </c>
      <c r="Q722" s="97" t="str">
        <f>VLOOKUP(Table323[[#This Row],[Census Tract]],'ES Energy Burden'!$B$2:$E$914,4,FALSE)</f>
        <v>No</v>
      </c>
    </row>
    <row r="723" spans="1:17" x14ac:dyDescent="0.2">
      <c r="A723" s="119" t="s">
        <v>2856</v>
      </c>
      <c r="B723" s="169">
        <v>9005267100</v>
      </c>
      <c r="C723" s="232" t="s">
        <v>944</v>
      </c>
      <c r="D723" s="182">
        <v>14924.056644</v>
      </c>
      <c r="E723" s="182">
        <v>10880.07</v>
      </c>
      <c r="F723" s="13">
        <f>[1]!Table323[[#This Row],[Single Family]]+[1]!Table323[[#This Row],[2-4 Units]]+[1]!Table323[[#This Row],[&gt;4 Units]]</f>
        <v>0</v>
      </c>
      <c r="G723" s="30">
        <v>0</v>
      </c>
      <c r="H723" s="30">
        <v>0</v>
      </c>
      <c r="I723" s="30">
        <v>0</v>
      </c>
      <c r="J723" s="231">
        <v>0</v>
      </c>
      <c r="K723">
        <f t="shared" si="11"/>
        <v>0</v>
      </c>
      <c r="L723" s="30">
        <v>0</v>
      </c>
      <c r="M723" s="30">
        <v>0</v>
      </c>
      <c r="N723" s="30">
        <v>0</v>
      </c>
      <c r="O723" s="231">
        <v>0</v>
      </c>
      <c r="P723" s="97">
        <f>VLOOKUP(Table323[[#This Row],[Census Tract]],'Population and Diversity Data'!$B$2:$K$823,10,FALSE)</f>
        <v>3</v>
      </c>
      <c r="Q723" s="97" t="str">
        <f>VLOOKUP(Table323[[#This Row],[Census Tract]],'ES Energy Burden'!$B$2:$E$914,4,FALSE)</f>
        <v>No</v>
      </c>
    </row>
    <row r="724" spans="1:17" x14ac:dyDescent="0.2">
      <c r="A724" s="30" t="s">
        <v>2857</v>
      </c>
      <c r="B724" s="169">
        <v>9005253200</v>
      </c>
      <c r="C724" s="232" t="s">
        <v>944</v>
      </c>
      <c r="D724" s="182">
        <v>66.504270000000005</v>
      </c>
      <c r="E724" s="182">
        <v>21922.17</v>
      </c>
      <c r="F724" s="13">
        <f>[1]!Table323[[#This Row],[Single Family]]+[1]!Table323[[#This Row],[2-4 Units]]+[1]!Table323[[#This Row],[&gt;4 Units]]</f>
        <v>0</v>
      </c>
      <c r="G724" s="30">
        <v>0</v>
      </c>
      <c r="H724" s="30">
        <v>0</v>
      </c>
      <c r="I724" s="30">
        <v>0</v>
      </c>
      <c r="J724" s="231">
        <v>0</v>
      </c>
      <c r="K724">
        <f t="shared" si="11"/>
        <v>0</v>
      </c>
      <c r="L724" s="30">
        <v>0</v>
      </c>
      <c r="M724" s="30">
        <v>0</v>
      </c>
      <c r="N724" s="30">
        <v>0</v>
      </c>
      <c r="O724" s="231">
        <v>0</v>
      </c>
      <c r="P724" s="97">
        <f>VLOOKUP(Table323[[#This Row],[Census Tract]],'Population and Diversity Data'!$B$2:$K$823,10,FALSE)</f>
        <v>4</v>
      </c>
      <c r="Q724" s="97" t="str">
        <f>VLOOKUP(Table323[[#This Row],[Census Tract]],'ES Energy Burden'!$B$2:$E$914,4,FALSE)</f>
        <v>No</v>
      </c>
    </row>
    <row r="725" spans="1:17" x14ac:dyDescent="0.2">
      <c r="A725" s="30" t="s">
        <v>2857</v>
      </c>
      <c r="B725" s="169">
        <v>9005253500</v>
      </c>
      <c r="C725" s="232" t="s">
        <v>944</v>
      </c>
      <c r="D725" s="182">
        <v>107.05212</v>
      </c>
      <c r="E725" s="182">
        <v>0</v>
      </c>
      <c r="F725" s="13">
        <f>[1]!Table323[[#This Row],[Single Family]]+[1]!Table323[[#This Row],[2-4 Units]]+[1]!Table323[[#This Row],[&gt;4 Units]]</f>
        <v>0</v>
      </c>
      <c r="G725" s="30">
        <v>0</v>
      </c>
      <c r="H725" s="30">
        <v>0</v>
      </c>
      <c r="I725" s="30">
        <v>0</v>
      </c>
      <c r="J725" s="231">
        <v>0</v>
      </c>
      <c r="K725">
        <f t="shared" si="11"/>
        <v>0</v>
      </c>
      <c r="L725" s="30">
        <v>0</v>
      </c>
      <c r="M725" s="30">
        <v>0</v>
      </c>
      <c r="N725" s="30">
        <v>0</v>
      </c>
      <c r="O725" s="231">
        <v>0</v>
      </c>
      <c r="P725" s="97">
        <f>VLOOKUP(Table323[[#This Row],[Census Tract]],'Population and Diversity Data'!$B$2:$K$823,10,FALSE)</f>
        <v>4</v>
      </c>
      <c r="Q725" s="97" t="str">
        <f>VLOOKUP(Table323[[#This Row],[Census Tract]],'ES Energy Burden'!$B$2:$E$914,4,FALSE)</f>
        <v>No</v>
      </c>
    </row>
    <row r="726" spans="1:17" x14ac:dyDescent="0.2">
      <c r="A726" s="30" t="s">
        <v>2857</v>
      </c>
      <c r="B726" s="169">
        <v>9005265100</v>
      </c>
      <c r="C726" s="232" t="s">
        <v>944</v>
      </c>
      <c r="D726" s="182">
        <v>1711.09512</v>
      </c>
      <c r="E726" s="182">
        <v>0</v>
      </c>
      <c r="F726" s="13">
        <f>[1]!Table323[[#This Row],[Single Family]]+[1]!Table323[[#This Row],[2-4 Units]]+[1]!Table323[[#This Row],[&gt;4 Units]]</f>
        <v>0</v>
      </c>
      <c r="G726" s="30">
        <v>0</v>
      </c>
      <c r="H726" s="30">
        <v>0</v>
      </c>
      <c r="I726" s="30">
        <v>0</v>
      </c>
      <c r="J726" s="231">
        <v>0</v>
      </c>
      <c r="K726">
        <f t="shared" si="11"/>
        <v>0</v>
      </c>
      <c r="L726" s="30">
        <v>0</v>
      </c>
      <c r="M726" s="30">
        <v>0</v>
      </c>
      <c r="N726" s="30">
        <v>0</v>
      </c>
      <c r="O726" s="231">
        <v>0</v>
      </c>
      <c r="P726" s="97">
        <f>VLOOKUP(Table323[[#This Row],[Census Tract]],'Population and Diversity Data'!$B$2:$K$823,10,FALSE)</f>
        <v>1</v>
      </c>
      <c r="Q726" s="97" t="str">
        <f>VLOOKUP(Table323[[#This Row],[Census Tract]],'ES Energy Burden'!$B$2:$E$914,4,FALSE)</f>
        <v>No</v>
      </c>
    </row>
    <row r="727" spans="1:17" x14ac:dyDescent="0.2">
      <c r="A727" s="30" t="s">
        <v>2857</v>
      </c>
      <c r="B727" s="169">
        <v>9005267100</v>
      </c>
      <c r="C727" s="232" t="s">
        <v>944</v>
      </c>
      <c r="D727" s="182">
        <v>133166.11826699998</v>
      </c>
      <c r="E727" s="182">
        <v>79339.759999999995</v>
      </c>
      <c r="F727" s="13">
        <f>[1]!Table323[[#This Row],[Single Family]]+[1]!Table323[[#This Row],[2-4 Units]]+[1]!Table323[[#This Row],[&gt;4 Units]]</f>
        <v>38</v>
      </c>
      <c r="G727" s="30">
        <v>37</v>
      </c>
      <c r="H727" s="30">
        <v>1</v>
      </c>
      <c r="I727" s="30">
        <v>0</v>
      </c>
      <c r="J727" s="231">
        <v>62036.7</v>
      </c>
      <c r="K727">
        <f t="shared" si="11"/>
        <v>0</v>
      </c>
      <c r="L727" s="30">
        <v>0</v>
      </c>
      <c r="M727" s="30">
        <v>0</v>
      </c>
      <c r="N727" s="30">
        <v>0</v>
      </c>
      <c r="O727" s="231">
        <v>0</v>
      </c>
      <c r="P727" s="97">
        <f>VLOOKUP(Table323[[#This Row],[Census Tract]],'Population and Diversity Data'!$B$2:$K$823,10,FALSE)</f>
        <v>3</v>
      </c>
      <c r="Q727" s="97" t="str">
        <f>VLOOKUP(Table323[[#This Row],[Census Tract]],'ES Energy Burden'!$B$2:$E$914,4,FALSE)</f>
        <v>No</v>
      </c>
    </row>
    <row r="728" spans="1:17" x14ac:dyDescent="0.2">
      <c r="A728" s="30" t="s">
        <v>2857</v>
      </c>
      <c r="B728" s="169">
        <v>9005362102</v>
      </c>
      <c r="C728" s="232" t="s">
        <v>944</v>
      </c>
      <c r="D728" s="182">
        <v>473.65395000000001</v>
      </c>
      <c r="E728" s="182">
        <v>2065.66</v>
      </c>
      <c r="F728" s="13">
        <f>[1]!Table323[[#This Row],[Single Family]]+[1]!Table323[[#This Row],[2-4 Units]]+[1]!Table323[[#This Row],[&gt;4 Units]]</f>
        <v>0</v>
      </c>
      <c r="G728" s="30">
        <v>0</v>
      </c>
      <c r="H728" s="30">
        <v>0</v>
      </c>
      <c r="I728" s="30">
        <v>0</v>
      </c>
      <c r="J728" s="231">
        <v>0</v>
      </c>
      <c r="K728">
        <f t="shared" si="11"/>
        <v>0</v>
      </c>
      <c r="L728" s="30">
        <v>0</v>
      </c>
      <c r="M728" s="30">
        <v>0</v>
      </c>
      <c r="N728" s="30">
        <v>0</v>
      </c>
      <c r="O728" s="231">
        <v>0</v>
      </c>
      <c r="P728" s="97">
        <f>VLOOKUP(Table323[[#This Row],[Census Tract]],'Population and Diversity Data'!$B$2:$K$823,10,FALSE)</f>
        <v>1</v>
      </c>
      <c r="Q728" s="97" t="str">
        <f>VLOOKUP(Table323[[#This Row],[Census Tract]],'ES Energy Burden'!$B$2:$E$914,4,FALSE)</f>
        <v>No</v>
      </c>
    </row>
    <row r="729" spans="1:17" x14ac:dyDescent="0.2">
      <c r="A729" s="30" t="s">
        <v>982</v>
      </c>
      <c r="B729" s="169">
        <v>9009345100</v>
      </c>
      <c r="C729" s="232" t="s">
        <v>944</v>
      </c>
      <c r="D729" s="182">
        <v>389.16275999999999</v>
      </c>
      <c r="E729" s="182">
        <v>2014.33</v>
      </c>
      <c r="F729" s="13">
        <f>[1]!Table323[[#This Row],[Single Family]]+[1]!Table323[[#This Row],[2-4 Units]]+[1]!Table323[[#This Row],[&gt;4 Units]]</f>
        <v>0</v>
      </c>
      <c r="G729" s="30">
        <v>0</v>
      </c>
      <c r="H729" s="30">
        <v>0</v>
      </c>
      <c r="I729" s="30">
        <v>0</v>
      </c>
      <c r="J729" s="231">
        <v>0</v>
      </c>
      <c r="K729">
        <f t="shared" si="11"/>
        <v>0</v>
      </c>
      <c r="L729" s="30">
        <v>0</v>
      </c>
      <c r="M729" s="30">
        <v>0</v>
      </c>
      <c r="N729" s="30">
        <v>0</v>
      </c>
      <c r="O729" s="231">
        <v>0</v>
      </c>
      <c r="P729" s="97">
        <f>VLOOKUP(Table323[[#This Row],[Census Tract]],'Population and Diversity Data'!$B$2:$K$823,10,FALSE)</f>
        <v>2</v>
      </c>
      <c r="Q729" s="97" t="str">
        <f>VLOOKUP(Table323[[#This Row],[Census Tract]],'ES Energy Burden'!$B$2:$E$914,4,FALSE)</f>
        <v>No</v>
      </c>
    </row>
    <row r="730" spans="1:17" x14ac:dyDescent="0.2">
      <c r="A730" s="30" t="s">
        <v>982</v>
      </c>
      <c r="B730" s="169">
        <v>9009347100</v>
      </c>
      <c r="C730" s="232" t="s">
        <v>944</v>
      </c>
      <c r="D730" s="182">
        <v>415.863</v>
      </c>
      <c r="E730" s="182">
        <v>6600.93</v>
      </c>
      <c r="F730" s="13">
        <f>[1]!Table323[[#This Row],[Single Family]]+[1]!Table323[[#This Row],[2-4 Units]]+[1]!Table323[[#This Row],[&gt;4 Units]]</f>
        <v>0</v>
      </c>
      <c r="G730" s="30">
        <v>0</v>
      </c>
      <c r="H730" s="30">
        <v>0</v>
      </c>
      <c r="I730" s="30">
        <v>0</v>
      </c>
      <c r="J730" s="231">
        <v>0</v>
      </c>
      <c r="K730">
        <f t="shared" si="11"/>
        <v>0</v>
      </c>
      <c r="L730" s="30">
        <v>0</v>
      </c>
      <c r="M730" s="30">
        <v>0</v>
      </c>
      <c r="N730" s="30">
        <v>0</v>
      </c>
      <c r="O730" s="231">
        <v>6600.93</v>
      </c>
      <c r="P730" s="97">
        <f>VLOOKUP(Table323[[#This Row],[Census Tract]],'Population and Diversity Data'!$B$2:$K$823,10,FALSE)</f>
        <v>1</v>
      </c>
      <c r="Q730" s="97" t="str">
        <f>VLOOKUP(Table323[[#This Row],[Census Tract]],'ES Energy Burden'!$B$2:$E$914,4,FALSE)</f>
        <v>No</v>
      </c>
    </row>
    <row r="731" spans="1:17" x14ac:dyDescent="0.2">
      <c r="A731" s="30" t="s">
        <v>982</v>
      </c>
      <c r="B731" s="169">
        <v>9009350100</v>
      </c>
      <c r="C731" s="232" t="s">
        <v>936</v>
      </c>
      <c r="D731" s="182">
        <v>23434.522440000001</v>
      </c>
      <c r="E731" s="182">
        <v>12399.57</v>
      </c>
      <c r="F731" s="13">
        <f>[1]!Table323[[#This Row],[Single Family]]+[1]!Table323[[#This Row],[2-4 Units]]+[1]!Table323[[#This Row],[&gt;4 Units]]</f>
        <v>0</v>
      </c>
      <c r="G731" s="30">
        <v>0</v>
      </c>
      <c r="H731" s="30">
        <v>0</v>
      </c>
      <c r="I731" s="30">
        <v>0</v>
      </c>
      <c r="J731" s="231">
        <v>0</v>
      </c>
      <c r="K731">
        <f t="shared" si="11"/>
        <v>84</v>
      </c>
      <c r="L731" s="30">
        <v>0</v>
      </c>
      <c r="M731" s="30">
        <v>4</v>
      </c>
      <c r="N731" s="30">
        <v>80</v>
      </c>
      <c r="O731" s="231">
        <v>11996.83</v>
      </c>
      <c r="P731" s="97">
        <f>VLOOKUP(Table323[[#This Row],[Census Tract]],'Population and Diversity Data'!$B$2:$K$823,10,FALSE)</f>
        <v>5</v>
      </c>
      <c r="Q731" s="97" t="e">
        <f>VLOOKUP(Table323[[#This Row],[Census Tract]],'ES Energy Burden'!$B$2:$E$914,4,FALSE)</f>
        <v>#N/A</v>
      </c>
    </row>
    <row r="732" spans="1:17" x14ac:dyDescent="0.2">
      <c r="A732" s="30" t="s">
        <v>982</v>
      </c>
      <c r="B732" s="169">
        <v>9009350200</v>
      </c>
      <c r="C732" s="232" t="s">
        <v>936</v>
      </c>
      <c r="D732" s="182">
        <v>28879.834493999999</v>
      </c>
      <c r="E732" s="182">
        <v>13582.24</v>
      </c>
      <c r="F732" s="13">
        <f>[1]!Table323[[#This Row],[Single Family]]+[1]!Table323[[#This Row],[2-4 Units]]+[1]!Table323[[#This Row],[&gt;4 Units]]</f>
        <v>0</v>
      </c>
      <c r="G732" s="30">
        <v>0</v>
      </c>
      <c r="H732" s="30">
        <v>0</v>
      </c>
      <c r="I732" s="30">
        <v>0</v>
      </c>
      <c r="J732" s="231">
        <v>0</v>
      </c>
      <c r="K732">
        <f t="shared" si="11"/>
        <v>16</v>
      </c>
      <c r="L732" s="30">
        <v>4</v>
      </c>
      <c r="M732" s="30">
        <v>4</v>
      </c>
      <c r="N732" s="30">
        <v>8</v>
      </c>
      <c r="O732" s="231">
        <v>23217.69</v>
      </c>
      <c r="P732" s="97">
        <f>VLOOKUP(Table323[[#This Row],[Census Tract]],'Population and Diversity Data'!$B$2:$K$823,10,FALSE)</f>
        <v>4</v>
      </c>
      <c r="Q732" s="97" t="e">
        <f>VLOOKUP(Table323[[#This Row],[Census Tract]],'ES Energy Burden'!$B$2:$E$914,4,FALSE)</f>
        <v>#N/A</v>
      </c>
    </row>
    <row r="733" spans="1:17" x14ac:dyDescent="0.2">
      <c r="A733" s="30" t="s">
        <v>982</v>
      </c>
      <c r="B733" s="169">
        <v>9009350300</v>
      </c>
      <c r="C733" s="232" t="s">
        <v>936</v>
      </c>
      <c r="D733" s="182">
        <v>17128.156626</v>
      </c>
      <c r="E733" s="182">
        <v>5358.74</v>
      </c>
      <c r="F733" s="13">
        <f>[1]!Table323[[#This Row],[Single Family]]+[1]!Table323[[#This Row],[2-4 Units]]+[1]!Table323[[#This Row],[&gt;4 Units]]</f>
        <v>0</v>
      </c>
      <c r="G733" s="30">
        <v>0</v>
      </c>
      <c r="H733" s="30">
        <v>0</v>
      </c>
      <c r="I733" s="30">
        <v>0</v>
      </c>
      <c r="J733" s="231">
        <v>0</v>
      </c>
      <c r="K733">
        <f t="shared" si="11"/>
        <v>6</v>
      </c>
      <c r="L733" s="30">
        <v>3</v>
      </c>
      <c r="M733" s="30">
        <v>3</v>
      </c>
      <c r="N733" s="30">
        <v>0</v>
      </c>
      <c r="O733" s="231">
        <v>5046.74</v>
      </c>
      <c r="P733" s="97">
        <f>VLOOKUP(Table323[[#This Row],[Census Tract]],'Population and Diversity Data'!$B$2:$K$823,10,FALSE)</f>
        <v>5</v>
      </c>
      <c r="Q733" s="97" t="str">
        <f>VLOOKUP(Table323[[#This Row],[Census Tract]],'ES Energy Burden'!$B$2:$E$914,4,FALSE)</f>
        <v>Yes</v>
      </c>
    </row>
    <row r="734" spans="1:17" x14ac:dyDescent="0.2">
      <c r="A734" s="30" t="s">
        <v>982</v>
      </c>
      <c r="B734" s="169">
        <v>9009350400</v>
      </c>
      <c r="C734" s="232" t="s">
        <v>936</v>
      </c>
      <c r="D734" s="182">
        <v>23221.326240000002</v>
      </c>
      <c r="E734" s="182">
        <v>2982.93</v>
      </c>
      <c r="F734" s="13">
        <f>[1]!Table323[[#This Row],[Single Family]]+[1]!Table323[[#This Row],[2-4 Units]]+[1]!Table323[[#This Row],[&gt;4 Units]]</f>
        <v>0</v>
      </c>
      <c r="G734" s="30">
        <v>0</v>
      </c>
      <c r="H734" s="30">
        <v>0</v>
      </c>
      <c r="I734" s="30">
        <v>0</v>
      </c>
      <c r="J734" s="231">
        <v>0</v>
      </c>
      <c r="K734">
        <f t="shared" si="11"/>
        <v>19</v>
      </c>
      <c r="L734" s="30">
        <v>3</v>
      </c>
      <c r="M734" s="30">
        <v>3</v>
      </c>
      <c r="N734" s="30">
        <v>13</v>
      </c>
      <c r="O734" s="231">
        <v>3563.59</v>
      </c>
      <c r="P734" s="97">
        <f>VLOOKUP(Table323[[#This Row],[Census Tract]],'Population and Diversity Data'!$B$2:$K$823,10,FALSE)</f>
        <v>5</v>
      </c>
      <c r="Q734" s="97" t="str">
        <f>VLOOKUP(Table323[[#This Row],[Census Tract]],'ES Energy Burden'!$B$2:$E$914,4,FALSE)</f>
        <v>Yes</v>
      </c>
    </row>
    <row r="735" spans="1:17" x14ac:dyDescent="0.2">
      <c r="A735" s="30" t="s">
        <v>982</v>
      </c>
      <c r="B735" s="169">
        <v>9009350500</v>
      </c>
      <c r="C735" s="232" t="s">
        <v>936</v>
      </c>
      <c r="D735" s="182">
        <v>20038.37556</v>
      </c>
      <c r="E735" s="182">
        <v>6947.96</v>
      </c>
      <c r="F735" s="13">
        <f>[1]!Table323[[#This Row],[Single Family]]+[1]!Table323[[#This Row],[2-4 Units]]+[1]!Table323[[#This Row],[&gt;4 Units]]</f>
        <v>0</v>
      </c>
      <c r="G735" s="30">
        <v>0</v>
      </c>
      <c r="H735" s="30">
        <v>0</v>
      </c>
      <c r="I735" s="30">
        <v>0</v>
      </c>
      <c r="J735" s="231">
        <v>0</v>
      </c>
      <c r="K735">
        <f t="shared" si="11"/>
        <v>11</v>
      </c>
      <c r="L735" s="30">
        <v>2</v>
      </c>
      <c r="M735" s="30">
        <v>0</v>
      </c>
      <c r="N735" s="30">
        <v>9</v>
      </c>
      <c r="O735" s="231">
        <v>1087.19</v>
      </c>
      <c r="P735" s="97">
        <f>VLOOKUP(Table323[[#This Row],[Census Tract]],'Population and Diversity Data'!$B$2:$K$823,10,FALSE)</f>
        <v>5</v>
      </c>
      <c r="Q735" s="97" t="str">
        <f>VLOOKUP(Table323[[#This Row],[Census Tract]],'ES Energy Burden'!$B$2:$E$914,4,FALSE)</f>
        <v>Yes</v>
      </c>
    </row>
    <row r="736" spans="1:17" x14ac:dyDescent="0.2">
      <c r="A736" s="30" t="s">
        <v>982</v>
      </c>
      <c r="B736" s="169">
        <v>9009350800</v>
      </c>
      <c r="C736" s="232" t="s">
        <v>944</v>
      </c>
      <c r="D736" s="182">
        <v>43880.282900999999</v>
      </c>
      <c r="E736" s="182">
        <v>89050.46</v>
      </c>
      <c r="F736" s="13">
        <f>[1]!Table323[[#This Row],[Single Family]]+[1]!Table323[[#This Row],[2-4 Units]]+[1]!Table323[[#This Row],[&gt;4 Units]]</f>
        <v>0</v>
      </c>
      <c r="G736" s="30">
        <v>0</v>
      </c>
      <c r="H736" s="30">
        <v>0</v>
      </c>
      <c r="I736" s="30">
        <v>0</v>
      </c>
      <c r="J736" s="231">
        <v>354.28</v>
      </c>
      <c r="K736">
        <f t="shared" si="11"/>
        <v>34</v>
      </c>
      <c r="L736" s="30">
        <v>19</v>
      </c>
      <c r="M736" s="30">
        <v>15</v>
      </c>
      <c r="N736" s="30">
        <v>0</v>
      </c>
      <c r="O736" s="231">
        <v>72599.990000000005</v>
      </c>
      <c r="P736" s="97">
        <f>VLOOKUP(Table323[[#This Row],[Census Tract]],'Population and Diversity Data'!$B$2:$K$823,10,FALSE)</f>
        <v>3</v>
      </c>
      <c r="Q736" s="97" t="str">
        <f>VLOOKUP(Table323[[#This Row],[Census Tract]],'ES Energy Burden'!$B$2:$E$914,4,FALSE)</f>
        <v>Yes</v>
      </c>
    </row>
    <row r="737" spans="1:17" x14ac:dyDescent="0.2">
      <c r="A737" s="30" t="s">
        <v>982</v>
      </c>
      <c r="B737" s="169">
        <v>9009350900</v>
      </c>
      <c r="C737" s="232" t="s">
        <v>944</v>
      </c>
      <c r="D737" s="182">
        <v>16708.066409999999</v>
      </c>
      <c r="E737" s="182">
        <v>20847.330000000002</v>
      </c>
      <c r="F737" s="13">
        <f>[1]!Table323[[#This Row],[Single Family]]+[1]!Table323[[#This Row],[2-4 Units]]+[1]!Table323[[#This Row],[&gt;4 Units]]</f>
        <v>1</v>
      </c>
      <c r="G737" s="30">
        <v>1</v>
      </c>
      <c r="H737" s="30">
        <v>0</v>
      </c>
      <c r="I737" s="30">
        <v>0</v>
      </c>
      <c r="J737" s="231">
        <v>5326.2</v>
      </c>
      <c r="K737">
        <f t="shared" si="11"/>
        <v>11</v>
      </c>
      <c r="L737" s="30">
        <v>11</v>
      </c>
      <c r="M737" s="30">
        <v>0</v>
      </c>
      <c r="N737" s="30">
        <v>0</v>
      </c>
      <c r="O737" s="231">
        <v>6455.24</v>
      </c>
      <c r="P737" s="97">
        <f>VLOOKUP(Table323[[#This Row],[Census Tract]],'Population and Diversity Data'!$B$2:$K$823,10,FALSE)</f>
        <v>3</v>
      </c>
      <c r="Q737" s="97" t="str">
        <f>VLOOKUP(Table323[[#This Row],[Census Tract]],'ES Energy Burden'!$B$2:$E$914,4,FALSE)</f>
        <v>No</v>
      </c>
    </row>
    <row r="738" spans="1:17" x14ac:dyDescent="0.2">
      <c r="A738" s="30" t="s">
        <v>982</v>
      </c>
      <c r="B738" s="169">
        <v>9009351000</v>
      </c>
      <c r="C738" s="232" t="s">
        <v>944</v>
      </c>
      <c r="D738" s="182">
        <v>36690.453576</v>
      </c>
      <c r="E738" s="182">
        <v>163625.94</v>
      </c>
      <c r="F738" s="13">
        <f>[1]!Table323[[#This Row],[Single Family]]+[1]!Table323[[#This Row],[2-4 Units]]+[1]!Table323[[#This Row],[&gt;4 Units]]</f>
        <v>0</v>
      </c>
      <c r="G738" s="30">
        <v>0</v>
      </c>
      <c r="H738" s="30">
        <v>0</v>
      </c>
      <c r="I738" s="30">
        <v>0</v>
      </c>
      <c r="J738" s="231">
        <v>10974.75</v>
      </c>
      <c r="K738">
        <f t="shared" si="11"/>
        <v>146</v>
      </c>
      <c r="L738" s="30">
        <v>15</v>
      </c>
      <c r="M738" s="30">
        <v>3</v>
      </c>
      <c r="N738" s="30">
        <v>128</v>
      </c>
      <c r="O738" s="231">
        <v>167070.96</v>
      </c>
      <c r="P738" s="97">
        <f>VLOOKUP(Table323[[#This Row],[Census Tract]],'Population and Diversity Data'!$B$2:$K$823,10,FALSE)</f>
        <v>4</v>
      </c>
      <c r="Q738" s="97" t="str">
        <f>VLOOKUP(Table323[[#This Row],[Census Tract]],'ES Energy Burden'!$B$2:$E$914,4,FALSE)</f>
        <v>No</v>
      </c>
    </row>
    <row r="739" spans="1:17" x14ac:dyDescent="0.2">
      <c r="A739" s="30" t="s">
        <v>982</v>
      </c>
      <c r="B739" s="169">
        <v>9009351100</v>
      </c>
      <c r="C739" s="232" t="s">
        <v>944</v>
      </c>
      <c r="D739" s="182">
        <v>46283.665784999997</v>
      </c>
      <c r="E739" s="182">
        <v>43075.85</v>
      </c>
      <c r="F739" s="13">
        <f>[1]!Table323[[#This Row],[Single Family]]+[1]!Table323[[#This Row],[2-4 Units]]+[1]!Table323[[#This Row],[&gt;4 Units]]</f>
        <v>0</v>
      </c>
      <c r="G739" s="30">
        <v>0</v>
      </c>
      <c r="H739" s="30">
        <v>0</v>
      </c>
      <c r="I739" s="30">
        <v>0</v>
      </c>
      <c r="J739" s="231">
        <v>3378.18</v>
      </c>
      <c r="K739">
        <f t="shared" si="11"/>
        <v>9</v>
      </c>
      <c r="L739" s="30">
        <v>7</v>
      </c>
      <c r="M739" s="30">
        <v>2</v>
      </c>
      <c r="N739" s="30">
        <v>0</v>
      </c>
      <c r="O739" s="231">
        <v>31249.86</v>
      </c>
      <c r="P739" s="97">
        <f>VLOOKUP(Table323[[#This Row],[Census Tract]],'Population and Diversity Data'!$B$2:$K$823,10,FALSE)</f>
        <v>5</v>
      </c>
      <c r="Q739" s="97" t="str">
        <f>VLOOKUP(Table323[[#This Row],[Census Tract]],'ES Energy Burden'!$B$2:$E$914,4,FALSE)</f>
        <v>Yes</v>
      </c>
    </row>
    <row r="740" spans="1:17" x14ac:dyDescent="0.2">
      <c r="A740" s="30" t="s">
        <v>982</v>
      </c>
      <c r="B740" s="169">
        <v>9009351200</v>
      </c>
      <c r="C740" s="232" t="s">
        <v>936</v>
      </c>
      <c r="D740" s="182">
        <v>33042.248316000005</v>
      </c>
      <c r="E740" s="182">
        <v>29954.27</v>
      </c>
      <c r="F740" s="13">
        <f>[1]!Table323[[#This Row],[Single Family]]+[1]!Table323[[#This Row],[2-4 Units]]+[1]!Table323[[#This Row],[&gt;4 Units]]</f>
        <v>0</v>
      </c>
      <c r="G740" s="30">
        <v>0</v>
      </c>
      <c r="H740" s="30">
        <v>0</v>
      </c>
      <c r="I740" s="30">
        <v>0</v>
      </c>
      <c r="J740" s="231">
        <v>0</v>
      </c>
      <c r="K740">
        <f t="shared" si="11"/>
        <v>310</v>
      </c>
      <c r="L740" s="30">
        <v>4</v>
      </c>
      <c r="M740" s="30">
        <v>6</v>
      </c>
      <c r="N740" s="30">
        <v>300</v>
      </c>
      <c r="O740" s="231">
        <v>52006.19</v>
      </c>
      <c r="P740" s="97">
        <f>VLOOKUP(Table323[[#This Row],[Census Tract]],'Population and Diversity Data'!$B$2:$K$823,10,FALSE)</f>
        <v>5</v>
      </c>
      <c r="Q740" s="97" t="str">
        <f>VLOOKUP(Table323[[#This Row],[Census Tract]],'ES Energy Burden'!$B$2:$E$914,4,FALSE)</f>
        <v>Yes</v>
      </c>
    </row>
    <row r="741" spans="1:17" x14ac:dyDescent="0.2">
      <c r="A741" s="30" t="s">
        <v>982</v>
      </c>
      <c r="B741" s="169">
        <v>9009351300</v>
      </c>
      <c r="C741" s="232" t="s">
        <v>944</v>
      </c>
      <c r="D741" s="182">
        <v>42691.258617</v>
      </c>
      <c r="E741" s="182">
        <v>28562.37</v>
      </c>
      <c r="F741" s="13">
        <f>[1]!Table323[[#This Row],[Single Family]]+[1]!Table323[[#This Row],[2-4 Units]]+[1]!Table323[[#This Row],[&gt;4 Units]]</f>
        <v>2</v>
      </c>
      <c r="G741" s="30">
        <v>2</v>
      </c>
      <c r="H741" s="30">
        <v>0</v>
      </c>
      <c r="I741" s="30">
        <v>0</v>
      </c>
      <c r="J741" s="231">
        <v>6220.09</v>
      </c>
      <c r="K741">
        <f t="shared" si="11"/>
        <v>23</v>
      </c>
      <c r="L741" s="30">
        <v>14</v>
      </c>
      <c r="M741" s="30">
        <v>9</v>
      </c>
      <c r="N741" s="30">
        <v>0</v>
      </c>
      <c r="O741" s="231">
        <v>13226.95</v>
      </c>
      <c r="P741" s="97">
        <f>VLOOKUP(Table323[[#This Row],[Census Tract]],'Population and Diversity Data'!$B$2:$K$823,10,FALSE)</f>
        <v>5</v>
      </c>
      <c r="Q741" s="97" t="str">
        <f>VLOOKUP(Table323[[#This Row],[Census Tract]],'ES Energy Burden'!$B$2:$E$914,4,FALSE)</f>
        <v>Yes</v>
      </c>
    </row>
    <row r="742" spans="1:17" x14ac:dyDescent="0.2">
      <c r="A742" s="30" t="s">
        <v>982</v>
      </c>
      <c r="B742" s="169">
        <v>9009351400</v>
      </c>
      <c r="C742" s="232" t="s">
        <v>944</v>
      </c>
      <c r="D742" s="182">
        <v>31006.797927000003</v>
      </c>
      <c r="E742" s="182">
        <v>18242.98</v>
      </c>
      <c r="F742" s="13">
        <f>[1]!Table323[[#This Row],[Single Family]]+[1]!Table323[[#This Row],[2-4 Units]]+[1]!Table323[[#This Row],[&gt;4 Units]]</f>
        <v>1</v>
      </c>
      <c r="G742" s="30">
        <v>1</v>
      </c>
      <c r="H742" s="30">
        <v>0</v>
      </c>
      <c r="I742" s="30">
        <v>0</v>
      </c>
      <c r="J742" s="231">
        <v>190.07</v>
      </c>
      <c r="K742">
        <f t="shared" si="11"/>
        <v>452</v>
      </c>
      <c r="L742" s="30">
        <v>9</v>
      </c>
      <c r="M742" s="30">
        <v>6</v>
      </c>
      <c r="N742" s="30">
        <v>437</v>
      </c>
      <c r="O742" s="231">
        <v>7811.56</v>
      </c>
      <c r="P742" s="97">
        <f>VLOOKUP(Table323[[#This Row],[Census Tract]],'Population and Diversity Data'!$B$2:$K$823,10,FALSE)</f>
        <v>5</v>
      </c>
      <c r="Q742" s="97" t="str">
        <f>VLOOKUP(Table323[[#This Row],[Census Tract]],'ES Energy Burden'!$B$2:$E$914,4,FALSE)</f>
        <v>Yes</v>
      </c>
    </row>
    <row r="743" spans="1:17" x14ac:dyDescent="0.2">
      <c r="A743" s="30" t="s">
        <v>982</v>
      </c>
      <c r="B743" s="169">
        <v>9009351500</v>
      </c>
      <c r="C743" s="232" t="s">
        <v>944</v>
      </c>
      <c r="D743" s="182">
        <v>596771.44550100004</v>
      </c>
      <c r="E743" s="182">
        <v>1611142.2975000001</v>
      </c>
      <c r="F743" s="13">
        <f>[1]!Table323[[#This Row],[Single Family]]+[1]!Table323[[#This Row],[2-4 Units]]+[1]!Table323[[#This Row],[&gt;4 Units]]</f>
        <v>1</v>
      </c>
      <c r="G743" s="30">
        <v>1</v>
      </c>
      <c r="H743" s="30">
        <v>0</v>
      </c>
      <c r="I743" s="30">
        <v>0</v>
      </c>
      <c r="J743" s="231">
        <v>4573.1400000000003</v>
      </c>
      <c r="K743">
        <f t="shared" si="11"/>
        <v>150</v>
      </c>
      <c r="L743" s="30">
        <v>13</v>
      </c>
      <c r="M743" s="30">
        <v>0</v>
      </c>
      <c r="N743" s="30">
        <v>137</v>
      </c>
      <c r="O743" s="231">
        <v>35028.17</v>
      </c>
      <c r="P743" s="97">
        <f>VLOOKUP(Table323[[#This Row],[Census Tract]],'Population and Diversity Data'!$B$2:$K$823,10,FALSE)</f>
        <v>5</v>
      </c>
      <c r="Q743" s="97" t="str">
        <f>VLOOKUP(Table323[[#This Row],[Census Tract]],'ES Energy Burden'!$B$2:$E$914,4,FALSE)</f>
        <v>No</v>
      </c>
    </row>
    <row r="744" spans="1:17" x14ac:dyDescent="0.2">
      <c r="A744" s="30" t="s">
        <v>982</v>
      </c>
      <c r="B744" s="169">
        <v>9009351601</v>
      </c>
      <c r="C744" s="232" t="s">
        <v>944</v>
      </c>
      <c r="D744" s="182">
        <v>30895.346160000001</v>
      </c>
      <c r="E744" s="182">
        <v>118713.64</v>
      </c>
      <c r="F744" s="13">
        <f>[1]!Table323[[#This Row],[Single Family]]+[1]!Table323[[#This Row],[2-4 Units]]+[1]!Table323[[#This Row],[&gt;4 Units]]</f>
        <v>0</v>
      </c>
      <c r="G744" s="30">
        <v>0</v>
      </c>
      <c r="H744" s="30">
        <v>0</v>
      </c>
      <c r="I744" s="30">
        <v>0</v>
      </c>
      <c r="J744" s="231">
        <v>13.18</v>
      </c>
      <c r="K744">
        <f t="shared" si="11"/>
        <v>11</v>
      </c>
      <c r="L744" s="30">
        <v>9</v>
      </c>
      <c r="M744" s="30">
        <v>2</v>
      </c>
      <c r="N744" s="30">
        <v>0</v>
      </c>
      <c r="O744" s="231">
        <v>95449.68</v>
      </c>
      <c r="P744" s="97">
        <f>VLOOKUP(Table323[[#This Row],[Census Tract]],'Population and Diversity Data'!$B$2:$K$823,10,FALSE)</f>
        <v>3</v>
      </c>
      <c r="Q744" s="97" t="str">
        <f>VLOOKUP(Table323[[#This Row],[Census Tract]],'ES Energy Burden'!$B$2:$E$914,4,FALSE)</f>
        <v>Yes</v>
      </c>
    </row>
    <row r="745" spans="1:17" x14ac:dyDescent="0.2">
      <c r="A745" s="30" t="s">
        <v>982</v>
      </c>
      <c r="B745" s="169">
        <v>9009351602</v>
      </c>
      <c r="C745" s="232" t="s">
        <v>944</v>
      </c>
      <c r="D745" s="182">
        <v>74318.513030999995</v>
      </c>
      <c r="E745" s="182">
        <v>162698.62</v>
      </c>
      <c r="F745" s="13">
        <f>[1]!Table323[[#This Row],[Single Family]]+[1]!Table323[[#This Row],[2-4 Units]]+[1]!Table323[[#This Row],[&gt;4 Units]]</f>
        <v>420</v>
      </c>
      <c r="G745" s="30">
        <v>401</v>
      </c>
      <c r="H745" s="30">
        <v>19</v>
      </c>
      <c r="I745" s="30">
        <v>0</v>
      </c>
      <c r="J745" s="231">
        <v>457160.44</v>
      </c>
      <c r="K745">
        <f t="shared" si="11"/>
        <v>405</v>
      </c>
      <c r="L745" s="30">
        <v>318</v>
      </c>
      <c r="M745" s="30">
        <v>87</v>
      </c>
      <c r="N745" s="30">
        <v>0</v>
      </c>
      <c r="O745" s="231">
        <v>1283298.77</v>
      </c>
      <c r="P745" s="97">
        <f>VLOOKUP(Table323[[#This Row],[Census Tract]],'Population and Diversity Data'!$B$2:$K$823,10,FALSE)</f>
        <v>1</v>
      </c>
      <c r="Q745" s="97" t="str">
        <f>VLOOKUP(Table323[[#This Row],[Census Tract]],'ES Energy Burden'!$B$2:$E$914,4,FALSE)</f>
        <v>No</v>
      </c>
    </row>
    <row r="746" spans="1:17" x14ac:dyDescent="0.2">
      <c r="A746" s="30" t="s">
        <v>982</v>
      </c>
      <c r="B746" s="169">
        <v>9009351700</v>
      </c>
      <c r="C746" s="232" t="s">
        <v>936</v>
      </c>
      <c r="D746" s="182">
        <v>23698.46745</v>
      </c>
      <c r="E746" s="182">
        <v>33062.53</v>
      </c>
      <c r="F746" s="13">
        <f>[1]!Table323[[#This Row],[Single Family]]+[1]!Table323[[#This Row],[2-4 Units]]+[1]!Table323[[#This Row],[&gt;4 Units]]</f>
        <v>0</v>
      </c>
      <c r="G746" s="30">
        <v>0</v>
      </c>
      <c r="H746" s="30">
        <v>0</v>
      </c>
      <c r="I746" s="30">
        <v>0</v>
      </c>
      <c r="J746" s="231">
        <v>0</v>
      </c>
      <c r="K746">
        <f t="shared" si="11"/>
        <v>10</v>
      </c>
      <c r="L746" s="30">
        <v>5</v>
      </c>
      <c r="M746" s="30">
        <v>5</v>
      </c>
      <c r="N746" s="30">
        <v>0</v>
      </c>
      <c r="O746" s="231">
        <v>53955.94</v>
      </c>
      <c r="P746" s="97">
        <f>VLOOKUP(Table323[[#This Row],[Census Tract]],'Population and Diversity Data'!$B$2:$K$823,10,FALSE)</f>
        <v>3</v>
      </c>
      <c r="Q746" s="97" t="str">
        <f>VLOOKUP(Table323[[#This Row],[Census Tract]],'ES Energy Burden'!$B$2:$E$914,4,FALSE)</f>
        <v>Yes</v>
      </c>
    </row>
    <row r="747" spans="1:17" x14ac:dyDescent="0.2">
      <c r="A747" s="30" t="s">
        <v>982</v>
      </c>
      <c r="B747" s="169">
        <v>9009351800</v>
      </c>
      <c r="C747" s="232" t="s">
        <v>944</v>
      </c>
      <c r="D747" s="182">
        <v>43962.579339000004</v>
      </c>
      <c r="E747" s="182">
        <v>32703.31</v>
      </c>
      <c r="F747" s="13">
        <f>[1]!Table323[[#This Row],[Single Family]]+[1]!Table323[[#This Row],[2-4 Units]]+[1]!Table323[[#This Row],[&gt;4 Units]]</f>
        <v>0</v>
      </c>
      <c r="G747" s="30">
        <v>0</v>
      </c>
      <c r="H747" s="30">
        <v>0</v>
      </c>
      <c r="I747" s="30">
        <v>0</v>
      </c>
      <c r="J747" s="231">
        <v>11446.72</v>
      </c>
      <c r="K747">
        <f t="shared" si="11"/>
        <v>10</v>
      </c>
      <c r="L747" s="30">
        <v>4</v>
      </c>
      <c r="M747" s="30">
        <v>6</v>
      </c>
      <c r="N747" s="30">
        <v>0</v>
      </c>
      <c r="O747" s="231">
        <v>13314.69</v>
      </c>
      <c r="P747" s="97">
        <f>VLOOKUP(Table323[[#This Row],[Census Tract]],'Population and Diversity Data'!$B$2:$K$823,10,FALSE)</f>
        <v>3</v>
      </c>
      <c r="Q747" s="97" t="str">
        <f>VLOOKUP(Table323[[#This Row],[Census Tract]],'ES Energy Burden'!$B$2:$E$914,4,FALSE)</f>
        <v>No</v>
      </c>
    </row>
    <row r="748" spans="1:17" x14ac:dyDescent="0.2">
      <c r="A748" s="30" t="s">
        <v>982</v>
      </c>
      <c r="B748" s="169">
        <v>9009351900</v>
      </c>
      <c r="C748" s="232" t="s">
        <v>944</v>
      </c>
      <c r="D748" s="182">
        <v>25884.690636000003</v>
      </c>
      <c r="E748" s="182">
        <v>43030.07</v>
      </c>
      <c r="F748" s="13">
        <f>[1]!Table323[[#This Row],[Single Family]]+[1]!Table323[[#This Row],[2-4 Units]]+[1]!Table323[[#This Row],[&gt;4 Units]]</f>
        <v>1</v>
      </c>
      <c r="G748" s="30">
        <v>1</v>
      </c>
      <c r="H748" s="30">
        <v>0</v>
      </c>
      <c r="I748" s="30">
        <v>0</v>
      </c>
      <c r="J748" s="231">
        <v>11079.15</v>
      </c>
      <c r="K748">
        <f t="shared" si="11"/>
        <v>3</v>
      </c>
      <c r="L748" s="30">
        <v>3</v>
      </c>
      <c r="M748" s="30">
        <v>0</v>
      </c>
      <c r="N748" s="30">
        <v>0</v>
      </c>
      <c r="O748" s="231">
        <v>8210.39</v>
      </c>
      <c r="P748" s="97">
        <f>VLOOKUP(Table323[[#This Row],[Census Tract]],'Population and Diversity Data'!$B$2:$K$823,10,FALSE)</f>
        <v>4</v>
      </c>
      <c r="Q748" s="97" t="str">
        <f>VLOOKUP(Table323[[#This Row],[Census Tract]],'ES Energy Burden'!$B$2:$E$914,4,FALSE)</f>
        <v>No</v>
      </c>
    </row>
    <row r="749" spans="1:17" x14ac:dyDescent="0.2">
      <c r="A749" s="30" t="s">
        <v>982</v>
      </c>
      <c r="B749" s="169">
        <v>9009352000</v>
      </c>
      <c r="C749" s="232" t="s">
        <v>944</v>
      </c>
      <c r="D749" s="182">
        <v>48736.955610000005</v>
      </c>
      <c r="E749" s="182">
        <v>38986.54</v>
      </c>
      <c r="F749" s="13">
        <f>[1]!Table323[[#This Row],[Single Family]]+[1]!Table323[[#This Row],[2-4 Units]]+[1]!Table323[[#This Row],[&gt;4 Units]]</f>
        <v>2</v>
      </c>
      <c r="G749" s="30">
        <v>2</v>
      </c>
      <c r="H749" s="30">
        <v>0</v>
      </c>
      <c r="I749" s="30">
        <v>0</v>
      </c>
      <c r="J749" s="231">
        <v>5811.08</v>
      </c>
      <c r="K749">
        <f t="shared" si="11"/>
        <v>20</v>
      </c>
      <c r="L749" s="30">
        <v>19</v>
      </c>
      <c r="M749" s="30">
        <v>1</v>
      </c>
      <c r="N749" s="30">
        <v>0</v>
      </c>
      <c r="O749" s="231">
        <v>14198.8</v>
      </c>
      <c r="P749" s="97">
        <f>VLOOKUP(Table323[[#This Row],[Census Tract]],'Population and Diversity Data'!$B$2:$K$823,10,FALSE)</f>
        <v>4</v>
      </c>
      <c r="Q749" s="97" t="str">
        <f>VLOOKUP(Table323[[#This Row],[Census Tract]],'ES Energy Burden'!$B$2:$E$914,4,FALSE)</f>
        <v>No</v>
      </c>
    </row>
    <row r="750" spans="1:17" x14ac:dyDescent="0.2">
      <c r="A750" s="30" t="s">
        <v>982</v>
      </c>
      <c r="B750" s="169">
        <v>9009352100</v>
      </c>
      <c r="C750" s="232" t="s">
        <v>936</v>
      </c>
      <c r="D750" s="182">
        <v>38439.535680000001</v>
      </c>
      <c r="E750" s="182">
        <v>48254.43</v>
      </c>
      <c r="F750" s="13">
        <f>[1]!Table323[[#This Row],[Single Family]]+[1]!Table323[[#This Row],[2-4 Units]]+[1]!Table323[[#This Row],[&gt;4 Units]]</f>
        <v>0</v>
      </c>
      <c r="G750" s="30">
        <v>0</v>
      </c>
      <c r="H750" s="30">
        <v>0</v>
      </c>
      <c r="I750" s="30">
        <v>0</v>
      </c>
      <c r="J750" s="231">
        <v>1553.19</v>
      </c>
      <c r="K750">
        <f t="shared" si="11"/>
        <v>175</v>
      </c>
      <c r="L750" s="30">
        <v>8</v>
      </c>
      <c r="M750" s="30">
        <v>3</v>
      </c>
      <c r="N750" s="30">
        <v>164</v>
      </c>
      <c r="O750" s="231">
        <v>40894.410000000003</v>
      </c>
      <c r="P750" s="97">
        <f>VLOOKUP(Table323[[#This Row],[Census Tract]],'Population and Diversity Data'!$B$2:$K$823,10,FALSE)</f>
        <v>2</v>
      </c>
      <c r="Q750" s="97" t="str">
        <f>VLOOKUP(Table323[[#This Row],[Census Tract]],'ES Energy Burden'!$B$2:$E$914,4,FALSE)</f>
        <v>No</v>
      </c>
    </row>
    <row r="751" spans="1:17" x14ac:dyDescent="0.2">
      <c r="A751" s="30" t="s">
        <v>982</v>
      </c>
      <c r="B751" s="169">
        <v>9009352200</v>
      </c>
      <c r="C751" s="232" t="s">
        <v>944</v>
      </c>
      <c r="D751" s="182">
        <v>19370.41071</v>
      </c>
      <c r="E751" s="182">
        <v>5523.22</v>
      </c>
      <c r="F751" s="13">
        <f>[1]!Table323[[#This Row],[Single Family]]+[1]!Table323[[#This Row],[2-4 Units]]+[1]!Table323[[#This Row],[&gt;4 Units]]</f>
        <v>0</v>
      </c>
      <c r="G751" s="30">
        <v>0</v>
      </c>
      <c r="H751" s="30">
        <v>0</v>
      </c>
      <c r="I751" s="30">
        <v>0</v>
      </c>
      <c r="J751" s="231">
        <v>0</v>
      </c>
      <c r="K751">
        <f t="shared" si="11"/>
        <v>6</v>
      </c>
      <c r="L751" s="30">
        <v>3</v>
      </c>
      <c r="M751" s="30">
        <v>3</v>
      </c>
      <c r="N751" s="30">
        <v>0</v>
      </c>
      <c r="O751" s="231">
        <v>36964.74</v>
      </c>
      <c r="P751" s="97">
        <f>VLOOKUP(Table323[[#This Row],[Census Tract]],'Population and Diversity Data'!$B$2:$K$823,10,FALSE)</f>
        <v>4</v>
      </c>
      <c r="Q751" s="97" t="str">
        <f>VLOOKUP(Table323[[#This Row],[Census Tract]],'ES Energy Burden'!$B$2:$E$914,4,FALSE)</f>
        <v>Yes</v>
      </c>
    </row>
    <row r="752" spans="1:17" x14ac:dyDescent="0.2">
      <c r="A752" s="30" t="s">
        <v>982</v>
      </c>
      <c r="B752" s="169">
        <v>9009352300</v>
      </c>
      <c r="C752" s="232" t="s">
        <v>944</v>
      </c>
      <c r="D752" s="182">
        <v>22892.527854</v>
      </c>
      <c r="E752" s="182">
        <v>24175.97</v>
      </c>
      <c r="F752" s="13">
        <f>[1]!Table323[[#This Row],[Single Family]]+[1]!Table323[[#This Row],[2-4 Units]]+[1]!Table323[[#This Row],[&gt;4 Units]]</f>
        <v>2</v>
      </c>
      <c r="G752" s="30">
        <v>2</v>
      </c>
      <c r="H752" s="30">
        <v>0</v>
      </c>
      <c r="I752" s="30">
        <v>0</v>
      </c>
      <c r="J752" s="231">
        <v>4.9000000000000004</v>
      </c>
      <c r="K752">
        <f t="shared" si="11"/>
        <v>9</v>
      </c>
      <c r="L752" s="30">
        <v>8</v>
      </c>
      <c r="M752" s="30">
        <v>1</v>
      </c>
      <c r="N752" s="30">
        <v>0</v>
      </c>
      <c r="O752" s="231">
        <v>8049.71</v>
      </c>
      <c r="P752" s="97">
        <f>VLOOKUP(Table323[[#This Row],[Census Tract]],'Population and Diversity Data'!$B$2:$K$823,10,FALSE)</f>
        <v>2</v>
      </c>
      <c r="Q752" s="97" t="str">
        <f>VLOOKUP(Table323[[#This Row],[Census Tract]],'ES Energy Burden'!$B$2:$E$914,4,FALSE)</f>
        <v>Yes</v>
      </c>
    </row>
    <row r="753" spans="1:17" x14ac:dyDescent="0.2">
      <c r="A753" s="30" t="s">
        <v>982</v>
      </c>
      <c r="B753" s="169">
        <v>9009352400</v>
      </c>
      <c r="C753" s="232" t="s">
        <v>944</v>
      </c>
      <c r="D753" s="182">
        <v>38637.741974999997</v>
      </c>
      <c r="E753" s="182">
        <v>72312.13</v>
      </c>
      <c r="F753" s="13">
        <f>[1]!Table323[[#This Row],[Single Family]]+[1]!Table323[[#This Row],[2-4 Units]]+[1]!Table323[[#This Row],[&gt;4 Units]]</f>
        <v>2</v>
      </c>
      <c r="G753" s="30">
        <v>1</v>
      </c>
      <c r="H753" s="30">
        <v>1</v>
      </c>
      <c r="I753" s="30">
        <v>0</v>
      </c>
      <c r="J753" s="231">
        <v>1781.1</v>
      </c>
      <c r="K753">
        <f t="shared" si="11"/>
        <v>8</v>
      </c>
      <c r="L753" s="30">
        <v>8</v>
      </c>
      <c r="M753" s="30">
        <v>0</v>
      </c>
      <c r="N753" s="30">
        <v>0</v>
      </c>
      <c r="O753" s="231">
        <v>57192.63</v>
      </c>
      <c r="P753" s="97">
        <f>VLOOKUP(Table323[[#This Row],[Census Tract]],'Population and Diversity Data'!$B$2:$K$823,10,FALSE)</f>
        <v>4</v>
      </c>
      <c r="Q753" s="97" t="str">
        <f>VLOOKUP(Table323[[#This Row],[Census Tract]],'ES Energy Burden'!$B$2:$E$914,4,FALSE)</f>
        <v>Yes</v>
      </c>
    </row>
    <row r="754" spans="1:17" x14ac:dyDescent="0.2">
      <c r="A754" s="30" t="s">
        <v>982</v>
      </c>
      <c r="B754" s="169">
        <v>9009352500</v>
      </c>
      <c r="C754" s="232" t="s">
        <v>944</v>
      </c>
      <c r="D754" s="182">
        <v>38768.454333000001</v>
      </c>
      <c r="E754" s="182">
        <v>72973.83</v>
      </c>
      <c r="F754" s="13">
        <f>[1]!Table323[[#This Row],[Single Family]]+[1]!Table323[[#This Row],[2-4 Units]]+[1]!Table323[[#This Row],[&gt;4 Units]]</f>
        <v>0</v>
      </c>
      <c r="G754" s="30">
        <v>0</v>
      </c>
      <c r="H754" s="30">
        <v>0</v>
      </c>
      <c r="I754" s="30">
        <v>0</v>
      </c>
      <c r="J754" s="231">
        <v>3434.04</v>
      </c>
      <c r="K754">
        <f t="shared" si="11"/>
        <v>10</v>
      </c>
      <c r="L754" s="30">
        <v>9</v>
      </c>
      <c r="M754" s="30">
        <v>1</v>
      </c>
      <c r="N754" s="30">
        <v>0</v>
      </c>
      <c r="O754" s="231">
        <v>46660.97</v>
      </c>
      <c r="P754" s="97">
        <f>VLOOKUP(Table323[[#This Row],[Census Tract]],'Population and Diversity Data'!$B$2:$K$823,10,FALSE)</f>
        <v>3</v>
      </c>
      <c r="Q754" s="97" t="str">
        <f>VLOOKUP(Table323[[#This Row],[Census Tract]],'ES Energy Burden'!$B$2:$E$914,4,FALSE)</f>
        <v>No</v>
      </c>
    </row>
    <row r="755" spans="1:17" x14ac:dyDescent="0.2">
      <c r="A755" s="30" t="s">
        <v>982</v>
      </c>
      <c r="B755" s="169">
        <v>9009352600</v>
      </c>
      <c r="C755" s="232" t="s">
        <v>944</v>
      </c>
      <c r="D755" s="182">
        <v>57566.171459999998</v>
      </c>
      <c r="E755" s="182">
        <v>54329.26</v>
      </c>
      <c r="F755" s="13">
        <f>[1]!Table323[[#This Row],[Single Family]]+[1]!Table323[[#This Row],[2-4 Units]]+[1]!Table323[[#This Row],[&gt;4 Units]]</f>
        <v>1</v>
      </c>
      <c r="G755" s="30">
        <v>1</v>
      </c>
      <c r="H755" s="30">
        <v>0</v>
      </c>
      <c r="I755" s="30">
        <v>0</v>
      </c>
      <c r="J755" s="231">
        <v>7389.17</v>
      </c>
      <c r="K755">
        <f t="shared" si="11"/>
        <v>17</v>
      </c>
      <c r="L755" s="30">
        <v>11</v>
      </c>
      <c r="M755" s="30">
        <v>6</v>
      </c>
      <c r="N755" s="30">
        <v>0</v>
      </c>
      <c r="O755" s="231">
        <v>22923.51</v>
      </c>
      <c r="P755" s="97">
        <f>VLOOKUP(Table323[[#This Row],[Census Tract]],'Population and Diversity Data'!$B$2:$K$823,10,FALSE)</f>
        <v>3</v>
      </c>
      <c r="Q755" s="97" t="str">
        <f>VLOOKUP(Table323[[#This Row],[Census Tract]],'ES Energy Burden'!$B$2:$E$914,4,FALSE)</f>
        <v>Yes</v>
      </c>
    </row>
    <row r="756" spans="1:17" x14ac:dyDescent="0.2">
      <c r="A756" s="30" t="s">
        <v>982</v>
      </c>
      <c r="B756" s="169">
        <v>9009352701</v>
      </c>
      <c r="C756" s="232" t="s">
        <v>944</v>
      </c>
      <c r="D756" s="182">
        <v>23961.671054999999</v>
      </c>
      <c r="E756" s="182">
        <v>3889.29</v>
      </c>
      <c r="F756" s="13">
        <f>[1]!Table323[[#This Row],[Single Family]]+[1]!Table323[[#This Row],[2-4 Units]]+[1]!Table323[[#This Row],[&gt;4 Units]]</f>
        <v>0</v>
      </c>
      <c r="G756" s="30">
        <v>0</v>
      </c>
      <c r="H756" s="30">
        <v>0</v>
      </c>
      <c r="I756" s="30">
        <v>0</v>
      </c>
      <c r="J756" s="231">
        <v>0</v>
      </c>
      <c r="K756">
        <f t="shared" si="11"/>
        <v>4</v>
      </c>
      <c r="L756" s="30">
        <v>2</v>
      </c>
      <c r="M756" s="30">
        <v>2</v>
      </c>
      <c r="N756" s="30">
        <v>0</v>
      </c>
      <c r="O756" s="231">
        <v>1947.94</v>
      </c>
      <c r="P756" s="97">
        <f>VLOOKUP(Table323[[#This Row],[Census Tract]],'Population and Diversity Data'!$B$2:$K$823,10,FALSE)</f>
        <v>4</v>
      </c>
      <c r="Q756" s="97" t="str">
        <f>VLOOKUP(Table323[[#This Row],[Census Tract]],'ES Energy Burden'!$B$2:$E$914,4,FALSE)</f>
        <v>Yes</v>
      </c>
    </row>
    <row r="757" spans="1:17" x14ac:dyDescent="0.2">
      <c r="A757" s="30" t="s">
        <v>982</v>
      </c>
      <c r="B757" s="169">
        <v>9009352702</v>
      </c>
      <c r="C757" s="232" t="s">
        <v>944</v>
      </c>
      <c r="D757" s="182">
        <v>65231.542299000008</v>
      </c>
      <c r="E757" s="182">
        <v>139502.82</v>
      </c>
      <c r="F757" s="13">
        <f>[1]!Table323[[#This Row],[Single Family]]+[1]!Table323[[#This Row],[2-4 Units]]+[1]!Table323[[#This Row],[&gt;4 Units]]</f>
        <v>1</v>
      </c>
      <c r="G757" s="30">
        <v>1</v>
      </c>
      <c r="H757" s="30">
        <v>0</v>
      </c>
      <c r="I757" s="30">
        <v>0</v>
      </c>
      <c r="J757" s="231">
        <v>23097.26</v>
      </c>
      <c r="K757">
        <f t="shared" si="11"/>
        <v>117</v>
      </c>
      <c r="L757" s="30">
        <v>8</v>
      </c>
      <c r="M757" s="30">
        <v>9</v>
      </c>
      <c r="N757" s="30">
        <v>100</v>
      </c>
      <c r="O757" s="231">
        <v>106381.89</v>
      </c>
      <c r="P757" s="97">
        <f>VLOOKUP(Table323[[#This Row],[Census Tract]],'Population and Diversity Data'!$B$2:$K$823,10,FALSE)</f>
        <v>4</v>
      </c>
      <c r="Q757" s="97" t="str">
        <f>VLOOKUP(Table323[[#This Row],[Census Tract]],'ES Energy Burden'!$B$2:$E$914,4,FALSE)</f>
        <v>No</v>
      </c>
    </row>
    <row r="758" spans="1:17" x14ac:dyDescent="0.2">
      <c r="A758" s="30" t="s">
        <v>982</v>
      </c>
      <c r="B758" s="169">
        <v>9009352800</v>
      </c>
      <c r="C758" s="232" t="s">
        <v>944</v>
      </c>
      <c r="D758" s="182">
        <v>57099.472227000006</v>
      </c>
      <c r="E758" s="182">
        <v>108308.37</v>
      </c>
      <c r="F758" s="13">
        <f>[1]!Table323[[#This Row],[Single Family]]+[1]!Table323[[#This Row],[2-4 Units]]+[1]!Table323[[#This Row],[&gt;4 Units]]</f>
        <v>0</v>
      </c>
      <c r="G758" s="30">
        <v>0</v>
      </c>
      <c r="H758" s="30">
        <v>0</v>
      </c>
      <c r="I758" s="30">
        <v>0</v>
      </c>
      <c r="J758" s="231">
        <v>40842.28</v>
      </c>
      <c r="K758">
        <f t="shared" si="11"/>
        <v>73</v>
      </c>
      <c r="L758" s="30">
        <v>11</v>
      </c>
      <c r="M758" s="30">
        <v>5</v>
      </c>
      <c r="N758" s="30">
        <v>57</v>
      </c>
      <c r="O758" s="231">
        <v>35268.69</v>
      </c>
      <c r="P758" s="97">
        <f>VLOOKUP(Table323[[#This Row],[Census Tract]],'Population and Diversity Data'!$B$2:$K$823,10,FALSE)</f>
        <v>5</v>
      </c>
      <c r="Q758" s="97" t="str">
        <f>VLOOKUP(Table323[[#This Row],[Census Tract]],'ES Energy Burden'!$B$2:$E$914,4,FALSE)</f>
        <v>No</v>
      </c>
    </row>
    <row r="759" spans="1:17" x14ac:dyDescent="0.2">
      <c r="A759" s="30" t="s">
        <v>982</v>
      </c>
      <c r="B759" s="169">
        <v>9009361100</v>
      </c>
      <c r="C759" s="232" t="s">
        <v>944</v>
      </c>
      <c r="D759" s="182">
        <v>292.78010999999998</v>
      </c>
      <c r="E759" s="182">
        <v>0</v>
      </c>
      <c r="F759" s="13">
        <f>[1]!Table323[[#This Row],[Single Family]]+[1]!Table323[[#This Row],[2-4 Units]]+[1]!Table323[[#This Row],[&gt;4 Units]]</f>
        <v>0</v>
      </c>
      <c r="G759" s="30">
        <v>0</v>
      </c>
      <c r="H759" s="30">
        <v>0</v>
      </c>
      <c r="I759" s="30">
        <v>0</v>
      </c>
      <c r="J759" s="231">
        <v>0</v>
      </c>
      <c r="K759">
        <f t="shared" si="11"/>
        <v>0</v>
      </c>
      <c r="L759" s="30">
        <v>0</v>
      </c>
      <c r="M759" s="30">
        <v>0</v>
      </c>
      <c r="N759" s="30">
        <v>0</v>
      </c>
      <c r="O759" s="231">
        <v>0</v>
      </c>
      <c r="P759" s="97">
        <f>VLOOKUP(Table323[[#This Row],[Census Tract]],'Population and Diversity Data'!$B$2:$K$823,10,FALSE)</f>
        <v>2</v>
      </c>
      <c r="Q759" s="97" t="str">
        <f>VLOOKUP(Table323[[#This Row],[Census Tract]],'ES Energy Burden'!$B$2:$E$914,4,FALSE)</f>
        <v>No</v>
      </c>
    </row>
    <row r="760" spans="1:17" x14ac:dyDescent="0.2">
      <c r="A760" s="30" t="s">
        <v>2858</v>
      </c>
      <c r="B760" s="169">
        <v>9011690300</v>
      </c>
      <c r="C760" s="232" t="s">
        <v>944</v>
      </c>
      <c r="D760" s="182">
        <v>26.410440000000001</v>
      </c>
      <c r="E760" s="182">
        <v>19380.12</v>
      </c>
      <c r="F760" s="13">
        <f>[1]!Table323[[#This Row],[Single Family]]+[1]!Table323[[#This Row],[2-4 Units]]+[1]!Table323[[#This Row],[&gt;4 Units]]</f>
        <v>0</v>
      </c>
      <c r="G760" s="30">
        <v>0</v>
      </c>
      <c r="H760" s="30">
        <v>0</v>
      </c>
      <c r="I760" s="30">
        <v>0</v>
      </c>
      <c r="J760" s="231">
        <v>0</v>
      </c>
      <c r="K760">
        <f t="shared" si="11"/>
        <v>0</v>
      </c>
      <c r="L760" s="30">
        <v>0</v>
      </c>
      <c r="M760" s="30">
        <v>0</v>
      </c>
      <c r="N760" s="30">
        <v>0</v>
      </c>
      <c r="O760" s="231">
        <v>0</v>
      </c>
      <c r="P760" s="97">
        <f>VLOOKUP(Table323[[#This Row],[Census Tract]],'Population and Diversity Data'!$B$2:$K$823,10,FALSE)</f>
        <v>5</v>
      </c>
      <c r="Q760" s="97" t="str">
        <f>VLOOKUP(Table323[[#This Row],[Census Tract]],'ES Energy Burden'!$B$2:$E$914,4,FALSE)</f>
        <v>No</v>
      </c>
    </row>
    <row r="761" spans="1:17" x14ac:dyDescent="0.2">
      <c r="A761" s="30" t="s">
        <v>2858</v>
      </c>
      <c r="B761" s="169">
        <v>9011693300</v>
      </c>
      <c r="C761" s="232" t="s">
        <v>944</v>
      </c>
      <c r="D761" s="182">
        <v>188488.64073899999</v>
      </c>
      <c r="E761" s="182">
        <v>385602.36</v>
      </c>
      <c r="F761" s="13">
        <f>[1]!Table323[[#This Row],[Single Family]]+[1]!Table323[[#This Row],[2-4 Units]]+[1]!Table323[[#This Row],[&gt;4 Units]]</f>
        <v>1</v>
      </c>
      <c r="G761" s="30">
        <v>1</v>
      </c>
      <c r="H761" s="30">
        <v>0</v>
      </c>
      <c r="I761" s="30">
        <v>0</v>
      </c>
      <c r="J761" s="231">
        <v>20808.150000000001</v>
      </c>
      <c r="K761">
        <f t="shared" si="11"/>
        <v>1</v>
      </c>
      <c r="L761" s="30">
        <v>0</v>
      </c>
      <c r="M761" s="30">
        <v>1</v>
      </c>
      <c r="N761" s="30">
        <v>0</v>
      </c>
      <c r="O761" s="231">
        <v>564.57000000000005</v>
      </c>
      <c r="P761" s="97">
        <f>VLOOKUP(Table323[[#This Row],[Census Tract]],'Population and Diversity Data'!$B$2:$K$823,10,FALSE)</f>
        <v>4</v>
      </c>
      <c r="Q761" s="97" t="str">
        <f>VLOOKUP(Table323[[#This Row],[Census Tract]],'ES Energy Burden'!$B$2:$E$914,4,FALSE)</f>
        <v>No</v>
      </c>
    </row>
    <row r="762" spans="1:17" x14ac:dyDescent="0.2">
      <c r="A762" s="30" t="s">
        <v>2858</v>
      </c>
      <c r="B762" s="169">
        <v>9011693400</v>
      </c>
      <c r="C762" s="232" t="s">
        <v>944</v>
      </c>
      <c r="D762" s="182">
        <v>45235.504587000003</v>
      </c>
      <c r="E762" s="182">
        <v>38042.25</v>
      </c>
      <c r="F762" s="13">
        <f>[1]!Table323[[#This Row],[Single Family]]+[1]!Table323[[#This Row],[2-4 Units]]+[1]!Table323[[#This Row],[&gt;4 Units]]</f>
        <v>0</v>
      </c>
      <c r="G762" s="30">
        <v>0</v>
      </c>
      <c r="H762" s="30">
        <v>0</v>
      </c>
      <c r="I762" s="30">
        <v>0</v>
      </c>
      <c r="J762" s="231">
        <v>6813.6</v>
      </c>
      <c r="K762">
        <f t="shared" si="11"/>
        <v>8</v>
      </c>
      <c r="L762" s="30">
        <v>7</v>
      </c>
      <c r="M762" s="30">
        <v>1</v>
      </c>
      <c r="N762" s="30">
        <v>0</v>
      </c>
      <c r="O762" s="231">
        <v>8241.27</v>
      </c>
      <c r="P762" s="97">
        <f>VLOOKUP(Table323[[#This Row],[Census Tract]],'Population and Diversity Data'!$B$2:$K$823,10,FALSE)</f>
        <v>3</v>
      </c>
      <c r="Q762" s="97" t="str">
        <f>VLOOKUP(Table323[[#This Row],[Census Tract]],'ES Energy Burden'!$B$2:$E$914,4,FALSE)</f>
        <v>No</v>
      </c>
    </row>
    <row r="763" spans="1:17" x14ac:dyDescent="0.2">
      <c r="A763" s="30" t="s">
        <v>2858</v>
      </c>
      <c r="B763" s="169">
        <v>9011693500</v>
      </c>
      <c r="C763" s="232" t="s">
        <v>944</v>
      </c>
      <c r="D763" s="182">
        <v>48281.161550999997</v>
      </c>
      <c r="E763" s="182">
        <v>80646.14</v>
      </c>
      <c r="F763" s="13">
        <f>[1]!Table323[[#This Row],[Single Family]]+[1]!Table323[[#This Row],[2-4 Units]]+[1]!Table323[[#This Row],[&gt;4 Units]]</f>
        <v>0</v>
      </c>
      <c r="G763" s="30">
        <v>0</v>
      </c>
      <c r="H763" s="30">
        <v>0</v>
      </c>
      <c r="I763" s="30">
        <v>0</v>
      </c>
      <c r="J763" s="231">
        <v>29852.97</v>
      </c>
      <c r="K763">
        <f t="shared" si="11"/>
        <v>1</v>
      </c>
      <c r="L763" s="30">
        <v>1</v>
      </c>
      <c r="M763" s="30">
        <v>0</v>
      </c>
      <c r="N763" s="30">
        <v>0</v>
      </c>
      <c r="O763" s="231">
        <v>1118.8</v>
      </c>
      <c r="P763" s="97">
        <f>VLOOKUP(Table323[[#This Row],[Census Tract]],'Population and Diversity Data'!$B$2:$K$823,10,FALSE)</f>
        <v>1</v>
      </c>
      <c r="Q763" s="97" t="str">
        <f>VLOOKUP(Table323[[#This Row],[Census Tract]],'ES Energy Burden'!$B$2:$E$914,4,FALSE)</f>
        <v>No</v>
      </c>
    </row>
    <row r="764" spans="1:17" x14ac:dyDescent="0.2">
      <c r="A764" s="30" t="s">
        <v>2858</v>
      </c>
      <c r="B764" s="169">
        <v>9011693600</v>
      </c>
      <c r="C764" s="232" t="s">
        <v>944</v>
      </c>
      <c r="D764" s="182">
        <v>30911.518448999999</v>
      </c>
      <c r="E764" s="182">
        <v>21870.935000000001</v>
      </c>
      <c r="F764" s="13">
        <f>[1]!Table323[[#This Row],[Single Family]]+[1]!Table323[[#This Row],[2-4 Units]]+[1]!Table323[[#This Row],[&gt;4 Units]]</f>
        <v>204</v>
      </c>
      <c r="G764" s="30">
        <v>204</v>
      </c>
      <c r="H764" s="30">
        <v>0</v>
      </c>
      <c r="I764" s="30">
        <v>0</v>
      </c>
      <c r="J764" s="231">
        <v>296559.46999999997</v>
      </c>
      <c r="K764">
        <f t="shared" si="11"/>
        <v>10</v>
      </c>
      <c r="L764" s="30">
        <v>10</v>
      </c>
      <c r="M764" s="30">
        <v>0</v>
      </c>
      <c r="N764" s="30">
        <v>0</v>
      </c>
      <c r="O764" s="231">
        <v>44402.82</v>
      </c>
      <c r="P764" s="97">
        <f>VLOOKUP(Table323[[#This Row],[Census Tract]],'Population and Diversity Data'!$B$2:$K$823,10,FALSE)</f>
        <v>2</v>
      </c>
      <c r="Q764" s="97" t="str">
        <f>VLOOKUP(Table323[[#This Row],[Census Tract]],'ES Energy Burden'!$B$2:$E$914,4,FALSE)</f>
        <v>No</v>
      </c>
    </row>
    <row r="765" spans="1:17" x14ac:dyDescent="0.2">
      <c r="A765" s="30" t="s">
        <v>2858</v>
      </c>
      <c r="B765" s="169">
        <v>9011693700</v>
      </c>
      <c r="C765" s="232" t="s">
        <v>944</v>
      </c>
      <c r="D765" s="182">
        <v>38782.259439000001</v>
      </c>
      <c r="E765" s="182">
        <v>54294.33</v>
      </c>
      <c r="F765" s="13">
        <f>[1]!Table323[[#This Row],[Single Family]]+[1]!Table323[[#This Row],[2-4 Units]]+[1]!Table323[[#This Row],[&gt;4 Units]]</f>
        <v>0</v>
      </c>
      <c r="G765" s="30">
        <v>0</v>
      </c>
      <c r="H765" s="30">
        <v>0</v>
      </c>
      <c r="I765" s="30">
        <v>0</v>
      </c>
      <c r="J765" s="231">
        <v>23532</v>
      </c>
      <c r="K765">
        <f t="shared" si="11"/>
        <v>1</v>
      </c>
      <c r="L765" s="30">
        <v>1</v>
      </c>
      <c r="M765" s="30">
        <v>0</v>
      </c>
      <c r="N765" s="30">
        <v>0</v>
      </c>
      <c r="O765" s="231">
        <v>1354.78</v>
      </c>
      <c r="P765" s="97">
        <f>VLOOKUP(Table323[[#This Row],[Census Tract]],'Population and Diversity Data'!$B$2:$K$823,10,FALSE)</f>
        <v>4</v>
      </c>
      <c r="Q765" s="97" t="str">
        <f>VLOOKUP(Table323[[#This Row],[Census Tract]],'ES Energy Burden'!$B$2:$E$914,4,FALSE)</f>
        <v>No</v>
      </c>
    </row>
    <row r="766" spans="1:17" x14ac:dyDescent="0.2">
      <c r="A766" s="30" t="s">
        <v>2858</v>
      </c>
      <c r="B766" s="169">
        <v>9011870502</v>
      </c>
      <c r="C766" s="232" t="s">
        <v>944</v>
      </c>
      <c r="D766" s="182">
        <v>10.51491</v>
      </c>
      <c r="E766" s="182">
        <v>0</v>
      </c>
      <c r="F766" s="13">
        <f>[1]!Table323[[#This Row],[Single Family]]+[1]!Table323[[#This Row],[2-4 Units]]+[1]!Table323[[#This Row],[&gt;4 Units]]</f>
        <v>0</v>
      </c>
      <c r="G766" s="30">
        <v>0</v>
      </c>
      <c r="H766" s="30">
        <v>0</v>
      </c>
      <c r="I766" s="30">
        <v>0</v>
      </c>
      <c r="J766" s="231">
        <v>0</v>
      </c>
      <c r="K766">
        <f t="shared" si="11"/>
        <v>0</v>
      </c>
      <c r="L766" s="30">
        <v>0</v>
      </c>
      <c r="M766" s="30">
        <v>0</v>
      </c>
      <c r="N766" s="30">
        <v>0</v>
      </c>
      <c r="O766" s="231">
        <v>0</v>
      </c>
      <c r="P766" s="97">
        <f>VLOOKUP(Table323[[#This Row],[Census Tract]],'Population and Diversity Data'!$B$2:$K$823,10,FALSE)</f>
        <v>5</v>
      </c>
      <c r="Q766" s="97" t="str">
        <f>VLOOKUP(Table323[[#This Row],[Census Tract]],'ES Energy Burden'!$B$2:$E$914,4,FALSE)</f>
        <v>No</v>
      </c>
    </row>
    <row r="767" spans="1:17" x14ac:dyDescent="0.2">
      <c r="A767" s="30" t="s">
        <v>2859</v>
      </c>
      <c r="B767" s="169">
        <v>9005342100</v>
      </c>
      <c r="C767" s="232" t="s">
        <v>944</v>
      </c>
      <c r="D767" s="182">
        <v>65.538269999999997</v>
      </c>
      <c r="E767" s="182">
        <v>24003.5</v>
      </c>
      <c r="F767" s="13">
        <f>[1]!Table323[[#This Row],[Single Family]]+[1]!Table323[[#This Row],[2-4 Units]]+[1]!Table323[[#This Row],[&gt;4 Units]]</f>
        <v>0</v>
      </c>
      <c r="G767" s="30">
        <v>0</v>
      </c>
      <c r="H767" s="30">
        <v>0</v>
      </c>
      <c r="I767" s="30">
        <v>0</v>
      </c>
      <c r="J767" s="231">
        <v>0</v>
      </c>
      <c r="K767">
        <f t="shared" si="11"/>
        <v>0</v>
      </c>
      <c r="L767" s="30">
        <v>0</v>
      </c>
      <c r="M767" s="30">
        <v>0</v>
      </c>
      <c r="N767" s="30">
        <v>0</v>
      </c>
      <c r="O767" s="231">
        <v>0</v>
      </c>
      <c r="P767" s="97">
        <f>VLOOKUP(Table323[[#This Row],[Census Tract]],'Population and Diversity Data'!$B$2:$K$823,10,FALSE)</f>
        <v>2</v>
      </c>
      <c r="Q767" s="97" t="str">
        <f>VLOOKUP(Table323[[#This Row],[Census Tract]],'ES Energy Burden'!$B$2:$E$914,4,FALSE)</f>
        <v>No</v>
      </c>
    </row>
    <row r="768" spans="1:17" x14ac:dyDescent="0.2">
      <c r="A768" s="30" t="s">
        <v>2859</v>
      </c>
      <c r="B768" s="169">
        <v>9005360100</v>
      </c>
      <c r="C768" s="232" t="s">
        <v>944</v>
      </c>
      <c r="D768" s="182">
        <v>62129.850572999996</v>
      </c>
      <c r="E768" s="182">
        <v>40450.42</v>
      </c>
      <c r="F768" s="13">
        <f>[1]!Table323[[#This Row],[Single Family]]+[1]!Table323[[#This Row],[2-4 Units]]+[1]!Table323[[#This Row],[&gt;4 Units]]</f>
        <v>1</v>
      </c>
      <c r="G768" s="30">
        <v>1</v>
      </c>
      <c r="H768" s="30">
        <v>0</v>
      </c>
      <c r="I768" s="30">
        <v>0</v>
      </c>
      <c r="J768" s="231">
        <v>9554.25</v>
      </c>
      <c r="K768">
        <f t="shared" si="11"/>
        <v>4</v>
      </c>
      <c r="L768" s="30">
        <v>3</v>
      </c>
      <c r="M768" s="30">
        <v>1</v>
      </c>
      <c r="N768" s="30">
        <v>0</v>
      </c>
      <c r="O768" s="231">
        <v>4312.3900000000003</v>
      </c>
      <c r="P768" s="97">
        <f>VLOOKUP(Table323[[#This Row],[Census Tract]],'Population and Diversity Data'!$B$2:$K$823,10,FALSE)</f>
        <v>3</v>
      </c>
      <c r="Q768" s="97" t="str">
        <f>VLOOKUP(Table323[[#This Row],[Census Tract]],'ES Energy Burden'!$B$2:$E$914,4,FALSE)</f>
        <v>No</v>
      </c>
    </row>
    <row r="769" spans="1:17" x14ac:dyDescent="0.2">
      <c r="A769" s="30" t="s">
        <v>2859</v>
      </c>
      <c r="B769" s="169">
        <v>9005360200</v>
      </c>
      <c r="C769" s="232" t="s">
        <v>944</v>
      </c>
      <c r="D769" s="182">
        <v>99607.674809999997</v>
      </c>
      <c r="E769" s="182">
        <v>147997.88</v>
      </c>
      <c r="F769" s="13">
        <f>[1]!Table323[[#This Row],[Single Family]]+[1]!Table323[[#This Row],[2-4 Units]]+[1]!Table323[[#This Row],[&gt;4 Units]]</f>
        <v>0</v>
      </c>
      <c r="G769" s="30">
        <v>0</v>
      </c>
      <c r="H769" s="30">
        <v>0</v>
      </c>
      <c r="I769" s="30">
        <v>0</v>
      </c>
      <c r="J769" s="231">
        <v>30573.66</v>
      </c>
      <c r="K769">
        <f t="shared" si="11"/>
        <v>5</v>
      </c>
      <c r="L769" s="30">
        <v>5</v>
      </c>
      <c r="M769" s="30">
        <v>0</v>
      </c>
      <c r="N769" s="30">
        <v>0</v>
      </c>
      <c r="O769" s="231">
        <v>63914.57</v>
      </c>
      <c r="P769" s="97">
        <f>VLOOKUP(Table323[[#This Row],[Census Tract]],'Population and Diversity Data'!$B$2:$K$823,10,FALSE)</f>
        <v>2</v>
      </c>
      <c r="Q769" s="97" t="str">
        <f>VLOOKUP(Table323[[#This Row],[Census Tract]],'ES Energy Burden'!$B$2:$E$914,4,FALSE)</f>
        <v>No</v>
      </c>
    </row>
    <row r="770" spans="1:17" x14ac:dyDescent="0.2">
      <c r="A770" s="30" t="s">
        <v>2859</v>
      </c>
      <c r="B770" s="169">
        <v>9005360300</v>
      </c>
      <c r="C770" s="232" t="s">
        <v>944</v>
      </c>
      <c r="D770" s="182">
        <v>33231.462599999999</v>
      </c>
      <c r="E770" s="182">
        <v>78957.36</v>
      </c>
      <c r="F770" s="13">
        <f>[1]!Table323[[#This Row],[Single Family]]+[1]!Table323[[#This Row],[2-4 Units]]+[1]!Table323[[#This Row],[&gt;4 Units]]</f>
        <v>180</v>
      </c>
      <c r="G770" s="30">
        <v>174</v>
      </c>
      <c r="H770" s="30">
        <v>6</v>
      </c>
      <c r="I770" s="30">
        <v>0</v>
      </c>
      <c r="J770" s="231">
        <v>245882.27</v>
      </c>
      <c r="K770">
        <f t="shared" si="11"/>
        <v>17</v>
      </c>
      <c r="L770" s="30">
        <v>15</v>
      </c>
      <c r="M770" s="30">
        <v>2</v>
      </c>
      <c r="N770" s="30">
        <v>0</v>
      </c>
      <c r="O770" s="231">
        <v>179616.38</v>
      </c>
      <c r="P770" s="97">
        <f>VLOOKUP(Table323[[#This Row],[Census Tract]],'Population and Diversity Data'!$B$2:$K$823,10,FALSE)</f>
        <v>2</v>
      </c>
      <c r="Q770" s="97" t="str">
        <f>VLOOKUP(Table323[[#This Row],[Census Tract]],'ES Energy Burden'!$B$2:$E$914,4,FALSE)</f>
        <v>No</v>
      </c>
    </row>
    <row r="771" spans="1:17" x14ac:dyDescent="0.2">
      <c r="A771" s="30" t="s">
        <v>2859</v>
      </c>
      <c r="B771" s="169">
        <v>9005360400</v>
      </c>
      <c r="C771" s="232" t="s">
        <v>944</v>
      </c>
      <c r="D771" s="182">
        <v>173153.679573</v>
      </c>
      <c r="E771" s="182">
        <v>345274.68</v>
      </c>
      <c r="F771" s="13">
        <f>[1]!Table323[[#This Row],[Single Family]]+[1]!Table323[[#This Row],[2-4 Units]]+[1]!Table323[[#This Row],[&gt;4 Units]]</f>
        <v>0</v>
      </c>
      <c r="G771" s="30">
        <v>0</v>
      </c>
      <c r="H771" s="30">
        <v>0</v>
      </c>
      <c r="I771" s="30">
        <v>0</v>
      </c>
      <c r="J771" s="231">
        <v>12616.74</v>
      </c>
      <c r="K771">
        <f t="shared" si="11"/>
        <v>4</v>
      </c>
      <c r="L771" s="30">
        <v>1</v>
      </c>
      <c r="M771" s="30">
        <v>3</v>
      </c>
      <c r="N771" s="30">
        <v>0</v>
      </c>
      <c r="O771" s="231">
        <v>9362.84</v>
      </c>
      <c r="P771" s="97">
        <f>VLOOKUP(Table323[[#This Row],[Census Tract]],'Population and Diversity Data'!$B$2:$K$823,10,FALSE)</f>
        <v>4</v>
      </c>
      <c r="Q771" s="97" t="str">
        <f>VLOOKUP(Table323[[#This Row],[Census Tract]],'ES Energy Burden'!$B$2:$E$914,4,FALSE)</f>
        <v>No</v>
      </c>
    </row>
    <row r="772" spans="1:17" x14ac:dyDescent="0.2">
      <c r="A772" s="30" t="s">
        <v>2859</v>
      </c>
      <c r="B772" s="169">
        <v>9005362102</v>
      </c>
      <c r="C772" s="232" t="s">
        <v>944</v>
      </c>
      <c r="D772" s="182">
        <v>27.275010000000002</v>
      </c>
      <c r="E772" s="182">
        <v>0</v>
      </c>
      <c r="F772" s="13">
        <f>[1]!Table323[[#This Row],[Single Family]]+[1]!Table323[[#This Row],[2-4 Units]]+[1]!Table323[[#This Row],[&gt;4 Units]]</f>
        <v>0</v>
      </c>
      <c r="G772" s="30">
        <v>0</v>
      </c>
      <c r="H772" s="30">
        <v>0</v>
      </c>
      <c r="I772" s="30">
        <v>0</v>
      </c>
      <c r="J772" s="231">
        <v>0</v>
      </c>
      <c r="K772">
        <f t="shared" si="11"/>
        <v>0</v>
      </c>
      <c r="L772" s="30">
        <v>0</v>
      </c>
      <c r="M772" s="30">
        <v>0</v>
      </c>
      <c r="N772" s="30">
        <v>0</v>
      </c>
      <c r="O772" s="231">
        <v>0</v>
      </c>
      <c r="P772" s="97">
        <f>VLOOKUP(Table323[[#This Row],[Census Tract]],'Population and Diversity Data'!$B$2:$K$823,10,FALSE)</f>
        <v>1</v>
      </c>
      <c r="Q772" s="97" t="str">
        <f>VLOOKUP(Table323[[#This Row],[Census Tract]],'ES Energy Burden'!$B$2:$E$914,4,FALSE)</f>
        <v>No</v>
      </c>
    </row>
    <row r="773" spans="1:17" x14ac:dyDescent="0.2">
      <c r="A773" s="30" t="s">
        <v>2859</v>
      </c>
      <c r="B773" s="169">
        <v>9009352100</v>
      </c>
      <c r="C773" s="232" t="s">
        <v>944</v>
      </c>
      <c r="D773" s="182">
        <v>25.941929999999999</v>
      </c>
      <c r="E773" s="182">
        <v>0</v>
      </c>
      <c r="F773" s="13">
        <f>[1]!Table323[[#This Row],[Single Family]]+[1]!Table323[[#This Row],[2-4 Units]]+[1]!Table323[[#This Row],[&gt;4 Units]]</f>
        <v>0</v>
      </c>
      <c r="G773" s="30">
        <v>0</v>
      </c>
      <c r="H773" s="30">
        <v>0</v>
      </c>
      <c r="I773" s="30">
        <v>0</v>
      </c>
      <c r="J773" s="231">
        <v>0</v>
      </c>
      <c r="K773">
        <f t="shared" si="11"/>
        <v>0</v>
      </c>
      <c r="L773" s="30">
        <v>0</v>
      </c>
      <c r="M773" s="30">
        <v>0</v>
      </c>
      <c r="N773" s="30">
        <v>0</v>
      </c>
      <c r="O773" s="231">
        <v>0</v>
      </c>
      <c r="P773" s="97">
        <f>VLOOKUP(Table323[[#This Row],[Census Tract]],'Population and Diversity Data'!$B$2:$K$823,10,FALSE)</f>
        <v>2</v>
      </c>
      <c r="Q773" s="97" t="str">
        <f>VLOOKUP(Table323[[#This Row],[Census Tract]],'ES Energy Burden'!$B$2:$E$914,4,FALSE)</f>
        <v>No</v>
      </c>
    </row>
    <row r="774" spans="1:17" x14ac:dyDescent="0.2">
      <c r="A774" s="30" t="s">
        <v>2860</v>
      </c>
      <c r="B774" s="169">
        <v>9003460100</v>
      </c>
      <c r="C774" s="232" t="s">
        <v>944</v>
      </c>
      <c r="D774" s="182">
        <v>212.85810000000001</v>
      </c>
      <c r="E774" s="182">
        <v>0</v>
      </c>
      <c r="F774" s="13">
        <f>[1]!Table323[[#This Row],[Single Family]]+[1]!Table323[[#This Row],[2-4 Units]]+[1]!Table323[[#This Row],[&gt;4 Units]]</f>
        <v>0</v>
      </c>
      <c r="G774" s="30">
        <v>0</v>
      </c>
      <c r="H774" s="30">
        <v>0</v>
      </c>
      <c r="I774" s="30">
        <v>0</v>
      </c>
      <c r="J774" s="231">
        <v>0</v>
      </c>
      <c r="K774">
        <f t="shared" ref="K774:K837" si="12">L774+M774+N774</f>
        <v>0</v>
      </c>
      <c r="L774" s="30">
        <v>0</v>
      </c>
      <c r="M774" s="30">
        <v>0</v>
      </c>
      <c r="N774" s="30">
        <v>0</v>
      </c>
      <c r="O774" s="231">
        <v>0</v>
      </c>
      <c r="P774" s="97">
        <f>VLOOKUP(Table323[[#This Row],[Census Tract]],'Population and Diversity Data'!$B$2:$K$823,10,FALSE)</f>
        <v>3</v>
      </c>
      <c r="Q774" s="97" t="str">
        <f>VLOOKUP(Table323[[#This Row],[Census Tract]],'ES Energy Burden'!$B$2:$E$914,4,FALSE)</f>
        <v>No</v>
      </c>
    </row>
    <row r="775" spans="1:17" x14ac:dyDescent="0.2">
      <c r="A775" s="30" t="s">
        <v>2860</v>
      </c>
      <c r="B775" s="169">
        <v>9003471400</v>
      </c>
      <c r="C775" s="232" t="s">
        <v>944</v>
      </c>
      <c r="D775" s="182">
        <v>225.31467000000001</v>
      </c>
      <c r="E775" s="182">
        <v>0</v>
      </c>
      <c r="F775" s="13">
        <f>[1]!Table323[[#This Row],[Single Family]]+[1]!Table323[[#This Row],[2-4 Units]]+[1]!Table323[[#This Row],[&gt;4 Units]]</f>
        <v>0</v>
      </c>
      <c r="G775" s="30">
        <v>0</v>
      </c>
      <c r="H775" s="30">
        <v>0</v>
      </c>
      <c r="I775" s="30">
        <v>0</v>
      </c>
      <c r="J775" s="231">
        <v>0</v>
      </c>
      <c r="K775">
        <f t="shared" si="12"/>
        <v>0</v>
      </c>
      <c r="L775" s="30">
        <v>0</v>
      </c>
      <c r="M775" s="30">
        <v>0</v>
      </c>
      <c r="N775" s="30">
        <v>0</v>
      </c>
      <c r="O775" s="231">
        <v>0</v>
      </c>
      <c r="P775" s="97">
        <f>VLOOKUP(Table323[[#This Row],[Census Tract]],'Population and Diversity Data'!$B$2:$K$823,10,FALSE)</f>
        <v>2</v>
      </c>
      <c r="Q775" s="97" t="str">
        <f>VLOOKUP(Table323[[#This Row],[Census Tract]],'ES Energy Burden'!$B$2:$E$914,4,FALSE)</f>
        <v>No</v>
      </c>
    </row>
    <row r="776" spans="1:17" x14ac:dyDescent="0.2">
      <c r="A776" s="30" t="s">
        <v>2860</v>
      </c>
      <c r="B776" s="169">
        <v>9003496100</v>
      </c>
      <c r="C776" s="232" t="s">
        <v>944</v>
      </c>
      <c r="D776" s="182">
        <v>16448.888610000002</v>
      </c>
      <c r="E776" s="182">
        <v>6266.33</v>
      </c>
      <c r="F776" s="13">
        <f>[1]!Table323[[#This Row],[Single Family]]+[1]!Table323[[#This Row],[2-4 Units]]+[1]!Table323[[#This Row],[&gt;4 Units]]</f>
        <v>523</v>
      </c>
      <c r="G776" s="30">
        <v>516</v>
      </c>
      <c r="H776" s="30">
        <v>7</v>
      </c>
      <c r="I776" s="30">
        <v>0</v>
      </c>
      <c r="J776" s="231">
        <v>409847.22999999899</v>
      </c>
      <c r="K776">
        <f t="shared" si="12"/>
        <v>17</v>
      </c>
      <c r="L776" s="30">
        <v>13</v>
      </c>
      <c r="M776" s="30">
        <v>4</v>
      </c>
      <c r="N776" s="30">
        <v>0</v>
      </c>
      <c r="O776" s="231">
        <v>80587.509999999995</v>
      </c>
      <c r="P776" s="97">
        <f>VLOOKUP(Table323[[#This Row],[Census Tract]],'Population and Diversity Data'!$B$2:$K$823,10,FALSE)</f>
        <v>5</v>
      </c>
      <c r="Q776" s="97" t="str">
        <f>VLOOKUP(Table323[[#This Row],[Census Tract]],'ES Energy Burden'!$B$2:$E$914,4,FALSE)</f>
        <v>No</v>
      </c>
    </row>
    <row r="777" spans="1:17" x14ac:dyDescent="0.2">
      <c r="A777" s="30" t="s">
        <v>2860</v>
      </c>
      <c r="B777" s="169">
        <v>9003496200</v>
      </c>
      <c r="C777" s="232" t="s">
        <v>944</v>
      </c>
      <c r="D777" s="182">
        <v>42113.700741000001</v>
      </c>
      <c r="E777" s="182">
        <v>23069.759999999998</v>
      </c>
      <c r="F777" s="13">
        <f>[1]!Table323[[#This Row],[Single Family]]+[1]!Table323[[#This Row],[2-4 Units]]+[1]!Table323[[#This Row],[&gt;4 Units]]</f>
        <v>0</v>
      </c>
      <c r="G777" s="30">
        <v>0</v>
      </c>
      <c r="H777" s="30">
        <v>0</v>
      </c>
      <c r="I777" s="30">
        <v>0</v>
      </c>
      <c r="J777" s="231">
        <v>6077.09</v>
      </c>
      <c r="K777">
        <f t="shared" si="12"/>
        <v>1</v>
      </c>
      <c r="L777" s="30">
        <v>1</v>
      </c>
      <c r="M777" s="30">
        <v>0</v>
      </c>
      <c r="N777" s="30">
        <v>0</v>
      </c>
      <c r="O777" s="231">
        <v>1843.22</v>
      </c>
      <c r="P777" s="97">
        <f>VLOOKUP(Table323[[#This Row],[Census Tract]],'Population and Diversity Data'!$B$2:$K$823,10,FALSE)</f>
        <v>5</v>
      </c>
      <c r="Q777" s="97" t="str">
        <f>VLOOKUP(Table323[[#This Row],[Census Tract]],'ES Energy Burden'!$B$2:$E$914,4,FALSE)</f>
        <v>No</v>
      </c>
    </row>
    <row r="778" spans="1:17" x14ac:dyDescent="0.2">
      <c r="A778" s="30" t="s">
        <v>2860</v>
      </c>
      <c r="B778" s="169">
        <v>9003496300</v>
      </c>
      <c r="C778" s="232" t="s">
        <v>944</v>
      </c>
      <c r="D778" s="182">
        <v>33541.533627000004</v>
      </c>
      <c r="E778" s="182">
        <v>42797.17</v>
      </c>
      <c r="F778" s="13">
        <f>[1]!Table323[[#This Row],[Single Family]]+[1]!Table323[[#This Row],[2-4 Units]]+[1]!Table323[[#This Row],[&gt;4 Units]]</f>
        <v>2</v>
      </c>
      <c r="G778" s="30">
        <v>2</v>
      </c>
      <c r="H778" s="30">
        <v>0</v>
      </c>
      <c r="I778" s="30">
        <v>0</v>
      </c>
      <c r="J778" s="231">
        <v>2351.9899999999998</v>
      </c>
      <c r="K778">
        <f t="shared" si="12"/>
        <v>6</v>
      </c>
      <c r="L778" s="30">
        <v>5</v>
      </c>
      <c r="M778" s="30">
        <v>1</v>
      </c>
      <c r="N778" s="30">
        <v>0</v>
      </c>
      <c r="O778" s="231">
        <v>24663.71</v>
      </c>
      <c r="P778" s="97">
        <f>VLOOKUP(Table323[[#This Row],[Census Tract]],'Population and Diversity Data'!$B$2:$K$823,10,FALSE)</f>
        <v>3</v>
      </c>
      <c r="Q778" s="97" t="str">
        <f>VLOOKUP(Table323[[#This Row],[Census Tract]],'ES Energy Burden'!$B$2:$E$914,4,FALSE)</f>
        <v>No</v>
      </c>
    </row>
    <row r="779" spans="1:17" x14ac:dyDescent="0.2">
      <c r="A779" s="30" t="s">
        <v>2860</v>
      </c>
      <c r="B779" s="169">
        <v>9003496400</v>
      </c>
      <c r="C779" s="232" t="s">
        <v>944</v>
      </c>
      <c r="D779" s="182">
        <v>30594.441989999999</v>
      </c>
      <c r="E779" s="182">
        <v>14597.38</v>
      </c>
      <c r="F779" s="13">
        <f>[1]!Table323[[#This Row],[Single Family]]+[1]!Table323[[#This Row],[2-4 Units]]+[1]!Table323[[#This Row],[&gt;4 Units]]</f>
        <v>2</v>
      </c>
      <c r="G779" s="30">
        <v>2</v>
      </c>
      <c r="H779" s="30">
        <v>0</v>
      </c>
      <c r="I779" s="30">
        <v>0</v>
      </c>
      <c r="J779" s="231">
        <v>9142.2000000000007</v>
      </c>
      <c r="K779">
        <f t="shared" si="12"/>
        <v>0</v>
      </c>
      <c r="L779" s="30">
        <v>0</v>
      </c>
      <c r="M779" s="30">
        <v>0</v>
      </c>
      <c r="N779" s="30">
        <v>0</v>
      </c>
      <c r="O779" s="231">
        <v>0</v>
      </c>
      <c r="P779" s="97">
        <f>VLOOKUP(Table323[[#This Row],[Census Tract]],'Population and Diversity Data'!$B$2:$K$823,10,FALSE)</f>
        <v>2</v>
      </c>
      <c r="Q779" s="97" t="str">
        <f>VLOOKUP(Table323[[#This Row],[Census Tract]],'ES Energy Burden'!$B$2:$E$914,4,FALSE)</f>
        <v>No</v>
      </c>
    </row>
    <row r="780" spans="1:17" x14ac:dyDescent="0.2">
      <c r="A780" s="30" t="s">
        <v>2860</v>
      </c>
      <c r="B780" s="169">
        <v>9003496500</v>
      </c>
      <c r="C780" s="232" t="s">
        <v>944</v>
      </c>
      <c r="D780" s="182">
        <v>25890.069807000003</v>
      </c>
      <c r="E780" s="182">
        <v>21906.12</v>
      </c>
      <c r="F780" s="13">
        <f>[1]!Table323[[#This Row],[Single Family]]+[1]!Table323[[#This Row],[2-4 Units]]+[1]!Table323[[#This Row],[&gt;4 Units]]</f>
        <v>1</v>
      </c>
      <c r="G780" s="30">
        <v>1</v>
      </c>
      <c r="H780" s="30">
        <v>0</v>
      </c>
      <c r="I780" s="30">
        <v>0</v>
      </c>
      <c r="J780" s="231">
        <v>7655.6</v>
      </c>
      <c r="K780">
        <f t="shared" si="12"/>
        <v>0</v>
      </c>
      <c r="L780" s="30">
        <v>0</v>
      </c>
      <c r="M780" s="30">
        <v>0</v>
      </c>
      <c r="N780" s="30">
        <v>0</v>
      </c>
      <c r="O780" s="231">
        <v>0</v>
      </c>
      <c r="P780" s="97">
        <f>VLOOKUP(Table323[[#This Row],[Census Tract]],'Population and Diversity Data'!$B$2:$K$823,10,FALSE)</f>
        <v>3</v>
      </c>
      <c r="Q780" s="97" t="str">
        <f>VLOOKUP(Table323[[#This Row],[Census Tract]],'ES Energy Burden'!$B$2:$E$914,4,FALSE)</f>
        <v>No</v>
      </c>
    </row>
    <row r="781" spans="1:17" x14ac:dyDescent="0.2">
      <c r="A781" s="30" t="s">
        <v>2860</v>
      </c>
      <c r="B781" s="169">
        <v>9003496600</v>
      </c>
      <c r="C781" s="232" t="s">
        <v>944</v>
      </c>
      <c r="D781" s="182">
        <v>34384.151760000001</v>
      </c>
      <c r="E781" s="182">
        <v>27790.895</v>
      </c>
      <c r="F781" s="13">
        <f>[1]!Table323[[#This Row],[Single Family]]+[1]!Table323[[#This Row],[2-4 Units]]+[1]!Table323[[#This Row],[&gt;4 Units]]</f>
        <v>0</v>
      </c>
      <c r="G781" s="30">
        <v>0</v>
      </c>
      <c r="H781" s="30">
        <v>0</v>
      </c>
      <c r="I781" s="30">
        <v>0</v>
      </c>
      <c r="J781" s="231">
        <v>11098.43</v>
      </c>
      <c r="K781">
        <f t="shared" si="12"/>
        <v>1</v>
      </c>
      <c r="L781" s="30">
        <v>1</v>
      </c>
      <c r="M781" s="30">
        <v>0</v>
      </c>
      <c r="N781" s="30">
        <v>0</v>
      </c>
      <c r="O781" s="231">
        <v>379.51</v>
      </c>
      <c r="P781" s="97">
        <f>VLOOKUP(Table323[[#This Row],[Census Tract]],'Population and Diversity Data'!$B$2:$K$823,10,FALSE)</f>
        <v>4</v>
      </c>
      <c r="Q781" s="97" t="str">
        <f>VLOOKUP(Table323[[#This Row],[Census Tract]],'ES Energy Burden'!$B$2:$E$914,4,FALSE)</f>
        <v>No</v>
      </c>
    </row>
    <row r="782" spans="1:17" x14ac:dyDescent="0.2">
      <c r="A782" s="30" t="s">
        <v>2860</v>
      </c>
      <c r="B782" s="169">
        <v>9003496700</v>
      </c>
      <c r="C782" s="232" t="s">
        <v>936</v>
      </c>
      <c r="D782" s="182">
        <v>27724.629870000001</v>
      </c>
      <c r="E782" s="182">
        <v>8293.83</v>
      </c>
      <c r="F782" s="13">
        <f>[1]!Table323[[#This Row],[Single Family]]+[1]!Table323[[#This Row],[2-4 Units]]+[1]!Table323[[#This Row],[&gt;4 Units]]</f>
        <v>0</v>
      </c>
      <c r="G782" s="30">
        <v>0</v>
      </c>
      <c r="H782" s="30">
        <v>0</v>
      </c>
      <c r="I782" s="30">
        <v>0</v>
      </c>
      <c r="J782" s="231">
        <v>75.010000000000005</v>
      </c>
      <c r="K782">
        <f t="shared" si="12"/>
        <v>6</v>
      </c>
      <c r="L782" s="30">
        <v>2</v>
      </c>
      <c r="M782" s="30">
        <v>4</v>
      </c>
      <c r="N782" s="30">
        <v>0</v>
      </c>
      <c r="O782" s="231">
        <v>2820.51</v>
      </c>
      <c r="P782" s="97">
        <f>VLOOKUP(Table323[[#This Row],[Census Tract]],'Population and Diversity Data'!$B$2:$K$823,10,FALSE)</f>
        <v>5</v>
      </c>
      <c r="Q782" s="97" t="str">
        <f>VLOOKUP(Table323[[#This Row],[Census Tract]],'ES Energy Burden'!$B$2:$E$914,4,FALSE)</f>
        <v>No</v>
      </c>
    </row>
    <row r="783" spans="1:17" x14ac:dyDescent="0.2">
      <c r="A783" s="30" t="s">
        <v>2860</v>
      </c>
      <c r="B783" s="169">
        <v>9003496800</v>
      </c>
      <c r="C783" s="232" t="s">
        <v>944</v>
      </c>
      <c r="D783" s="182">
        <v>25846.706549999999</v>
      </c>
      <c r="E783" s="182">
        <v>15979.65</v>
      </c>
      <c r="F783" s="13">
        <f>[1]!Table323[[#This Row],[Single Family]]+[1]!Table323[[#This Row],[2-4 Units]]+[1]!Table323[[#This Row],[&gt;4 Units]]</f>
        <v>0</v>
      </c>
      <c r="G783" s="30">
        <v>0</v>
      </c>
      <c r="H783" s="30">
        <v>0</v>
      </c>
      <c r="I783" s="30">
        <v>0</v>
      </c>
      <c r="J783" s="231">
        <v>3677.15</v>
      </c>
      <c r="K783">
        <f t="shared" si="12"/>
        <v>6</v>
      </c>
      <c r="L783" s="30">
        <v>3</v>
      </c>
      <c r="M783" s="30">
        <v>3</v>
      </c>
      <c r="N783" s="30">
        <v>0</v>
      </c>
      <c r="O783" s="231">
        <v>2947.22</v>
      </c>
      <c r="P783" s="97">
        <f>VLOOKUP(Table323[[#This Row],[Census Tract]],'Population and Diversity Data'!$B$2:$K$823,10,FALSE)</f>
        <v>5</v>
      </c>
      <c r="Q783" s="97" t="str">
        <f>VLOOKUP(Table323[[#This Row],[Census Tract]],'ES Energy Burden'!$B$2:$E$914,4,FALSE)</f>
        <v>No</v>
      </c>
    </row>
    <row r="784" spans="1:17" x14ac:dyDescent="0.2">
      <c r="A784" s="30" t="s">
        <v>2860</v>
      </c>
      <c r="B784" s="169">
        <v>9003496900</v>
      </c>
      <c r="C784" s="232" t="s">
        <v>944</v>
      </c>
      <c r="D784" s="182">
        <v>42917.689982999997</v>
      </c>
      <c r="E784" s="182">
        <v>23923.57</v>
      </c>
      <c r="F784" s="13">
        <f>[1]!Table323[[#This Row],[Single Family]]+[1]!Table323[[#This Row],[2-4 Units]]+[1]!Table323[[#This Row],[&gt;4 Units]]</f>
        <v>213</v>
      </c>
      <c r="G784" s="30">
        <v>1</v>
      </c>
      <c r="H784" s="30">
        <v>0</v>
      </c>
      <c r="I784" s="30">
        <v>212</v>
      </c>
      <c r="J784" s="231">
        <v>432.66</v>
      </c>
      <c r="K784">
        <f t="shared" si="12"/>
        <v>184</v>
      </c>
      <c r="L784" s="30">
        <v>4</v>
      </c>
      <c r="M784" s="30">
        <v>1</v>
      </c>
      <c r="N784" s="30">
        <v>179</v>
      </c>
      <c r="O784" s="231">
        <v>7984.58</v>
      </c>
      <c r="P784" s="97">
        <f>VLOOKUP(Table323[[#This Row],[Census Tract]],'Population and Diversity Data'!$B$2:$K$823,10,FALSE)</f>
        <v>3</v>
      </c>
      <c r="Q784" s="97" t="str">
        <f>VLOOKUP(Table323[[#This Row],[Census Tract]],'ES Energy Burden'!$B$2:$E$914,4,FALSE)</f>
        <v>No</v>
      </c>
    </row>
    <row r="785" spans="1:17" x14ac:dyDescent="0.2">
      <c r="A785" s="30" t="s">
        <v>2860</v>
      </c>
      <c r="B785" s="169">
        <v>9003497000</v>
      </c>
      <c r="C785" s="232" t="s">
        <v>944</v>
      </c>
      <c r="D785" s="182">
        <v>45619.848939000003</v>
      </c>
      <c r="E785" s="182">
        <v>29069.134999999998</v>
      </c>
      <c r="F785" s="13">
        <f>[1]!Table323[[#This Row],[Single Family]]+[1]!Table323[[#This Row],[2-4 Units]]+[1]!Table323[[#This Row],[&gt;4 Units]]</f>
        <v>1</v>
      </c>
      <c r="G785" s="30">
        <v>1</v>
      </c>
      <c r="H785" s="30">
        <v>0</v>
      </c>
      <c r="I785" s="30">
        <v>0</v>
      </c>
      <c r="J785" s="231">
        <v>8657.51</v>
      </c>
      <c r="K785">
        <f t="shared" si="12"/>
        <v>0</v>
      </c>
      <c r="L785" s="30">
        <v>0</v>
      </c>
      <c r="M785" s="30">
        <v>0</v>
      </c>
      <c r="N785" s="30">
        <v>0</v>
      </c>
      <c r="O785" s="231">
        <v>0</v>
      </c>
      <c r="P785" s="97">
        <f>VLOOKUP(Table323[[#This Row],[Census Tract]],'Population and Diversity Data'!$B$2:$K$823,10,FALSE)</f>
        <v>2</v>
      </c>
      <c r="Q785" s="97" t="str">
        <f>VLOOKUP(Table323[[#This Row],[Census Tract]],'ES Energy Burden'!$B$2:$E$914,4,FALSE)</f>
        <v>No</v>
      </c>
    </row>
    <row r="786" spans="1:17" x14ac:dyDescent="0.2">
      <c r="A786" s="30" t="s">
        <v>2860</v>
      </c>
      <c r="B786" s="169">
        <v>9003497100</v>
      </c>
      <c r="C786" s="232" t="s">
        <v>944</v>
      </c>
      <c r="D786" s="182">
        <v>28096.74756</v>
      </c>
      <c r="E786" s="182">
        <v>9294.2900000000009</v>
      </c>
      <c r="F786" s="13">
        <f>[1]!Table323[[#This Row],[Single Family]]+[1]!Table323[[#This Row],[2-4 Units]]+[1]!Table323[[#This Row],[&gt;4 Units]]</f>
        <v>0</v>
      </c>
      <c r="G786" s="30">
        <v>0</v>
      </c>
      <c r="H786" s="30">
        <v>0</v>
      </c>
      <c r="I786" s="30">
        <v>0</v>
      </c>
      <c r="J786" s="231">
        <v>1446.47</v>
      </c>
      <c r="K786">
        <f t="shared" si="12"/>
        <v>0</v>
      </c>
      <c r="L786" s="30">
        <v>0</v>
      </c>
      <c r="M786" s="30">
        <v>0</v>
      </c>
      <c r="N786" s="30">
        <v>0</v>
      </c>
      <c r="O786" s="231">
        <v>0</v>
      </c>
      <c r="P786" s="97">
        <f>VLOOKUP(Table323[[#This Row],[Census Tract]],'Population and Diversity Data'!$B$2:$K$823,10,FALSE)</f>
        <v>2</v>
      </c>
      <c r="Q786" s="97" t="str">
        <f>VLOOKUP(Table323[[#This Row],[Census Tract]],'ES Energy Burden'!$B$2:$E$914,4,FALSE)</f>
        <v>No</v>
      </c>
    </row>
    <row r="787" spans="1:17" x14ac:dyDescent="0.2">
      <c r="A787" s="30" t="s">
        <v>2860</v>
      </c>
      <c r="B787" s="169">
        <v>9003497200</v>
      </c>
      <c r="C787" s="232" t="s">
        <v>944</v>
      </c>
      <c r="D787" s="182">
        <v>309165.11123400001</v>
      </c>
      <c r="E787" s="182">
        <v>533732.29500000004</v>
      </c>
      <c r="F787" s="13">
        <f>[1]!Table323[[#This Row],[Single Family]]+[1]!Table323[[#This Row],[2-4 Units]]+[1]!Table323[[#This Row],[&gt;4 Units]]</f>
        <v>0</v>
      </c>
      <c r="G787" s="30">
        <v>0</v>
      </c>
      <c r="H787" s="30">
        <v>0</v>
      </c>
      <c r="I787" s="30">
        <v>0</v>
      </c>
      <c r="J787" s="231">
        <v>762.78</v>
      </c>
      <c r="K787">
        <f t="shared" si="12"/>
        <v>0</v>
      </c>
      <c r="L787" s="30">
        <v>0</v>
      </c>
      <c r="M787" s="30">
        <v>0</v>
      </c>
      <c r="N787" s="30">
        <v>0</v>
      </c>
      <c r="O787" s="231">
        <v>0</v>
      </c>
      <c r="P787" s="97">
        <f>VLOOKUP(Table323[[#This Row],[Census Tract]],'Population and Diversity Data'!$B$2:$K$823,10,FALSE)</f>
        <v>2</v>
      </c>
      <c r="Q787" s="97" t="str">
        <f>VLOOKUP(Table323[[#This Row],[Census Tract]],'ES Energy Burden'!$B$2:$E$914,4,FALSE)</f>
        <v>No</v>
      </c>
    </row>
    <row r="788" spans="1:17" x14ac:dyDescent="0.2">
      <c r="A788" s="30" t="s">
        <v>2860</v>
      </c>
      <c r="B788" s="169">
        <v>9003497300</v>
      </c>
      <c r="C788" s="232" t="s">
        <v>944</v>
      </c>
      <c r="D788" s="182">
        <v>48008.189754000006</v>
      </c>
      <c r="E788" s="182">
        <v>48414.97</v>
      </c>
      <c r="F788" s="13">
        <f>[1]!Table323[[#This Row],[Single Family]]+[1]!Table323[[#This Row],[2-4 Units]]+[1]!Table323[[#This Row],[&gt;4 Units]]</f>
        <v>0</v>
      </c>
      <c r="G788" s="30">
        <v>0</v>
      </c>
      <c r="H788" s="30">
        <v>0</v>
      </c>
      <c r="I788" s="30">
        <v>0</v>
      </c>
      <c r="J788" s="231">
        <v>16543.98</v>
      </c>
      <c r="K788">
        <f t="shared" si="12"/>
        <v>5</v>
      </c>
      <c r="L788" s="30">
        <v>5</v>
      </c>
      <c r="M788" s="30">
        <v>0</v>
      </c>
      <c r="N788" s="30">
        <v>0</v>
      </c>
      <c r="O788" s="231">
        <v>2395.8200000000002</v>
      </c>
      <c r="P788" s="97">
        <f>VLOOKUP(Table323[[#This Row],[Census Tract]],'Population and Diversity Data'!$B$2:$K$823,10,FALSE)</f>
        <v>4</v>
      </c>
      <c r="Q788" s="97" t="str">
        <f>VLOOKUP(Table323[[#This Row],[Census Tract]],'ES Energy Burden'!$B$2:$E$914,4,FALSE)</f>
        <v>No</v>
      </c>
    </row>
    <row r="789" spans="1:17" x14ac:dyDescent="0.2">
      <c r="A789" s="30" t="s">
        <v>2860</v>
      </c>
      <c r="B789" s="169">
        <v>9003497400</v>
      </c>
      <c r="C789" s="232" t="s">
        <v>944</v>
      </c>
      <c r="D789" s="182">
        <v>45826.131959999999</v>
      </c>
      <c r="E789" s="182">
        <v>47578.44</v>
      </c>
      <c r="F789" s="13">
        <f>[1]!Table323[[#This Row],[Single Family]]+[1]!Table323[[#This Row],[2-4 Units]]+[1]!Table323[[#This Row],[&gt;4 Units]]</f>
        <v>2</v>
      </c>
      <c r="G789" s="30">
        <v>2</v>
      </c>
      <c r="H789" s="30">
        <v>0</v>
      </c>
      <c r="I789" s="30">
        <v>0</v>
      </c>
      <c r="J789" s="231">
        <v>10810.22</v>
      </c>
      <c r="K789">
        <f t="shared" si="12"/>
        <v>4</v>
      </c>
      <c r="L789" s="30">
        <v>4</v>
      </c>
      <c r="M789" s="30">
        <v>0</v>
      </c>
      <c r="N789" s="30">
        <v>0</v>
      </c>
      <c r="O789" s="231">
        <v>12358.62</v>
      </c>
      <c r="P789" s="97">
        <f>VLOOKUP(Table323[[#This Row],[Census Tract]],'Population and Diversity Data'!$B$2:$K$823,10,FALSE)</f>
        <v>2</v>
      </c>
      <c r="Q789" s="97" t="str">
        <f>VLOOKUP(Table323[[#This Row],[Census Tract]],'ES Energy Burden'!$B$2:$E$914,4,FALSE)</f>
        <v>No</v>
      </c>
    </row>
    <row r="790" spans="1:17" x14ac:dyDescent="0.2">
      <c r="A790" s="30" t="s">
        <v>2860</v>
      </c>
      <c r="B790" s="169">
        <v>9003497500</v>
      </c>
      <c r="C790" s="232" t="s">
        <v>944</v>
      </c>
      <c r="D790" s="182">
        <v>43312.493699999999</v>
      </c>
      <c r="E790" s="182">
        <v>40365.855000000003</v>
      </c>
      <c r="F790" s="13">
        <f>[1]!Table323[[#This Row],[Single Family]]+[1]!Table323[[#This Row],[2-4 Units]]+[1]!Table323[[#This Row],[&gt;4 Units]]</f>
        <v>0</v>
      </c>
      <c r="G790" s="30">
        <v>0</v>
      </c>
      <c r="H790" s="30">
        <v>0</v>
      </c>
      <c r="I790" s="30">
        <v>0</v>
      </c>
      <c r="J790" s="231">
        <v>18954.55</v>
      </c>
      <c r="K790">
        <f t="shared" si="12"/>
        <v>4</v>
      </c>
      <c r="L790" s="30">
        <v>4</v>
      </c>
      <c r="M790" s="30">
        <v>0</v>
      </c>
      <c r="N790" s="30">
        <v>0</v>
      </c>
      <c r="O790" s="231">
        <v>6164.9</v>
      </c>
      <c r="P790" s="97">
        <f>VLOOKUP(Table323[[#This Row],[Census Tract]],'Population and Diversity Data'!$B$2:$K$823,10,FALSE)</f>
        <v>5</v>
      </c>
      <c r="Q790" s="97" t="str">
        <f>VLOOKUP(Table323[[#This Row],[Census Tract]],'ES Energy Burden'!$B$2:$E$914,4,FALSE)</f>
        <v>No</v>
      </c>
    </row>
    <row r="791" spans="1:17" x14ac:dyDescent="0.2">
      <c r="A791" s="30" t="s">
        <v>2860</v>
      </c>
      <c r="B791" s="169">
        <v>9003497600</v>
      </c>
      <c r="C791" s="232" t="s">
        <v>944</v>
      </c>
      <c r="D791" s="182">
        <v>21331.970310000001</v>
      </c>
      <c r="E791" s="182">
        <v>10221.24</v>
      </c>
      <c r="F791" s="13">
        <f>[1]!Table323[[#This Row],[Single Family]]+[1]!Table323[[#This Row],[2-4 Units]]+[1]!Table323[[#This Row],[&gt;4 Units]]</f>
        <v>0</v>
      </c>
      <c r="G791" s="30">
        <v>0</v>
      </c>
      <c r="H791" s="30">
        <v>0</v>
      </c>
      <c r="I791" s="30">
        <v>0</v>
      </c>
      <c r="J791" s="231">
        <v>252.62</v>
      </c>
      <c r="K791">
        <f t="shared" si="12"/>
        <v>0</v>
      </c>
      <c r="L791" s="30">
        <v>0</v>
      </c>
      <c r="M791" s="30">
        <v>0</v>
      </c>
      <c r="N791" s="30">
        <v>0</v>
      </c>
      <c r="O791" s="231">
        <v>0</v>
      </c>
      <c r="P791" s="97">
        <f>VLOOKUP(Table323[[#This Row],[Census Tract]],'Population and Diversity Data'!$B$2:$K$823,10,FALSE)</f>
        <v>3</v>
      </c>
      <c r="Q791" s="97" t="str">
        <f>VLOOKUP(Table323[[#This Row],[Census Tract]],'ES Energy Burden'!$B$2:$E$914,4,FALSE)</f>
        <v>No</v>
      </c>
    </row>
    <row r="792" spans="1:17" x14ac:dyDescent="0.2">
      <c r="A792" s="30" t="s">
        <v>2860</v>
      </c>
      <c r="B792" s="169">
        <v>9003497700</v>
      </c>
      <c r="C792" s="232" t="s">
        <v>944</v>
      </c>
      <c r="D792" s="182">
        <v>68225.623556999999</v>
      </c>
      <c r="E792" s="182">
        <v>33866.21</v>
      </c>
      <c r="F792" s="13">
        <f>[1]!Table323[[#This Row],[Single Family]]+[1]!Table323[[#This Row],[2-4 Units]]+[1]!Table323[[#This Row],[&gt;4 Units]]</f>
        <v>0</v>
      </c>
      <c r="G792" s="30">
        <v>0</v>
      </c>
      <c r="H792" s="30">
        <v>0</v>
      </c>
      <c r="I792" s="30">
        <v>0</v>
      </c>
      <c r="J792" s="231">
        <v>13794.26</v>
      </c>
      <c r="K792">
        <f t="shared" si="12"/>
        <v>1</v>
      </c>
      <c r="L792" s="30">
        <v>1</v>
      </c>
      <c r="M792" s="30">
        <v>0</v>
      </c>
      <c r="N792" s="30">
        <v>0</v>
      </c>
      <c r="O792" s="231">
        <v>134.5</v>
      </c>
      <c r="P792" s="97">
        <f>VLOOKUP(Table323[[#This Row],[Census Tract]],'Population and Diversity Data'!$B$2:$K$823,10,FALSE)</f>
        <v>3</v>
      </c>
      <c r="Q792" s="97" t="str">
        <f>VLOOKUP(Table323[[#This Row],[Census Tract]],'ES Energy Burden'!$B$2:$E$914,4,FALSE)</f>
        <v>No</v>
      </c>
    </row>
    <row r="793" spans="1:17" x14ac:dyDescent="0.2">
      <c r="A793" s="30" t="s">
        <v>2861</v>
      </c>
      <c r="B793" s="169">
        <v>9007680100</v>
      </c>
      <c r="C793" s="232" t="s">
        <v>944</v>
      </c>
      <c r="D793" s="182">
        <v>153241.18637099999</v>
      </c>
      <c r="E793" s="182">
        <v>215689.32</v>
      </c>
      <c r="F793" s="13">
        <f>[1]!Table323[[#This Row],[Single Family]]+[1]!Table323[[#This Row],[2-4 Units]]+[1]!Table323[[#This Row],[&gt;4 Units]]</f>
        <v>53</v>
      </c>
      <c r="G793" s="30">
        <v>53</v>
      </c>
      <c r="H793" s="30">
        <v>0</v>
      </c>
      <c r="I793" s="30">
        <v>0</v>
      </c>
      <c r="J793" s="231">
        <v>123998.52</v>
      </c>
      <c r="K793">
        <f t="shared" si="12"/>
        <v>37</v>
      </c>
      <c r="L793" s="30">
        <v>11</v>
      </c>
      <c r="M793" s="30">
        <v>2</v>
      </c>
      <c r="N793" s="30">
        <v>24</v>
      </c>
      <c r="O793" s="231">
        <v>22947.66</v>
      </c>
      <c r="P793" s="97">
        <f>VLOOKUP(Table323[[#This Row],[Census Tract]],'Population and Diversity Data'!$B$2:$K$823,10,FALSE)</f>
        <v>2</v>
      </c>
      <c r="Q793" s="97" t="str">
        <f>VLOOKUP(Table323[[#This Row],[Census Tract]],'ES Energy Burden'!$B$2:$E$914,4,FALSE)</f>
        <v>No</v>
      </c>
    </row>
    <row r="794" spans="1:17" x14ac:dyDescent="0.2">
      <c r="A794" s="30" t="s">
        <v>2862</v>
      </c>
      <c r="B794" s="169">
        <v>9001050100</v>
      </c>
      <c r="C794" s="232" t="s">
        <v>944</v>
      </c>
      <c r="D794" s="182">
        <v>318.62061</v>
      </c>
      <c r="E794" s="182">
        <v>0</v>
      </c>
      <c r="F794" s="13">
        <f>[1]!Table323[[#This Row],[Single Family]]+[1]!Table323[[#This Row],[2-4 Units]]+[1]!Table323[[#This Row],[&gt;4 Units]]</f>
        <v>0</v>
      </c>
      <c r="G794" s="30">
        <v>0</v>
      </c>
      <c r="H794" s="30">
        <v>0</v>
      </c>
      <c r="I794" s="30">
        <v>0</v>
      </c>
      <c r="J794" s="231">
        <v>0</v>
      </c>
      <c r="K794">
        <f t="shared" si="12"/>
        <v>0</v>
      </c>
      <c r="L794" s="30">
        <v>0</v>
      </c>
      <c r="M794" s="30">
        <v>0</v>
      </c>
      <c r="N794" s="30">
        <v>0</v>
      </c>
      <c r="O794" s="231">
        <v>0</v>
      </c>
      <c r="P794" s="97">
        <f>VLOOKUP(Table323[[#This Row],[Census Tract]],'Population and Diversity Data'!$B$2:$K$823,10,FALSE)</f>
        <v>2</v>
      </c>
      <c r="Q794" s="97" t="str">
        <f>VLOOKUP(Table323[[#This Row],[Census Tract]],'ES Energy Burden'!$B$2:$E$914,4,FALSE)</f>
        <v>No</v>
      </c>
    </row>
    <row r="795" spans="1:17" x14ac:dyDescent="0.2">
      <c r="A795" s="30" t="s">
        <v>2862</v>
      </c>
      <c r="B795" s="169">
        <v>9001050300</v>
      </c>
      <c r="C795" s="232" t="s">
        <v>944</v>
      </c>
      <c r="D795" s="182">
        <v>253.16928000000001</v>
      </c>
      <c r="E795" s="182">
        <v>0</v>
      </c>
      <c r="F795" s="13">
        <f>[1]!Table323[[#This Row],[Single Family]]+[1]!Table323[[#This Row],[2-4 Units]]+[1]!Table323[[#This Row],[&gt;4 Units]]</f>
        <v>0</v>
      </c>
      <c r="G795" s="30">
        <v>0</v>
      </c>
      <c r="H795" s="30">
        <v>0</v>
      </c>
      <c r="I795" s="30">
        <v>0</v>
      </c>
      <c r="J795" s="231">
        <v>0</v>
      </c>
      <c r="K795">
        <f t="shared" si="12"/>
        <v>0</v>
      </c>
      <c r="L795" s="30">
        <v>0</v>
      </c>
      <c r="M795" s="30">
        <v>0</v>
      </c>
      <c r="N795" s="30">
        <v>0</v>
      </c>
      <c r="O795" s="231">
        <v>0</v>
      </c>
      <c r="P795" s="97">
        <f>VLOOKUP(Table323[[#This Row],[Census Tract]],'Population and Diversity Data'!$B$2:$K$823,10,FALSE)</f>
        <v>3</v>
      </c>
      <c r="Q795" s="97" t="str">
        <f>VLOOKUP(Table323[[#This Row],[Census Tract]],'ES Energy Burden'!$B$2:$E$914,4,FALSE)</f>
        <v>No</v>
      </c>
    </row>
    <row r="796" spans="1:17" x14ac:dyDescent="0.2">
      <c r="A796" s="30" t="s">
        <v>2862</v>
      </c>
      <c r="B796" s="169">
        <v>9001055100</v>
      </c>
      <c r="C796" s="232" t="s">
        <v>944</v>
      </c>
      <c r="D796" s="182">
        <v>202690.61721300002</v>
      </c>
      <c r="E796" s="182">
        <v>203841.61499999999</v>
      </c>
      <c r="F796" s="13">
        <f>[1]!Table323[[#This Row],[Single Family]]+[1]!Table323[[#This Row],[2-4 Units]]+[1]!Table323[[#This Row],[&gt;4 Units]]</f>
        <v>0</v>
      </c>
      <c r="G796" s="30">
        <v>0</v>
      </c>
      <c r="H796" s="30">
        <v>0</v>
      </c>
      <c r="I796" s="30">
        <v>0</v>
      </c>
      <c r="J796" s="231">
        <v>21412.19</v>
      </c>
      <c r="K796">
        <f t="shared" si="12"/>
        <v>2</v>
      </c>
      <c r="L796" s="30">
        <v>2</v>
      </c>
      <c r="M796" s="30">
        <v>0</v>
      </c>
      <c r="N796" s="30">
        <v>0</v>
      </c>
      <c r="O796" s="231">
        <v>6688.32</v>
      </c>
      <c r="P796" s="97">
        <f>VLOOKUP(Table323[[#This Row],[Census Tract]],'Population and Diversity Data'!$B$2:$K$823,10,FALSE)</f>
        <v>4</v>
      </c>
      <c r="Q796" s="97" t="str">
        <f>VLOOKUP(Table323[[#This Row],[Census Tract]],'ES Energy Burden'!$B$2:$E$914,4,FALSE)</f>
        <v>No</v>
      </c>
    </row>
    <row r="797" spans="1:17" x14ac:dyDescent="0.2">
      <c r="A797" s="30" t="s">
        <v>2862</v>
      </c>
      <c r="B797" s="169">
        <v>9001055200</v>
      </c>
      <c r="C797" s="232" t="s">
        <v>944</v>
      </c>
      <c r="D797" s="182">
        <v>87994.934789999999</v>
      </c>
      <c r="E797" s="182">
        <v>23066.18</v>
      </c>
      <c r="F797" s="13">
        <f>[1]!Table323[[#This Row],[Single Family]]+[1]!Table323[[#This Row],[2-4 Units]]+[1]!Table323[[#This Row],[&gt;4 Units]]</f>
        <v>93</v>
      </c>
      <c r="G797" s="30">
        <v>93</v>
      </c>
      <c r="H797" s="30">
        <v>0</v>
      </c>
      <c r="I797" s="30">
        <v>0</v>
      </c>
      <c r="J797" s="231">
        <v>150690.01999999999</v>
      </c>
      <c r="K797">
        <f t="shared" si="12"/>
        <v>3</v>
      </c>
      <c r="L797" s="30">
        <v>3</v>
      </c>
      <c r="M797" s="30">
        <v>0</v>
      </c>
      <c r="N797" s="30">
        <v>0</v>
      </c>
      <c r="O797" s="231">
        <v>542.76</v>
      </c>
      <c r="P797" s="97">
        <f>VLOOKUP(Table323[[#This Row],[Census Tract]],'Population and Diversity Data'!$B$2:$K$823,10,FALSE)</f>
        <v>1</v>
      </c>
      <c r="Q797" s="97" t="str">
        <f>VLOOKUP(Table323[[#This Row],[Census Tract]],'ES Energy Burden'!$B$2:$E$914,4,FALSE)</f>
        <v>No</v>
      </c>
    </row>
    <row r="798" spans="1:17" x14ac:dyDescent="0.2">
      <c r="A798" s="30" t="s">
        <v>2863</v>
      </c>
      <c r="B798" s="169">
        <v>9001042500</v>
      </c>
      <c r="C798" s="232" t="s">
        <v>944</v>
      </c>
      <c r="D798" s="182">
        <v>72.411360000000002</v>
      </c>
      <c r="E798" s="182">
        <v>0</v>
      </c>
      <c r="F798" s="13">
        <f>[1]!Table323[[#This Row],[Single Family]]+[1]!Table323[[#This Row],[2-4 Units]]+[1]!Table323[[#This Row],[&gt;4 Units]]</f>
        <v>0</v>
      </c>
      <c r="G798" s="30">
        <v>0</v>
      </c>
      <c r="H798" s="30">
        <v>0</v>
      </c>
      <c r="I798" s="30">
        <v>0</v>
      </c>
      <c r="J798" s="231">
        <v>0</v>
      </c>
      <c r="K798">
        <f t="shared" si="12"/>
        <v>0</v>
      </c>
      <c r="L798" s="30">
        <v>0</v>
      </c>
      <c r="M798" s="30">
        <v>0</v>
      </c>
      <c r="N798" s="30">
        <v>0</v>
      </c>
      <c r="O798" s="231">
        <v>0</v>
      </c>
      <c r="P798" s="97">
        <f>VLOOKUP(Table323[[#This Row],[Census Tract]],'Population and Diversity Data'!$B$2:$K$823,10,FALSE)</f>
        <v>1</v>
      </c>
      <c r="Q798" s="97" t="str">
        <f>VLOOKUP(Table323[[#This Row],[Census Tract]],'ES Energy Burden'!$B$2:$E$914,4,FALSE)</f>
        <v>No</v>
      </c>
    </row>
    <row r="799" spans="1:17" x14ac:dyDescent="0.2">
      <c r="A799" s="30" t="s">
        <v>2863</v>
      </c>
      <c r="B799" s="169">
        <v>9001042600</v>
      </c>
      <c r="C799" s="232" t="s">
        <v>944</v>
      </c>
      <c r="D799" s="182">
        <v>510.99950999999999</v>
      </c>
      <c r="E799" s="182">
        <v>7093.56</v>
      </c>
      <c r="F799" s="13">
        <f>[1]!Table323[[#This Row],[Single Family]]+[1]!Table323[[#This Row],[2-4 Units]]+[1]!Table323[[#This Row],[&gt;4 Units]]</f>
        <v>0</v>
      </c>
      <c r="G799" s="30">
        <v>0</v>
      </c>
      <c r="H799" s="30">
        <v>0</v>
      </c>
      <c r="I799" s="30">
        <v>0</v>
      </c>
      <c r="J799" s="231">
        <v>6084.6</v>
      </c>
      <c r="K799">
        <f t="shared" si="12"/>
        <v>0</v>
      </c>
      <c r="L799" s="30">
        <v>0</v>
      </c>
      <c r="M799" s="30">
        <v>0</v>
      </c>
      <c r="N799" s="30">
        <v>0</v>
      </c>
      <c r="O799" s="231">
        <v>0</v>
      </c>
      <c r="P799" s="97">
        <f>VLOOKUP(Table323[[#This Row],[Census Tract]],'Population and Diversity Data'!$B$2:$K$823,10,FALSE)</f>
        <v>3</v>
      </c>
      <c r="Q799" s="97" t="str">
        <f>VLOOKUP(Table323[[#This Row],[Census Tract]],'ES Energy Burden'!$B$2:$E$914,4,FALSE)</f>
        <v>No</v>
      </c>
    </row>
    <row r="800" spans="1:17" x14ac:dyDescent="0.2">
      <c r="A800" s="30" t="s">
        <v>2863</v>
      </c>
      <c r="B800" s="169">
        <v>9001043500</v>
      </c>
      <c r="C800" s="232" t="s">
        <v>944</v>
      </c>
      <c r="D800" s="182">
        <v>904.67349000000002</v>
      </c>
      <c r="E800" s="182">
        <v>4648.4399999999996</v>
      </c>
      <c r="F800" s="13">
        <f>[1]!Table323[[#This Row],[Single Family]]+[1]!Table323[[#This Row],[2-4 Units]]+[1]!Table323[[#This Row],[&gt;4 Units]]</f>
        <v>0</v>
      </c>
      <c r="G800" s="30">
        <v>0</v>
      </c>
      <c r="H800" s="30">
        <v>0</v>
      </c>
      <c r="I800" s="30">
        <v>0</v>
      </c>
      <c r="J800" s="231">
        <v>4648.4399999999996</v>
      </c>
      <c r="K800">
        <f t="shared" si="12"/>
        <v>0</v>
      </c>
      <c r="L800" s="30">
        <v>0</v>
      </c>
      <c r="M800" s="30">
        <v>0</v>
      </c>
      <c r="N800" s="30">
        <v>0</v>
      </c>
      <c r="O800" s="231">
        <v>0</v>
      </c>
      <c r="P800" s="97">
        <f>VLOOKUP(Table323[[#This Row],[Census Tract]],'Population and Diversity Data'!$B$2:$K$823,10,FALSE)</f>
        <v>1</v>
      </c>
      <c r="Q800" s="97" t="str">
        <f>VLOOKUP(Table323[[#This Row],[Census Tract]],'ES Energy Burden'!$B$2:$E$914,4,FALSE)</f>
        <v>No</v>
      </c>
    </row>
    <row r="801" spans="1:17" x14ac:dyDescent="0.2">
      <c r="A801" s="30" t="s">
        <v>2863</v>
      </c>
      <c r="B801" s="169">
        <v>9001044300</v>
      </c>
      <c r="C801" s="232" t="s">
        <v>944</v>
      </c>
      <c r="D801" s="182">
        <v>741.14900999999998</v>
      </c>
      <c r="E801" s="182">
        <v>0</v>
      </c>
      <c r="F801" s="13">
        <f>[1]!Table323[[#This Row],[Single Family]]+[1]!Table323[[#This Row],[2-4 Units]]+[1]!Table323[[#This Row],[&gt;4 Units]]</f>
        <v>0</v>
      </c>
      <c r="G801" s="30">
        <v>0</v>
      </c>
      <c r="H801" s="30">
        <v>0</v>
      </c>
      <c r="I801" s="30">
        <v>0</v>
      </c>
      <c r="J801" s="231">
        <v>0</v>
      </c>
      <c r="K801">
        <f t="shared" si="12"/>
        <v>0</v>
      </c>
      <c r="L801" s="30">
        <v>0</v>
      </c>
      <c r="M801" s="30">
        <v>0</v>
      </c>
      <c r="N801" s="30">
        <v>0</v>
      </c>
      <c r="O801" s="231">
        <v>0</v>
      </c>
      <c r="P801" s="97">
        <f>VLOOKUP(Table323[[#This Row],[Census Tract]],'Population and Diversity Data'!$B$2:$K$823,10,FALSE)</f>
        <v>3</v>
      </c>
      <c r="Q801" s="97" t="str">
        <f>VLOOKUP(Table323[[#This Row],[Census Tract]],'ES Energy Burden'!$B$2:$E$914,4,FALSE)</f>
        <v>No</v>
      </c>
    </row>
    <row r="802" spans="1:17" x14ac:dyDescent="0.2">
      <c r="A802" s="30" t="s">
        <v>2863</v>
      </c>
      <c r="B802" s="169">
        <v>9001045400</v>
      </c>
      <c r="C802" s="232" t="s">
        <v>944</v>
      </c>
      <c r="D802" s="182">
        <v>261.25470000000001</v>
      </c>
      <c r="E802" s="182">
        <v>1515.03</v>
      </c>
      <c r="F802" s="13">
        <f>[1]!Table323[[#This Row],[Single Family]]+[1]!Table323[[#This Row],[2-4 Units]]+[1]!Table323[[#This Row],[&gt;4 Units]]</f>
        <v>0</v>
      </c>
      <c r="G802" s="30">
        <v>0</v>
      </c>
      <c r="H802" s="30">
        <v>0</v>
      </c>
      <c r="I802" s="30">
        <v>0</v>
      </c>
      <c r="J802" s="231">
        <v>0</v>
      </c>
      <c r="K802">
        <f t="shared" si="12"/>
        <v>0</v>
      </c>
      <c r="L802" s="30">
        <v>0</v>
      </c>
      <c r="M802" s="30">
        <v>0</v>
      </c>
      <c r="N802" s="30">
        <v>0</v>
      </c>
      <c r="O802" s="231">
        <v>0</v>
      </c>
      <c r="P802" s="97">
        <f>VLOOKUP(Table323[[#This Row],[Census Tract]],'Population and Diversity Data'!$B$2:$K$823,10,FALSE)</f>
        <v>4</v>
      </c>
      <c r="Q802" s="97" t="str">
        <f>VLOOKUP(Table323[[#This Row],[Census Tract]],'ES Energy Burden'!$B$2:$E$914,4,FALSE)</f>
        <v>No</v>
      </c>
    </row>
    <row r="803" spans="1:17" x14ac:dyDescent="0.2">
      <c r="A803" s="30" t="s">
        <v>2863</v>
      </c>
      <c r="B803" s="169">
        <v>9001050100</v>
      </c>
      <c r="C803" s="232" t="s">
        <v>944</v>
      </c>
      <c r="D803" s="182">
        <v>321653.872218</v>
      </c>
      <c r="E803" s="182">
        <v>348848.11499999999</v>
      </c>
      <c r="F803" s="13">
        <f>[1]!Table323[[#This Row],[Single Family]]+[1]!Table323[[#This Row],[2-4 Units]]+[1]!Table323[[#This Row],[&gt;4 Units]]</f>
        <v>0</v>
      </c>
      <c r="G803" s="30">
        <v>0</v>
      </c>
      <c r="H803" s="30">
        <v>0</v>
      </c>
      <c r="I803" s="30">
        <v>0</v>
      </c>
      <c r="J803" s="231">
        <v>16220.44</v>
      </c>
      <c r="K803">
        <f t="shared" si="12"/>
        <v>1</v>
      </c>
      <c r="L803" s="30">
        <v>1</v>
      </c>
      <c r="M803" s="30">
        <v>0</v>
      </c>
      <c r="N803" s="30">
        <v>0</v>
      </c>
      <c r="O803" s="231">
        <v>2540.44</v>
      </c>
      <c r="P803" s="97">
        <f>VLOOKUP(Table323[[#This Row],[Census Tract]],'Population and Diversity Data'!$B$2:$K$823,10,FALSE)</f>
        <v>2</v>
      </c>
      <c r="Q803" s="97" t="str">
        <f>VLOOKUP(Table323[[#This Row],[Census Tract]],'ES Energy Burden'!$B$2:$E$914,4,FALSE)</f>
        <v>No</v>
      </c>
    </row>
    <row r="804" spans="1:17" x14ac:dyDescent="0.2">
      <c r="A804" s="30" t="s">
        <v>2863</v>
      </c>
      <c r="B804" s="169">
        <v>9001050200</v>
      </c>
      <c r="C804" s="232" t="s">
        <v>944</v>
      </c>
      <c r="D804" s="182">
        <v>71129.185301999998</v>
      </c>
      <c r="E804" s="182">
        <v>27588.02</v>
      </c>
      <c r="F804" s="13">
        <f>[1]!Table323[[#This Row],[Single Family]]+[1]!Table323[[#This Row],[2-4 Units]]+[1]!Table323[[#This Row],[&gt;4 Units]]</f>
        <v>0</v>
      </c>
      <c r="G804" s="30">
        <v>0</v>
      </c>
      <c r="H804" s="30">
        <v>0</v>
      </c>
      <c r="I804" s="30">
        <v>0</v>
      </c>
      <c r="J804" s="231">
        <v>2178.65</v>
      </c>
      <c r="K804">
        <f t="shared" si="12"/>
        <v>3</v>
      </c>
      <c r="L804" s="30">
        <v>3</v>
      </c>
      <c r="M804" s="30">
        <v>0</v>
      </c>
      <c r="N804" s="30">
        <v>0</v>
      </c>
      <c r="O804" s="231">
        <v>6580.58</v>
      </c>
      <c r="P804" s="97">
        <f>VLOOKUP(Table323[[#This Row],[Census Tract]],'Population and Diversity Data'!$B$2:$K$823,10,FALSE)</f>
        <v>4</v>
      </c>
      <c r="Q804" s="97" t="str">
        <f>VLOOKUP(Table323[[#This Row],[Census Tract]],'ES Energy Burden'!$B$2:$E$914,4,FALSE)</f>
        <v>No</v>
      </c>
    </row>
    <row r="805" spans="1:17" x14ac:dyDescent="0.2">
      <c r="A805" s="30" t="s">
        <v>2863</v>
      </c>
      <c r="B805" s="169">
        <v>9001050300</v>
      </c>
      <c r="C805" s="232" t="s">
        <v>944</v>
      </c>
      <c r="D805" s="182">
        <v>159056.36002200001</v>
      </c>
      <c r="E805" s="182">
        <v>82894.264999999999</v>
      </c>
      <c r="F805" s="13">
        <f>[1]!Table323[[#This Row],[Single Family]]+[1]!Table323[[#This Row],[2-4 Units]]+[1]!Table323[[#This Row],[&gt;4 Units]]</f>
        <v>311</v>
      </c>
      <c r="G805" s="30">
        <v>228</v>
      </c>
      <c r="H805" s="30">
        <v>2</v>
      </c>
      <c r="I805" s="30">
        <v>81</v>
      </c>
      <c r="J805" s="231">
        <v>337013.86</v>
      </c>
      <c r="K805">
        <f t="shared" si="12"/>
        <v>2</v>
      </c>
      <c r="L805" s="30">
        <v>2</v>
      </c>
      <c r="M805" s="30">
        <v>0</v>
      </c>
      <c r="N805" s="30">
        <v>0</v>
      </c>
      <c r="O805" s="231">
        <v>6534.91</v>
      </c>
      <c r="P805" s="97">
        <f>VLOOKUP(Table323[[#This Row],[Census Tract]],'Population and Diversity Data'!$B$2:$K$823,10,FALSE)</f>
        <v>3</v>
      </c>
      <c r="Q805" s="97" t="str">
        <f>VLOOKUP(Table323[[#This Row],[Census Tract]],'ES Energy Burden'!$B$2:$E$914,4,FALSE)</f>
        <v>No</v>
      </c>
    </row>
    <row r="806" spans="1:17" x14ac:dyDescent="0.2">
      <c r="A806" s="30" t="s">
        <v>2863</v>
      </c>
      <c r="B806" s="169">
        <v>9001050400</v>
      </c>
      <c r="C806" s="232" t="s">
        <v>944</v>
      </c>
      <c r="D806" s="182">
        <v>43883.853719999999</v>
      </c>
      <c r="E806" s="182">
        <v>19179.91</v>
      </c>
      <c r="F806" s="13">
        <f>[1]!Table323[[#This Row],[Single Family]]+[1]!Table323[[#This Row],[2-4 Units]]+[1]!Table323[[#This Row],[&gt;4 Units]]</f>
        <v>0</v>
      </c>
      <c r="G806" s="30">
        <v>0</v>
      </c>
      <c r="H806" s="30">
        <v>0</v>
      </c>
      <c r="I806" s="30">
        <v>0</v>
      </c>
      <c r="J806" s="231">
        <v>3151.11</v>
      </c>
      <c r="K806">
        <f t="shared" si="12"/>
        <v>0</v>
      </c>
      <c r="L806" s="30">
        <v>0</v>
      </c>
      <c r="M806" s="30">
        <v>0</v>
      </c>
      <c r="N806" s="30">
        <v>0</v>
      </c>
      <c r="O806" s="231">
        <v>0</v>
      </c>
      <c r="P806" s="97">
        <f>VLOOKUP(Table323[[#This Row],[Census Tract]],'Population and Diversity Data'!$B$2:$K$823,10,FALSE)</f>
        <v>3</v>
      </c>
      <c r="Q806" s="97" t="str">
        <f>VLOOKUP(Table323[[#This Row],[Census Tract]],'ES Energy Burden'!$B$2:$E$914,4,FALSE)</f>
        <v>No</v>
      </c>
    </row>
    <row r="807" spans="1:17" x14ac:dyDescent="0.2">
      <c r="A807" s="30" t="s">
        <v>2863</v>
      </c>
      <c r="B807" s="169">
        <v>9001050500</v>
      </c>
      <c r="C807" s="232" t="s">
        <v>944</v>
      </c>
      <c r="D807" s="182">
        <v>87628.02915300001</v>
      </c>
      <c r="E807" s="182">
        <v>59388.24</v>
      </c>
      <c r="F807" s="13">
        <f>[1]!Table323[[#This Row],[Single Family]]+[1]!Table323[[#This Row],[2-4 Units]]+[1]!Table323[[#This Row],[&gt;4 Units]]</f>
        <v>1</v>
      </c>
      <c r="G807" s="30">
        <v>1</v>
      </c>
      <c r="H807" s="30">
        <v>0</v>
      </c>
      <c r="I807" s="30">
        <v>0</v>
      </c>
      <c r="J807" s="231">
        <v>23412.21</v>
      </c>
      <c r="K807">
        <f t="shared" si="12"/>
        <v>1</v>
      </c>
      <c r="L807" s="30">
        <v>1</v>
      </c>
      <c r="M807" s="30">
        <v>0</v>
      </c>
      <c r="N807" s="30">
        <v>0</v>
      </c>
      <c r="O807" s="231">
        <v>812.22</v>
      </c>
      <c r="P807" s="97">
        <f>VLOOKUP(Table323[[#This Row],[Census Tract]],'Population and Diversity Data'!$B$2:$K$823,10,FALSE)</f>
        <v>1</v>
      </c>
      <c r="Q807" s="97" t="str">
        <f>VLOOKUP(Table323[[#This Row],[Census Tract]],'ES Energy Burden'!$B$2:$E$914,4,FALSE)</f>
        <v>No</v>
      </c>
    </row>
    <row r="808" spans="1:17" x14ac:dyDescent="0.2">
      <c r="A808" s="30" t="s">
        <v>2863</v>
      </c>
      <c r="B808" s="169">
        <v>9001050600</v>
      </c>
      <c r="C808" s="232" t="s">
        <v>944</v>
      </c>
      <c r="D808" s="182">
        <v>77110.199418000004</v>
      </c>
      <c r="E808" s="182">
        <v>30199.65</v>
      </c>
      <c r="F808" s="13">
        <f>[1]!Table323[[#This Row],[Single Family]]+[1]!Table323[[#This Row],[2-4 Units]]+[1]!Table323[[#This Row],[&gt;4 Units]]</f>
        <v>0</v>
      </c>
      <c r="G808" s="30">
        <v>0</v>
      </c>
      <c r="H808" s="30">
        <v>0</v>
      </c>
      <c r="I808" s="30">
        <v>0</v>
      </c>
      <c r="J808" s="231">
        <v>3736.3</v>
      </c>
      <c r="K808">
        <f t="shared" si="12"/>
        <v>0</v>
      </c>
      <c r="L808" s="30">
        <v>0</v>
      </c>
      <c r="M808" s="30">
        <v>0</v>
      </c>
      <c r="N808" s="30">
        <v>0</v>
      </c>
      <c r="O808" s="231">
        <v>0</v>
      </c>
      <c r="P808" s="97">
        <f>VLOOKUP(Table323[[#This Row],[Census Tract]],'Population and Diversity Data'!$B$2:$K$823,10,FALSE)</f>
        <v>3</v>
      </c>
      <c r="Q808" s="97" t="str">
        <f>VLOOKUP(Table323[[#This Row],[Census Tract]],'ES Energy Burden'!$B$2:$E$914,4,FALSE)</f>
        <v>No</v>
      </c>
    </row>
    <row r="809" spans="1:17" x14ac:dyDescent="0.2">
      <c r="A809" s="30" t="s">
        <v>2863</v>
      </c>
      <c r="B809" s="169">
        <v>9001055200</v>
      </c>
      <c r="C809" s="232" t="s">
        <v>944</v>
      </c>
      <c r="D809" s="182">
        <v>3187.5826500000003</v>
      </c>
      <c r="E809" s="182">
        <v>0</v>
      </c>
      <c r="F809" s="13">
        <f>[1]!Table323[[#This Row],[Single Family]]+[1]!Table323[[#This Row],[2-4 Units]]+[1]!Table323[[#This Row],[&gt;4 Units]]</f>
        <v>0</v>
      </c>
      <c r="G809" s="30">
        <v>0</v>
      </c>
      <c r="H809" s="30">
        <v>0</v>
      </c>
      <c r="I809" s="30">
        <v>0</v>
      </c>
      <c r="J809" s="231">
        <v>0</v>
      </c>
      <c r="K809">
        <f t="shared" si="12"/>
        <v>0</v>
      </c>
      <c r="L809" s="30">
        <v>0</v>
      </c>
      <c r="M809" s="30">
        <v>0</v>
      </c>
      <c r="N809" s="30">
        <v>0</v>
      </c>
      <c r="O809" s="231">
        <v>0</v>
      </c>
      <c r="P809" s="97">
        <f>VLOOKUP(Table323[[#This Row],[Census Tract]],'Population and Diversity Data'!$B$2:$K$823,10,FALSE)</f>
        <v>1</v>
      </c>
      <c r="Q809" s="97" t="str">
        <f>VLOOKUP(Table323[[#This Row],[Census Tract]],'ES Energy Burden'!$B$2:$E$914,4,FALSE)</f>
        <v>No</v>
      </c>
    </row>
    <row r="810" spans="1:17" x14ac:dyDescent="0.2">
      <c r="A810" s="30" t="s">
        <v>2863</v>
      </c>
      <c r="B810" s="169">
        <v>9001060400</v>
      </c>
      <c r="C810" s="232" t="s">
        <v>944</v>
      </c>
      <c r="D810" s="182">
        <v>2587.7884199999999</v>
      </c>
      <c r="E810" s="182">
        <v>0</v>
      </c>
      <c r="F810" s="13">
        <f>[1]!Table323[[#This Row],[Single Family]]+[1]!Table323[[#This Row],[2-4 Units]]+[1]!Table323[[#This Row],[&gt;4 Units]]</f>
        <v>0</v>
      </c>
      <c r="G810" s="30">
        <v>0</v>
      </c>
      <c r="H810" s="30">
        <v>0</v>
      </c>
      <c r="I810" s="30">
        <v>0</v>
      </c>
      <c r="J810" s="231">
        <v>0</v>
      </c>
      <c r="K810">
        <f t="shared" si="12"/>
        <v>0</v>
      </c>
      <c r="L810" s="30">
        <v>0</v>
      </c>
      <c r="M810" s="30">
        <v>0</v>
      </c>
      <c r="N810" s="30">
        <v>0</v>
      </c>
      <c r="O810" s="231">
        <v>0</v>
      </c>
      <c r="P810" s="97">
        <f>VLOOKUP(Table323[[#This Row],[Census Tract]],'Population and Diversity Data'!$B$2:$K$823,10,FALSE)</f>
        <v>1</v>
      </c>
      <c r="Q810" s="97" t="str">
        <f>VLOOKUP(Table323[[#This Row],[Census Tract]],'ES Energy Burden'!$B$2:$E$914,4,FALSE)</f>
        <v>No</v>
      </c>
    </row>
    <row r="811" spans="1:17" x14ac:dyDescent="0.2">
      <c r="A811" s="30" t="s">
        <v>2864</v>
      </c>
      <c r="B811" s="169">
        <v>9003492100</v>
      </c>
      <c r="C811" s="232" t="s">
        <v>944</v>
      </c>
      <c r="D811" s="182">
        <v>35513.312540999999</v>
      </c>
      <c r="E811" s="182">
        <v>10410.450000000001</v>
      </c>
      <c r="F811" s="13">
        <f>[1]!Table323[[#This Row],[Single Family]]+[1]!Table323[[#This Row],[2-4 Units]]+[1]!Table323[[#This Row],[&gt;4 Units]]</f>
        <v>1</v>
      </c>
      <c r="G811" s="30">
        <v>1</v>
      </c>
      <c r="H811" s="30">
        <v>0</v>
      </c>
      <c r="I811" s="30">
        <v>0</v>
      </c>
      <c r="J811" s="231">
        <v>2698.06</v>
      </c>
      <c r="K811">
        <f t="shared" si="12"/>
        <v>0</v>
      </c>
      <c r="L811" s="30">
        <v>0</v>
      </c>
      <c r="M811" s="30">
        <v>0</v>
      </c>
      <c r="N811" s="30">
        <v>0</v>
      </c>
      <c r="O811" s="231">
        <v>0</v>
      </c>
      <c r="P811" s="97">
        <f>VLOOKUP(Table323[[#This Row],[Census Tract]],'Population and Diversity Data'!$B$2:$K$823,10,FALSE)</f>
        <v>1</v>
      </c>
      <c r="Q811" s="97" t="str">
        <f>VLOOKUP(Table323[[#This Row],[Census Tract]],'ES Energy Burden'!$B$2:$E$914,4,FALSE)</f>
        <v>No</v>
      </c>
    </row>
    <row r="812" spans="1:17" x14ac:dyDescent="0.2">
      <c r="A812" s="30" t="s">
        <v>2864</v>
      </c>
      <c r="B812" s="169">
        <v>9003492200</v>
      </c>
      <c r="C812" s="232" t="s">
        <v>944</v>
      </c>
      <c r="D812" s="182">
        <v>37924.348559999999</v>
      </c>
      <c r="E812" s="182">
        <v>33134.660000000003</v>
      </c>
      <c r="F812" s="13">
        <f>[1]!Table323[[#This Row],[Single Family]]+[1]!Table323[[#This Row],[2-4 Units]]+[1]!Table323[[#This Row],[&gt;4 Units]]</f>
        <v>0</v>
      </c>
      <c r="G812" s="30">
        <v>0</v>
      </c>
      <c r="H812" s="30">
        <v>0</v>
      </c>
      <c r="I812" s="30">
        <v>0</v>
      </c>
      <c r="J812" s="231">
        <v>1180</v>
      </c>
      <c r="K812">
        <f t="shared" si="12"/>
        <v>32</v>
      </c>
      <c r="L812" s="30">
        <v>2</v>
      </c>
      <c r="M812" s="30">
        <v>0</v>
      </c>
      <c r="N812" s="30">
        <v>30</v>
      </c>
      <c r="O812" s="231">
        <v>16425.810000000001</v>
      </c>
      <c r="P812" s="97">
        <f>VLOOKUP(Table323[[#This Row],[Census Tract]],'Population and Diversity Data'!$B$2:$K$823,10,FALSE)</f>
        <v>3</v>
      </c>
      <c r="Q812" s="97" t="str">
        <f>VLOOKUP(Table323[[#This Row],[Census Tract]],'ES Energy Burden'!$B$2:$E$914,4,FALSE)</f>
        <v>No</v>
      </c>
    </row>
    <row r="813" spans="1:17" x14ac:dyDescent="0.2">
      <c r="A813" s="30" t="s">
        <v>2864</v>
      </c>
      <c r="B813" s="169">
        <v>9003492300</v>
      </c>
      <c r="C813" s="232" t="s">
        <v>944</v>
      </c>
      <c r="D813" s="182">
        <v>50552.514452999996</v>
      </c>
      <c r="E813" s="182">
        <v>21693.439999999999</v>
      </c>
      <c r="F813" s="13">
        <f>[1]!Table323[[#This Row],[Single Family]]+[1]!Table323[[#This Row],[2-4 Units]]+[1]!Table323[[#This Row],[&gt;4 Units]]</f>
        <v>225</v>
      </c>
      <c r="G813" s="30">
        <v>225</v>
      </c>
      <c r="H813" s="30">
        <v>0</v>
      </c>
      <c r="I813" s="30">
        <v>0</v>
      </c>
      <c r="J813" s="231">
        <v>156447.96</v>
      </c>
      <c r="K813">
        <f t="shared" si="12"/>
        <v>19</v>
      </c>
      <c r="L813" s="30">
        <v>19</v>
      </c>
      <c r="M813" s="30">
        <v>0</v>
      </c>
      <c r="N813" s="30">
        <v>0</v>
      </c>
      <c r="O813" s="231">
        <v>47522.06</v>
      </c>
      <c r="P813" s="97">
        <f>VLOOKUP(Table323[[#This Row],[Census Tract]],'Population and Diversity Data'!$B$2:$K$823,10,FALSE)</f>
        <v>5</v>
      </c>
      <c r="Q813" s="97" t="str">
        <f>VLOOKUP(Table323[[#This Row],[Census Tract]],'ES Energy Burden'!$B$2:$E$914,4,FALSE)</f>
        <v>No</v>
      </c>
    </row>
    <row r="814" spans="1:17" x14ac:dyDescent="0.2">
      <c r="A814" s="30" t="s">
        <v>2864</v>
      </c>
      <c r="B814" s="169">
        <v>9003492400</v>
      </c>
      <c r="C814" s="232" t="s">
        <v>944</v>
      </c>
      <c r="D814" s="182">
        <v>148145.87930100001</v>
      </c>
      <c r="E814" s="182">
        <v>245909.85500000001</v>
      </c>
      <c r="F814" s="13">
        <f>[1]!Table323[[#This Row],[Single Family]]+[1]!Table323[[#This Row],[2-4 Units]]+[1]!Table323[[#This Row],[&gt;4 Units]]</f>
        <v>0</v>
      </c>
      <c r="G814" s="30">
        <v>0</v>
      </c>
      <c r="H814" s="30">
        <v>0</v>
      </c>
      <c r="I814" s="30">
        <v>0</v>
      </c>
      <c r="J814" s="231">
        <v>5117.34</v>
      </c>
      <c r="K814">
        <f t="shared" si="12"/>
        <v>2</v>
      </c>
      <c r="L814" s="30">
        <v>2</v>
      </c>
      <c r="M814" s="30">
        <v>0</v>
      </c>
      <c r="N814" s="30">
        <v>0</v>
      </c>
      <c r="O814" s="231">
        <v>10715.77</v>
      </c>
      <c r="P814" s="97">
        <f>VLOOKUP(Table323[[#This Row],[Census Tract]],'Population and Diversity Data'!$B$2:$K$823,10,FALSE)</f>
        <v>4</v>
      </c>
      <c r="Q814" s="97" t="str">
        <f>VLOOKUP(Table323[[#This Row],[Census Tract]],'ES Energy Burden'!$B$2:$E$914,4,FALSE)</f>
        <v>No</v>
      </c>
    </row>
    <row r="815" spans="1:17" x14ac:dyDescent="0.2">
      <c r="A815" s="30" t="s">
        <v>2864</v>
      </c>
      <c r="B815" s="169">
        <v>9003492500</v>
      </c>
      <c r="C815" s="232" t="s">
        <v>944</v>
      </c>
      <c r="D815" s="182">
        <v>37870.569890999999</v>
      </c>
      <c r="E815" s="182">
        <v>11815.06</v>
      </c>
      <c r="F815" s="13">
        <f>[1]!Table323[[#This Row],[Single Family]]+[1]!Table323[[#This Row],[2-4 Units]]+[1]!Table323[[#This Row],[&gt;4 Units]]</f>
        <v>1</v>
      </c>
      <c r="G815" s="30">
        <v>1</v>
      </c>
      <c r="H815" s="30">
        <v>0</v>
      </c>
      <c r="I815" s="30">
        <v>0</v>
      </c>
      <c r="J815" s="231">
        <v>995</v>
      </c>
      <c r="K815">
        <f t="shared" si="12"/>
        <v>2</v>
      </c>
      <c r="L815" s="30">
        <v>2</v>
      </c>
      <c r="M815" s="30">
        <v>0</v>
      </c>
      <c r="N815" s="30">
        <v>0</v>
      </c>
      <c r="O815" s="231">
        <v>2247.31</v>
      </c>
      <c r="P815" s="97">
        <f>VLOOKUP(Table323[[#This Row],[Census Tract]],'Population and Diversity Data'!$B$2:$K$823,10,FALSE)</f>
        <v>2</v>
      </c>
      <c r="Q815" s="97" t="str">
        <f>VLOOKUP(Table323[[#This Row],[Census Tract]],'ES Energy Burden'!$B$2:$E$914,4,FALSE)</f>
        <v>No</v>
      </c>
    </row>
    <row r="816" spans="1:17" x14ac:dyDescent="0.2">
      <c r="A816" s="30" t="s">
        <v>2864</v>
      </c>
      <c r="B816" s="169">
        <v>9003492600</v>
      </c>
      <c r="C816" s="232" t="s">
        <v>944</v>
      </c>
      <c r="D816" s="182">
        <v>76744.188779999997</v>
      </c>
      <c r="E816" s="182">
        <v>39052.839999999997</v>
      </c>
      <c r="F816" s="13">
        <f>[1]!Table323[[#This Row],[Single Family]]+[1]!Table323[[#This Row],[2-4 Units]]+[1]!Table323[[#This Row],[&gt;4 Units]]</f>
        <v>0</v>
      </c>
      <c r="G816" s="30">
        <v>0</v>
      </c>
      <c r="H816" s="30">
        <v>0</v>
      </c>
      <c r="I816" s="30">
        <v>0</v>
      </c>
      <c r="J816" s="231">
        <v>9415.3799999999992</v>
      </c>
      <c r="K816">
        <f t="shared" si="12"/>
        <v>1</v>
      </c>
      <c r="L816" s="30">
        <v>1</v>
      </c>
      <c r="M816" s="30">
        <v>0</v>
      </c>
      <c r="N816" s="30">
        <v>0</v>
      </c>
      <c r="O816" s="231">
        <v>2800.3</v>
      </c>
      <c r="P816" s="97">
        <f>VLOOKUP(Table323[[#This Row],[Census Tract]],'Population and Diversity Data'!$B$2:$K$823,10,FALSE)</f>
        <v>1</v>
      </c>
      <c r="Q816" s="97" t="str">
        <f>VLOOKUP(Table323[[#This Row],[Census Tract]],'ES Energy Burden'!$B$2:$E$914,4,FALSE)</f>
        <v>No</v>
      </c>
    </row>
    <row r="817" spans="1:17" x14ac:dyDescent="0.2">
      <c r="A817" s="30" t="s">
        <v>2864</v>
      </c>
      <c r="B817" s="169">
        <v>9003494100</v>
      </c>
      <c r="C817" s="232" t="s">
        <v>944</v>
      </c>
      <c r="D817" s="182">
        <v>559.50237000000004</v>
      </c>
      <c r="E817" s="182">
        <v>447.57</v>
      </c>
      <c r="F817" s="233">
        <f>[1]!Table323[[#This Row],[Single Family]]+[1]!Table323[[#This Row],[2-4 Units]]+[1]!Table323[[#This Row],[&gt;4 Units]]</f>
        <v>0</v>
      </c>
      <c r="G817" s="30">
        <v>0</v>
      </c>
      <c r="H817" s="30">
        <v>0</v>
      </c>
      <c r="I817" s="30">
        <v>0</v>
      </c>
      <c r="J817" s="231">
        <v>32.950000000000003</v>
      </c>
      <c r="K817">
        <f t="shared" si="12"/>
        <v>0</v>
      </c>
      <c r="L817" s="30">
        <v>0</v>
      </c>
      <c r="M817" s="30">
        <v>0</v>
      </c>
      <c r="N817" s="30">
        <v>0</v>
      </c>
      <c r="O817" s="231">
        <v>0</v>
      </c>
      <c r="P817" s="97">
        <f>VLOOKUP(Table323[[#This Row],[Census Tract]],'Population and Diversity Data'!$B$2:$K$823,10,FALSE)</f>
        <v>4</v>
      </c>
      <c r="Q817" s="97" t="str">
        <f>VLOOKUP(Table323[[#This Row],[Census Tract]],'ES Energy Burden'!$B$2:$E$914,4,FALSE)</f>
        <v>No</v>
      </c>
    </row>
    <row r="818" spans="1:17" x14ac:dyDescent="0.2">
      <c r="A818" s="30" t="s">
        <v>2865</v>
      </c>
      <c r="B818" s="169">
        <v>9013840100</v>
      </c>
      <c r="C818" s="232" t="s">
        <v>944</v>
      </c>
      <c r="D818" s="182">
        <v>93452.915450999993</v>
      </c>
      <c r="E818" s="182">
        <v>358399.32</v>
      </c>
      <c r="F818" s="233">
        <f>[1]!Table323[[#This Row],[Single Family]]+[1]!Table323[[#This Row],[2-4 Units]]+[1]!Table323[[#This Row],[&gt;4 Units]]</f>
        <v>33</v>
      </c>
      <c r="G818" s="30">
        <v>33</v>
      </c>
      <c r="H818" s="30">
        <v>0</v>
      </c>
      <c r="I818" s="30">
        <v>0</v>
      </c>
      <c r="J818" s="231">
        <v>51378.239999999998</v>
      </c>
      <c r="K818">
        <f t="shared" si="12"/>
        <v>134</v>
      </c>
      <c r="L818" s="30">
        <v>6</v>
      </c>
      <c r="M818" s="30">
        <v>0</v>
      </c>
      <c r="N818" s="30">
        <v>128</v>
      </c>
      <c r="O818" s="231">
        <v>267137.5</v>
      </c>
      <c r="P818" s="97">
        <f>VLOOKUP(Table323[[#This Row],[Census Tract]],'Population and Diversity Data'!$B$2:$K$823,10,FALSE)</f>
        <v>4</v>
      </c>
      <c r="Q818" s="97" t="str">
        <f>VLOOKUP(Table323[[#This Row],[Census Tract]],'ES Energy Burden'!$B$2:$E$914,4,FALSE)</f>
        <v>No</v>
      </c>
    </row>
    <row r="819" spans="1:17" x14ac:dyDescent="0.2">
      <c r="A819" s="30" t="s">
        <v>2865</v>
      </c>
      <c r="B819" s="169">
        <v>9013890201</v>
      </c>
      <c r="C819" s="232" t="s">
        <v>944</v>
      </c>
      <c r="D819" s="182">
        <v>185.52029999999999</v>
      </c>
      <c r="E819" s="182">
        <v>0</v>
      </c>
      <c r="F819" s="233">
        <f>[1]!Table323[[#This Row],[Single Family]]+[1]!Table323[[#This Row],[2-4 Units]]+[1]!Table323[[#This Row],[&gt;4 Units]]</f>
        <v>0</v>
      </c>
      <c r="G819" s="30">
        <v>0</v>
      </c>
      <c r="H819" s="30">
        <v>0</v>
      </c>
      <c r="I819" s="30">
        <v>0</v>
      </c>
      <c r="J819" s="231">
        <v>0</v>
      </c>
      <c r="K819">
        <f t="shared" si="12"/>
        <v>0</v>
      </c>
      <c r="L819" s="30">
        <v>0</v>
      </c>
      <c r="M819" s="30">
        <v>0</v>
      </c>
      <c r="N819" s="30">
        <v>0</v>
      </c>
      <c r="O819" s="231">
        <v>0</v>
      </c>
      <c r="P819" s="97">
        <f>VLOOKUP(Table323[[#This Row],[Census Tract]],'Population and Diversity Data'!$B$2:$K$823,10,FALSE)</f>
        <v>4</v>
      </c>
      <c r="Q819" s="97" t="str">
        <f>VLOOKUP(Table323[[#This Row],[Census Tract]],'ES Energy Burden'!$B$2:$E$914,4,FALSE)</f>
        <v>No</v>
      </c>
    </row>
    <row r="820" spans="1:17" x14ac:dyDescent="0.2">
      <c r="A820" s="30" t="s">
        <v>2865</v>
      </c>
      <c r="B820" s="169">
        <v>9015830100</v>
      </c>
      <c r="C820" s="232" t="s">
        <v>944</v>
      </c>
      <c r="D820" s="182">
        <v>292.78010999999998</v>
      </c>
      <c r="E820" s="182">
        <v>0</v>
      </c>
      <c r="F820" s="233">
        <f>[1]!Table323[[#This Row],[Single Family]]+[1]!Table323[[#This Row],[2-4 Units]]+[1]!Table323[[#This Row],[&gt;4 Units]]</f>
        <v>0</v>
      </c>
      <c r="G820" s="30">
        <v>0</v>
      </c>
      <c r="H820" s="30">
        <v>0</v>
      </c>
      <c r="I820" s="30">
        <v>0</v>
      </c>
      <c r="J820" s="231">
        <v>0</v>
      </c>
      <c r="K820">
        <f t="shared" si="12"/>
        <v>0</v>
      </c>
      <c r="L820" s="30">
        <v>0</v>
      </c>
      <c r="M820" s="30">
        <v>0</v>
      </c>
      <c r="N820" s="30">
        <v>0</v>
      </c>
      <c r="O820" s="231">
        <v>0</v>
      </c>
      <c r="P820" s="97">
        <f>VLOOKUP(Table323[[#This Row],[Census Tract]],'Population and Diversity Data'!$B$2:$K$823,10,FALSE)</f>
        <v>4</v>
      </c>
      <c r="Q820" s="97" t="str">
        <f>VLOOKUP(Table323[[#This Row],[Census Tract]],'ES Energy Burden'!$B$2:$E$914,4,FALSE)</f>
        <v>No</v>
      </c>
    </row>
    <row r="821" spans="1:17" x14ac:dyDescent="0.2">
      <c r="A821" s="30" t="s">
        <v>2866</v>
      </c>
      <c r="B821" s="169">
        <v>9001035400</v>
      </c>
      <c r="C821" s="232" t="s">
        <v>944</v>
      </c>
      <c r="D821" s="182">
        <v>33.017879999999998</v>
      </c>
      <c r="E821" s="182">
        <v>0</v>
      </c>
      <c r="F821" s="233">
        <f>[1]!Table323[[#This Row],[Single Family]]+[1]!Table323[[#This Row],[2-4 Units]]+[1]!Table323[[#This Row],[&gt;4 Units]]</f>
        <v>0</v>
      </c>
      <c r="G821" s="30">
        <v>0</v>
      </c>
      <c r="H821" s="30">
        <v>0</v>
      </c>
      <c r="I821" s="30">
        <v>0</v>
      </c>
      <c r="J821" s="231">
        <v>0</v>
      </c>
      <c r="K821">
        <f t="shared" si="12"/>
        <v>0</v>
      </c>
      <c r="L821" s="30">
        <v>0</v>
      </c>
      <c r="M821" s="30">
        <v>0</v>
      </c>
      <c r="N821" s="30">
        <v>0</v>
      </c>
      <c r="O821" s="231">
        <v>0</v>
      </c>
      <c r="P821" s="97">
        <f>VLOOKUP(Table323[[#This Row],[Census Tract]],'Population and Diversity Data'!$B$2:$K$823,10,FALSE)</f>
        <v>2</v>
      </c>
      <c r="Q821" s="97" t="str">
        <f>VLOOKUP(Table323[[#This Row],[Census Tract]],'ES Energy Burden'!$B$2:$E$914,4,FALSE)</f>
        <v>No</v>
      </c>
    </row>
    <row r="822" spans="1:17" x14ac:dyDescent="0.2">
      <c r="A822" s="30" t="s">
        <v>2866</v>
      </c>
      <c r="B822" s="169">
        <v>9001042900</v>
      </c>
      <c r="C822" s="232" t="s">
        <v>944</v>
      </c>
      <c r="D822" s="182">
        <v>316.85766000000001</v>
      </c>
      <c r="E822" s="182">
        <v>0</v>
      </c>
      <c r="F822" s="233">
        <f>[1]!Table323[[#This Row],[Single Family]]+[1]!Table323[[#This Row],[2-4 Units]]+[1]!Table323[[#This Row],[&gt;4 Units]]</f>
        <v>0</v>
      </c>
      <c r="G822" s="30">
        <v>0</v>
      </c>
      <c r="H822" s="30">
        <v>0</v>
      </c>
      <c r="I822" s="30">
        <v>0</v>
      </c>
      <c r="J822" s="231">
        <v>0</v>
      </c>
      <c r="K822">
        <f t="shared" si="12"/>
        <v>0</v>
      </c>
      <c r="L822" s="30">
        <v>0</v>
      </c>
      <c r="M822" s="30">
        <v>0</v>
      </c>
      <c r="N822" s="30">
        <v>0</v>
      </c>
      <c r="O822" s="231">
        <v>0</v>
      </c>
      <c r="P822" s="97">
        <f>VLOOKUP(Table323[[#This Row],[Census Tract]],'Population and Diversity Data'!$B$2:$K$823,10,FALSE)</f>
        <v>1</v>
      </c>
      <c r="Q822" s="97" t="str">
        <f>VLOOKUP(Table323[[#This Row],[Census Tract]],'ES Energy Burden'!$B$2:$E$914,4,FALSE)</f>
        <v>No</v>
      </c>
    </row>
    <row r="823" spans="1:17" x14ac:dyDescent="0.2">
      <c r="A823" s="30" t="s">
        <v>2866</v>
      </c>
      <c r="B823" s="169">
        <v>9001045101</v>
      </c>
      <c r="C823" s="232" t="s">
        <v>944</v>
      </c>
      <c r="D823" s="182">
        <v>70871.097150000001</v>
      </c>
      <c r="E823" s="182">
        <v>40031.455000000002</v>
      </c>
      <c r="F823" s="233">
        <f>[1]!Table323[[#This Row],[Single Family]]+[1]!Table323[[#This Row],[2-4 Units]]+[1]!Table323[[#This Row],[&gt;4 Units]]</f>
        <v>0</v>
      </c>
      <c r="G823" s="30">
        <v>0</v>
      </c>
      <c r="H823" s="30">
        <v>0</v>
      </c>
      <c r="I823" s="30">
        <v>0</v>
      </c>
      <c r="J823" s="231">
        <v>9167.2000000000007</v>
      </c>
      <c r="K823">
        <f t="shared" si="12"/>
        <v>0</v>
      </c>
      <c r="L823" s="30">
        <v>0</v>
      </c>
      <c r="M823" s="30">
        <v>0</v>
      </c>
      <c r="N823" s="30">
        <v>0</v>
      </c>
      <c r="O823" s="231">
        <v>0</v>
      </c>
      <c r="P823" s="97">
        <f>VLOOKUP(Table323[[#This Row],[Census Tract]],'Population and Diversity Data'!$B$2:$K$823,10,FALSE)</f>
        <v>3</v>
      </c>
      <c r="Q823" s="97" t="str">
        <f>VLOOKUP(Table323[[#This Row],[Census Tract]],'ES Energy Burden'!$B$2:$E$914,4,FALSE)</f>
        <v>No</v>
      </c>
    </row>
    <row r="824" spans="1:17" x14ac:dyDescent="0.2">
      <c r="A824" s="30" t="s">
        <v>2866</v>
      </c>
      <c r="B824" s="169">
        <v>9001045102</v>
      </c>
      <c r="C824" s="232" t="s">
        <v>944</v>
      </c>
      <c r="D824" s="182">
        <v>86008.314735000007</v>
      </c>
      <c r="E824" s="182">
        <v>59803.004999999997</v>
      </c>
      <c r="F824" s="233">
        <f>[1]!Table323[[#This Row],[Single Family]]+[1]!Table323[[#This Row],[2-4 Units]]+[1]!Table323[[#This Row],[&gt;4 Units]]</f>
        <v>0</v>
      </c>
      <c r="G824" s="30">
        <v>0</v>
      </c>
      <c r="H824" s="30">
        <v>0</v>
      </c>
      <c r="I824" s="30">
        <v>0</v>
      </c>
      <c r="J824" s="231">
        <v>23072.9</v>
      </c>
      <c r="K824">
        <f t="shared" si="12"/>
        <v>0</v>
      </c>
      <c r="L824" s="30">
        <v>0</v>
      </c>
      <c r="M824" s="30">
        <v>0</v>
      </c>
      <c r="N824" s="30">
        <v>0</v>
      </c>
      <c r="O824" s="231">
        <v>0</v>
      </c>
      <c r="P824" s="97">
        <f>VLOOKUP(Table323[[#This Row],[Census Tract]],'Population and Diversity Data'!$B$2:$K$823,10,FALSE)</f>
        <v>3</v>
      </c>
      <c r="Q824" s="97" t="str">
        <f>VLOOKUP(Table323[[#This Row],[Census Tract]],'ES Energy Burden'!$B$2:$E$914,4,FALSE)</f>
        <v>No</v>
      </c>
    </row>
    <row r="825" spans="1:17" x14ac:dyDescent="0.2">
      <c r="A825" s="30" t="s">
        <v>2866</v>
      </c>
      <c r="B825" s="169">
        <v>9001045200</v>
      </c>
      <c r="C825" s="232" t="s">
        <v>944</v>
      </c>
      <c r="D825" s="182">
        <v>46002.0792</v>
      </c>
      <c r="E825" s="182">
        <v>19014.46</v>
      </c>
      <c r="F825" s="233">
        <f>[1]!Table323[[#This Row],[Single Family]]+[1]!Table323[[#This Row],[2-4 Units]]+[1]!Table323[[#This Row],[&gt;4 Units]]</f>
        <v>0</v>
      </c>
      <c r="G825" s="30">
        <v>0</v>
      </c>
      <c r="H825" s="30">
        <v>0</v>
      </c>
      <c r="I825" s="30">
        <v>0</v>
      </c>
      <c r="J825" s="231">
        <v>9474.86</v>
      </c>
      <c r="K825">
        <f t="shared" si="12"/>
        <v>0</v>
      </c>
      <c r="L825" s="30">
        <v>0</v>
      </c>
      <c r="M825" s="30">
        <v>0</v>
      </c>
      <c r="N825" s="30">
        <v>0</v>
      </c>
      <c r="O825" s="231">
        <v>0</v>
      </c>
      <c r="P825" s="97">
        <f>VLOOKUP(Table323[[#This Row],[Census Tract]],'Population and Diversity Data'!$B$2:$K$823,10,FALSE)</f>
        <v>3</v>
      </c>
      <c r="Q825" s="97" t="str">
        <f>VLOOKUP(Table323[[#This Row],[Census Tract]],'ES Energy Burden'!$B$2:$E$914,4,FALSE)</f>
        <v>No</v>
      </c>
    </row>
    <row r="826" spans="1:17" x14ac:dyDescent="0.2">
      <c r="A826" s="30" t="s">
        <v>2866</v>
      </c>
      <c r="B826" s="169">
        <v>9001045300</v>
      </c>
      <c r="C826" s="232" t="s">
        <v>944</v>
      </c>
      <c r="D826" s="182">
        <v>36109.273200000003</v>
      </c>
      <c r="E826" s="182">
        <v>34329.315000000002</v>
      </c>
      <c r="F826" s="233">
        <f>[1]!Table323[[#This Row],[Single Family]]+[1]!Table323[[#This Row],[2-4 Units]]+[1]!Table323[[#This Row],[&gt;4 Units]]</f>
        <v>0</v>
      </c>
      <c r="G826" s="30">
        <v>0</v>
      </c>
      <c r="H826" s="30">
        <v>0</v>
      </c>
      <c r="I826" s="30">
        <v>0</v>
      </c>
      <c r="J826" s="231">
        <v>4980.2700000000004</v>
      </c>
      <c r="K826">
        <f t="shared" si="12"/>
        <v>1</v>
      </c>
      <c r="L826" s="30">
        <v>1</v>
      </c>
      <c r="M826" s="30">
        <v>0</v>
      </c>
      <c r="N826" s="30">
        <v>0</v>
      </c>
      <c r="O826" s="231">
        <v>2088.73</v>
      </c>
      <c r="P826" s="97">
        <f>VLOOKUP(Table323[[#This Row],[Census Tract]],'Population and Diversity Data'!$B$2:$K$823,10,FALSE)</f>
        <v>4</v>
      </c>
      <c r="Q826" s="97" t="str">
        <f>VLOOKUP(Table323[[#This Row],[Census Tract]],'ES Energy Burden'!$B$2:$E$914,4,FALSE)</f>
        <v>No</v>
      </c>
    </row>
    <row r="827" spans="1:17" x14ac:dyDescent="0.2">
      <c r="A827" s="30" t="s">
        <v>2866</v>
      </c>
      <c r="B827" s="169">
        <v>9001045400</v>
      </c>
      <c r="C827" s="232" t="s">
        <v>944</v>
      </c>
      <c r="D827" s="182">
        <v>185484.78597600001</v>
      </c>
      <c r="E827" s="182">
        <v>321053.245</v>
      </c>
      <c r="F827" s="233">
        <f>[1]!Table323[[#This Row],[Single Family]]+[1]!Table323[[#This Row],[2-4 Units]]+[1]!Table323[[#This Row],[&gt;4 Units]]</f>
        <v>190</v>
      </c>
      <c r="G827" s="30">
        <v>190</v>
      </c>
      <c r="H827" s="30">
        <v>0</v>
      </c>
      <c r="I827" s="30">
        <v>0</v>
      </c>
      <c r="J827" s="231">
        <v>336061.91</v>
      </c>
      <c r="K827">
        <f t="shared" si="12"/>
        <v>1</v>
      </c>
      <c r="L827" s="30">
        <v>1</v>
      </c>
      <c r="M827" s="30">
        <v>0</v>
      </c>
      <c r="N827" s="30">
        <v>0</v>
      </c>
      <c r="O827" s="231">
        <v>3216.92</v>
      </c>
      <c r="P827" s="97">
        <f>VLOOKUP(Table323[[#This Row],[Census Tract]],'Population and Diversity Data'!$B$2:$K$823,10,FALSE)</f>
        <v>4</v>
      </c>
      <c r="Q827" s="97" t="str">
        <f>VLOOKUP(Table323[[#This Row],[Census Tract]],'ES Energy Burden'!$B$2:$E$914,4,FALSE)</f>
        <v>No</v>
      </c>
    </row>
    <row r="828" spans="1:17" x14ac:dyDescent="0.2">
      <c r="A828" s="30" t="s">
        <v>2866</v>
      </c>
      <c r="B828" s="169">
        <v>9001055100</v>
      </c>
      <c r="C828" s="232" t="s">
        <v>944</v>
      </c>
      <c r="D828" s="182">
        <v>243.73629</v>
      </c>
      <c r="E828" s="182">
        <v>282.64999999999998</v>
      </c>
      <c r="F828" s="233">
        <f>[1]!Table323[[#This Row],[Single Family]]+[1]!Table323[[#This Row],[2-4 Units]]+[1]!Table323[[#This Row],[&gt;4 Units]]</f>
        <v>0</v>
      </c>
      <c r="G828" s="30">
        <v>0</v>
      </c>
      <c r="H828" s="30">
        <v>0</v>
      </c>
      <c r="I828" s="30">
        <v>0</v>
      </c>
      <c r="J828" s="231">
        <v>0</v>
      </c>
      <c r="K828">
        <f t="shared" si="12"/>
        <v>0</v>
      </c>
      <c r="L828" s="30">
        <v>0</v>
      </c>
      <c r="M828" s="30">
        <v>0</v>
      </c>
      <c r="N828" s="30">
        <v>0</v>
      </c>
      <c r="O828" s="231">
        <v>0</v>
      </c>
      <c r="P828" s="97">
        <f>VLOOKUP(Table323[[#This Row],[Census Tract]],'Population and Diversity Data'!$B$2:$K$823,10,FALSE)</f>
        <v>4</v>
      </c>
      <c r="Q828" s="97" t="str">
        <f>VLOOKUP(Table323[[#This Row],[Census Tract]],'ES Energy Burden'!$B$2:$E$914,4,FALSE)</f>
        <v>No</v>
      </c>
    </row>
    <row r="829" spans="1:17" x14ac:dyDescent="0.2">
      <c r="A829" s="30" t="s">
        <v>2866</v>
      </c>
      <c r="B829" s="169">
        <v>9001240100</v>
      </c>
      <c r="C829" s="232" t="s">
        <v>944</v>
      </c>
      <c r="D829" s="182">
        <v>168.68774999999999</v>
      </c>
      <c r="E829" s="182">
        <v>0</v>
      </c>
      <c r="F829" s="233">
        <f>[1]!Table323[[#This Row],[Single Family]]+[1]!Table323[[#This Row],[2-4 Units]]+[1]!Table323[[#This Row],[&gt;4 Units]]</f>
        <v>0</v>
      </c>
      <c r="G829" s="30">
        <v>0</v>
      </c>
      <c r="H829" s="30">
        <v>0</v>
      </c>
      <c r="I829" s="30">
        <v>0</v>
      </c>
      <c r="J829" s="231">
        <v>0</v>
      </c>
      <c r="K829">
        <f t="shared" si="12"/>
        <v>0</v>
      </c>
      <c r="L829" s="30">
        <v>0</v>
      </c>
      <c r="M829" s="30">
        <v>0</v>
      </c>
      <c r="N829" s="30">
        <v>0</v>
      </c>
      <c r="O829" s="231">
        <v>0</v>
      </c>
      <c r="P829" s="97">
        <f>VLOOKUP(Table323[[#This Row],[Census Tract]],'Population and Diversity Data'!$B$2:$K$823,10,FALSE)</f>
        <v>1</v>
      </c>
      <c r="Q829" s="97" t="str">
        <f>VLOOKUP(Table323[[#This Row],[Census Tract]],'ES Energy Burden'!$B$2:$E$914,4,FALSE)</f>
        <v>No</v>
      </c>
    </row>
    <row r="830" spans="1:17" x14ac:dyDescent="0.2">
      <c r="A830" s="30" t="s">
        <v>2866</v>
      </c>
      <c r="B830" s="169">
        <v>9001245400</v>
      </c>
      <c r="C830" s="232" t="s">
        <v>944</v>
      </c>
      <c r="D830" s="182">
        <v>243.8184</v>
      </c>
      <c r="E830" s="182">
        <v>35</v>
      </c>
      <c r="F830" s="233">
        <f>[1]!Table323[[#This Row],[Single Family]]+[1]!Table323[[#This Row],[2-4 Units]]+[1]!Table323[[#This Row],[&gt;4 Units]]</f>
        <v>0</v>
      </c>
      <c r="G830" s="30">
        <v>0</v>
      </c>
      <c r="H830" s="30">
        <v>0</v>
      </c>
      <c r="I830" s="30">
        <v>0</v>
      </c>
      <c r="J830" s="231">
        <v>0</v>
      </c>
      <c r="K830">
        <f t="shared" si="12"/>
        <v>0</v>
      </c>
      <c r="L830" s="30">
        <v>0</v>
      </c>
      <c r="M830" s="30">
        <v>0</v>
      </c>
      <c r="N830" s="30">
        <v>0</v>
      </c>
      <c r="O830" s="231">
        <v>0</v>
      </c>
      <c r="P830" s="97">
        <f>VLOOKUP(Table323[[#This Row],[Census Tract]],'Population and Diversity Data'!$B$2:$K$823,10,FALSE)</f>
        <v>1</v>
      </c>
      <c r="Q830" s="97" t="str">
        <f>VLOOKUP(Table323[[#This Row],[Census Tract]],'ES Energy Burden'!$B$2:$E$914,4,FALSE)</f>
        <v>No</v>
      </c>
    </row>
    <row r="831" spans="1:17" x14ac:dyDescent="0.2">
      <c r="A831" s="119" t="s">
        <v>2867</v>
      </c>
      <c r="B831" s="169">
        <v>9005290100</v>
      </c>
      <c r="C831" s="232" t="s">
        <v>944</v>
      </c>
      <c r="D831" s="182">
        <v>819.05691000000002</v>
      </c>
      <c r="E831" s="182">
        <v>38855.199999999997</v>
      </c>
      <c r="F831" s="233">
        <f>[1]!Table323[[#This Row],[Single Family]]+[1]!Table323[[#This Row],[2-4 Units]]+[1]!Table323[[#This Row],[&gt;4 Units]]</f>
        <v>0</v>
      </c>
      <c r="G831" s="30">
        <v>0</v>
      </c>
      <c r="H831" s="30">
        <v>0</v>
      </c>
      <c r="I831" s="30">
        <v>0</v>
      </c>
      <c r="J831" s="231">
        <v>0</v>
      </c>
      <c r="K831">
        <f t="shared" si="12"/>
        <v>0</v>
      </c>
      <c r="L831" s="30">
        <v>0</v>
      </c>
      <c r="M831" s="30">
        <v>0</v>
      </c>
      <c r="N831" s="30">
        <v>0</v>
      </c>
      <c r="O831" s="231">
        <v>0</v>
      </c>
      <c r="P831" s="97">
        <f>VLOOKUP(Table323[[#This Row],[Census Tract]],'Population and Diversity Data'!$B$2:$K$823,10,FALSE)</f>
        <v>2</v>
      </c>
      <c r="Q831" s="97" t="str">
        <f>VLOOKUP(Table323[[#This Row],[Census Tract]],'ES Energy Burden'!$B$2:$E$914,4,FALSE)</f>
        <v>No</v>
      </c>
    </row>
    <row r="832" spans="1:17" x14ac:dyDescent="0.2">
      <c r="A832" s="119" t="s">
        <v>2867</v>
      </c>
      <c r="B832" s="169">
        <v>9005293100</v>
      </c>
      <c r="C832" s="232" t="s">
        <v>944</v>
      </c>
      <c r="D832" s="182">
        <v>2894.8943100000001</v>
      </c>
      <c r="E832" s="182">
        <v>591.26</v>
      </c>
      <c r="F832" s="233">
        <f>[1]!Table323[[#This Row],[Single Family]]+[1]!Table323[[#This Row],[2-4 Units]]+[1]!Table323[[#This Row],[&gt;4 Units]]</f>
        <v>0</v>
      </c>
      <c r="G832" s="30">
        <v>0</v>
      </c>
      <c r="H832" s="30">
        <v>0</v>
      </c>
      <c r="I832" s="30">
        <v>0</v>
      </c>
      <c r="J832" s="231">
        <v>0</v>
      </c>
      <c r="K832">
        <f t="shared" si="12"/>
        <v>0</v>
      </c>
      <c r="L832" s="30">
        <v>0</v>
      </c>
      <c r="M832" s="30">
        <v>0</v>
      </c>
      <c r="N832" s="30">
        <v>0</v>
      </c>
      <c r="O832" s="231">
        <v>0</v>
      </c>
      <c r="P832" s="97">
        <f>VLOOKUP(Table323[[#This Row],[Census Tract]],'Population and Diversity Data'!$B$2:$K$823,10,FALSE)</f>
        <v>1</v>
      </c>
      <c r="Q832" s="97" t="str">
        <f>VLOOKUP(Table323[[#This Row],[Census Tract]],'ES Energy Burden'!$B$2:$E$914,4,FALSE)</f>
        <v>No</v>
      </c>
    </row>
    <row r="833" spans="1:17" x14ac:dyDescent="0.2">
      <c r="A833" s="119" t="s">
        <v>2867</v>
      </c>
      <c r="B833" s="169">
        <v>9005310700</v>
      </c>
      <c r="C833" s="232" t="s">
        <v>944</v>
      </c>
      <c r="D833" s="182">
        <v>178.227</v>
      </c>
      <c r="E833" s="182">
        <v>0</v>
      </c>
      <c r="F833" s="233">
        <f>[1]!Table323[[#This Row],[Single Family]]+[1]!Table323[[#This Row],[2-4 Units]]+[1]!Table323[[#This Row],[&gt;4 Units]]</f>
        <v>0</v>
      </c>
      <c r="G833" s="30">
        <v>0</v>
      </c>
      <c r="H833" s="30">
        <v>0</v>
      </c>
      <c r="I833" s="30">
        <v>0</v>
      </c>
      <c r="J833" s="231">
        <v>0</v>
      </c>
      <c r="K833">
        <f t="shared" si="12"/>
        <v>0</v>
      </c>
      <c r="L833" s="30">
        <v>0</v>
      </c>
      <c r="M833" s="30">
        <v>0</v>
      </c>
      <c r="N833" s="30">
        <v>0</v>
      </c>
      <c r="O833" s="231">
        <v>0</v>
      </c>
      <c r="P833" s="97">
        <f>VLOOKUP(Table323[[#This Row],[Census Tract]],'Population and Diversity Data'!$B$2:$K$823,10,FALSE)</f>
        <v>1</v>
      </c>
      <c r="Q833" s="97" t="str">
        <f>VLOOKUP(Table323[[#This Row],[Census Tract]],'ES Energy Burden'!$B$2:$E$914,4,FALSE)</f>
        <v>No</v>
      </c>
    </row>
    <row r="834" spans="1:17" x14ac:dyDescent="0.2">
      <c r="A834" s="119" t="s">
        <v>2867</v>
      </c>
      <c r="B834" s="169">
        <v>9005320100</v>
      </c>
      <c r="C834" s="232" t="s">
        <v>944</v>
      </c>
      <c r="D834" s="182">
        <v>122420.332335</v>
      </c>
      <c r="E834" s="182">
        <v>84824.17</v>
      </c>
      <c r="F834" s="233">
        <f>[1]!Table323[[#This Row],[Single Family]]+[1]!Table323[[#This Row],[2-4 Units]]+[1]!Table323[[#This Row],[&gt;4 Units]]</f>
        <v>49</v>
      </c>
      <c r="G834" s="30">
        <v>43</v>
      </c>
      <c r="H834" s="30">
        <v>6</v>
      </c>
      <c r="I834" s="30">
        <v>0</v>
      </c>
      <c r="J834" s="231">
        <v>67154.45</v>
      </c>
      <c r="K834">
        <f t="shared" si="12"/>
        <v>42</v>
      </c>
      <c r="L834" s="30">
        <v>8</v>
      </c>
      <c r="M834" s="30">
        <v>4</v>
      </c>
      <c r="N834" s="30">
        <v>30</v>
      </c>
      <c r="O834" s="231">
        <v>41521.39</v>
      </c>
      <c r="P834" s="97">
        <f>VLOOKUP(Table323[[#This Row],[Census Tract]],'Population and Diversity Data'!$B$2:$K$823,10,FALSE)</f>
        <v>1</v>
      </c>
      <c r="Q834" s="97" t="str">
        <f>VLOOKUP(Table323[[#This Row],[Census Tract]],'ES Energy Burden'!$B$2:$E$914,4,FALSE)</f>
        <v>No</v>
      </c>
    </row>
    <row r="835" spans="1:17" x14ac:dyDescent="0.2">
      <c r="A835" s="119" t="s">
        <v>2867</v>
      </c>
      <c r="B835" s="169">
        <v>9005320200</v>
      </c>
      <c r="C835" s="232" t="s">
        <v>944</v>
      </c>
      <c r="D835" s="182">
        <v>47163.092864999999</v>
      </c>
      <c r="E835" s="182">
        <v>27253.485000000001</v>
      </c>
      <c r="F835" s="233">
        <f>[1]!Table323[[#This Row],[Single Family]]+[1]!Table323[[#This Row],[2-4 Units]]+[1]!Table323[[#This Row],[&gt;4 Units]]</f>
        <v>0</v>
      </c>
      <c r="G835" s="30">
        <v>0</v>
      </c>
      <c r="H835" s="30">
        <v>0</v>
      </c>
      <c r="I835" s="30">
        <v>0</v>
      </c>
      <c r="J835" s="231">
        <v>8746.0400000000009</v>
      </c>
      <c r="K835">
        <f t="shared" si="12"/>
        <v>6</v>
      </c>
      <c r="L835" s="30">
        <v>6</v>
      </c>
      <c r="M835" s="30">
        <v>0</v>
      </c>
      <c r="N835" s="30">
        <v>0</v>
      </c>
      <c r="O835" s="231">
        <v>8037.43</v>
      </c>
      <c r="P835" s="97">
        <f>VLOOKUP(Table323[[#This Row],[Census Tract]],'Population and Diversity Data'!$B$2:$K$823,10,FALSE)</f>
        <v>3</v>
      </c>
      <c r="Q835" s="97" t="str">
        <f>VLOOKUP(Table323[[#This Row],[Census Tract]],'ES Energy Burden'!$B$2:$E$914,4,FALSE)</f>
        <v>No</v>
      </c>
    </row>
    <row r="836" spans="1:17" x14ac:dyDescent="0.2">
      <c r="A836" s="30" t="s">
        <v>2868</v>
      </c>
      <c r="B836" s="169">
        <v>9013881500</v>
      </c>
      <c r="C836" s="232" t="s">
        <v>944</v>
      </c>
      <c r="D836" s="182">
        <v>1362.91491</v>
      </c>
      <c r="E836" s="182">
        <v>23715.695</v>
      </c>
      <c r="F836" s="233">
        <f>[1]!Table323[[#This Row],[Single Family]]+[1]!Table323[[#This Row],[2-4 Units]]+[1]!Table323[[#This Row],[&gt;4 Units]]</f>
        <v>0</v>
      </c>
      <c r="G836" s="30">
        <v>0</v>
      </c>
      <c r="H836" s="30">
        <v>0</v>
      </c>
      <c r="I836" s="30">
        <v>0</v>
      </c>
      <c r="J836" s="231">
        <v>0</v>
      </c>
      <c r="K836">
        <f t="shared" si="12"/>
        <v>0</v>
      </c>
      <c r="L836" s="30">
        <v>0</v>
      </c>
      <c r="M836" s="30">
        <v>0</v>
      </c>
      <c r="N836" s="30">
        <v>0</v>
      </c>
      <c r="O836" s="231">
        <v>0</v>
      </c>
      <c r="P836" s="97">
        <f>VLOOKUP(Table323[[#This Row],[Census Tract]],'Population and Diversity Data'!$B$2:$K$823,10,FALSE)</f>
        <v>4</v>
      </c>
      <c r="Q836" s="97" t="str">
        <f>VLOOKUP(Table323[[#This Row],[Census Tract]],'ES Energy Burden'!$B$2:$E$914,4,FALSE)</f>
        <v>No</v>
      </c>
    </row>
    <row r="837" spans="1:17" x14ac:dyDescent="0.2">
      <c r="A837" s="30" t="s">
        <v>2868</v>
      </c>
      <c r="B837" s="169">
        <v>9015800300</v>
      </c>
      <c r="C837" s="232" t="s">
        <v>944</v>
      </c>
      <c r="D837" s="182">
        <v>26256.757611000001</v>
      </c>
      <c r="E837" s="182">
        <v>42645.85</v>
      </c>
      <c r="F837" s="233">
        <f>[1]!Table323[[#This Row],[Single Family]]+[1]!Table323[[#This Row],[2-4 Units]]+[1]!Table323[[#This Row],[&gt;4 Units]]</f>
        <v>0</v>
      </c>
      <c r="G837" s="30">
        <v>0</v>
      </c>
      <c r="H837" s="30">
        <v>0</v>
      </c>
      <c r="I837" s="30">
        <v>0</v>
      </c>
      <c r="J837" s="231">
        <v>1963.22</v>
      </c>
      <c r="K837">
        <f t="shared" si="12"/>
        <v>5</v>
      </c>
      <c r="L837" s="30">
        <v>5</v>
      </c>
      <c r="M837" s="30">
        <v>0</v>
      </c>
      <c r="N837" s="30">
        <v>0</v>
      </c>
      <c r="O837" s="231">
        <v>33262.79</v>
      </c>
      <c r="P837" s="97">
        <f>VLOOKUP(Table323[[#This Row],[Census Tract]],'Population and Diversity Data'!$B$2:$K$823,10,FALSE)</f>
        <v>5</v>
      </c>
      <c r="Q837" s="97" t="str">
        <f>VLOOKUP(Table323[[#This Row],[Census Tract]],'ES Energy Burden'!$B$2:$E$914,4,FALSE)</f>
        <v>Yes</v>
      </c>
    </row>
    <row r="838" spans="1:17" x14ac:dyDescent="0.2">
      <c r="A838" s="30" t="s">
        <v>2868</v>
      </c>
      <c r="B838" s="169">
        <v>9015800400</v>
      </c>
      <c r="C838" s="232" t="s">
        <v>944</v>
      </c>
      <c r="D838" s="182">
        <v>35383.881098999998</v>
      </c>
      <c r="E838" s="182">
        <v>24489.759999999998</v>
      </c>
      <c r="F838" s="233">
        <f>[1]!Table323[[#This Row],[Single Family]]+[1]!Table323[[#This Row],[2-4 Units]]+[1]!Table323[[#This Row],[&gt;4 Units]]</f>
        <v>0</v>
      </c>
      <c r="G838" s="30">
        <v>0</v>
      </c>
      <c r="H838" s="30">
        <v>0</v>
      </c>
      <c r="I838" s="30">
        <v>0</v>
      </c>
      <c r="J838" s="231">
        <v>6075</v>
      </c>
      <c r="K838">
        <f t="shared" ref="K838:K867" si="13">L838+M838+N838</f>
        <v>9</v>
      </c>
      <c r="L838" s="30">
        <v>9</v>
      </c>
      <c r="M838" s="30">
        <v>0</v>
      </c>
      <c r="N838" s="30">
        <v>0</v>
      </c>
      <c r="O838" s="231">
        <v>9068.5</v>
      </c>
      <c r="P838" s="97">
        <f>VLOOKUP(Table323[[#This Row],[Census Tract]],'Population and Diversity Data'!$B$2:$K$823,10,FALSE)</f>
        <v>5</v>
      </c>
      <c r="Q838" s="97" t="str">
        <f>VLOOKUP(Table323[[#This Row],[Census Tract]],'ES Energy Burden'!$B$2:$E$914,4,FALSE)</f>
        <v>No</v>
      </c>
    </row>
    <row r="839" spans="1:17" x14ac:dyDescent="0.2">
      <c r="A839" s="30" t="s">
        <v>2868</v>
      </c>
      <c r="B839" s="169">
        <v>9015800500</v>
      </c>
      <c r="C839" s="232" t="s">
        <v>936</v>
      </c>
      <c r="D839" s="182">
        <v>65345.950509000002</v>
      </c>
      <c r="E839" s="182">
        <v>69607.570000000007</v>
      </c>
      <c r="F839" s="233">
        <f>[1]!Table323[[#This Row],[Single Family]]+[1]!Table323[[#This Row],[2-4 Units]]+[1]!Table323[[#This Row],[&gt;4 Units]]</f>
        <v>0</v>
      </c>
      <c r="G839" s="30">
        <v>0</v>
      </c>
      <c r="H839" s="30">
        <v>0</v>
      </c>
      <c r="I839" s="30">
        <v>0</v>
      </c>
      <c r="J839" s="231">
        <v>14812.68</v>
      </c>
      <c r="K839">
        <f t="shared" si="13"/>
        <v>9</v>
      </c>
      <c r="L839" s="30">
        <v>8</v>
      </c>
      <c r="M839" s="30">
        <v>1</v>
      </c>
      <c r="N839" s="30">
        <v>0</v>
      </c>
      <c r="O839" s="231">
        <v>28696.38</v>
      </c>
      <c r="P839" s="97">
        <f>VLOOKUP(Table323[[#This Row],[Census Tract]],'Population and Diversity Data'!$B$2:$K$823,10,FALSE)</f>
        <v>5</v>
      </c>
      <c r="Q839" s="97" t="str">
        <f>VLOOKUP(Table323[[#This Row],[Census Tract]],'ES Energy Burden'!$B$2:$E$914,4,FALSE)</f>
        <v>No</v>
      </c>
    </row>
    <row r="840" spans="1:17" x14ac:dyDescent="0.2">
      <c r="A840" s="30" t="s">
        <v>2868</v>
      </c>
      <c r="B840" s="169">
        <v>9015800600</v>
      </c>
      <c r="C840" s="232" t="s">
        <v>944</v>
      </c>
      <c r="D840" s="182">
        <v>135299.778012</v>
      </c>
      <c r="E840" s="182">
        <v>103563.74</v>
      </c>
      <c r="F840" s="233">
        <f>[1]!Table323[[#This Row],[Single Family]]+[1]!Table323[[#This Row],[2-4 Units]]+[1]!Table323[[#This Row],[&gt;4 Units]]</f>
        <v>65</v>
      </c>
      <c r="G840" s="30">
        <v>63</v>
      </c>
      <c r="H840" s="30">
        <v>2</v>
      </c>
      <c r="I840" s="30">
        <v>0</v>
      </c>
      <c r="J840" s="231">
        <v>83493.710000000006</v>
      </c>
      <c r="K840">
        <f t="shared" si="13"/>
        <v>289</v>
      </c>
      <c r="L840" s="30">
        <v>16</v>
      </c>
      <c r="M840" s="30">
        <v>5</v>
      </c>
      <c r="N840" s="30">
        <v>268</v>
      </c>
      <c r="O840" s="231">
        <v>38819.410000000003</v>
      </c>
      <c r="P840" s="97">
        <f>VLOOKUP(Table323[[#This Row],[Census Tract]],'Population and Diversity Data'!$B$2:$K$823,10,FALSE)</f>
        <v>5</v>
      </c>
      <c r="Q840" s="97" t="str">
        <f>VLOOKUP(Table323[[#This Row],[Census Tract]],'ES Energy Burden'!$B$2:$E$914,4,FALSE)</f>
        <v>Yes</v>
      </c>
    </row>
    <row r="841" spans="1:17" x14ac:dyDescent="0.2">
      <c r="A841" s="30" t="s">
        <v>2868</v>
      </c>
      <c r="B841" s="169">
        <v>9015800700</v>
      </c>
      <c r="C841" s="232" t="s">
        <v>944</v>
      </c>
      <c r="D841" s="182">
        <v>22710.111795000001</v>
      </c>
      <c r="E841" s="182">
        <v>5531.64</v>
      </c>
      <c r="F841" s="233">
        <f>[1]!Table323[[#This Row],[Single Family]]+[1]!Table323[[#This Row],[2-4 Units]]+[1]!Table323[[#This Row],[&gt;4 Units]]</f>
        <v>0</v>
      </c>
      <c r="G841" s="30">
        <v>0</v>
      </c>
      <c r="H841" s="30">
        <v>0</v>
      </c>
      <c r="I841" s="30">
        <v>0</v>
      </c>
      <c r="J841" s="231">
        <v>50</v>
      </c>
      <c r="K841">
        <f t="shared" si="13"/>
        <v>0</v>
      </c>
      <c r="L841" s="30">
        <v>0</v>
      </c>
      <c r="M841" s="30">
        <v>0</v>
      </c>
      <c r="N841" s="30">
        <v>0</v>
      </c>
      <c r="O841" s="231">
        <v>0</v>
      </c>
      <c r="P841" s="97">
        <f>VLOOKUP(Table323[[#This Row],[Census Tract]],'Population and Diversity Data'!$B$2:$K$823,10,FALSE)</f>
        <v>5</v>
      </c>
      <c r="Q841" s="97" t="str">
        <f>VLOOKUP(Table323[[#This Row],[Census Tract]],'ES Energy Burden'!$B$2:$E$914,4,FALSE)</f>
        <v>Yes</v>
      </c>
    </row>
    <row r="842" spans="1:17" x14ac:dyDescent="0.2">
      <c r="A842" s="30" t="s">
        <v>2868</v>
      </c>
      <c r="B842" s="169">
        <v>9015815000</v>
      </c>
      <c r="C842" s="232" t="s">
        <v>944</v>
      </c>
      <c r="D842" s="182">
        <v>153.59882999999999</v>
      </c>
      <c r="E842" s="182">
        <v>0</v>
      </c>
      <c r="F842" s="233">
        <f>[1]!Table323[[#This Row],[Single Family]]+[1]!Table323[[#This Row],[2-4 Units]]+[1]!Table323[[#This Row],[&gt;4 Units]]</f>
        <v>0</v>
      </c>
      <c r="G842" s="30">
        <v>0</v>
      </c>
      <c r="H842" s="30">
        <v>0</v>
      </c>
      <c r="I842" s="30">
        <v>0</v>
      </c>
      <c r="J842" s="231">
        <v>0</v>
      </c>
      <c r="K842">
        <f t="shared" si="13"/>
        <v>0</v>
      </c>
      <c r="L842" s="30">
        <v>0</v>
      </c>
      <c r="M842" s="30">
        <v>0</v>
      </c>
      <c r="N842" s="30">
        <v>0</v>
      </c>
      <c r="O842" s="231">
        <v>0</v>
      </c>
      <c r="P842" s="97">
        <f>VLOOKUP(Table323[[#This Row],[Census Tract]],'Population and Diversity Data'!$B$2:$K$823,10,FALSE)</f>
        <v>5</v>
      </c>
      <c r="Q842" s="97" t="str">
        <f>VLOOKUP(Table323[[#This Row],[Census Tract]],'ES Energy Burden'!$B$2:$E$914,4,FALSE)</f>
        <v>No</v>
      </c>
    </row>
    <row r="843" spans="1:17" x14ac:dyDescent="0.2">
      <c r="A843" s="30" t="s">
        <v>2868</v>
      </c>
      <c r="B843" s="169">
        <v>9015825000</v>
      </c>
      <c r="C843" s="232" t="s">
        <v>944</v>
      </c>
      <c r="D843" s="182">
        <v>241.28120099999998</v>
      </c>
      <c r="E843" s="182">
        <v>0</v>
      </c>
      <c r="F843" s="233">
        <f>[1]!Table323[[#This Row],[Single Family]]+[1]!Table323[[#This Row],[2-4 Units]]+[1]!Table323[[#This Row],[&gt;4 Units]]</f>
        <v>0</v>
      </c>
      <c r="G843" s="30">
        <v>0</v>
      </c>
      <c r="H843" s="30">
        <v>0</v>
      </c>
      <c r="I843" s="30">
        <v>0</v>
      </c>
      <c r="J843" s="231">
        <v>0</v>
      </c>
      <c r="K843">
        <f t="shared" si="13"/>
        <v>0</v>
      </c>
      <c r="L843" s="30">
        <v>0</v>
      </c>
      <c r="M843" s="30">
        <v>0</v>
      </c>
      <c r="N843" s="30">
        <v>0</v>
      </c>
      <c r="O843" s="231">
        <v>0</v>
      </c>
      <c r="P843" s="97">
        <f>VLOOKUP(Table323[[#This Row],[Census Tract]],'Population and Diversity Data'!$B$2:$K$823,10,FALSE)</f>
        <v>2</v>
      </c>
      <c r="Q843" s="97" t="str">
        <f>VLOOKUP(Table323[[#This Row],[Census Tract]],'ES Energy Burden'!$B$2:$E$914,4,FALSE)</f>
        <v>No</v>
      </c>
    </row>
    <row r="844" spans="1:17" x14ac:dyDescent="0.2">
      <c r="A844" s="30" t="s">
        <v>2869</v>
      </c>
      <c r="B844" s="169">
        <v>9003470100</v>
      </c>
      <c r="C844" s="232" t="s">
        <v>944</v>
      </c>
      <c r="D844" s="182">
        <v>49.55097</v>
      </c>
      <c r="E844" s="182">
        <v>0</v>
      </c>
      <c r="F844" s="233">
        <f>[1]!Table323[[#This Row],[Single Family]]+[1]!Table323[[#This Row],[2-4 Units]]+[1]!Table323[[#This Row],[&gt;4 Units]]</f>
        <v>0</v>
      </c>
      <c r="G844" s="30">
        <v>0</v>
      </c>
      <c r="H844" s="30">
        <v>0</v>
      </c>
      <c r="I844" s="30">
        <v>0</v>
      </c>
      <c r="J844" s="231">
        <v>0</v>
      </c>
      <c r="K844">
        <f t="shared" si="13"/>
        <v>0</v>
      </c>
      <c r="L844" s="30">
        <v>0</v>
      </c>
      <c r="M844" s="30">
        <v>0</v>
      </c>
      <c r="N844" s="30">
        <v>0</v>
      </c>
      <c r="O844" s="231">
        <v>0</v>
      </c>
      <c r="P844" s="97">
        <f>VLOOKUP(Table323[[#This Row],[Census Tract]],'Population and Diversity Data'!$B$2:$K$823,10,FALSE)</f>
        <v>3</v>
      </c>
      <c r="Q844" s="97" t="str">
        <f>VLOOKUP(Table323[[#This Row],[Census Tract]],'ES Energy Burden'!$B$2:$E$914,4,FALSE)</f>
        <v>No</v>
      </c>
    </row>
    <row r="845" spans="1:17" x14ac:dyDescent="0.2">
      <c r="A845" s="30" t="s">
        <v>2869</v>
      </c>
      <c r="B845" s="169">
        <v>9003473100</v>
      </c>
      <c r="C845" s="232" t="s">
        <v>944</v>
      </c>
      <c r="D845" s="182">
        <v>59616.347070000003</v>
      </c>
      <c r="E845" s="182">
        <v>127200.1</v>
      </c>
      <c r="F845" s="233">
        <f>[1]!Table323[[#This Row],[Single Family]]+[1]!Table323[[#This Row],[2-4 Units]]+[1]!Table323[[#This Row],[&gt;4 Units]]</f>
        <v>0</v>
      </c>
      <c r="G845" s="30">
        <v>0</v>
      </c>
      <c r="H845" s="30">
        <v>0</v>
      </c>
      <c r="I845" s="30">
        <v>0</v>
      </c>
      <c r="J845" s="231">
        <v>43762.32</v>
      </c>
      <c r="K845">
        <f t="shared" si="13"/>
        <v>23</v>
      </c>
      <c r="L845" s="30">
        <v>22</v>
      </c>
      <c r="M845" s="30">
        <v>1</v>
      </c>
      <c r="N845" s="30">
        <v>0</v>
      </c>
      <c r="O845" s="231">
        <v>28333.51</v>
      </c>
      <c r="P845" s="97">
        <f>VLOOKUP(Table323[[#This Row],[Census Tract]],'Population and Diversity Data'!$B$2:$K$823,10,FALSE)</f>
        <v>1</v>
      </c>
      <c r="Q845" s="97" t="str">
        <f>VLOOKUP(Table323[[#This Row],[Census Tract]],'ES Energy Burden'!$B$2:$E$914,4,FALSE)</f>
        <v>No</v>
      </c>
    </row>
    <row r="846" spans="1:17" x14ac:dyDescent="0.2">
      <c r="A846" s="30" t="s">
        <v>2869</v>
      </c>
      <c r="B846" s="169">
        <v>9003473400</v>
      </c>
      <c r="C846" s="232" t="s">
        <v>944</v>
      </c>
      <c r="D846" s="182">
        <v>20071.610789999999</v>
      </c>
      <c r="E846" s="182">
        <v>21364.74</v>
      </c>
      <c r="F846" s="233">
        <f>[1]!Table323[[#This Row],[Single Family]]+[1]!Table323[[#This Row],[2-4 Units]]+[1]!Table323[[#This Row],[&gt;4 Units]]</f>
        <v>0</v>
      </c>
      <c r="G846" s="30">
        <v>0</v>
      </c>
      <c r="H846" s="30">
        <v>0</v>
      </c>
      <c r="I846" s="30">
        <v>0</v>
      </c>
      <c r="J846" s="231">
        <v>6040.91</v>
      </c>
      <c r="K846">
        <f t="shared" si="13"/>
        <v>3</v>
      </c>
      <c r="L846" s="30">
        <v>3</v>
      </c>
      <c r="M846" s="30">
        <v>0</v>
      </c>
      <c r="N846" s="30">
        <v>0</v>
      </c>
      <c r="O846" s="231">
        <v>7200</v>
      </c>
      <c r="P846" s="97">
        <f>VLOOKUP(Table323[[#This Row],[Census Tract]],'Population and Diversity Data'!$B$2:$K$823,10,FALSE)</f>
        <v>2</v>
      </c>
      <c r="Q846" s="97" t="str">
        <f>VLOOKUP(Table323[[#This Row],[Census Tract]],'ES Energy Burden'!$B$2:$E$914,4,FALSE)</f>
        <v>No</v>
      </c>
    </row>
    <row r="847" spans="1:17" x14ac:dyDescent="0.2">
      <c r="A847" s="30" t="s">
        <v>2869</v>
      </c>
      <c r="B847" s="169">
        <v>9003473501</v>
      </c>
      <c r="C847" s="232" t="s">
        <v>944</v>
      </c>
      <c r="D847" s="182">
        <v>49962.848250000003</v>
      </c>
      <c r="E847" s="182">
        <v>28077</v>
      </c>
      <c r="F847" s="233">
        <f>[1]!Table323[[#This Row],[Single Family]]+[1]!Table323[[#This Row],[2-4 Units]]+[1]!Table323[[#This Row],[&gt;4 Units]]</f>
        <v>322</v>
      </c>
      <c r="G847" s="30">
        <v>321</v>
      </c>
      <c r="H847" s="30">
        <v>1</v>
      </c>
      <c r="I847" s="30">
        <v>0</v>
      </c>
      <c r="J847" s="231">
        <v>316084.21000000002</v>
      </c>
      <c r="K847">
        <f t="shared" si="13"/>
        <v>80</v>
      </c>
      <c r="L847" s="30">
        <v>68</v>
      </c>
      <c r="M847" s="30">
        <v>12</v>
      </c>
      <c r="N847" s="30">
        <v>0</v>
      </c>
      <c r="O847" s="231">
        <v>218056.98</v>
      </c>
      <c r="P847" s="97">
        <f>VLOOKUP(Table323[[#This Row],[Census Tract]],'Population and Diversity Data'!$B$2:$K$823,10,FALSE)</f>
        <v>3</v>
      </c>
      <c r="Q847" s="97" t="str">
        <f>VLOOKUP(Table323[[#This Row],[Census Tract]],'ES Energy Burden'!$B$2:$E$914,4,FALSE)</f>
        <v>No</v>
      </c>
    </row>
    <row r="848" spans="1:17" x14ac:dyDescent="0.2">
      <c r="A848" s="30" t="s">
        <v>2869</v>
      </c>
      <c r="B848" s="169">
        <v>9003473502</v>
      </c>
      <c r="C848" s="232" t="s">
        <v>944</v>
      </c>
      <c r="D848" s="182">
        <v>32310.085521000001</v>
      </c>
      <c r="E848" s="182">
        <v>52284.84</v>
      </c>
      <c r="F848" s="233">
        <f>[1]!Table323[[#This Row],[Single Family]]+[1]!Table323[[#This Row],[2-4 Units]]+[1]!Table323[[#This Row],[&gt;4 Units]]</f>
        <v>2</v>
      </c>
      <c r="G848" s="30">
        <v>2</v>
      </c>
      <c r="H848" s="30">
        <v>0</v>
      </c>
      <c r="I848" s="30">
        <v>0</v>
      </c>
      <c r="J848" s="231">
        <v>5630.22</v>
      </c>
      <c r="K848">
        <f t="shared" si="13"/>
        <v>8</v>
      </c>
      <c r="L848" s="30">
        <v>4</v>
      </c>
      <c r="M848" s="30">
        <v>4</v>
      </c>
      <c r="N848" s="30">
        <v>0</v>
      </c>
      <c r="O848" s="231">
        <v>3974.06</v>
      </c>
      <c r="P848" s="97">
        <f>VLOOKUP(Table323[[#This Row],[Census Tract]],'Population and Diversity Data'!$B$2:$K$823,10,FALSE)</f>
        <v>2</v>
      </c>
      <c r="Q848" s="97" t="str">
        <f>VLOOKUP(Table323[[#This Row],[Census Tract]],'ES Energy Burden'!$B$2:$E$914,4,FALSE)</f>
        <v>No</v>
      </c>
    </row>
    <row r="849" spans="1:17" x14ac:dyDescent="0.2">
      <c r="A849" s="30" t="s">
        <v>2869</v>
      </c>
      <c r="B849" s="169">
        <v>9003473601</v>
      </c>
      <c r="C849" s="232" t="s">
        <v>944</v>
      </c>
      <c r="D849" s="182">
        <v>164555.215524</v>
      </c>
      <c r="E849" s="182">
        <v>442167.51</v>
      </c>
      <c r="F849" s="233">
        <f>[1]!Table323[[#This Row],[Single Family]]+[1]!Table323[[#This Row],[2-4 Units]]+[1]!Table323[[#This Row],[&gt;4 Units]]</f>
        <v>0</v>
      </c>
      <c r="G849" s="30">
        <v>0</v>
      </c>
      <c r="H849" s="30">
        <v>0</v>
      </c>
      <c r="I849" s="30">
        <v>0</v>
      </c>
      <c r="J849" s="231">
        <v>6224.54</v>
      </c>
      <c r="K849">
        <f t="shared" si="13"/>
        <v>1</v>
      </c>
      <c r="L849" s="30">
        <v>1</v>
      </c>
      <c r="M849" s="30">
        <v>0</v>
      </c>
      <c r="N849" s="30">
        <v>0</v>
      </c>
      <c r="O849" s="231">
        <v>408.26</v>
      </c>
      <c r="P849" s="97">
        <f>VLOOKUP(Table323[[#This Row],[Census Tract]],'Population and Diversity Data'!$B$2:$K$823,10,FALSE)</f>
        <v>3</v>
      </c>
      <c r="Q849" s="97" t="str">
        <f>VLOOKUP(Table323[[#This Row],[Census Tract]],'ES Energy Burden'!$B$2:$E$914,4,FALSE)</f>
        <v>No</v>
      </c>
    </row>
    <row r="850" spans="1:17" x14ac:dyDescent="0.2">
      <c r="A850" s="30" t="s">
        <v>2869</v>
      </c>
      <c r="B850" s="169">
        <v>9003473602</v>
      </c>
      <c r="C850" s="232" t="s">
        <v>944</v>
      </c>
      <c r="D850" s="182">
        <v>21608.422122000004</v>
      </c>
      <c r="E850" s="182">
        <v>32396.705000000002</v>
      </c>
      <c r="F850" s="233">
        <f>[1]!Table323[[#This Row],[Single Family]]+[1]!Table323[[#This Row],[2-4 Units]]+[1]!Table323[[#This Row],[&gt;4 Units]]</f>
        <v>0</v>
      </c>
      <c r="G850" s="30">
        <v>0</v>
      </c>
      <c r="H850" s="30">
        <v>0</v>
      </c>
      <c r="I850" s="30">
        <v>0</v>
      </c>
      <c r="J850" s="231">
        <v>6753.44</v>
      </c>
      <c r="K850">
        <f t="shared" si="13"/>
        <v>6</v>
      </c>
      <c r="L850" s="30">
        <v>5</v>
      </c>
      <c r="M850" s="30">
        <v>1</v>
      </c>
      <c r="N850" s="30">
        <v>0</v>
      </c>
      <c r="O850" s="231">
        <v>5132.9799999999996</v>
      </c>
      <c r="P850" s="97">
        <f>VLOOKUP(Table323[[#This Row],[Census Tract]],'Population and Diversity Data'!$B$2:$K$823,10,FALSE)</f>
        <v>5</v>
      </c>
      <c r="Q850" s="97" t="str">
        <f>VLOOKUP(Table323[[#This Row],[Census Tract]],'ES Energy Burden'!$B$2:$E$914,4,FALSE)</f>
        <v>No</v>
      </c>
    </row>
    <row r="851" spans="1:17" x14ac:dyDescent="0.2">
      <c r="A851" s="30" t="s">
        <v>2869</v>
      </c>
      <c r="B851" s="169">
        <v>9003473700</v>
      </c>
      <c r="C851" s="232" t="s">
        <v>944</v>
      </c>
      <c r="D851" s="182">
        <v>49874.666940000003</v>
      </c>
      <c r="E851" s="182">
        <v>103144.505</v>
      </c>
      <c r="F851" s="233">
        <f>[1]!Table323[[#This Row],[Single Family]]+[1]!Table323[[#This Row],[2-4 Units]]+[1]!Table323[[#This Row],[&gt;4 Units]]</f>
        <v>0</v>
      </c>
      <c r="G851" s="30">
        <v>0</v>
      </c>
      <c r="H851" s="30">
        <v>0</v>
      </c>
      <c r="I851" s="30">
        <v>0</v>
      </c>
      <c r="J851" s="231">
        <v>22171.81</v>
      </c>
      <c r="K851">
        <f t="shared" si="13"/>
        <v>28</v>
      </c>
      <c r="L851" s="30">
        <v>25</v>
      </c>
      <c r="M851" s="30">
        <v>3</v>
      </c>
      <c r="N851" s="30">
        <v>0</v>
      </c>
      <c r="O851" s="231">
        <v>37325.800000000003</v>
      </c>
      <c r="P851" s="97">
        <f>VLOOKUP(Table323[[#This Row],[Census Tract]],'Population and Diversity Data'!$B$2:$K$823,10,FALSE)</f>
        <v>3</v>
      </c>
      <c r="Q851" s="97" t="str">
        <f>VLOOKUP(Table323[[#This Row],[Census Tract]],'ES Energy Burden'!$B$2:$E$914,4,FALSE)</f>
        <v>No</v>
      </c>
    </row>
    <row r="852" spans="1:17" x14ac:dyDescent="0.2">
      <c r="A852" s="30" t="s">
        <v>2869</v>
      </c>
      <c r="B852" s="169">
        <v>9003473800</v>
      </c>
      <c r="C852" s="232" t="s">
        <v>944</v>
      </c>
      <c r="D852" s="182">
        <v>14993.566140000001</v>
      </c>
      <c r="E852" s="182">
        <v>4319.22</v>
      </c>
      <c r="F852" s="233">
        <f>[1]!Table323[[#This Row],[Single Family]]+[1]!Table323[[#This Row],[2-4 Units]]+[1]!Table323[[#This Row],[&gt;4 Units]]</f>
        <v>0</v>
      </c>
      <c r="G852" s="30">
        <v>0</v>
      </c>
      <c r="H852" s="30">
        <v>0</v>
      </c>
      <c r="I852" s="30">
        <v>0</v>
      </c>
      <c r="J852" s="231">
        <v>0</v>
      </c>
      <c r="K852">
        <f t="shared" si="13"/>
        <v>3</v>
      </c>
      <c r="L852" s="30">
        <v>2</v>
      </c>
      <c r="M852" s="30">
        <v>1</v>
      </c>
      <c r="N852" s="30">
        <v>0</v>
      </c>
      <c r="O852" s="231">
        <v>1900.87</v>
      </c>
      <c r="P852" s="97">
        <f>VLOOKUP(Table323[[#This Row],[Census Tract]],'Population and Diversity Data'!$B$2:$K$823,10,FALSE)</f>
        <v>5</v>
      </c>
      <c r="Q852" s="97" t="str">
        <f>VLOOKUP(Table323[[#This Row],[Census Tract]],'ES Energy Burden'!$B$2:$E$914,4,FALSE)</f>
        <v>No</v>
      </c>
    </row>
    <row r="853" spans="1:17" x14ac:dyDescent="0.2">
      <c r="A853" s="30" t="s">
        <v>2869</v>
      </c>
      <c r="B853" s="169">
        <v>9003524400</v>
      </c>
      <c r="C853" s="232" t="s">
        <v>944</v>
      </c>
      <c r="D853" s="182">
        <v>126.14028</v>
      </c>
      <c r="E853" s="182">
        <v>0</v>
      </c>
      <c r="F853" s="233">
        <f>[1]!Table323[[#This Row],[Single Family]]+[1]!Table323[[#This Row],[2-4 Units]]+[1]!Table323[[#This Row],[&gt;4 Units]]</f>
        <v>0</v>
      </c>
      <c r="G853" s="30">
        <v>0</v>
      </c>
      <c r="H853" s="30">
        <v>0</v>
      </c>
      <c r="I853" s="30">
        <v>0</v>
      </c>
      <c r="J853" s="231">
        <v>0</v>
      </c>
      <c r="K853">
        <f t="shared" si="13"/>
        <v>0</v>
      </c>
      <c r="L853" s="30">
        <v>0</v>
      </c>
      <c r="M853" s="30">
        <v>0</v>
      </c>
      <c r="N853" s="30">
        <v>0</v>
      </c>
      <c r="O853" s="231">
        <v>0</v>
      </c>
      <c r="P853" s="97">
        <f>VLOOKUP(Table323[[#This Row],[Census Tract]],'Population and Diversity Data'!$B$2:$K$823,10,FALSE)</f>
        <v>5</v>
      </c>
      <c r="Q853" s="97" t="str">
        <f>VLOOKUP(Table323[[#This Row],[Census Tract]],'ES Energy Burden'!$B$2:$E$914,4,FALSE)</f>
        <v>Yes</v>
      </c>
    </row>
    <row r="854" spans="1:17" x14ac:dyDescent="0.2">
      <c r="A854" s="30" t="s">
        <v>2870</v>
      </c>
      <c r="B854" s="169">
        <v>9003476100</v>
      </c>
      <c r="C854" s="232" t="s">
        <v>944</v>
      </c>
      <c r="D854" s="182">
        <v>100669.664781</v>
      </c>
      <c r="E854" s="182">
        <v>183148.27</v>
      </c>
      <c r="F854" s="233">
        <f>[1]!Table323[[#This Row],[Single Family]]+[1]!Table323[[#This Row],[2-4 Units]]+[1]!Table323[[#This Row],[&gt;4 Units]]</f>
        <v>0</v>
      </c>
      <c r="G854" s="30">
        <v>0</v>
      </c>
      <c r="H854" s="30">
        <v>0</v>
      </c>
      <c r="I854" s="30">
        <v>0</v>
      </c>
      <c r="J854" s="231">
        <v>9052.84</v>
      </c>
      <c r="K854">
        <f t="shared" si="13"/>
        <v>10</v>
      </c>
      <c r="L854" s="30">
        <v>9</v>
      </c>
      <c r="M854" s="30">
        <v>1</v>
      </c>
      <c r="N854" s="30">
        <v>0</v>
      </c>
      <c r="O854" s="231">
        <v>7257.99</v>
      </c>
      <c r="P854" s="97">
        <f>VLOOKUP(Table323[[#This Row],[Census Tract]],'Population and Diversity Data'!$B$2:$K$823,10,FALSE)</f>
        <v>2</v>
      </c>
      <c r="Q854" s="97" t="str">
        <f>VLOOKUP(Table323[[#This Row],[Census Tract]],'ES Energy Burden'!$B$2:$E$914,4,FALSE)</f>
        <v>No</v>
      </c>
    </row>
    <row r="855" spans="1:17" x14ac:dyDescent="0.2">
      <c r="A855" s="30" t="s">
        <v>2870</v>
      </c>
      <c r="B855" s="169">
        <v>9003476200</v>
      </c>
      <c r="C855" s="232" t="s">
        <v>944</v>
      </c>
      <c r="D855" s="182">
        <v>24917.057130000001</v>
      </c>
      <c r="E855" s="182">
        <v>12391.18</v>
      </c>
      <c r="F855" s="233">
        <f>[1]!Table323[[#This Row],[Single Family]]+[1]!Table323[[#This Row],[2-4 Units]]+[1]!Table323[[#This Row],[&gt;4 Units]]</f>
        <v>0</v>
      </c>
      <c r="G855" s="30">
        <v>0</v>
      </c>
      <c r="H855" s="30">
        <v>0</v>
      </c>
      <c r="I855" s="30">
        <v>0</v>
      </c>
      <c r="J855" s="231">
        <v>16.64</v>
      </c>
      <c r="K855">
        <f t="shared" si="13"/>
        <v>3</v>
      </c>
      <c r="L855" s="30">
        <v>2</v>
      </c>
      <c r="M855" s="30">
        <v>1</v>
      </c>
      <c r="N855" s="30">
        <v>0</v>
      </c>
      <c r="O855" s="231">
        <v>6391.29</v>
      </c>
      <c r="P855" s="97">
        <f>VLOOKUP(Table323[[#This Row],[Census Tract]],'Population and Diversity Data'!$B$2:$K$823,10,FALSE)</f>
        <v>2</v>
      </c>
      <c r="Q855" s="97" t="str">
        <f>VLOOKUP(Table323[[#This Row],[Census Tract]],'ES Energy Burden'!$B$2:$E$914,4,FALSE)</f>
        <v>No</v>
      </c>
    </row>
    <row r="856" spans="1:17" x14ac:dyDescent="0.2">
      <c r="A856" s="30" t="s">
        <v>2870</v>
      </c>
      <c r="B856" s="169">
        <v>9003476300</v>
      </c>
      <c r="C856" s="232" t="s">
        <v>944</v>
      </c>
      <c r="D856" s="182">
        <v>51116.455110000003</v>
      </c>
      <c r="E856" s="182">
        <v>114017.03</v>
      </c>
      <c r="F856" s="233">
        <f>[1]!Table323[[#This Row],[Single Family]]+[1]!Table323[[#This Row],[2-4 Units]]+[1]!Table323[[#This Row],[&gt;4 Units]]</f>
        <v>307</v>
      </c>
      <c r="G856" s="30">
        <v>86</v>
      </c>
      <c r="H856" s="30">
        <v>2</v>
      </c>
      <c r="I856" s="30">
        <v>219</v>
      </c>
      <c r="J856" s="231">
        <v>142064.87</v>
      </c>
      <c r="K856">
        <f t="shared" si="13"/>
        <v>170</v>
      </c>
      <c r="L856" s="30">
        <v>22</v>
      </c>
      <c r="M856" s="30">
        <v>2</v>
      </c>
      <c r="N856" s="30">
        <v>146</v>
      </c>
      <c r="O856" s="231">
        <v>101748.5</v>
      </c>
      <c r="P856" s="97">
        <f>VLOOKUP(Table323[[#This Row],[Census Tract]],'Population and Diversity Data'!$B$2:$K$823,10,FALSE)</f>
        <v>4</v>
      </c>
      <c r="Q856" s="97" t="str">
        <f>VLOOKUP(Table323[[#This Row],[Census Tract]],'ES Energy Burden'!$B$2:$E$914,4,FALSE)</f>
        <v>No</v>
      </c>
    </row>
    <row r="857" spans="1:17" x14ac:dyDescent="0.2">
      <c r="A857" s="30" t="s">
        <v>2871</v>
      </c>
      <c r="B857" s="169">
        <v>9009352600</v>
      </c>
      <c r="C857" s="232" t="s">
        <v>944</v>
      </c>
      <c r="D857" s="182">
        <v>45.28125</v>
      </c>
      <c r="E857" s="182">
        <v>0</v>
      </c>
      <c r="F857" s="233">
        <f>[1]!Table323[[#This Row],[Single Family]]+[1]!Table323[[#This Row],[2-4 Units]]+[1]!Table323[[#This Row],[&gt;4 Units]]</f>
        <v>0</v>
      </c>
      <c r="G857" s="30">
        <v>0</v>
      </c>
      <c r="H857" s="30">
        <v>0</v>
      </c>
      <c r="I857" s="30">
        <v>0</v>
      </c>
      <c r="J857" s="231">
        <v>0</v>
      </c>
      <c r="K857">
        <f t="shared" si="13"/>
        <v>0</v>
      </c>
      <c r="L857" s="30">
        <v>0</v>
      </c>
      <c r="M857" s="30">
        <v>0</v>
      </c>
      <c r="N857" s="30">
        <v>0</v>
      </c>
      <c r="O857" s="231">
        <v>0</v>
      </c>
      <c r="P857" s="97">
        <f>VLOOKUP(Table323[[#This Row],[Census Tract]],'Population and Diversity Data'!$B$2:$K$823,10,FALSE)</f>
        <v>3</v>
      </c>
      <c r="Q857" s="97" t="str">
        <f>VLOOKUP(Table323[[#This Row],[Census Tract]],'ES Energy Burden'!$B$2:$E$914,4,FALSE)</f>
        <v>Yes</v>
      </c>
    </row>
    <row r="858" spans="1:17" x14ac:dyDescent="0.2">
      <c r="A858" s="30" t="s">
        <v>2871</v>
      </c>
      <c r="B858" s="169">
        <v>9009352701</v>
      </c>
      <c r="C858" s="232" t="s">
        <v>944</v>
      </c>
      <c r="D858" s="182">
        <v>83.583150000000003</v>
      </c>
      <c r="E858" s="182">
        <v>0</v>
      </c>
      <c r="F858" s="233">
        <f>[1]!Table323[[#This Row],[Single Family]]+[1]!Table323[[#This Row],[2-4 Units]]+[1]!Table323[[#This Row],[&gt;4 Units]]</f>
        <v>0</v>
      </c>
      <c r="G858" s="30">
        <v>0</v>
      </c>
      <c r="H858" s="30">
        <v>0</v>
      </c>
      <c r="I858" s="30">
        <v>0</v>
      </c>
      <c r="J858" s="231">
        <v>0</v>
      </c>
      <c r="K858">
        <f t="shared" si="13"/>
        <v>0</v>
      </c>
      <c r="L858" s="30">
        <v>0</v>
      </c>
      <c r="M858" s="30">
        <v>0</v>
      </c>
      <c r="N858" s="30">
        <v>0</v>
      </c>
      <c r="O858" s="231">
        <v>0</v>
      </c>
      <c r="P858" s="97">
        <f>VLOOKUP(Table323[[#This Row],[Census Tract]],'Population and Diversity Data'!$B$2:$K$823,10,FALSE)</f>
        <v>4</v>
      </c>
      <c r="Q858" s="97" t="str">
        <f>VLOOKUP(Table323[[#This Row],[Census Tract]],'ES Energy Burden'!$B$2:$E$914,4,FALSE)</f>
        <v>Yes</v>
      </c>
    </row>
    <row r="859" spans="1:17" x14ac:dyDescent="0.2">
      <c r="A859" s="30" t="s">
        <v>2871</v>
      </c>
      <c r="B859" s="169">
        <v>9009361100</v>
      </c>
      <c r="C859" s="232" t="s">
        <v>944</v>
      </c>
      <c r="D859" s="182">
        <v>83789.394864000002</v>
      </c>
      <c r="E859" s="182">
        <v>159721.81</v>
      </c>
      <c r="F859" s="233">
        <f>[1]!Table323[[#This Row],[Single Family]]+[1]!Table323[[#This Row],[2-4 Units]]+[1]!Table323[[#This Row],[&gt;4 Units]]</f>
        <v>130</v>
      </c>
      <c r="G859" s="30">
        <v>130</v>
      </c>
      <c r="H859" s="30">
        <v>0</v>
      </c>
      <c r="I859" s="30">
        <v>0</v>
      </c>
      <c r="J859" s="231">
        <v>267935.09000000003</v>
      </c>
      <c r="K859">
        <f t="shared" si="13"/>
        <v>23</v>
      </c>
      <c r="L859" s="30">
        <v>23</v>
      </c>
      <c r="M859" s="30">
        <v>0</v>
      </c>
      <c r="N859" s="30">
        <v>0</v>
      </c>
      <c r="O859" s="231">
        <v>94240.85</v>
      </c>
      <c r="P859" s="97">
        <f>VLOOKUP(Table323[[#This Row],[Census Tract]],'Population and Diversity Data'!$B$2:$K$823,10,FALSE)</f>
        <v>2</v>
      </c>
      <c r="Q859" s="97" t="str">
        <f>VLOOKUP(Table323[[#This Row],[Census Tract]],'ES Energy Burden'!$B$2:$E$914,4,FALSE)</f>
        <v>No</v>
      </c>
    </row>
    <row r="860" spans="1:17" x14ac:dyDescent="0.2">
      <c r="A860" s="30" t="s">
        <v>2871</v>
      </c>
      <c r="B860" s="169">
        <v>9009361200</v>
      </c>
      <c r="C860" s="232" t="s">
        <v>944</v>
      </c>
      <c r="D860" s="182">
        <v>151534.98114300001</v>
      </c>
      <c r="E860" s="182">
        <v>326662.40250000003</v>
      </c>
      <c r="F860" s="233">
        <f>[1]!Table323[[#This Row],[Single Family]]+[1]!Table323[[#This Row],[2-4 Units]]+[1]!Table323[[#This Row],[&gt;4 Units]]</f>
        <v>0</v>
      </c>
      <c r="G860" s="30">
        <v>0</v>
      </c>
      <c r="H860" s="30">
        <v>0</v>
      </c>
      <c r="I860" s="30">
        <v>0</v>
      </c>
      <c r="J860" s="231">
        <v>33320.29</v>
      </c>
      <c r="K860">
        <f t="shared" si="13"/>
        <v>20</v>
      </c>
      <c r="L860" s="30">
        <v>19</v>
      </c>
      <c r="M860" s="30">
        <v>1</v>
      </c>
      <c r="N860" s="30">
        <v>0</v>
      </c>
      <c r="O860" s="231">
        <v>32177.439999999999</v>
      </c>
      <c r="P860" s="97">
        <f>VLOOKUP(Table323[[#This Row],[Census Tract]],'Population and Diversity Data'!$B$2:$K$823,10,FALSE)</f>
        <v>2</v>
      </c>
      <c r="Q860" s="97" t="str">
        <f>VLOOKUP(Table323[[#This Row],[Census Tract]],'ES Energy Burden'!$B$2:$E$914,4,FALSE)</f>
        <v>No</v>
      </c>
    </row>
    <row r="861" spans="1:17" x14ac:dyDescent="0.2">
      <c r="A861" s="30" t="s">
        <v>2871</v>
      </c>
      <c r="B861" s="169">
        <v>9009361300</v>
      </c>
      <c r="C861" s="232" t="s">
        <v>944</v>
      </c>
      <c r="D861" s="182">
        <v>50841.12096</v>
      </c>
      <c r="E861" s="182">
        <v>60562.62</v>
      </c>
      <c r="F861" s="233">
        <f>[1]!Table323[[#This Row],[Single Family]]+[1]!Table323[[#This Row],[2-4 Units]]+[1]!Table323[[#This Row],[&gt;4 Units]]</f>
        <v>0</v>
      </c>
      <c r="G861" s="30">
        <v>0</v>
      </c>
      <c r="H861" s="30">
        <v>0</v>
      </c>
      <c r="I861" s="30">
        <v>0</v>
      </c>
      <c r="J861" s="231">
        <v>4918.8500000000004</v>
      </c>
      <c r="K861">
        <f t="shared" si="13"/>
        <v>4</v>
      </c>
      <c r="L861" s="30">
        <v>4</v>
      </c>
      <c r="M861" s="30">
        <v>0</v>
      </c>
      <c r="N861" s="30">
        <v>0</v>
      </c>
      <c r="O861" s="231">
        <v>35056.85</v>
      </c>
      <c r="P861" s="97">
        <f>VLOOKUP(Table323[[#This Row],[Census Tract]],'Population and Diversity Data'!$B$2:$K$823,10,FALSE)</f>
        <v>1</v>
      </c>
      <c r="Q861" s="97" t="str">
        <f>VLOOKUP(Table323[[#This Row],[Census Tract]],'ES Energy Burden'!$B$2:$E$914,4,FALSE)</f>
        <v>No</v>
      </c>
    </row>
    <row r="862" spans="1:17" x14ac:dyDescent="0.2">
      <c r="A862" s="30" t="s">
        <v>2872</v>
      </c>
      <c r="B862" s="169">
        <v>9005362101</v>
      </c>
      <c r="C862" s="232" t="s">
        <v>944</v>
      </c>
      <c r="D862" s="182">
        <v>138746.17959300001</v>
      </c>
      <c r="E862" s="182">
        <v>330214.005</v>
      </c>
      <c r="F862" s="233">
        <f>[1]!Table323[[#This Row],[Single Family]]+[1]!Table323[[#This Row],[2-4 Units]]+[1]!Table323[[#This Row],[&gt;4 Units]]</f>
        <v>82</v>
      </c>
      <c r="G862" s="30">
        <v>81</v>
      </c>
      <c r="H862" s="30">
        <v>1</v>
      </c>
      <c r="I862" s="30">
        <v>0</v>
      </c>
      <c r="J862" s="231">
        <v>170348.6</v>
      </c>
      <c r="K862">
        <f t="shared" si="13"/>
        <v>14</v>
      </c>
      <c r="L862" s="30">
        <v>14</v>
      </c>
      <c r="M862" s="30">
        <v>0</v>
      </c>
      <c r="N862" s="30">
        <v>0</v>
      </c>
      <c r="O862" s="231">
        <v>136687.88</v>
      </c>
      <c r="P862" s="97">
        <f>VLOOKUP(Table323[[#This Row],[Census Tract]],'Population and Diversity Data'!$B$2:$K$823,10,FALSE)</f>
        <v>2</v>
      </c>
      <c r="Q862" s="97" t="str">
        <f>VLOOKUP(Table323[[#This Row],[Census Tract]],'ES Energy Burden'!$B$2:$E$914,4,FALSE)</f>
        <v>No</v>
      </c>
    </row>
    <row r="863" spans="1:17" x14ac:dyDescent="0.2">
      <c r="A863" s="30" t="s">
        <v>2872</v>
      </c>
      <c r="B863" s="169">
        <v>9005362102</v>
      </c>
      <c r="C863" s="232" t="s">
        <v>944</v>
      </c>
      <c r="D863" s="182">
        <v>85384.974738000004</v>
      </c>
      <c r="E863" s="182">
        <v>104272.47</v>
      </c>
      <c r="F863" s="233">
        <f>[1]!Table323[[#This Row],[Single Family]]+[1]!Table323[[#This Row],[2-4 Units]]+[1]!Table323[[#This Row],[&gt;4 Units]]</f>
        <v>0</v>
      </c>
      <c r="G863" s="30">
        <v>0</v>
      </c>
      <c r="H863" s="30">
        <v>0</v>
      </c>
      <c r="I863" s="30">
        <v>0</v>
      </c>
      <c r="J863" s="231">
        <v>6493.44</v>
      </c>
      <c r="K863">
        <f t="shared" si="13"/>
        <v>4</v>
      </c>
      <c r="L863" s="30">
        <v>4</v>
      </c>
      <c r="M863" s="30">
        <v>0</v>
      </c>
      <c r="N863" s="30">
        <v>0</v>
      </c>
      <c r="O863" s="231">
        <v>27738.05</v>
      </c>
      <c r="P863" s="97">
        <f>VLOOKUP(Table323[[#This Row],[Census Tract]],'Population and Diversity Data'!$B$2:$K$823,10,FALSE)</f>
        <v>1</v>
      </c>
      <c r="Q863" s="97" t="str">
        <f>VLOOKUP(Table323[[#This Row],[Census Tract]],'ES Energy Burden'!$B$2:$E$914,4,FALSE)</f>
        <v>No</v>
      </c>
    </row>
    <row r="864" spans="1:17" x14ac:dyDescent="0.2">
      <c r="A864" s="30" t="s">
        <v>2873</v>
      </c>
      <c r="B864" s="169">
        <v>9015900200</v>
      </c>
      <c r="C864" s="232" t="s">
        <v>944</v>
      </c>
      <c r="D864" s="182">
        <v>115.41768</v>
      </c>
      <c r="E864" s="182">
        <v>8237.125</v>
      </c>
      <c r="F864" s="233">
        <f>[1]!Table323[[#This Row],[Single Family]]+[1]!Table323[[#This Row],[2-4 Units]]+[1]!Table323[[#This Row],[&gt;4 Units]]</f>
        <v>0</v>
      </c>
      <c r="G864" s="30">
        <v>0</v>
      </c>
      <c r="H864" s="30">
        <v>0</v>
      </c>
      <c r="I864" s="30">
        <v>0</v>
      </c>
      <c r="J864" s="231">
        <v>0</v>
      </c>
      <c r="K864">
        <f t="shared" si="13"/>
        <v>0</v>
      </c>
      <c r="L864" s="30">
        <v>0</v>
      </c>
      <c r="M864" s="30">
        <v>0</v>
      </c>
      <c r="N864" s="30">
        <v>0</v>
      </c>
      <c r="O864" s="231">
        <v>0</v>
      </c>
      <c r="P864" s="97">
        <f>VLOOKUP(Table323[[#This Row],[Census Tract]],'Population and Diversity Data'!$B$2:$K$823,10,FALSE)</f>
        <v>2</v>
      </c>
      <c r="Q864" s="97" t="str">
        <f>VLOOKUP(Table323[[#This Row],[Census Tract]],'ES Energy Burden'!$B$2:$E$914,4,FALSE)</f>
        <v>No</v>
      </c>
    </row>
    <row r="865" spans="1:17" x14ac:dyDescent="0.2">
      <c r="A865" s="30" t="s">
        <v>2873</v>
      </c>
      <c r="B865" s="169">
        <v>9015901100</v>
      </c>
      <c r="C865" s="232" t="s">
        <v>944</v>
      </c>
      <c r="D865" s="182">
        <v>157071.80865600001</v>
      </c>
      <c r="E865" s="182">
        <v>180564.32500000001</v>
      </c>
      <c r="F865" s="233">
        <f>[1]!Table323[[#This Row],[Single Family]]+[1]!Table323[[#This Row],[2-4 Units]]+[1]!Table323[[#This Row],[&gt;4 Units]]</f>
        <v>32</v>
      </c>
      <c r="G865" s="30">
        <v>31</v>
      </c>
      <c r="H865" s="30">
        <v>1</v>
      </c>
      <c r="I865" s="30">
        <v>0</v>
      </c>
      <c r="J865" s="231">
        <v>86478.26</v>
      </c>
      <c r="K865">
        <f t="shared" si="13"/>
        <v>5</v>
      </c>
      <c r="L865" s="30">
        <v>5</v>
      </c>
      <c r="M865" s="30">
        <v>0</v>
      </c>
      <c r="N865" s="30">
        <v>0</v>
      </c>
      <c r="O865" s="231">
        <v>7656.5</v>
      </c>
      <c r="P865" s="97">
        <f>VLOOKUP(Table323[[#This Row],[Census Tract]],'Population and Diversity Data'!$B$2:$K$823,10,FALSE)</f>
        <v>1</v>
      </c>
      <c r="Q865" s="97" t="str">
        <f>VLOOKUP(Table323[[#This Row],[Census Tract]],'ES Energy Burden'!$B$2:$E$914,4,FALSE)</f>
        <v>No</v>
      </c>
    </row>
    <row r="866" spans="1:17" x14ac:dyDescent="0.2">
      <c r="A866" s="30" t="s">
        <v>2873</v>
      </c>
      <c r="B866" s="169">
        <v>9015902200</v>
      </c>
      <c r="C866" s="232" t="s">
        <v>944</v>
      </c>
      <c r="D866" s="182">
        <v>634.60887000000002</v>
      </c>
      <c r="E866" s="182">
        <v>0</v>
      </c>
      <c r="F866" s="233">
        <f>[1]!Table323[[#This Row],[Single Family]]+[1]!Table323[[#This Row],[2-4 Units]]+[1]!Table323[[#This Row],[&gt;4 Units]]</f>
        <v>0</v>
      </c>
      <c r="G866" s="30">
        <v>0</v>
      </c>
      <c r="H866" s="30">
        <v>0</v>
      </c>
      <c r="I866" s="30">
        <v>0</v>
      </c>
      <c r="J866" s="231">
        <v>0</v>
      </c>
      <c r="K866">
        <f t="shared" si="13"/>
        <v>0</v>
      </c>
      <c r="L866" s="30">
        <v>0</v>
      </c>
      <c r="M866" s="30">
        <v>0</v>
      </c>
      <c r="N866" s="30">
        <v>0</v>
      </c>
      <c r="O866" s="231">
        <v>0</v>
      </c>
      <c r="P866" s="97">
        <f>VLOOKUP(Table323[[#This Row],[Census Tract]],'Population and Diversity Data'!$B$2:$K$823,10,FALSE)</f>
        <v>2</v>
      </c>
      <c r="Q866" s="97" t="str">
        <f>VLOOKUP(Table323[[#This Row],[Census Tract]],'ES Energy Burden'!$B$2:$E$914,4,FALSE)</f>
        <v>No</v>
      </c>
    </row>
    <row r="867" spans="1:17" x14ac:dyDescent="0.2">
      <c r="A867" s="30" t="s">
        <v>2873</v>
      </c>
      <c r="B867" s="169">
        <v>9015902500</v>
      </c>
      <c r="C867" s="232" t="s">
        <v>944</v>
      </c>
      <c r="D867" s="182">
        <v>1455.77649</v>
      </c>
      <c r="E867" s="182">
        <v>1514.96</v>
      </c>
      <c r="F867" s="233">
        <f>[1]!Table323[[#This Row],[Single Family]]+[1]!Table323[[#This Row],[2-4 Units]]+[1]!Table323[[#This Row],[&gt;4 Units]]</f>
        <v>0</v>
      </c>
      <c r="G867" s="30">
        <v>0</v>
      </c>
      <c r="H867" s="30">
        <v>0</v>
      </c>
      <c r="I867" s="30">
        <v>0</v>
      </c>
      <c r="J867" s="231">
        <v>0</v>
      </c>
      <c r="K867">
        <f t="shared" si="13"/>
        <v>0</v>
      </c>
      <c r="L867" s="30">
        <v>0</v>
      </c>
      <c r="M867" s="30">
        <v>0</v>
      </c>
      <c r="N867" s="30">
        <v>0</v>
      </c>
      <c r="O867" s="231">
        <v>0</v>
      </c>
      <c r="P867" s="97">
        <f>VLOOKUP(Table323[[#This Row],[Census Tract]],'Population and Diversity Data'!$B$2:$K$823,10,FALSE)</f>
        <v>2</v>
      </c>
      <c r="Q867" s="97" t="str">
        <f>VLOOKUP(Table323[[#This Row],[Census Tract]],'ES Energy Burden'!$B$2:$E$914,4,FALSE)</f>
        <v>No</v>
      </c>
    </row>
    <row r="868" spans="1:17" ht="16" thickBot="1" x14ac:dyDescent="0.25">
      <c r="A868" s="109"/>
      <c r="B868" s="110"/>
      <c r="C868" s="183" t="s">
        <v>2884</v>
      </c>
      <c r="D868" s="111">
        <f>SUBTOTAL(109,[1]!Table323[CLM $ Collected ])</f>
        <v>44309076.848484054</v>
      </c>
      <c r="E868" s="111">
        <f>SUBTOTAL(109,[1]!Table323[Incentive Disbursements])</f>
        <v>67612952.937499985</v>
      </c>
      <c r="F868" s="112">
        <f>SUBTOTAL(109,[1]!Table323[Total Units])</f>
        <v>21829</v>
      </c>
      <c r="G868" s="112">
        <f>SUBTOTAL(109,[1]!Table323[Single Family])</f>
        <v>15779</v>
      </c>
      <c r="H868" s="112">
        <f>SUBTOTAL(109,[1]!Table323[2-4 Units])</f>
        <v>326</v>
      </c>
      <c r="I868" s="112">
        <f>SUBTOTAL(109,[1]!Table323[&gt;4 Units])</f>
        <v>5724</v>
      </c>
      <c r="J868" s="113">
        <f>SUBTOTAL(109,[1]!Table323[Incentives])</f>
        <v>28884194.059999976</v>
      </c>
      <c r="K868" s="112">
        <f>SUBTOTAL(109,[1]!Table323[Total Units2])</f>
        <v>14363</v>
      </c>
      <c r="L868" s="112">
        <f>SUBTOTAL(109,[1]!Table323[[Single Family ]])</f>
        <v>3606</v>
      </c>
      <c r="M868" s="112">
        <f>SUBTOTAL(109,[1]!Table323[ 2-4 Units])</f>
        <v>1180</v>
      </c>
      <c r="N868" s="112">
        <f>SUBTOTAL(109,[1]!Table323[&gt;4 Units ])</f>
        <v>9577</v>
      </c>
      <c r="O868" s="114">
        <f>SUBTOTAL(109,[1]!Table323[[Incentives ]])</f>
        <v>17296913.230000004</v>
      </c>
      <c r="P868" s="97" t="e">
        <f>VLOOKUP(Table323[[#This Row],[Census Tract]],'Population and Diversity Data'!$B$2:$K$823,10,FALSE)</f>
        <v>#N/A</v>
      </c>
      <c r="Q868" s="97" t="e">
        <f>VLOOKUP(Table323[[#This Row],[Census Tract]],'ES Energy Burden'!$B$2:$E$914,4,FALSE)</f>
        <v>#N/A</v>
      </c>
    </row>
    <row r="869" spans="1:17" x14ac:dyDescent="0.2">
      <c r="P869" s="97" t="e">
        <f>VLOOKUP(Table323[[#This Row],[Census Tract]],'Population and Diversity Data'!$B$2:$K$823,10,FALSE)</f>
        <v>#N/A</v>
      </c>
      <c r="Q869" s="97" t="e">
        <f>VLOOKUP(Table323[[#This Row],[Census Tract]],'ES Energy Burden'!$B$2:$E$914,4,FALSE)</f>
        <v>#N/A</v>
      </c>
    </row>
    <row r="870" spans="1:17" x14ac:dyDescent="0.2">
      <c r="A870" s="21" t="s">
        <v>2706</v>
      </c>
      <c r="B870" s="22"/>
      <c r="C870" s="23"/>
      <c r="D870" s="23"/>
      <c r="E870" s="24"/>
      <c r="F870" s="24"/>
      <c r="G870" s="24"/>
      <c r="H870" s="24"/>
      <c r="I870" s="24"/>
      <c r="J870" s="24"/>
      <c r="K870" s="24"/>
      <c r="L870" s="24"/>
      <c r="M870" s="24"/>
      <c r="N870" s="24"/>
      <c r="O870" s="24"/>
      <c r="P870" s="97" t="e">
        <f>VLOOKUP(Table323[[#This Row],[Census Tract]],'Population and Diversity Data'!$B$2:$K$823,10,FALSE)</f>
        <v>#N/A</v>
      </c>
      <c r="Q870" s="97" t="e">
        <f>VLOOKUP(Table323[[#This Row],[Census Tract]],'ES Energy Burden'!$B$2:$E$914,4,FALSE)</f>
        <v>#N/A</v>
      </c>
    </row>
    <row r="871" spans="1:17" x14ac:dyDescent="0.2">
      <c r="A871" s="21" t="s">
        <v>3878</v>
      </c>
      <c r="B871" s="22"/>
      <c r="C871" s="23"/>
      <c r="D871" s="23"/>
      <c r="E871" s="24"/>
      <c r="F871" s="24"/>
      <c r="G871" s="24"/>
      <c r="H871" s="24"/>
      <c r="I871" s="24"/>
      <c r="J871" s="24"/>
      <c r="K871" s="24"/>
      <c r="L871" s="24"/>
      <c r="M871" s="24"/>
      <c r="N871" s="24"/>
      <c r="O871" s="24"/>
      <c r="P871" s="97" t="e">
        <f>VLOOKUP(Table323[[#This Row],[Census Tract]],'Population and Diversity Data'!$B$2:$K$823,10,FALSE)</f>
        <v>#N/A</v>
      </c>
      <c r="Q871" s="97" t="e">
        <f>VLOOKUP(Table323[[#This Row],[Census Tract]],'ES Energy Burden'!$B$2:$E$914,4,FALSE)</f>
        <v>#N/A</v>
      </c>
    </row>
    <row r="872" spans="1:17" x14ac:dyDescent="0.2">
      <c r="A872" s="33" t="s">
        <v>3879</v>
      </c>
      <c r="P872" s="97" t="e">
        <f>VLOOKUP(Table323[[#This Row],[Census Tract]],'Population and Diversity Data'!$B$2:$K$823,10,FALSE)</f>
        <v>#N/A</v>
      </c>
      <c r="Q872" s="97" t="e">
        <f>VLOOKUP(Table323[[#This Row],[Census Tract]],'ES Energy Burden'!$B$2:$E$914,4,FALSE)</f>
        <v>#N/A</v>
      </c>
    </row>
    <row r="873" spans="1:17" x14ac:dyDescent="0.2">
      <c r="P873" s="97" t="e">
        <f>VLOOKUP(Table323[[#This Row],[Census Tract]],'Population and Diversity Data'!$B$2:$K$823,10,FALSE)</f>
        <v>#N/A</v>
      </c>
      <c r="Q873" s="97" t="e">
        <f>VLOOKUP(Table323[[#This Row],[Census Tract]],'ES Energy Burden'!$B$2:$E$914,4,FALSE)</f>
        <v>#N/A</v>
      </c>
    </row>
    <row r="874" spans="1:17" x14ac:dyDescent="0.2">
      <c r="P874" s="97" t="e">
        <f>VLOOKUP(Table323[[#This Row],[Census Tract]],'Population and Diversity Data'!$B$2:$K$823,10,FALSE)</f>
        <v>#N/A</v>
      </c>
      <c r="Q874" s="97" t="e">
        <f>VLOOKUP(Table323[[#This Row],[Census Tract]],'ES Energy Burden'!$B$2:$E$914,4,FALSE)</f>
        <v>#N/A</v>
      </c>
    </row>
    <row r="875" spans="1:17" x14ac:dyDescent="0.2">
      <c r="P875" s="97" t="e">
        <f>VLOOKUP(Table323[[#This Row],[Census Tract]],'Population and Diversity Data'!$B$2:$K$823,10,FALSE)</f>
        <v>#N/A</v>
      </c>
      <c r="Q875" s="97" t="e">
        <f>VLOOKUP(Table323[[#This Row],[Census Tract]],'ES Energy Burden'!$B$2:$E$914,4,FALSE)</f>
        <v>#N/A</v>
      </c>
    </row>
    <row r="876" spans="1:17" x14ac:dyDescent="0.2">
      <c r="P876" s="97" t="e">
        <f>VLOOKUP(Table323[[#This Row],[Census Tract]],'Population and Diversity Data'!$B$2:$K$823,10,FALSE)</f>
        <v>#N/A</v>
      </c>
      <c r="Q876" s="97" t="e">
        <f>VLOOKUP(Table323[[#This Row],[Census Tract]],'ES Energy Burden'!$B$2:$E$914,4,FALSE)</f>
        <v>#N/A</v>
      </c>
    </row>
    <row r="877" spans="1:17" x14ac:dyDescent="0.2">
      <c r="P877" s="97" t="e">
        <f>VLOOKUP(Table323[[#This Row],[Census Tract]],'Population and Diversity Data'!$B$2:$K$823,10,FALSE)</f>
        <v>#N/A</v>
      </c>
      <c r="Q877" s="97" t="e">
        <f>VLOOKUP(Table323[[#This Row],[Census Tract]],'ES Energy Burden'!$B$2:$E$914,4,FALSE)</f>
        <v>#N/A</v>
      </c>
    </row>
    <row r="878" spans="1:17" x14ac:dyDescent="0.2">
      <c r="P878" s="97" t="e">
        <f>VLOOKUP(Table323[[#This Row],[Census Tract]],'Population and Diversity Data'!$B$2:$K$823,10,FALSE)</f>
        <v>#N/A</v>
      </c>
      <c r="Q878" s="97" t="e">
        <f>VLOOKUP(Table323[[#This Row],[Census Tract]],'ES Energy Burden'!$B$2:$E$914,4,FALSE)</f>
        <v>#N/A</v>
      </c>
    </row>
    <row r="879" spans="1:17" x14ac:dyDescent="0.2">
      <c r="P879" s="97" t="e">
        <f>VLOOKUP(Table323[[#This Row],[Census Tract]],'Population and Diversity Data'!$B$2:$K$823,10,FALSE)</f>
        <v>#N/A</v>
      </c>
      <c r="Q879" s="97" t="e">
        <f>VLOOKUP(Table323[[#This Row],[Census Tract]],'ES Energy Burden'!$B$2:$E$914,4,FALSE)</f>
        <v>#N/A</v>
      </c>
    </row>
    <row r="880" spans="1:17" x14ac:dyDescent="0.2">
      <c r="P880" s="97" t="e">
        <f>VLOOKUP(Table323[[#This Row],[Census Tract]],'Population and Diversity Data'!$B$2:$K$823,10,FALSE)</f>
        <v>#N/A</v>
      </c>
      <c r="Q880" s="97" t="e">
        <f>VLOOKUP(Table323[[#This Row],[Census Tract]],'ES Energy Burden'!$B$2:$E$914,4,FALSE)</f>
        <v>#N/A</v>
      </c>
    </row>
    <row r="881" spans="16:17" x14ac:dyDescent="0.2">
      <c r="P881" s="97" t="e">
        <f>VLOOKUP(Table323[[#This Row],[Census Tract]],'Population and Diversity Data'!$B$2:$K$823,10,FALSE)</f>
        <v>#N/A</v>
      </c>
      <c r="Q881" s="97" t="e">
        <f>VLOOKUP(Table323[[#This Row],[Census Tract]],'ES Energy Burden'!$B$2:$E$914,4,FALSE)</f>
        <v>#N/A</v>
      </c>
    </row>
    <row r="882" spans="16:17" x14ac:dyDescent="0.2">
      <c r="P882" s="97" t="e">
        <f>VLOOKUP(Table323[[#This Row],[Census Tract]],'Population and Diversity Data'!$B$2:$K$823,10,FALSE)</f>
        <v>#N/A</v>
      </c>
      <c r="Q882" s="97" t="e">
        <f>VLOOKUP(Table323[[#This Row],[Census Tract]],'ES Energy Burden'!$B$2:$E$914,4,FALSE)</f>
        <v>#N/A</v>
      </c>
    </row>
    <row r="883" spans="16:17" x14ac:dyDescent="0.2">
      <c r="P883" s="97" t="e">
        <f>VLOOKUP(Table323[[#This Row],[Census Tract]],'Population and Diversity Data'!$B$2:$K$823,10,FALSE)</f>
        <v>#N/A</v>
      </c>
      <c r="Q883" s="97" t="e">
        <f>VLOOKUP(Table323[[#This Row],[Census Tract]],'ES Energy Burden'!$B$2:$E$914,4,FALSE)</f>
        <v>#N/A</v>
      </c>
    </row>
    <row r="884" spans="16:17" x14ac:dyDescent="0.2">
      <c r="P884" s="97" t="e">
        <f>VLOOKUP(Table323[[#This Row],[Census Tract]],'Population and Diversity Data'!$B$2:$K$823,10,FALSE)</f>
        <v>#N/A</v>
      </c>
      <c r="Q884" s="97" t="e">
        <f>VLOOKUP(Table323[[#This Row],[Census Tract]],'ES Energy Burden'!$B$2:$E$914,4,FALSE)</f>
        <v>#N/A</v>
      </c>
    </row>
    <row r="885" spans="16:17" x14ac:dyDescent="0.2">
      <c r="P885" s="97" t="e">
        <f>VLOOKUP(Table323[[#This Row],[Census Tract]],'Population and Diversity Data'!$B$2:$K$823,10,FALSE)</f>
        <v>#N/A</v>
      </c>
      <c r="Q885" s="97" t="e">
        <f>VLOOKUP(Table323[[#This Row],[Census Tract]],'ES Energy Burden'!$B$2:$E$914,4,FALSE)</f>
        <v>#N/A</v>
      </c>
    </row>
    <row r="886" spans="16:17" x14ac:dyDescent="0.2">
      <c r="P886" s="97" t="e">
        <f>VLOOKUP(Table323[[#This Row],[Census Tract]],'Population and Diversity Data'!$B$2:$K$823,10,FALSE)</f>
        <v>#N/A</v>
      </c>
      <c r="Q886" s="97" t="e">
        <f>VLOOKUP(Table323[[#This Row],[Census Tract]],'ES Energy Burden'!$B$2:$E$914,4,FALSE)</f>
        <v>#N/A</v>
      </c>
    </row>
    <row r="887" spans="16:17" x14ac:dyDescent="0.2">
      <c r="P887" s="97" t="e">
        <f>VLOOKUP(Table323[[#This Row],[Census Tract]],'Population and Diversity Data'!$B$2:$K$823,10,FALSE)</f>
        <v>#N/A</v>
      </c>
      <c r="Q887" s="97" t="e">
        <f>VLOOKUP(Table323[[#This Row],[Census Tract]],'ES Energy Burden'!$B$2:$E$914,4,FALSE)</f>
        <v>#N/A</v>
      </c>
    </row>
    <row r="888" spans="16:17" x14ac:dyDescent="0.2">
      <c r="P888" s="97" t="e">
        <f>VLOOKUP(Table323[[#This Row],[Census Tract]],'Population and Diversity Data'!$B$2:$K$823,10,FALSE)</f>
        <v>#N/A</v>
      </c>
      <c r="Q888" s="97" t="e">
        <f>VLOOKUP(Table323[[#This Row],[Census Tract]],'ES Energy Burden'!$B$2:$E$914,4,FALSE)</f>
        <v>#N/A</v>
      </c>
    </row>
    <row r="889" spans="16:17" x14ac:dyDescent="0.2">
      <c r="P889" s="97" t="e">
        <f>VLOOKUP(Table323[[#This Row],[Census Tract]],'Population and Diversity Data'!$B$2:$K$823,10,FALSE)</f>
        <v>#N/A</v>
      </c>
      <c r="Q889" s="97" t="e">
        <f>VLOOKUP(Table323[[#This Row],[Census Tract]],'ES Energy Burden'!$B$2:$E$914,4,FALSE)</f>
        <v>#N/A</v>
      </c>
    </row>
    <row r="890" spans="16:17" x14ac:dyDescent="0.2">
      <c r="P890" s="97" t="e">
        <f>VLOOKUP(Table323[[#This Row],[Census Tract]],'Population and Diversity Data'!$B$2:$K$823,10,FALSE)</f>
        <v>#N/A</v>
      </c>
      <c r="Q890" s="97" t="e">
        <f>VLOOKUP(Table323[[#This Row],[Census Tract]],'ES Energy Burden'!$B$2:$E$914,4,FALSE)</f>
        <v>#N/A</v>
      </c>
    </row>
    <row r="891" spans="16:17" x14ac:dyDescent="0.2">
      <c r="P891" s="97" t="e">
        <f>VLOOKUP(Table323[[#This Row],[Census Tract]],'Population and Diversity Data'!$B$2:$K$823,10,FALSE)</f>
        <v>#N/A</v>
      </c>
      <c r="Q891" s="97" t="e">
        <f>VLOOKUP(Table323[[#This Row],[Census Tract]],'ES Energy Burden'!$B$2:$E$914,4,FALSE)</f>
        <v>#N/A</v>
      </c>
    </row>
    <row r="892" spans="16:17" x14ac:dyDescent="0.2">
      <c r="P892" s="97" t="e">
        <f>VLOOKUP(Table323[[#This Row],[Census Tract]],'Population and Diversity Data'!$B$2:$K$823,10,FALSE)</f>
        <v>#N/A</v>
      </c>
      <c r="Q892" s="97" t="e">
        <f>VLOOKUP(Table323[[#This Row],[Census Tract]],'ES Energy Burden'!$B$2:$E$914,4,FALSE)</f>
        <v>#N/A</v>
      </c>
    </row>
    <row r="893" spans="16:17" x14ac:dyDescent="0.2">
      <c r="P893" s="97" t="e">
        <f>VLOOKUP(Table323[[#This Row],[Census Tract]],'Population and Diversity Data'!$B$2:$K$823,10,FALSE)</f>
        <v>#N/A</v>
      </c>
      <c r="Q893" s="97" t="e">
        <f>VLOOKUP(Table323[[#This Row],[Census Tract]],'ES Energy Burden'!$B$2:$E$914,4,FALSE)</f>
        <v>#N/A</v>
      </c>
    </row>
    <row r="894" spans="16:17" x14ac:dyDescent="0.2">
      <c r="P894" s="97" t="e">
        <f>VLOOKUP(Table323[[#This Row],[Census Tract]],'Population and Diversity Data'!$B$2:$K$823,10,FALSE)</f>
        <v>#N/A</v>
      </c>
      <c r="Q894" s="97" t="e">
        <f>VLOOKUP(Table323[[#This Row],[Census Tract]],'ES Energy Burden'!$B$2:$E$914,4,FALSE)</f>
        <v>#N/A</v>
      </c>
    </row>
    <row r="895" spans="16:17" x14ac:dyDescent="0.2">
      <c r="P895" s="97" t="e">
        <f>VLOOKUP(Table323[[#This Row],[Census Tract]],'Population and Diversity Data'!$B$2:$K$823,10,FALSE)</f>
        <v>#N/A</v>
      </c>
      <c r="Q895" s="97" t="e">
        <f>VLOOKUP(Table323[[#This Row],[Census Tract]],'ES Energy Burden'!$B$2:$E$914,4,FALSE)</f>
        <v>#N/A</v>
      </c>
    </row>
    <row r="896" spans="16:17" x14ac:dyDescent="0.2">
      <c r="P896" s="97" t="e">
        <f>VLOOKUP(Table323[[#This Row],[Census Tract]],'Population and Diversity Data'!$B$2:$K$823,10,FALSE)</f>
        <v>#N/A</v>
      </c>
      <c r="Q896" s="97" t="e">
        <f>VLOOKUP(Table323[[#This Row],[Census Tract]],'ES Energy Burden'!$B$2:$E$914,4,FALSE)</f>
        <v>#N/A</v>
      </c>
    </row>
    <row r="897" spans="16:17" x14ac:dyDescent="0.2">
      <c r="P897" s="97" t="e">
        <f>VLOOKUP(Table323[[#This Row],[Census Tract]],'Population and Diversity Data'!$B$2:$K$823,10,FALSE)</f>
        <v>#N/A</v>
      </c>
      <c r="Q897" s="97" t="e">
        <f>VLOOKUP(Table323[[#This Row],[Census Tract]],'ES Energy Burden'!$B$2:$E$914,4,FALSE)</f>
        <v>#N/A</v>
      </c>
    </row>
    <row r="898" spans="16:17" x14ac:dyDescent="0.2">
      <c r="P898" s="97" t="e">
        <f>VLOOKUP(Table323[[#This Row],[Census Tract]],'Population and Diversity Data'!$B$2:$K$823,10,FALSE)</f>
        <v>#N/A</v>
      </c>
      <c r="Q898" s="97" t="e">
        <f>VLOOKUP(Table323[[#This Row],[Census Tract]],'ES Energy Burden'!$B$2:$E$914,4,FALSE)</f>
        <v>#N/A</v>
      </c>
    </row>
    <row r="899" spans="16:17" x14ac:dyDescent="0.2">
      <c r="P899" s="97" t="e">
        <f>VLOOKUP(Table323[[#This Row],[Census Tract]],'Population and Diversity Data'!$B$2:$K$823,10,FALSE)</f>
        <v>#N/A</v>
      </c>
      <c r="Q899" s="97" t="e">
        <f>VLOOKUP(Table323[[#This Row],[Census Tract]],'ES Energy Burden'!$B$2:$E$914,4,FALSE)</f>
        <v>#N/A</v>
      </c>
    </row>
    <row r="900" spans="16:17" x14ac:dyDescent="0.2">
      <c r="P900" s="97" t="e">
        <f>VLOOKUP(Table323[[#This Row],[Census Tract]],'Population and Diversity Data'!$B$2:$K$823,10,FALSE)</f>
        <v>#N/A</v>
      </c>
      <c r="Q900" s="97" t="e">
        <f>VLOOKUP(Table323[[#This Row],[Census Tract]],'ES Energy Burden'!$B$2:$E$914,4,FALSE)</f>
        <v>#N/A</v>
      </c>
    </row>
    <row r="901" spans="16:17" x14ac:dyDescent="0.2">
      <c r="P901" s="97" t="e">
        <f>VLOOKUP(Table323[[#This Row],[Census Tract]],'Population and Diversity Data'!$B$2:$K$823,10,FALSE)</f>
        <v>#N/A</v>
      </c>
      <c r="Q901" s="97" t="e">
        <f>VLOOKUP(Table323[[#This Row],[Census Tract]],'ES Energy Burden'!$B$2:$E$914,4,FALSE)</f>
        <v>#N/A</v>
      </c>
    </row>
    <row r="902" spans="16:17" x14ac:dyDescent="0.2">
      <c r="P902" s="97" t="e">
        <f>VLOOKUP(Table323[[#This Row],[Census Tract]],'Population and Diversity Data'!$B$2:$K$823,10,FALSE)</f>
        <v>#N/A</v>
      </c>
      <c r="Q902" s="97" t="e">
        <f>VLOOKUP(Table323[[#This Row],[Census Tract]],'ES Energy Burden'!$B$2:$E$914,4,FALSE)</f>
        <v>#N/A</v>
      </c>
    </row>
    <row r="903" spans="16:17" x14ac:dyDescent="0.2">
      <c r="P903" s="97" t="e">
        <f>VLOOKUP(Table323[[#This Row],[Census Tract]],'Population and Diversity Data'!$B$2:$K$823,10,FALSE)</f>
        <v>#N/A</v>
      </c>
      <c r="Q903" s="97" t="e">
        <f>VLOOKUP(Table323[[#This Row],[Census Tract]],'ES Energy Burden'!$B$2:$E$914,4,FALSE)</f>
        <v>#N/A</v>
      </c>
    </row>
    <row r="904" spans="16:17" x14ac:dyDescent="0.2">
      <c r="P904" s="97" t="e">
        <f>VLOOKUP(Table323[[#This Row],[Census Tract]],'Population and Diversity Data'!$B$2:$K$823,10,FALSE)</f>
        <v>#N/A</v>
      </c>
      <c r="Q904" s="97" t="e">
        <f>VLOOKUP(Table323[[#This Row],[Census Tract]],'ES Energy Burden'!$B$2:$E$914,4,FALSE)</f>
        <v>#N/A</v>
      </c>
    </row>
    <row r="905" spans="16:17" x14ac:dyDescent="0.2">
      <c r="P905" s="97" t="e">
        <f>VLOOKUP(Table323[[#This Row],[Census Tract]],'Population and Diversity Data'!$B$2:$K$823,10,FALSE)</f>
        <v>#N/A</v>
      </c>
      <c r="Q905" s="97" t="e">
        <f>VLOOKUP(Table323[[#This Row],[Census Tract]],'ES Energy Burden'!$B$2:$E$914,4,FALSE)</f>
        <v>#N/A</v>
      </c>
    </row>
    <row r="906" spans="16:17" x14ac:dyDescent="0.2">
      <c r="P906" s="97" t="e">
        <f>VLOOKUP(Table323[[#This Row],[Census Tract]],'Population and Diversity Data'!$B$2:$K$823,10,FALSE)</f>
        <v>#N/A</v>
      </c>
      <c r="Q906" s="97" t="e">
        <f>VLOOKUP(Table323[[#This Row],[Census Tract]],'ES Energy Burden'!$B$2:$E$914,4,FALSE)</f>
        <v>#N/A</v>
      </c>
    </row>
    <row r="907" spans="16:17" x14ac:dyDescent="0.2">
      <c r="P907" s="97" t="e">
        <f>VLOOKUP(Table323[[#This Row],[Census Tract]],'Population and Diversity Data'!$B$2:$K$823,10,FALSE)</f>
        <v>#N/A</v>
      </c>
      <c r="Q907" s="97" t="e">
        <f>VLOOKUP(Table323[[#This Row],[Census Tract]],'ES Energy Burden'!$B$2:$E$914,4,FALSE)</f>
        <v>#N/A</v>
      </c>
    </row>
    <row r="908" spans="16:17" x14ac:dyDescent="0.2">
      <c r="P908" s="97" t="e">
        <f>VLOOKUP(Table323[[#This Row],[Census Tract]],'Population and Diversity Data'!$B$2:$K$823,10,FALSE)</f>
        <v>#N/A</v>
      </c>
      <c r="Q908" s="97" t="e">
        <f>VLOOKUP(Table323[[#This Row],[Census Tract]],'ES Energy Burden'!$B$2:$E$914,4,FALSE)</f>
        <v>#N/A</v>
      </c>
    </row>
    <row r="909" spans="16:17" x14ac:dyDescent="0.2">
      <c r="P909" s="97" t="e">
        <f>VLOOKUP(Table323[[#This Row],[Census Tract]],'Population and Diversity Data'!$B$2:$K$823,10,FALSE)</f>
        <v>#N/A</v>
      </c>
      <c r="Q909" s="97" t="e">
        <f>VLOOKUP(Table323[[#This Row],[Census Tract]],'ES Energy Burden'!$B$2:$E$914,4,FALSE)</f>
        <v>#N/A</v>
      </c>
    </row>
    <row r="910" spans="16:17" x14ac:dyDescent="0.2">
      <c r="P910" s="97" t="e">
        <f>VLOOKUP(Table323[[#This Row],[Census Tract]],'Population and Diversity Data'!$B$2:$K$823,10,FALSE)</f>
        <v>#N/A</v>
      </c>
      <c r="Q910" s="97" t="e">
        <f>VLOOKUP(Table323[[#This Row],[Census Tract]],'ES Energy Burden'!$B$2:$E$914,4,FALSE)</f>
        <v>#N/A</v>
      </c>
    </row>
    <row r="911" spans="16:17" x14ac:dyDescent="0.2">
      <c r="P911" s="97" t="e">
        <f>VLOOKUP(Table323[[#This Row],[Census Tract]],'Population and Diversity Data'!$B$2:$K$823,10,FALSE)</f>
        <v>#N/A</v>
      </c>
      <c r="Q911" s="97" t="e">
        <f>VLOOKUP(Table323[[#This Row],[Census Tract]],'ES Energy Burden'!$B$2:$E$914,4,FALSE)</f>
        <v>#N/A</v>
      </c>
    </row>
    <row r="912" spans="16:17" x14ac:dyDescent="0.2">
      <c r="P912" s="97" t="e">
        <f>VLOOKUP(Table323[[#This Row],[Census Tract]],'Population and Diversity Data'!$B$2:$K$823,10,FALSE)</f>
        <v>#N/A</v>
      </c>
      <c r="Q912" s="97" t="e">
        <f>VLOOKUP(Table323[[#This Row],[Census Tract]],'ES Energy Burden'!$B$2:$E$914,4,FALSE)</f>
        <v>#N/A</v>
      </c>
    </row>
    <row r="913" spans="16:17" x14ac:dyDescent="0.2">
      <c r="P913" s="97" t="e">
        <f>VLOOKUP(Table323[[#This Row],[Census Tract]],'Population and Diversity Data'!$B$2:$K$823,10,FALSE)</f>
        <v>#N/A</v>
      </c>
      <c r="Q913" s="97" t="e">
        <f>VLOOKUP(Table323[[#This Row],[Census Tract]],'ES Energy Burden'!$B$2:$E$914,4,FALSE)</f>
        <v>#N/A</v>
      </c>
    </row>
    <row r="914" spans="16:17" x14ac:dyDescent="0.2">
      <c r="P914" s="97" t="e">
        <f>VLOOKUP(Table323[[#This Row],[Census Tract]],'Population and Diversity Data'!$B$2:$K$823,10,FALSE)</f>
        <v>#N/A</v>
      </c>
      <c r="Q914" s="97" t="e">
        <f>VLOOKUP(Table323[[#This Row],[Census Tract]],'ES Energy Burden'!$B$2:$E$914,4,FALSE)</f>
        <v>#N/A</v>
      </c>
    </row>
    <row r="915" spans="16:17" x14ac:dyDescent="0.2">
      <c r="P915" s="97" t="e">
        <f>VLOOKUP(Table323[[#This Row],[Census Tract]],'Population and Diversity Data'!$B$2:$K$823,10,FALSE)</f>
        <v>#N/A</v>
      </c>
      <c r="Q915" s="97" t="e">
        <f>VLOOKUP(Table323[[#This Row],[Census Tract]],'ES Energy Burden'!$B$2:$E$914,4,FALSE)</f>
        <v>#N/A</v>
      </c>
    </row>
    <row r="916" spans="16:17" x14ac:dyDescent="0.2">
      <c r="P916" s="97" t="e">
        <f>VLOOKUP(Table323[[#This Row],[Census Tract]],'Population and Diversity Data'!$B$2:$K$823,10,FALSE)</f>
        <v>#N/A</v>
      </c>
      <c r="Q916" s="97" t="e">
        <f>VLOOKUP(Table323[[#This Row],[Census Tract]],'ES Energy Burden'!$B$2:$E$914,4,FALSE)</f>
        <v>#N/A</v>
      </c>
    </row>
    <row r="917" spans="16:17" x14ac:dyDescent="0.2">
      <c r="P917" s="97" t="e">
        <f>VLOOKUP(Table323[[#This Row],[Census Tract]],'Population and Diversity Data'!$B$2:$K$823,10,FALSE)</f>
        <v>#N/A</v>
      </c>
      <c r="Q917" s="97" t="e">
        <f>VLOOKUP(Table323[[#This Row],[Census Tract]],'ES Energy Burden'!$B$2:$E$914,4,FALSE)</f>
        <v>#N/A</v>
      </c>
    </row>
    <row r="918" spans="16:17" x14ac:dyDescent="0.2">
      <c r="P918" s="97" t="e">
        <f>VLOOKUP(Table323[[#This Row],[Census Tract]],'Population and Diversity Data'!$B$2:$K$823,10,FALSE)</f>
        <v>#N/A</v>
      </c>
      <c r="Q918" s="97" t="e">
        <f>VLOOKUP(Table323[[#This Row],[Census Tract]],'ES Energy Burden'!$B$2:$E$914,4,FALSE)</f>
        <v>#N/A</v>
      </c>
    </row>
    <row r="919" spans="16:17" x14ac:dyDescent="0.2">
      <c r="P919" s="97" t="e">
        <f>VLOOKUP(Table323[[#This Row],[Census Tract]],'Population and Diversity Data'!$B$2:$K$823,10,FALSE)</f>
        <v>#N/A</v>
      </c>
      <c r="Q919" s="97" t="e">
        <f>VLOOKUP(Table323[[#This Row],[Census Tract]],'ES Energy Burden'!$B$2:$E$914,4,FALSE)</f>
        <v>#N/A</v>
      </c>
    </row>
    <row r="920" spans="16:17" x14ac:dyDescent="0.2">
      <c r="P920" s="97" t="e">
        <f>VLOOKUP(Table323[[#This Row],[Census Tract]],'Population and Diversity Data'!$B$2:$K$823,10,FALSE)</f>
        <v>#N/A</v>
      </c>
      <c r="Q920" s="97" t="e">
        <f>VLOOKUP(Table323[[#This Row],[Census Tract]],'ES Energy Burden'!$B$2:$E$914,4,FALSE)</f>
        <v>#N/A</v>
      </c>
    </row>
    <row r="921" spans="16:17" x14ac:dyDescent="0.2">
      <c r="P921" s="97" t="e">
        <f>VLOOKUP(Table323[[#This Row],[Census Tract]],'Population and Diversity Data'!$B$2:$K$823,10,FALSE)</f>
        <v>#N/A</v>
      </c>
      <c r="Q921" s="97" t="e">
        <f>VLOOKUP(Table323[[#This Row],[Census Tract]],'ES Energy Burden'!$B$2:$E$914,4,FALSE)</f>
        <v>#N/A</v>
      </c>
    </row>
    <row r="922" spans="16:17" x14ac:dyDescent="0.2">
      <c r="P922" s="97" t="e">
        <f>VLOOKUP(Table323[[#This Row],[Census Tract]],'Population and Diversity Data'!$B$2:$K$823,10,FALSE)</f>
        <v>#N/A</v>
      </c>
      <c r="Q922" s="97" t="e">
        <f>VLOOKUP(Table323[[#This Row],[Census Tract]],'ES Energy Burden'!$B$2:$E$914,4,FALSE)</f>
        <v>#N/A</v>
      </c>
    </row>
    <row r="923" spans="16:17" x14ac:dyDescent="0.2">
      <c r="P923" s="97" t="e">
        <f>VLOOKUP(Table323[[#This Row],[Census Tract]],'Population and Diversity Data'!$B$2:$K$823,10,FALSE)</f>
        <v>#N/A</v>
      </c>
      <c r="Q923" s="97" t="e">
        <f>VLOOKUP(Table323[[#This Row],[Census Tract]],'ES Energy Burden'!$B$2:$E$914,4,FALSE)</f>
        <v>#N/A</v>
      </c>
    </row>
    <row r="924" spans="16:17" x14ac:dyDescent="0.2">
      <c r="P924" s="97" t="e">
        <f>VLOOKUP(Table323[[#This Row],[Census Tract]],'Population and Diversity Data'!$B$2:$K$823,10,FALSE)</f>
        <v>#N/A</v>
      </c>
      <c r="Q924" s="97" t="e">
        <f>VLOOKUP(Table323[[#This Row],[Census Tract]],'ES Energy Burden'!$B$2:$E$914,4,FALSE)</f>
        <v>#N/A</v>
      </c>
    </row>
    <row r="925" spans="16:17" x14ac:dyDescent="0.2">
      <c r="P925" s="97" t="e">
        <f>VLOOKUP(Table323[[#This Row],[Census Tract]],'Population and Diversity Data'!$B$2:$K$823,10,FALSE)</f>
        <v>#N/A</v>
      </c>
      <c r="Q925" s="97" t="e">
        <f>VLOOKUP(Table323[[#This Row],[Census Tract]],'ES Energy Burden'!$B$2:$E$914,4,FALSE)</f>
        <v>#N/A</v>
      </c>
    </row>
    <row r="926" spans="16:17" x14ac:dyDescent="0.2">
      <c r="P926" s="97" t="e">
        <f>VLOOKUP(Table323[[#This Row],[Census Tract]],'Population and Diversity Data'!$B$2:$K$823,10,FALSE)</f>
        <v>#N/A</v>
      </c>
      <c r="Q926" s="97" t="e">
        <f>VLOOKUP(Table323[[#This Row],[Census Tract]],'ES Energy Burden'!$B$2:$E$914,4,FALSE)</f>
        <v>#N/A</v>
      </c>
    </row>
    <row r="927" spans="16:17" x14ac:dyDescent="0.2">
      <c r="P927" s="97" t="e">
        <f>VLOOKUP(Table323[[#This Row],[Census Tract]],'Population and Diversity Data'!$B$2:$K$823,10,FALSE)</f>
        <v>#N/A</v>
      </c>
      <c r="Q927" s="97" t="e">
        <f>VLOOKUP(Table323[[#This Row],[Census Tract]],'ES Energy Burden'!$B$2:$E$914,4,FALSE)</f>
        <v>#N/A</v>
      </c>
    </row>
    <row r="928" spans="16:17" x14ac:dyDescent="0.2">
      <c r="P928" s="97" t="e">
        <f>VLOOKUP(Table323[[#This Row],[Census Tract]],'Population and Diversity Data'!$B$2:$K$823,10,FALSE)</f>
        <v>#N/A</v>
      </c>
      <c r="Q928" s="97" t="e">
        <f>VLOOKUP(Table323[[#This Row],[Census Tract]],'ES Energy Burden'!$B$2:$E$914,4,FALSE)</f>
        <v>#N/A</v>
      </c>
    </row>
    <row r="929" spans="1:17" x14ac:dyDescent="0.2">
      <c r="P929" s="97" t="e">
        <f>VLOOKUP(Table323[[#This Row],[Census Tract]],'Population and Diversity Data'!$B$2:$K$823,10,FALSE)</f>
        <v>#N/A</v>
      </c>
      <c r="Q929" s="97" t="e">
        <f>VLOOKUP(Table323[[#This Row],[Census Tract]],'ES Energy Burden'!$B$2:$E$914,4,FALSE)</f>
        <v>#N/A</v>
      </c>
    </row>
    <row r="930" spans="1:17" x14ac:dyDescent="0.2">
      <c r="P930" s="97" t="e">
        <f>VLOOKUP(Table323[[#This Row],[Census Tract]],'Population and Diversity Data'!$B$2:$K$823,10,FALSE)</f>
        <v>#N/A</v>
      </c>
      <c r="Q930" s="97" t="e">
        <f>VLOOKUP(Table323[[#This Row],[Census Tract]],'ES Energy Burden'!$B$2:$E$914,4,FALSE)</f>
        <v>#N/A</v>
      </c>
    </row>
    <row r="931" spans="1:17" x14ac:dyDescent="0.2">
      <c r="P931" s="97" t="e">
        <f>VLOOKUP(Table323[[#This Row],[Census Tract]],'Population and Diversity Data'!$B$2:$K$823,10,FALSE)</f>
        <v>#N/A</v>
      </c>
      <c r="Q931" s="97" t="e">
        <f>VLOOKUP(Table323[[#This Row],[Census Tract]],'ES Energy Burden'!$B$2:$E$914,4,FALSE)</f>
        <v>#N/A</v>
      </c>
    </row>
    <row r="932" spans="1:17" x14ac:dyDescent="0.2">
      <c r="P932" s="97" t="e">
        <f>VLOOKUP(Table323[[#This Row],[Census Tract]],'Population and Diversity Data'!$B$2:$K$823,10,FALSE)</f>
        <v>#N/A</v>
      </c>
      <c r="Q932" s="97" t="e">
        <f>VLOOKUP(Table323[[#This Row],[Census Tract]],'ES Energy Burden'!$B$2:$E$914,4,FALSE)</f>
        <v>#N/A</v>
      </c>
    </row>
    <row r="933" spans="1:17" x14ac:dyDescent="0.2">
      <c r="P933" s="97" t="e">
        <f>VLOOKUP(Table323[[#This Row],[Census Tract]],'Population and Diversity Data'!$B$2:$K$823,10,FALSE)</f>
        <v>#N/A</v>
      </c>
      <c r="Q933" s="97" t="e">
        <f>VLOOKUP(Table323[[#This Row],[Census Tract]],'ES Energy Burden'!$B$2:$E$914,4,FALSE)</f>
        <v>#N/A</v>
      </c>
    </row>
    <row r="934" spans="1:17" x14ac:dyDescent="0.2">
      <c r="P934" s="97" t="e">
        <f>VLOOKUP(Table323[[#This Row],[Census Tract]],'Population and Diversity Data'!$B$2:$K$823,10,FALSE)</f>
        <v>#N/A</v>
      </c>
      <c r="Q934" s="97" t="e">
        <f>VLOOKUP(Table323[[#This Row],[Census Tract]],'ES Energy Burden'!$B$2:$E$914,4,FALSE)</f>
        <v>#N/A</v>
      </c>
    </row>
    <row r="935" spans="1:17" x14ac:dyDescent="0.2">
      <c r="P935" s="97" t="e">
        <f>VLOOKUP(Table323[[#This Row],[Census Tract]],'Population and Diversity Data'!$B$2:$K$823,10,FALSE)</f>
        <v>#N/A</v>
      </c>
      <c r="Q935" s="97" t="e">
        <f>VLOOKUP(Table323[[#This Row],[Census Tract]],'ES Energy Burden'!$B$2:$E$914,4,FALSE)</f>
        <v>#N/A</v>
      </c>
    </row>
    <row r="936" spans="1:17" x14ac:dyDescent="0.2">
      <c r="P936" s="97" t="e">
        <f>VLOOKUP(Table323[[#This Row],[Census Tract]],'Population and Diversity Data'!$B$2:$K$823,10,FALSE)</f>
        <v>#N/A</v>
      </c>
      <c r="Q936" s="97" t="e">
        <f>VLOOKUP(Table323[[#This Row],[Census Tract]],'ES Energy Burden'!$B$2:$E$914,4,FALSE)</f>
        <v>#N/A</v>
      </c>
    </row>
    <row r="937" spans="1:17" x14ac:dyDescent="0.2">
      <c r="P937" s="97" t="e">
        <f>VLOOKUP(Table323[[#This Row],[Census Tract]],'Population and Diversity Data'!$B$2:$K$823,10,FALSE)</f>
        <v>#N/A</v>
      </c>
      <c r="Q937" s="97" t="e">
        <f>VLOOKUP(Table323[[#This Row],[Census Tract]],'ES Energy Burden'!$B$2:$E$914,4,FALSE)</f>
        <v>#N/A</v>
      </c>
    </row>
    <row r="938" spans="1:17" x14ac:dyDescent="0.2">
      <c r="P938" s="120" t="e">
        <f>VLOOKUP(Table323[[#This Row],[Census Tract]],'Population and Diversity Data'!$B$2:$K$823,10,FALSE)</f>
        <v>#N/A</v>
      </c>
      <c r="Q938" s="120" t="e">
        <f>VLOOKUP(Table323[[#This Row],[Census Tract]],'ES Energy Burden'!$B$2:$E$914,4,FALSE)</f>
        <v>#N/A</v>
      </c>
    </row>
    <row r="939" spans="1:17" s="22" customFormat="1" x14ac:dyDescent="0.2">
      <c r="A939"/>
      <c r="B939"/>
      <c r="C939"/>
      <c r="D939" s="27"/>
      <c r="E939" s="27"/>
      <c r="F939"/>
      <c r="G939"/>
      <c r="H939"/>
      <c r="I939"/>
      <c r="J939"/>
      <c r="K939"/>
      <c r="L939"/>
      <c r="M939"/>
      <c r="N939"/>
      <c r="O939"/>
      <c r="P939" s="120" t="e">
        <f>VLOOKUP(Table323[[#This Row],[Census Tract]],'Population and Diversity Data'!$B$2:$K$823,10,FALSE)</f>
        <v>#N/A</v>
      </c>
      <c r="Q939" s="120" t="e">
        <f>VLOOKUP(Table323[[#This Row],[Census Tract]],'ES Energy Burden'!$B$2:$E$914,4,FALSE)</f>
        <v>#N/A</v>
      </c>
    </row>
    <row r="940" spans="1:17" s="22" customFormat="1" x14ac:dyDescent="0.2">
      <c r="A940"/>
      <c r="B940"/>
      <c r="C940"/>
      <c r="D940" s="27"/>
      <c r="E940" s="27"/>
      <c r="F940"/>
      <c r="G940"/>
      <c r="H940"/>
      <c r="I940"/>
      <c r="J940"/>
      <c r="K940"/>
      <c r="L940"/>
      <c r="M940"/>
      <c r="N940"/>
      <c r="O940"/>
      <c r="P940" s="120" t="e">
        <f>VLOOKUP(Table323[[#This Row],[Census Tract]],'Population and Diversity Data'!$B$2:$K$823,10,FALSE)</f>
        <v>#N/A</v>
      </c>
      <c r="Q940" s="120" t="e">
        <f>VLOOKUP(Table323[[#This Row],[Census Tract]],'ES Energy Burden'!$B$2:$E$914,4,FALSE)</f>
        <v>#N/A</v>
      </c>
    </row>
    <row r="942" spans="1:17" x14ac:dyDescent="0.2">
      <c r="P942" s="24"/>
      <c r="Q942" s="22"/>
    </row>
    <row r="943" spans="1:17" x14ac:dyDescent="0.2">
      <c r="P943" s="24"/>
      <c r="Q943" s="22"/>
    </row>
  </sheetData>
  <mergeCells count="7">
    <mergeCell ref="A1:O2"/>
    <mergeCell ref="A3:C3"/>
    <mergeCell ref="D3:O3"/>
    <mergeCell ref="A4:C4"/>
    <mergeCell ref="D4:E4"/>
    <mergeCell ref="K4:O4"/>
    <mergeCell ref="F4:J4"/>
  </mergeCells>
  <pageMargins left="0.7" right="0.7" top="0.75" bottom="0.75" header="0.3" footer="0.3"/>
  <pageSetup paperSize="5" scale="65" fitToHeight="25"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241E-F218-4369-8875-FF8ACF6EE80E}">
  <sheetPr>
    <tabColor theme="6" tint="0.59999389629810485"/>
  </sheetPr>
  <dimension ref="B1:H2253"/>
  <sheetViews>
    <sheetView workbookViewId="0">
      <selection activeCell="P25" sqref="P25"/>
    </sheetView>
  </sheetViews>
  <sheetFormatPr baseColWidth="10" defaultColWidth="8.83203125" defaultRowHeight="15" x14ac:dyDescent="0.2"/>
  <cols>
    <col min="2" max="2" width="23.6640625" bestFit="1" customWidth="1"/>
    <col min="3" max="3" width="5" bestFit="1" customWidth="1"/>
    <col min="4" max="4" width="7" bestFit="1" customWidth="1"/>
    <col min="5" max="5" width="14.33203125" bestFit="1" customWidth="1"/>
    <col min="7" max="7" width="23.6640625" bestFit="1" customWidth="1"/>
    <col min="8" max="8" width="22.83203125" customWidth="1"/>
  </cols>
  <sheetData>
    <row r="1" spans="2:8" x14ac:dyDescent="0.2">
      <c r="B1" s="296" t="s">
        <v>2885</v>
      </c>
      <c r="C1" s="297"/>
      <c r="D1" s="297"/>
      <c r="E1" s="298"/>
    </row>
    <row r="2" spans="2:8" x14ac:dyDescent="0.2">
      <c r="B2" s="90" t="s">
        <v>2712</v>
      </c>
      <c r="C2" s="91" t="s">
        <v>2886</v>
      </c>
      <c r="D2" s="91" t="s">
        <v>2887</v>
      </c>
      <c r="E2" s="91" t="s">
        <v>2888</v>
      </c>
      <c r="G2" t="s">
        <v>2712</v>
      </c>
      <c r="H2" t="s">
        <v>2889</v>
      </c>
    </row>
    <row r="3" spans="2:8" x14ac:dyDescent="0.2">
      <c r="B3" s="92" t="s">
        <v>2890</v>
      </c>
      <c r="C3" s="93">
        <v>2019</v>
      </c>
      <c r="D3" s="93">
        <v>4</v>
      </c>
      <c r="E3" s="93">
        <v>5</v>
      </c>
      <c r="G3" t="s">
        <v>951</v>
      </c>
      <c r="H3">
        <v>77814</v>
      </c>
    </row>
    <row r="4" spans="2:8" x14ac:dyDescent="0.2">
      <c r="B4" s="92" t="s">
        <v>2890</v>
      </c>
      <c r="C4" s="93">
        <v>2019</v>
      </c>
      <c r="D4" s="93">
        <v>8</v>
      </c>
      <c r="E4" s="93">
        <v>5</v>
      </c>
      <c r="G4" t="s">
        <v>979</v>
      </c>
      <c r="H4">
        <v>10445</v>
      </c>
    </row>
    <row r="5" spans="2:8" x14ac:dyDescent="0.2">
      <c r="B5" s="92" t="s">
        <v>2890</v>
      </c>
      <c r="C5" s="93">
        <v>2019</v>
      </c>
      <c r="D5" s="93">
        <v>3</v>
      </c>
      <c r="E5" s="93">
        <v>4</v>
      </c>
      <c r="G5" t="s">
        <v>982</v>
      </c>
      <c r="H5">
        <v>8219</v>
      </c>
    </row>
    <row r="6" spans="2:8" x14ac:dyDescent="0.2">
      <c r="B6" s="92" t="s">
        <v>2890</v>
      </c>
      <c r="C6" s="93">
        <v>2019</v>
      </c>
      <c r="D6" s="93">
        <v>10</v>
      </c>
      <c r="E6" s="93">
        <v>3</v>
      </c>
      <c r="G6" t="s">
        <v>985</v>
      </c>
      <c r="H6">
        <v>4786</v>
      </c>
    </row>
    <row r="7" spans="2:8" x14ac:dyDescent="0.2">
      <c r="B7" s="92" t="s">
        <v>2890</v>
      </c>
      <c r="C7" s="93">
        <v>2019</v>
      </c>
      <c r="D7" s="93">
        <v>5</v>
      </c>
      <c r="E7" s="93">
        <v>2</v>
      </c>
      <c r="G7" t="s">
        <v>988</v>
      </c>
      <c r="H7">
        <v>3603</v>
      </c>
    </row>
    <row r="8" spans="2:8" x14ac:dyDescent="0.2">
      <c r="B8" s="92" t="s">
        <v>2890</v>
      </c>
      <c r="C8" s="93">
        <v>2019</v>
      </c>
      <c r="D8" s="93">
        <v>6</v>
      </c>
      <c r="E8" s="93">
        <v>1</v>
      </c>
      <c r="G8" t="s">
        <v>991</v>
      </c>
      <c r="H8">
        <v>3174</v>
      </c>
    </row>
    <row r="9" spans="2:8" x14ac:dyDescent="0.2">
      <c r="B9" s="92" t="s">
        <v>2890</v>
      </c>
      <c r="C9" s="93">
        <v>2019</v>
      </c>
      <c r="D9" s="93">
        <v>7</v>
      </c>
      <c r="E9" s="93">
        <v>1</v>
      </c>
      <c r="G9" t="s">
        <v>2760</v>
      </c>
      <c r="H9">
        <v>3036</v>
      </c>
    </row>
    <row r="10" spans="2:8" x14ac:dyDescent="0.2">
      <c r="B10" s="92" t="s">
        <v>2890</v>
      </c>
      <c r="C10" s="93">
        <v>2019</v>
      </c>
      <c r="D10" s="93">
        <v>9</v>
      </c>
      <c r="E10" s="93">
        <v>1</v>
      </c>
      <c r="G10" t="s">
        <v>2767</v>
      </c>
      <c r="H10">
        <v>2737</v>
      </c>
    </row>
    <row r="11" spans="2:8" x14ac:dyDescent="0.2">
      <c r="B11" s="92" t="s">
        <v>2890</v>
      </c>
      <c r="C11" s="93">
        <v>2019</v>
      </c>
      <c r="D11" s="93">
        <v>11</v>
      </c>
      <c r="E11" s="93">
        <v>1</v>
      </c>
      <c r="G11" t="s">
        <v>2743</v>
      </c>
      <c r="H11">
        <v>2527</v>
      </c>
    </row>
    <row r="12" spans="2:8" x14ac:dyDescent="0.2">
      <c r="B12" s="92" t="s">
        <v>2730</v>
      </c>
      <c r="C12" s="93">
        <v>2019</v>
      </c>
      <c r="D12" s="93">
        <v>8</v>
      </c>
      <c r="E12" s="93">
        <v>11</v>
      </c>
      <c r="G12" t="s">
        <v>2797</v>
      </c>
      <c r="H12">
        <v>2222</v>
      </c>
    </row>
    <row r="13" spans="2:8" x14ac:dyDescent="0.2">
      <c r="B13" s="92" t="s">
        <v>2730</v>
      </c>
      <c r="C13" s="93">
        <v>2019</v>
      </c>
      <c r="D13" s="93">
        <v>5</v>
      </c>
      <c r="E13" s="93">
        <v>9</v>
      </c>
      <c r="G13" t="s">
        <v>2817</v>
      </c>
      <c r="H13">
        <v>2183</v>
      </c>
    </row>
    <row r="14" spans="2:8" x14ac:dyDescent="0.2">
      <c r="B14" s="92" t="s">
        <v>2730</v>
      </c>
      <c r="C14" s="93">
        <v>2019</v>
      </c>
      <c r="D14" s="93">
        <v>1</v>
      </c>
      <c r="E14" s="93">
        <v>5</v>
      </c>
      <c r="G14" t="s">
        <v>2802</v>
      </c>
      <c r="H14">
        <v>1575</v>
      </c>
    </row>
    <row r="15" spans="2:8" x14ac:dyDescent="0.2">
      <c r="B15" s="92" t="s">
        <v>2730</v>
      </c>
      <c r="C15" s="93">
        <v>2019</v>
      </c>
      <c r="D15" s="93">
        <v>3</v>
      </c>
      <c r="E15" s="93">
        <v>4</v>
      </c>
      <c r="G15" t="s">
        <v>2860</v>
      </c>
      <c r="H15">
        <v>1362</v>
      </c>
    </row>
    <row r="16" spans="2:8" x14ac:dyDescent="0.2">
      <c r="B16" s="92" t="s">
        <v>2730</v>
      </c>
      <c r="C16" s="93">
        <v>2019</v>
      </c>
      <c r="D16" s="93">
        <v>7</v>
      </c>
      <c r="E16" s="93">
        <v>2</v>
      </c>
      <c r="G16" t="s">
        <v>2810</v>
      </c>
      <c r="H16">
        <v>1346</v>
      </c>
    </row>
    <row r="17" spans="2:8" x14ac:dyDescent="0.2">
      <c r="B17" s="92" t="s">
        <v>2730</v>
      </c>
      <c r="C17" s="93">
        <v>2019</v>
      </c>
      <c r="D17" s="93">
        <v>4</v>
      </c>
      <c r="E17" s="93">
        <v>1</v>
      </c>
      <c r="G17" t="s">
        <v>2852</v>
      </c>
      <c r="H17">
        <v>1256</v>
      </c>
    </row>
    <row r="18" spans="2:8" x14ac:dyDescent="0.2">
      <c r="B18" s="92" t="s">
        <v>2730</v>
      </c>
      <c r="C18" s="93">
        <v>2019</v>
      </c>
      <c r="D18" s="93">
        <v>6</v>
      </c>
      <c r="E18" s="93">
        <v>1</v>
      </c>
      <c r="G18" t="s">
        <v>2806</v>
      </c>
      <c r="H18">
        <v>1113</v>
      </c>
    </row>
    <row r="19" spans="2:8" x14ac:dyDescent="0.2">
      <c r="B19" s="92" t="s">
        <v>2730</v>
      </c>
      <c r="C19" s="93">
        <v>2019</v>
      </c>
      <c r="D19" s="93">
        <v>9</v>
      </c>
      <c r="E19" s="93">
        <v>1</v>
      </c>
      <c r="G19" t="s">
        <v>2772</v>
      </c>
      <c r="H19">
        <v>1070</v>
      </c>
    </row>
    <row r="20" spans="2:8" x14ac:dyDescent="0.2">
      <c r="B20" s="92" t="s">
        <v>2731</v>
      </c>
      <c r="C20" s="93">
        <v>2019</v>
      </c>
      <c r="D20" s="93">
        <v>5</v>
      </c>
      <c r="E20" s="93">
        <v>15</v>
      </c>
      <c r="G20" t="s">
        <v>2869</v>
      </c>
      <c r="H20">
        <v>998</v>
      </c>
    </row>
    <row r="21" spans="2:8" x14ac:dyDescent="0.2">
      <c r="B21" s="92" t="s">
        <v>2731</v>
      </c>
      <c r="C21" s="93">
        <v>2019</v>
      </c>
      <c r="D21" s="93">
        <v>6</v>
      </c>
      <c r="E21" s="93">
        <v>13</v>
      </c>
      <c r="G21" t="s">
        <v>2739</v>
      </c>
      <c r="H21">
        <v>869</v>
      </c>
    </row>
    <row r="22" spans="2:8" x14ac:dyDescent="0.2">
      <c r="B22" s="92" t="s">
        <v>2731</v>
      </c>
      <c r="C22" s="93">
        <v>2019</v>
      </c>
      <c r="D22" s="93">
        <v>7</v>
      </c>
      <c r="E22" s="93">
        <v>9</v>
      </c>
      <c r="G22" t="s">
        <v>2854</v>
      </c>
      <c r="H22">
        <v>814</v>
      </c>
    </row>
    <row r="23" spans="2:8" x14ac:dyDescent="0.2">
      <c r="B23" s="92" t="s">
        <v>2731</v>
      </c>
      <c r="C23" s="93">
        <v>2019</v>
      </c>
      <c r="D23" s="93">
        <v>1</v>
      </c>
      <c r="E23" s="93">
        <v>5</v>
      </c>
      <c r="G23" t="s">
        <v>2741</v>
      </c>
      <c r="H23">
        <v>792</v>
      </c>
    </row>
    <row r="24" spans="2:8" x14ac:dyDescent="0.2">
      <c r="B24" s="92" t="s">
        <v>2731</v>
      </c>
      <c r="C24" s="93">
        <v>2019</v>
      </c>
      <c r="D24" s="93">
        <v>4</v>
      </c>
      <c r="E24" s="93">
        <v>4</v>
      </c>
      <c r="G24" t="s">
        <v>2811</v>
      </c>
      <c r="H24">
        <v>679</v>
      </c>
    </row>
    <row r="25" spans="2:8" x14ac:dyDescent="0.2">
      <c r="B25" s="92" t="s">
        <v>2731</v>
      </c>
      <c r="C25" s="93">
        <v>2019</v>
      </c>
      <c r="D25" s="93">
        <v>10</v>
      </c>
      <c r="E25" s="93">
        <v>4</v>
      </c>
      <c r="G25" t="s">
        <v>2843</v>
      </c>
      <c r="H25">
        <v>673</v>
      </c>
    </row>
    <row r="26" spans="2:8" x14ac:dyDescent="0.2">
      <c r="B26" s="92" t="s">
        <v>2731</v>
      </c>
      <c r="C26" s="93">
        <v>2019</v>
      </c>
      <c r="D26" s="93">
        <v>2</v>
      </c>
      <c r="E26" s="93">
        <v>2</v>
      </c>
      <c r="G26" t="s">
        <v>2891</v>
      </c>
      <c r="H26">
        <v>648</v>
      </c>
    </row>
    <row r="27" spans="2:8" x14ac:dyDescent="0.2">
      <c r="B27" s="92" t="s">
        <v>2731</v>
      </c>
      <c r="C27" s="93">
        <v>2019</v>
      </c>
      <c r="D27" s="93">
        <v>3</v>
      </c>
      <c r="E27" s="93">
        <v>1</v>
      </c>
      <c r="G27" t="s">
        <v>2812</v>
      </c>
      <c r="H27">
        <v>597</v>
      </c>
    </row>
    <row r="28" spans="2:8" x14ac:dyDescent="0.2">
      <c r="B28" s="92" t="s">
        <v>2732</v>
      </c>
      <c r="C28" s="93">
        <v>2019</v>
      </c>
      <c r="D28" s="93">
        <v>4</v>
      </c>
      <c r="E28" s="93">
        <v>56</v>
      </c>
      <c r="G28" t="s">
        <v>2822</v>
      </c>
      <c r="H28">
        <v>545</v>
      </c>
    </row>
    <row r="29" spans="2:8" x14ac:dyDescent="0.2">
      <c r="B29" s="92" t="s">
        <v>2732</v>
      </c>
      <c r="C29" s="93">
        <v>2019</v>
      </c>
      <c r="D29" s="93">
        <v>11</v>
      </c>
      <c r="E29" s="93">
        <v>19</v>
      </c>
      <c r="G29" t="s">
        <v>2737</v>
      </c>
      <c r="H29">
        <v>527</v>
      </c>
    </row>
    <row r="30" spans="2:8" x14ac:dyDescent="0.2">
      <c r="B30" s="92" t="s">
        <v>2732</v>
      </c>
      <c r="C30" s="93">
        <v>2019</v>
      </c>
      <c r="D30" s="93">
        <v>7</v>
      </c>
      <c r="E30" s="93">
        <v>17</v>
      </c>
      <c r="G30" t="s">
        <v>2864</v>
      </c>
      <c r="H30">
        <v>504</v>
      </c>
    </row>
    <row r="31" spans="2:8" x14ac:dyDescent="0.2">
      <c r="B31" s="92" t="s">
        <v>2732</v>
      </c>
      <c r="C31" s="93">
        <v>2019</v>
      </c>
      <c r="D31" s="93">
        <v>10</v>
      </c>
      <c r="E31" s="93">
        <v>16</v>
      </c>
      <c r="G31" t="s">
        <v>2779</v>
      </c>
      <c r="H31">
        <v>474</v>
      </c>
    </row>
    <row r="32" spans="2:8" x14ac:dyDescent="0.2">
      <c r="B32" s="92" t="s">
        <v>2732</v>
      </c>
      <c r="C32" s="93">
        <v>2019</v>
      </c>
      <c r="D32" s="93">
        <v>8</v>
      </c>
      <c r="E32" s="93">
        <v>14</v>
      </c>
      <c r="G32" t="s">
        <v>2841</v>
      </c>
      <c r="H32">
        <v>459</v>
      </c>
    </row>
    <row r="33" spans="2:8" x14ac:dyDescent="0.2">
      <c r="B33" s="92" t="s">
        <v>2732</v>
      </c>
      <c r="C33" s="93">
        <v>2019</v>
      </c>
      <c r="D33" s="93">
        <v>6</v>
      </c>
      <c r="E33" s="93">
        <v>13</v>
      </c>
      <c r="G33" t="s">
        <v>2836</v>
      </c>
      <c r="H33">
        <v>452</v>
      </c>
    </row>
    <row r="34" spans="2:8" x14ac:dyDescent="0.2">
      <c r="B34" s="92" t="s">
        <v>2732</v>
      </c>
      <c r="C34" s="93">
        <v>2019</v>
      </c>
      <c r="D34" s="93">
        <v>5</v>
      </c>
      <c r="E34" s="93">
        <v>12</v>
      </c>
      <c r="G34" t="s">
        <v>2863</v>
      </c>
      <c r="H34">
        <v>385</v>
      </c>
    </row>
    <row r="35" spans="2:8" x14ac:dyDescent="0.2">
      <c r="B35" s="92" t="s">
        <v>2732</v>
      </c>
      <c r="C35" s="93">
        <v>2019</v>
      </c>
      <c r="D35" s="93">
        <v>1</v>
      </c>
      <c r="E35" s="93">
        <v>8</v>
      </c>
      <c r="G35" t="s">
        <v>2892</v>
      </c>
      <c r="H35">
        <v>380</v>
      </c>
    </row>
    <row r="36" spans="2:8" x14ac:dyDescent="0.2">
      <c r="B36" s="92" t="s">
        <v>2732</v>
      </c>
      <c r="C36" s="93">
        <v>2019</v>
      </c>
      <c r="D36" s="93">
        <v>3</v>
      </c>
      <c r="E36" s="93">
        <v>7</v>
      </c>
      <c r="G36" t="s">
        <v>2831</v>
      </c>
      <c r="H36">
        <v>370</v>
      </c>
    </row>
    <row r="37" spans="2:8" x14ac:dyDescent="0.2">
      <c r="B37" s="92" t="s">
        <v>2732</v>
      </c>
      <c r="C37" s="93">
        <v>2019</v>
      </c>
      <c r="D37" s="93">
        <v>9</v>
      </c>
      <c r="E37" s="93">
        <v>4</v>
      </c>
      <c r="G37" t="s">
        <v>2776</v>
      </c>
      <c r="H37">
        <v>345</v>
      </c>
    </row>
    <row r="38" spans="2:8" x14ac:dyDescent="0.2">
      <c r="B38" s="92" t="s">
        <v>2732</v>
      </c>
      <c r="C38" s="93">
        <v>2019</v>
      </c>
      <c r="D38" s="93">
        <v>12</v>
      </c>
      <c r="E38" s="93">
        <v>4</v>
      </c>
      <c r="G38" t="s">
        <v>2751</v>
      </c>
      <c r="H38">
        <v>342</v>
      </c>
    </row>
    <row r="39" spans="2:8" x14ac:dyDescent="0.2">
      <c r="B39" s="92" t="s">
        <v>2732</v>
      </c>
      <c r="C39" s="93">
        <v>2019</v>
      </c>
      <c r="D39" s="93">
        <v>2</v>
      </c>
      <c r="E39" s="93">
        <v>1</v>
      </c>
      <c r="G39" t="s">
        <v>2858</v>
      </c>
      <c r="H39">
        <v>317</v>
      </c>
    </row>
    <row r="40" spans="2:8" x14ac:dyDescent="0.2">
      <c r="B40" s="92" t="s">
        <v>2893</v>
      </c>
      <c r="C40" s="93">
        <v>2019</v>
      </c>
      <c r="D40" s="93">
        <v>8</v>
      </c>
      <c r="E40" s="93">
        <v>2</v>
      </c>
      <c r="G40" t="s">
        <v>2744</v>
      </c>
      <c r="H40">
        <v>311</v>
      </c>
    </row>
    <row r="41" spans="2:8" x14ac:dyDescent="0.2">
      <c r="B41" s="92" t="s">
        <v>2893</v>
      </c>
      <c r="C41" s="93">
        <v>2019</v>
      </c>
      <c r="D41" s="93">
        <v>1</v>
      </c>
      <c r="E41" s="93">
        <v>1</v>
      </c>
      <c r="G41" t="s">
        <v>2759</v>
      </c>
      <c r="H41">
        <v>308</v>
      </c>
    </row>
    <row r="42" spans="2:8" x14ac:dyDescent="0.2">
      <c r="B42" s="92" t="s">
        <v>2893</v>
      </c>
      <c r="C42" s="93">
        <v>2019</v>
      </c>
      <c r="D42" s="93">
        <v>4</v>
      </c>
      <c r="E42" s="93">
        <v>1</v>
      </c>
      <c r="G42" t="s">
        <v>2870</v>
      </c>
      <c r="H42">
        <v>301</v>
      </c>
    </row>
    <row r="43" spans="2:8" x14ac:dyDescent="0.2">
      <c r="B43" s="92" t="s">
        <v>2893</v>
      </c>
      <c r="C43" s="93">
        <v>2019</v>
      </c>
      <c r="D43" s="93">
        <v>7</v>
      </c>
      <c r="E43" s="93">
        <v>1</v>
      </c>
      <c r="G43" t="s">
        <v>2830</v>
      </c>
      <c r="H43">
        <v>285</v>
      </c>
    </row>
    <row r="44" spans="2:8" x14ac:dyDescent="0.2">
      <c r="B44" s="92" t="s">
        <v>2894</v>
      </c>
      <c r="C44" s="93">
        <v>2019</v>
      </c>
      <c r="D44" s="93">
        <v>4</v>
      </c>
      <c r="E44" s="93">
        <v>18</v>
      </c>
      <c r="G44" t="s">
        <v>2803</v>
      </c>
      <c r="H44">
        <v>280</v>
      </c>
    </row>
    <row r="45" spans="2:8" x14ac:dyDescent="0.2">
      <c r="B45" s="92" t="s">
        <v>2894</v>
      </c>
      <c r="C45" s="93">
        <v>2019</v>
      </c>
      <c r="D45" s="93">
        <v>5</v>
      </c>
      <c r="E45" s="93">
        <v>15</v>
      </c>
      <c r="G45" t="s">
        <v>2859</v>
      </c>
      <c r="H45">
        <v>278</v>
      </c>
    </row>
    <row r="46" spans="2:8" x14ac:dyDescent="0.2">
      <c r="B46" s="92" t="s">
        <v>2894</v>
      </c>
      <c r="C46" s="93">
        <v>2019</v>
      </c>
      <c r="D46" s="93">
        <v>2</v>
      </c>
      <c r="E46" s="93">
        <v>6</v>
      </c>
      <c r="G46" t="s">
        <v>2813</v>
      </c>
      <c r="H46">
        <v>277</v>
      </c>
    </row>
    <row r="47" spans="2:8" x14ac:dyDescent="0.2">
      <c r="B47" s="92" t="s">
        <v>2894</v>
      </c>
      <c r="C47" s="93">
        <v>2019</v>
      </c>
      <c r="D47" s="93">
        <v>1</v>
      </c>
      <c r="E47" s="93">
        <v>5</v>
      </c>
      <c r="G47" t="s">
        <v>2782</v>
      </c>
      <c r="H47">
        <v>269</v>
      </c>
    </row>
    <row r="48" spans="2:8" x14ac:dyDescent="0.2">
      <c r="B48" s="92" t="s">
        <v>2894</v>
      </c>
      <c r="C48" s="93">
        <v>2019</v>
      </c>
      <c r="D48" s="93">
        <v>6</v>
      </c>
      <c r="E48" s="93">
        <v>4</v>
      </c>
      <c r="G48" t="s">
        <v>2871</v>
      </c>
      <c r="H48">
        <v>267</v>
      </c>
    </row>
    <row r="49" spans="2:8" x14ac:dyDescent="0.2">
      <c r="B49" s="92" t="s">
        <v>2894</v>
      </c>
      <c r="C49" s="93">
        <v>2019</v>
      </c>
      <c r="D49" s="93">
        <v>12</v>
      </c>
      <c r="E49" s="93">
        <v>4</v>
      </c>
      <c r="G49" t="s">
        <v>2895</v>
      </c>
      <c r="H49">
        <v>265</v>
      </c>
    </row>
    <row r="50" spans="2:8" x14ac:dyDescent="0.2">
      <c r="B50" s="92" t="s">
        <v>2894</v>
      </c>
      <c r="C50" s="93">
        <v>2019</v>
      </c>
      <c r="D50" s="93">
        <v>3</v>
      </c>
      <c r="E50" s="93">
        <v>3</v>
      </c>
      <c r="G50" t="s">
        <v>2753</v>
      </c>
      <c r="H50">
        <v>252</v>
      </c>
    </row>
    <row r="51" spans="2:8" x14ac:dyDescent="0.2">
      <c r="B51" s="92" t="s">
        <v>2894</v>
      </c>
      <c r="C51" s="93">
        <v>2019</v>
      </c>
      <c r="D51" s="93">
        <v>7</v>
      </c>
      <c r="E51" s="93">
        <v>3</v>
      </c>
      <c r="G51" t="s">
        <v>2896</v>
      </c>
      <c r="H51">
        <v>249</v>
      </c>
    </row>
    <row r="52" spans="2:8" x14ac:dyDescent="0.2">
      <c r="B52" s="92" t="s">
        <v>2894</v>
      </c>
      <c r="C52" s="93">
        <v>2019</v>
      </c>
      <c r="D52" s="93">
        <v>9</v>
      </c>
      <c r="E52" s="93">
        <v>2</v>
      </c>
      <c r="G52" t="s">
        <v>2828</v>
      </c>
      <c r="H52">
        <v>249</v>
      </c>
    </row>
    <row r="53" spans="2:8" x14ac:dyDescent="0.2">
      <c r="B53" s="92" t="s">
        <v>2897</v>
      </c>
      <c r="C53" s="93">
        <v>2019</v>
      </c>
      <c r="D53" s="93">
        <v>3</v>
      </c>
      <c r="E53" s="93">
        <v>8</v>
      </c>
      <c r="G53" t="s">
        <v>2754</v>
      </c>
      <c r="H53">
        <v>246</v>
      </c>
    </row>
    <row r="54" spans="2:8" x14ac:dyDescent="0.2">
      <c r="B54" s="92" t="s">
        <v>2897</v>
      </c>
      <c r="C54" s="93">
        <v>2019</v>
      </c>
      <c r="D54" s="93">
        <v>6</v>
      </c>
      <c r="E54" s="93">
        <v>5</v>
      </c>
      <c r="G54" t="s">
        <v>2807</v>
      </c>
      <c r="H54">
        <v>238</v>
      </c>
    </row>
    <row r="55" spans="2:8" x14ac:dyDescent="0.2">
      <c r="B55" s="92" t="s">
        <v>2897</v>
      </c>
      <c r="C55" s="93">
        <v>2019</v>
      </c>
      <c r="D55" s="93">
        <v>10</v>
      </c>
      <c r="E55" s="93">
        <v>4</v>
      </c>
      <c r="G55" t="s">
        <v>2898</v>
      </c>
      <c r="H55">
        <v>236</v>
      </c>
    </row>
    <row r="56" spans="2:8" x14ac:dyDescent="0.2">
      <c r="B56" s="92" t="s">
        <v>2897</v>
      </c>
      <c r="C56" s="93">
        <v>2019</v>
      </c>
      <c r="D56" s="93">
        <v>7</v>
      </c>
      <c r="E56" s="93">
        <v>3</v>
      </c>
      <c r="G56" t="s">
        <v>2842</v>
      </c>
      <c r="H56">
        <v>225</v>
      </c>
    </row>
    <row r="57" spans="2:8" x14ac:dyDescent="0.2">
      <c r="B57" s="92" t="s">
        <v>2897</v>
      </c>
      <c r="C57" s="93">
        <v>2019</v>
      </c>
      <c r="D57" s="93">
        <v>1</v>
      </c>
      <c r="E57" s="93">
        <v>2</v>
      </c>
      <c r="G57" t="s">
        <v>2899</v>
      </c>
      <c r="H57">
        <v>222</v>
      </c>
    </row>
    <row r="58" spans="2:8" x14ac:dyDescent="0.2">
      <c r="B58" s="92" t="s">
        <v>2897</v>
      </c>
      <c r="C58" s="93">
        <v>2019</v>
      </c>
      <c r="D58" s="93">
        <v>4</v>
      </c>
      <c r="E58" s="93">
        <v>2</v>
      </c>
      <c r="G58" t="s">
        <v>2900</v>
      </c>
      <c r="H58">
        <v>219</v>
      </c>
    </row>
    <row r="59" spans="2:8" x14ac:dyDescent="0.2">
      <c r="B59" s="92" t="s">
        <v>2897</v>
      </c>
      <c r="C59" s="93">
        <v>2019</v>
      </c>
      <c r="D59" s="93">
        <v>9</v>
      </c>
      <c r="E59" s="93">
        <v>2</v>
      </c>
      <c r="G59" t="s">
        <v>2901</v>
      </c>
      <c r="H59">
        <v>215</v>
      </c>
    </row>
    <row r="60" spans="2:8" x14ac:dyDescent="0.2">
      <c r="B60" s="92" t="s">
        <v>2897</v>
      </c>
      <c r="C60" s="93">
        <v>2019</v>
      </c>
      <c r="D60" s="93">
        <v>2</v>
      </c>
      <c r="E60" s="93">
        <v>1</v>
      </c>
      <c r="G60" t="s">
        <v>2774</v>
      </c>
      <c r="H60">
        <v>212</v>
      </c>
    </row>
    <row r="61" spans="2:8" x14ac:dyDescent="0.2">
      <c r="B61" s="92" t="s">
        <v>2897</v>
      </c>
      <c r="C61" s="93">
        <v>2019</v>
      </c>
      <c r="D61" s="93">
        <v>5</v>
      </c>
      <c r="E61" s="93">
        <v>1</v>
      </c>
      <c r="G61" t="s">
        <v>2766</v>
      </c>
      <c r="H61">
        <v>207</v>
      </c>
    </row>
    <row r="62" spans="2:8" x14ac:dyDescent="0.2">
      <c r="B62" s="92" t="s">
        <v>2897</v>
      </c>
      <c r="C62" s="93">
        <v>2019</v>
      </c>
      <c r="D62" s="93">
        <v>8</v>
      </c>
      <c r="E62" s="93">
        <v>1</v>
      </c>
      <c r="G62" t="s">
        <v>2902</v>
      </c>
      <c r="H62">
        <v>202</v>
      </c>
    </row>
    <row r="63" spans="2:8" x14ac:dyDescent="0.2">
      <c r="B63" s="92" t="s">
        <v>2897</v>
      </c>
      <c r="C63" s="93">
        <v>2019</v>
      </c>
      <c r="D63" s="93">
        <v>11</v>
      </c>
      <c r="E63" s="93">
        <v>1</v>
      </c>
      <c r="G63" t="s">
        <v>2903</v>
      </c>
      <c r="H63">
        <v>201</v>
      </c>
    </row>
    <row r="64" spans="2:8" x14ac:dyDescent="0.2">
      <c r="B64" s="92" t="s">
        <v>2897</v>
      </c>
      <c r="C64" s="93">
        <v>2019</v>
      </c>
      <c r="D64" s="93">
        <v>12</v>
      </c>
      <c r="E64" s="93">
        <v>1</v>
      </c>
      <c r="G64" t="s">
        <v>2796</v>
      </c>
      <c r="H64">
        <v>199</v>
      </c>
    </row>
    <row r="65" spans="2:8" x14ac:dyDescent="0.2">
      <c r="B65" s="92" t="s">
        <v>2733</v>
      </c>
      <c r="C65" s="93">
        <v>2019</v>
      </c>
      <c r="D65" s="93">
        <v>1</v>
      </c>
      <c r="E65" s="93">
        <v>5</v>
      </c>
      <c r="G65" t="s">
        <v>2771</v>
      </c>
      <c r="H65">
        <v>196</v>
      </c>
    </row>
    <row r="66" spans="2:8" x14ac:dyDescent="0.2">
      <c r="B66" s="92" t="s">
        <v>2733</v>
      </c>
      <c r="C66" s="93">
        <v>2019</v>
      </c>
      <c r="D66" s="93">
        <v>5</v>
      </c>
      <c r="E66" s="93">
        <v>5</v>
      </c>
      <c r="G66" t="s">
        <v>2820</v>
      </c>
      <c r="H66">
        <v>188</v>
      </c>
    </row>
    <row r="67" spans="2:8" x14ac:dyDescent="0.2">
      <c r="B67" s="92" t="s">
        <v>2733</v>
      </c>
      <c r="C67" s="93">
        <v>2019</v>
      </c>
      <c r="D67" s="93">
        <v>8</v>
      </c>
      <c r="E67" s="93">
        <v>4</v>
      </c>
      <c r="G67" t="s">
        <v>2866</v>
      </c>
      <c r="H67">
        <v>184</v>
      </c>
    </row>
    <row r="68" spans="2:8" x14ac:dyDescent="0.2">
      <c r="B68" s="92" t="s">
        <v>2733</v>
      </c>
      <c r="C68" s="93">
        <v>2019</v>
      </c>
      <c r="D68" s="93">
        <v>9</v>
      </c>
      <c r="E68" s="93">
        <v>4</v>
      </c>
      <c r="G68" t="s">
        <v>2904</v>
      </c>
      <c r="H68">
        <v>181</v>
      </c>
    </row>
    <row r="69" spans="2:8" x14ac:dyDescent="0.2">
      <c r="B69" s="92" t="s">
        <v>2733</v>
      </c>
      <c r="C69" s="93">
        <v>2019</v>
      </c>
      <c r="D69" s="93">
        <v>12</v>
      </c>
      <c r="E69" s="93">
        <v>4</v>
      </c>
      <c r="G69" t="s">
        <v>2849</v>
      </c>
      <c r="H69">
        <v>178</v>
      </c>
    </row>
    <row r="70" spans="2:8" x14ac:dyDescent="0.2">
      <c r="B70" s="92" t="s">
        <v>2733</v>
      </c>
      <c r="C70" s="93">
        <v>2019</v>
      </c>
      <c r="D70" s="93">
        <v>2</v>
      </c>
      <c r="E70" s="93">
        <v>3</v>
      </c>
      <c r="G70" t="s">
        <v>2808</v>
      </c>
      <c r="H70">
        <v>172</v>
      </c>
    </row>
    <row r="71" spans="2:8" x14ac:dyDescent="0.2">
      <c r="B71" s="92" t="s">
        <v>2733</v>
      </c>
      <c r="C71" s="93">
        <v>2019</v>
      </c>
      <c r="D71" s="93">
        <v>3</v>
      </c>
      <c r="E71" s="93">
        <v>3</v>
      </c>
      <c r="G71" t="s">
        <v>2732</v>
      </c>
      <c r="H71">
        <v>171</v>
      </c>
    </row>
    <row r="72" spans="2:8" x14ac:dyDescent="0.2">
      <c r="B72" s="92" t="s">
        <v>2733</v>
      </c>
      <c r="C72" s="93">
        <v>2019</v>
      </c>
      <c r="D72" s="93">
        <v>10</v>
      </c>
      <c r="E72" s="93">
        <v>3</v>
      </c>
      <c r="G72" t="s">
        <v>2839</v>
      </c>
      <c r="H72">
        <v>170</v>
      </c>
    </row>
    <row r="73" spans="2:8" x14ac:dyDescent="0.2">
      <c r="B73" s="92" t="s">
        <v>2733</v>
      </c>
      <c r="C73" s="93">
        <v>2019</v>
      </c>
      <c r="D73" s="93">
        <v>6</v>
      </c>
      <c r="E73" s="93">
        <v>2</v>
      </c>
      <c r="G73" t="s">
        <v>2758</v>
      </c>
      <c r="H73">
        <v>169</v>
      </c>
    </row>
    <row r="74" spans="2:8" x14ac:dyDescent="0.2">
      <c r="B74" s="92" t="s">
        <v>2733</v>
      </c>
      <c r="C74" s="93">
        <v>2019</v>
      </c>
      <c r="D74" s="93">
        <v>4</v>
      </c>
      <c r="E74" s="93">
        <v>1</v>
      </c>
      <c r="G74" t="s">
        <v>2872</v>
      </c>
      <c r="H74">
        <v>164</v>
      </c>
    </row>
    <row r="75" spans="2:8" x14ac:dyDescent="0.2">
      <c r="B75" s="92" t="s">
        <v>2733</v>
      </c>
      <c r="C75" s="93">
        <v>2019</v>
      </c>
      <c r="D75" s="93">
        <v>7</v>
      </c>
      <c r="E75" s="93">
        <v>1</v>
      </c>
      <c r="G75" t="s">
        <v>2905</v>
      </c>
      <c r="H75">
        <v>163</v>
      </c>
    </row>
    <row r="76" spans="2:8" x14ac:dyDescent="0.2">
      <c r="B76" s="92" t="s">
        <v>2734</v>
      </c>
      <c r="C76" s="93">
        <v>2019</v>
      </c>
      <c r="D76" s="93">
        <v>3</v>
      </c>
      <c r="E76" s="93">
        <v>30</v>
      </c>
      <c r="G76" t="s">
        <v>2818</v>
      </c>
      <c r="H76">
        <v>163</v>
      </c>
    </row>
    <row r="77" spans="2:8" x14ac:dyDescent="0.2">
      <c r="B77" s="92" t="s">
        <v>2734</v>
      </c>
      <c r="C77" s="93">
        <v>2019</v>
      </c>
      <c r="D77" s="93">
        <v>4</v>
      </c>
      <c r="E77" s="93">
        <v>17</v>
      </c>
      <c r="G77" t="s">
        <v>2851</v>
      </c>
      <c r="H77">
        <v>163</v>
      </c>
    </row>
    <row r="78" spans="2:8" x14ac:dyDescent="0.2">
      <c r="B78" s="92" t="s">
        <v>2734</v>
      </c>
      <c r="C78" s="93">
        <v>2019</v>
      </c>
      <c r="D78" s="93">
        <v>11</v>
      </c>
      <c r="E78" s="93">
        <v>15</v>
      </c>
      <c r="G78" t="s">
        <v>2906</v>
      </c>
      <c r="H78">
        <v>154</v>
      </c>
    </row>
    <row r="79" spans="2:8" x14ac:dyDescent="0.2">
      <c r="B79" s="92" t="s">
        <v>2734</v>
      </c>
      <c r="C79" s="93">
        <v>2019</v>
      </c>
      <c r="D79" s="93">
        <v>6</v>
      </c>
      <c r="E79" s="93">
        <v>14</v>
      </c>
      <c r="G79" t="s">
        <v>2825</v>
      </c>
      <c r="H79">
        <v>151</v>
      </c>
    </row>
    <row r="80" spans="2:8" x14ac:dyDescent="0.2">
      <c r="B80" s="92" t="s">
        <v>2734</v>
      </c>
      <c r="C80" s="93">
        <v>2019</v>
      </c>
      <c r="D80" s="93">
        <v>9</v>
      </c>
      <c r="E80" s="93">
        <v>13</v>
      </c>
      <c r="G80" t="s">
        <v>2827</v>
      </c>
      <c r="H80">
        <v>147</v>
      </c>
    </row>
    <row r="81" spans="2:8" x14ac:dyDescent="0.2">
      <c r="B81" s="92" t="s">
        <v>2734</v>
      </c>
      <c r="C81" s="93">
        <v>2019</v>
      </c>
      <c r="D81" s="93">
        <v>5</v>
      </c>
      <c r="E81" s="93">
        <v>10</v>
      </c>
      <c r="G81" t="s">
        <v>2821</v>
      </c>
      <c r="H81">
        <v>140</v>
      </c>
    </row>
    <row r="82" spans="2:8" x14ac:dyDescent="0.2">
      <c r="B82" s="92" t="s">
        <v>2734</v>
      </c>
      <c r="C82" s="93">
        <v>2019</v>
      </c>
      <c r="D82" s="93">
        <v>7</v>
      </c>
      <c r="E82" s="93">
        <v>10</v>
      </c>
      <c r="G82" t="s">
        <v>2761</v>
      </c>
      <c r="H82">
        <v>139</v>
      </c>
    </row>
    <row r="83" spans="2:8" x14ac:dyDescent="0.2">
      <c r="B83" s="92" t="s">
        <v>2734</v>
      </c>
      <c r="C83" s="93">
        <v>2019</v>
      </c>
      <c r="D83" s="93">
        <v>8</v>
      </c>
      <c r="E83" s="93">
        <v>10</v>
      </c>
      <c r="G83" t="s">
        <v>2769</v>
      </c>
      <c r="H83">
        <v>138</v>
      </c>
    </row>
    <row r="84" spans="2:8" x14ac:dyDescent="0.2">
      <c r="B84" s="92" t="s">
        <v>2734</v>
      </c>
      <c r="C84" s="93">
        <v>2019</v>
      </c>
      <c r="D84" s="93">
        <v>2</v>
      </c>
      <c r="E84" s="93">
        <v>2</v>
      </c>
      <c r="G84" t="s">
        <v>2907</v>
      </c>
      <c r="H84">
        <v>135</v>
      </c>
    </row>
    <row r="85" spans="2:8" x14ac:dyDescent="0.2">
      <c r="B85" s="92" t="s">
        <v>2734</v>
      </c>
      <c r="C85" s="93">
        <v>2019</v>
      </c>
      <c r="D85" s="93">
        <v>10</v>
      </c>
      <c r="E85" s="93">
        <v>1</v>
      </c>
      <c r="G85" t="s">
        <v>2792</v>
      </c>
      <c r="H85">
        <v>126</v>
      </c>
    </row>
    <row r="86" spans="2:8" x14ac:dyDescent="0.2">
      <c r="B86" s="92" t="s">
        <v>2735</v>
      </c>
      <c r="C86" s="93">
        <v>2019</v>
      </c>
      <c r="D86" s="93">
        <v>2</v>
      </c>
      <c r="E86" s="93">
        <v>24</v>
      </c>
      <c r="G86" t="s">
        <v>2908</v>
      </c>
      <c r="H86">
        <v>124</v>
      </c>
    </row>
    <row r="87" spans="2:8" x14ac:dyDescent="0.2">
      <c r="B87" s="92" t="s">
        <v>2735</v>
      </c>
      <c r="C87" s="93">
        <v>2019</v>
      </c>
      <c r="D87" s="93">
        <v>10</v>
      </c>
      <c r="E87" s="93">
        <v>23</v>
      </c>
      <c r="G87" t="s">
        <v>2819</v>
      </c>
      <c r="H87">
        <v>123</v>
      </c>
    </row>
    <row r="88" spans="2:8" x14ac:dyDescent="0.2">
      <c r="B88" s="92" t="s">
        <v>2735</v>
      </c>
      <c r="C88" s="93">
        <v>2019</v>
      </c>
      <c r="D88" s="93">
        <v>7</v>
      </c>
      <c r="E88" s="93">
        <v>13</v>
      </c>
      <c r="G88" t="s">
        <v>2734</v>
      </c>
      <c r="H88">
        <v>122</v>
      </c>
    </row>
    <row r="89" spans="2:8" x14ac:dyDescent="0.2">
      <c r="B89" s="92" t="s">
        <v>2735</v>
      </c>
      <c r="C89" s="93">
        <v>2019</v>
      </c>
      <c r="D89" s="93">
        <v>6</v>
      </c>
      <c r="E89" s="93">
        <v>11</v>
      </c>
      <c r="G89" t="s">
        <v>2861</v>
      </c>
      <c r="H89">
        <v>120</v>
      </c>
    </row>
    <row r="90" spans="2:8" x14ac:dyDescent="0.2">
      <c r="B90" s="92" t="s">
        <v>2735</v>
      </c>
      <c r="C90" s="93">
        <v>2019</v>
      </c>
      <c r="D90" s="93">
        <v>5</v>
      </c>
      <c r="E90" s="93">
        <v>10</v>
      </c>
      <c r="G90" t="s">
        <v>2909</v>
      </c>
      <c r="H90">
        <v>109</v>
      </c>
    </row>
    <row r="91" spans="2:8" x14ac:dyDescent="0.2">
      <c r="B91" s="92" t="s">
        <v>2735</v>
      </c>
      <c r="C91" s="93">
        <v>2019</v>
      </c>
      <c r="D91" s="93">
        <v>8</v>
      </c>
      <c r="E91" s="93">
        <v>10</v>
      </c>
      <c r="G91" t="s">
        <v>2862</v>
      </c>
      <c r="H91">
        <v>109</v>
      </c>
    </row>
    <row r="92" spans="2:8" x14ac:dyDescent="0.2">
      <c r="B92" s="92" t="s">
        <v>2735</v>
      </c>
      <c r="C92" s="93">
        <v>2019</v>
      </c>
      <c r="D92" s="93">
        <v>9</v>
      </c>
      <c r="E92" s="93">
        <v>3</v>
      </c>
      <c r="G92" t="s">
        <v>2768</v>
      </c>
      <c r="H92">
        <v>105</v>
      </c>
    </row>
    <row r="93" spans="2:8" x14ac:dyDescent="0.2">
      <c r="B93" s="92" t="s">
        <v>2735</v>
      </c>
      <c r="C93" s="93">
        <v>2019</v>
      </c>
      <c r="D93" s="93">
        <v>3</v>
      </c>
      <c r="E93" s="93">
        <v>2</v>
      </c>
      <c r="G93" t="s">
        <v>2840</v>
      </c>
      <c r="H93">
        <v>100</v>
      </c>
    </row>
    <row r="94" spans="2:8" x14ac:dyDescent="0.2">
      <c r="B94" s="92" t="s">
        <v>2735</v>
      </c>
      <c r="C94" s="93">
        <v>2019</v>
      </c>
      <c r="D94" s="93">
        <v>4</v>
      </c>
      <c r="E94" s="93">
        <v>1</v>
      </c>
      <c r="G94" t="s">
        <v>2735</v>
      </c>
      <c r="H94">
        <v>99</v>
      </c>
    </row>
    <row r="95" spans="2:8" x14ac:dyDescent="0.2">
      <c r="B95" s="92" t="s">
        <v>2735</v>
      </c>
      <c r="C95" s="93">
        <v>2019</v>
      </c>
      <c r="D95" s="93">
        <v>11</v>
      </c>
      <c r="E95" s="93">
        <v>1</v>
      </c>
      <c r="G95" t="s">
        <v>2816</v>
      </c>
      <c r="H95">
        <v>99</v>
      </c>
    </row>
    <row r="96" spans="2:8" x14ac:dyDescent="0.2">
      <c r="B96" s="92" t="s">
        <v>2735</v>
      </c>
      <c r="C96" s="93">
        <v>2019</v>
      </c>
      <c r="D96" s="93">
        <v>12</v>
      </c>
      <c r="E96" s="93">
        <v>1</v>
      </c>
      <c r="G96" t="s">
        <v>2848</v>
      </c>
      <c r="H96">
        <v>99</v>
      </c>
    </row>
    <row r="97" spans="2:8" x14ac:dyDescent="0.2">
      <c r="B97" s="92" t="s">
        <v>2736</v>
      </c>
      <c r="C97" s="93">
        <v>2019</v>
      </c>
      <c r="D97" s="93">
        <v>9</v>
      </c>
      <c r="E97" s="93">
        <v>13</v>
      </c>
      <c r="G97" t="s">
        <v>2749</v>
      </c>
      <c r="H97">
        <v>98</v>
      </c>
    </row>
    <row r="98" spans="2:8" x14ac:dyDescent="0.2">
      <c r="B98" s="92" t="s">
        <v>2736</v>
      </c>
      <c r="C98" s="93">
        <v>2019</v>
      </c>
      <c r="D98" s="93">
        <v>5</v>
      </c>
      <c r="E98" s="93">
        <v>12</v>
      </c>
      <c r="G98" t="s">
        <v>2809</v>
      </c>
      <c r="H98">
        <v>95</v>
      </c>
    </row>
    <row r="99" spans="2:8" x14ac:dyDescent="0.2">
      <c r="B99" s="92" t="s">
        <v>2736</v>
      </c>
      <c r="C99" s="93">
        <v>2019</v>
      </c>
      <c r="D99" s="93">
        <v>6</v>
      </c>
      <c r="E99" s="93">
        <v>10</v>
      </c>
      <c r="G99" t="s">
        <v>2745</v>
      </c>
      <c r="H99">
        <v>94</v>
      </c>
    </row>
    <row r="100" spans="2:8" x14ac:dyDescent="0.2">
      <c r="B100" s="92" t="s">
        <v>2736</v>
      </c>
      <c r="C100" s="93">
        <v>2019</v>
      </c>
      <c r="D100" s="93">
        <v>7</v>
      </c>
      <c r="E100" s="93">
        <v>10</v>
      </c>
      <c r="G100" t="s">
        <v>2794</v>
      </c>
      <c r="H100">
        <v>93</v>
      </c>
    </row>
    <row r="101" spans="2:8" x14ac:dyDescent="0.2">
      <c r="B101" s="92" t="s">
        <v>2736</v>
      </c>
      <c r="C101" s="93">
        <v>2019</v>
      </c>
      <c r="D101" s="93">
        <v>8</v>
      </c>
      <c r="E101" s="93">
        <v>10</v>
      </c>
      <c r="G101" t="s">
        <v>2815</v>
      </c>
      <c r="H101">
        <v>90</v>
      </c>
    </row>
    <row r="102" spans="2:8" x14ac:dyDescent="0.2">
      <c r="B102" s="92" t="s">
        <v>2736</v>
      </c>
      <c r="C102" s="93">
        <v>2019</v>
      </c>
      <c r="D102" s="93">
        <v>11</v>
      </c>
      <c r="E102" s="93">
        <v>5</v>
      </c>
      <c r="G102" t="s">
        <v>2910</v>
      </c>
      <c r="H102">
        <v>89</v>
      </c>
    </row>
    <row r="103" spans="2:8" x14ac:dyDescent="0.2">
      <c r="B103" s="92" t="s">
        <v>2736</v>
      </c>
      <c r="C103" s="93">
        <v>2019</v>
      </c>
      <c r="D103" s="93">
        <v>10</v>
      </c>
      <c r="E103" s="93">
        <v>4</v>
      </c>
      <c r="G103" t="s">
        <v>2911</v>
      </c>
      <c r="H103">
        <v>89</v>
      </c>
    </row>
    <row r="104" spans="2:8" x14ac:dyDescent="0.2">
      <c r="B104" s="92" t="s">
        <v>2736</v>
      </c>
      <c r="C104" s="93">
        <v>2019</v>
      </c>
      <c r="D104" s="93">
        <v>3</v>
      </c>
      <c r="E104" s="93">
        <v>3</v>
      </c>
      <c r="G104" t="s">
        <v>2912</v>
      </c>
      <c r="H104">
        <v>88</v>
      </c>
    </row>
    <row r="105" spans="2:8" x14ac:dyDescent="0.2">
      <c r="B105" s="92" t="s">
        <v>2736</v>
      </c>
      <c r="C105" s="93">
        <v>2019</v>
      </c>
      <c r="D105" s="93">
        <v>4</v>
      </c>
      <c r="E105" s="93">
        <v>2</v>
      </c>
      <c r="G105" t="s">
        <v>2850</v>
      </c>
      <c r="H105">
        <v>88</v>
      </c>
    </row>
    <row r="106" spans="2:8" x14ac:dyDescent="0.2">
      <c r="B106" s="92" t="s">
        <v>2736</v>
      </c>
      <c r="C106" s="93">
        <v>2019</v>
      </c>
      <c r="D106" s="93">
        <v>12</v>
      </c>
      <c r="E106" s="93">
        <v>2</v>
      </c>
      <c r="G106" t="s">
        <v>2756</v>
      </c>
      <c r="H106">
        <v>87</v>
      </c>
    </row>
    <row r="107" spans="2:8" x14ac:dyDescent="0.2">
      <c r="B107" s="92" t="s">
        <v>2736</v>
      </c>
      <c r="C107" s="93">
        <v>2019</v>
      </c>
      <c r="D107" s="93">
        <v>1</v>
      </c>
      <c r="E107" s="93">
        <v>1</v>
      </c>
      <c r="G107" t="s">
        <v>2865</v>
      </c>
      <c r="H107">
        <v>85</v>
      </c>
    </row>
    <row r="108" spans="2:8" x14ac:dyDescent="0.2">
      <c r="B108" s="92" t="s">
        <v>2737</v>
      </c>
      <c r="C108" s="93">
        <v>2019</v>
      </c>
      <c r="D108" s="93">
        <v>4</v>
      </c>
      <c r="E108" s="93">
        <v>90</v>
      </c>
      <c r="G108" t="s">
        <v>2873</v>
      </c>
      <c r="H108">
        <v>84</v>
      </c>
    </row>
    <row r="109" spans="2:8" x14ac:dyDescent="0.2">
      <c r="B109" s="92" t="s">
        <v>2737</v>
      </c>
      <c r="C109" s="93">
        <v>2019</v>
      </c>
      <c r="D109" s="93">
        <v>5</v>
      </c>
      <c r="E109" s="93">
        <v>76</v>
      </c>
      <c r="G109" t="s">
        <v>2913</v>
      </c>
      <c r="H109">
        <v>81</v>
      </c>
    </row>
    <row r="110" spans="2:8" x14ac:dyDescent="0.2">
      <c r="B110" s="92" t="s">
        <v>2737</v>
      </c>
      <c r="C110" s="93">
        <v>2019</v>
      </c>
      <c r="D110" s="93">
        <v>10</v>
      </c>
      <c r="E110" s="93">
        <v>57</v>
      </c>
      <c r="G110" t="s">
        <v>2736</v>
      </c>
      <c r="H110">
        <v>72</v>
      </c>
    </row>
    <row r="111" spans="2:8" x14ac:dyDescent="0.2">
      <c r="B111" s="92" t="s">
        <v>2737</v>
      </c>
      <c r="C111" s="93">
        <v>2019</v>
      </c>
      <c r="D111" s="93">
        <v>6</v>
      </c>
      <c r="E111" s="93">
        <v>55</v>
      </c>
      <c r="G111" t="s">
        <v>2778</v>
      </c>
      <c r="H111">
        <v>72</v>
      </c>
    </row>
    <row r="112" spans="2:8" x14ac:dyDescent="0.2">
      <c r="B112" s="92" t="s">
        <v>2737</v>
      </c>
      <c r="C112" s="93">
        <v>2019</v>
      </c>
      <c r="D112" s="93">
        <v>7</v>
      </c>
      <c r="E112" s="93">
        <v>50</v>
      </c>
      <c r="G112" t="s">
        <v>2798</v>
      </c>
      <c r="H112">
        <v>71</v>
      </c>
    </row>
    <row r="113" spans="2:8" x14ac:dyDescent="0.2">
      <c r="B113" s="92" t="s">
        <v>2737</v>
      </c>
      <c r="C113" s="93">
        <v>2019</v>
      </c>
      <c r="D113" s="93">
        <v>8</v>
      </c>
      <c r="E113" s="93">
        <v>44</v>
      </c>
      <c r="G113" t="s">
        <v>2914</v>
      </c>
      <c r="H113">
        <v>71</v>
      </c>
    </row>
    <row r="114" spans="2:8" x14ac:dyDescent="0.2">
      <c r="B114" s="92" t="s">
        <v>2737</v>
      </c>
      <c r="C114" s="93">
        <v>2019</v>
      </c>
      <c r="D114" s="93">
        <v>11</v>
      </c>
      <c r="E114" s="93">
        <v>39</v>
      </c>
      <c r="G114" t="s">
        <v>2915</v>
      </c>
      <c r="H114">
        <v>71</v>
      </c>
    </row>
    <row r="115" spans="2:8" x14ac:dyDescent="0.2">
      <c r="B115" s="92" t="s">
        <v>2737</v>
      </c>
      <c r="C115" s="93">
        <v>2019</v>
      </c>
      <c r="D115" s="93">
        <v>2</v>
      </c>
      <c r="E115" s="93">
        <v>35</v>
      </c>
      <c r="G115" t="s">
        <v>2800</v>
      </c>
      <c r="H115">
        <v>69</v>
      </c>
    </row>
    <row r="116" spans="2:8" x14ac:dyDescent="0.2">
      <c r="B116" s="92" t="s">
        <v>2737</v>
      </c>
      <c r="C116" s="93">
        <v>2019</v>
      </c>
      <c r="D116" s="93">
        <v>9</v>
      </c>
      <c r="E116" s="93">
        <v>22</v>
      </c>
      <c r="G116" t="s">
        <v>2746</v>
      </c>
      <c r="H116">
        <v>68</v>
      </c>
    </row>
    <row r="117" spans="2:8" x14ac:dyDescent="0.2">
      <c r="B117" s="92" t="s">
        <v>2737</v>
      </c>
      <c r="C117" s="93">
        <v>2019</v>
      </c>
      <c r="D117" s="93">
        <v>1</v>
      </c>
      <c r="E117" s="93">
        <v>21</v>
      </c>
      <c r="G117" t="s">
        <v>2786</v>
      </c>
      <c r="H117">
        <v>68</v>
      </c>
    </row>
    <row r="118" spans="2:8" x14ac:dyDescent="0.2">
      <c r="B118" s="92" t="s">
        <v>2737</v>
      </c>
      <c r="C118" s="93">
        <v>2019</v>
      </c>
      <c r="D118" s="93">
        <v>12</v>
      </c>
      <c r="E118" s="93">
        <v>20</v>
      </c>
      <c r="G118" t="s">
        <v>2764</v>
      </c>
      <c r="H118">
        <v>67</v>
      </c>
    </row>
    <row r="119" spans="2:8" x14ac:dyDescent="0.2">
      <c r="B119" s="92" t="s">
        <v>2737</v>
      </c>
      <c r="C119" s="93">
        <v>2019</v>
      </c>
      <c r="D119" s="93">
        <v>3</v>
      </c>
      <c r="E119" s="93">
        <v>18</v>
      </c>
      <c r="G119" t="s">
        <v>2916</v>
      </c>
      <c r="H119">
        <v>67</v>
      </c>
    </row>
    <row r="120" spans="2:8" x14ac:dyDescent="0.2">
      <c r="B120" s="92" t="s">
        <v>2738</v>
      </c>
      <c r="C120" s="93">
        <v>2019</v>
      </c>
      <c r="D120" s="93">
        <v>11</v>
      </c>
      <c r="E120" s="93">
        <v>9</v>
      </c>
      <c r="G120" t="s">
        <v>2763</v>
      </c>
      <c r="H120">
        <v>66</v>
      </c>
    </row>
    <row r="121" spans="2:8" x14ac:dyDescent="0.2">
      <c r="B121" s="92" t="s">
        <v>2738</v>
      </c>
      <c r="C121" s="93">
        <v>2019</v>
      </c>
      <c r="D121" s="93">
        <v>3</v>
      </c>
      <c r="E121" s="93">
        <v>6</v>
      </c>
      <c r="G121" t="s">
        <v>2765</v>
      </c>
      <c r="H121">
        <v>66</v>
      </c>
    </row>
    <row r="122" spans="2:8" x14ac:dyDescent="0.2">
      <c r="B122" s="92" t="s">
        <v>2738</v>
      </c>
      <c r="C122" s="93">
        <v>2019</v>
      </c>
      <c r="D122" s="93">
        <v>6</v>
      </c>
      <c r="E122" s="93">
        <v>6</v>
      </c>
      <c r="G122" t="s">
        <v>2801</v>
      </c>
      <c r="H122">
        <v>65</v>
      </c>
    </row>
    <row r="123" spans="2:8" x14ac:dyDescent="0.2">
      <c r="B123" s="92" t="s">
        <v>2738</v>
      </c>
      <c r="C123" s="93">
        <v>2019</v>
      </c>
      <c r="D123" s="93">
        <v>10</v>
      </c>
      <c r="E123" s="93">
        <v>6</v>
      </c>
      <c r="G123" t="s">
        <v>2787</v>
      </c>
      <c r="H123">
        <v>64</v>
      </c>
    </row>
    <row r="124" spans="2:8" x14ac:dyDescent="0.2">
      <c r="B124" s="92" t="s">
        <v>2738</v>
      </c>
      <c r="C124" s="93">
        <v>2019</v>
      </c>
      <c r="D124" s="93">
        <v>1</v>
      </c>
      <c r="E124" s="93">
        <v>5</v>
      </c>
      <c r="G124" t="s">
        <v>2847</v>
      </c>
      <c r="H124">
        <v>64</v>
      </c>
    </row>
    <row r="125" spans="2:8" x14ac:dyDescent="0.2">
      <c r="B125" s="92" t="s">
        <v>2738</v>
      </c>
      <c r="C125" s="93">
        <v>2019</v>
      </c>
      <c r="D125" s="93">
        <v>5</v>
      </c>
      <c r="E125" s="93">
        <v>5</v>
      </c>
      <c r="G125" t="s">
        <v>2917</v>
      </c>
      <c r="H125">
        <v>63</v>
      </c>
    </row>
    <row r="126" spans="2:8" x14ac:dyDescent="0.2">
      <c r="B126" s="92" t="s">
        <v>2738</v>
      </c>
      <c r="C126" s="93">
        <v>2019</v>
      </c>
      <c r="D126" s="93">
        <v>7</v>
      </c>
      <c r="E126" s="93">
        <v>3</v>
      </c>
      <c r="G126" t="s">
        <v>2762</v>
      </c>
      <c r="H126">
        <v>61</v>
      </c>
    </row>
    <row r="127" spans="2:8" x14ac:dyDescent="0.2">
      <c r="B127" s="92" t="s">
        <v>2738</v>
      </c>
      <c r="C127" s="93">
        <v>2019</v>
      </c>
      <c r="D127" s="93">
        <v>8</v>
      </c>
      <c r="E127" s="93">
        <v>3</v>
      </c>
      <c r="G127" t="s">
        <v>2799</v>
      </c>
      <c r="H127">
        <v>61</v>
      </c>
    </row>
    <row r="128" spans="2:8" x14ac:dyDescent="0.2">
      <c r="B128" s="92" t="s">
        <v>2738</v>
      </c>
      <c r="C128" s="93">
        <v>2019</v>
      </c>
      <c r="D128" s="93">
        <v>9</v>
      </c>
      <c r="E128" s="93">
        <v>2</v>
      </c>
      <c r="G128" t="s">
        <v>2894</v>
      </c>
      <c r="H128">
        <v>60</v>
      </c>
    </row>
    <row r="129" spans="2:8" x14ac:dyDescent="0.2">
      <c r="B129" s="92" t="s">
        <v>2738</v>
      </c>
      <c r="C129" s="93">
        <v>2019</v>
      </c>
      <c r="D129" s="93">
        <v>2</v>
      </c>
      <c r="E129" s="93">
        <v>1</v>
      </c>
      <c r="G129" t="s">
        <v>2780</v>
      </c>
      <c r="H129">
        <v>60</v>
      </c>
    </row>
    <row r="130" spans="2:8" x14ac:dyDescent="0.2">
      <c r="B130" s="92" t="s">
        <v>2739</v>
      </c>
      <c r="C130" s="93">
        <v>2019</v>
      </c>
      <c r="D130" s="93">
        <v>10</v>
      </c>
      <c r="E130" s="93">
        <v>105</v>
      </c>
      <c r="G130" t="s">
        <v>2788</v>
      </c>
      <c r="H130">
        <v>60</v>
      </c>
    </row>
    <row r="131" spans="2:8" x14ac:dyDescent="0.2">
      <c r="B131" s="92" t="s">
        <v>2739</v>
      </c>
      <c r="C131" s="93">
        <v>2019</v>
      </c>
      <c r="D131" s="93">
        <v>2</v>
      </c>
      <c r="E131" s="93">
        <v>103</v>
      </c>
      <c r="G131" t="s">
        <v>2740</v>
      </c>
      <c r="H131">
        <v>59</v>
      </c>
    </row>
    <row r="132" spans="2:8" x14ac:dyDescent="0.2">
      <c r="B132" s="92" t="s">
        <v>2739</v>
      </c>
      <c r="C132" s="93">
        <v>2019</v>
      </c>
      <c r="D132" s="93">
        <v>4</v>
      </c>
      <c r="E132" s="93">
        <v>87</v>
      </c>
      <c r="G132" t="s">
        <v>2837</v>
      </c>
      <c r="H132">
        <v>59</v>
      </c>
    </row>
    <row r="133" spans="2:8" x14ac:dyDescent="0.2">
      <c r="B133" s="92" t="s">
        <v>2739</v>
      </c>
      <c r="C133" s="93">
        <v>2019</v>
      </c>
      <c r="D133" s="93">
        <v>9</v>
      </c>
      <c r="E133" s="93">
        <v>87</v>
      </c>
      <c r="G133" t="s">
        <v>2868</v>
      </c>
      <c r="H133">
        <v>59</v>
      </c>
    </row>
    <row r="134" spans="2:8" x14ac:dyDescent="0.2">
      <c r="B134" s="92" t="s">
        <v>2739</v>
      </c>
      <c r="C134" s="93">
        <v>2019</v>
      </c>
      <c r="D134" s="93">
        <v>6</v>
      </c>
      <c r="E134" s="93">
        <v>79</v>
      </c>
      <c r="G134" t="s">
        <v>2846</v>
      </c>
      <c r="H134">
        <v>58</v>
      </c>
    </row>
    <row r="135" spans="2:8" x14ac:dyDescent="0.2">
      <c r="B135" s="92" t="s">
        <v>2739</v>
      </c>
      <c r="C135" s="93">
        <v>2019</v>
      </c>
      <c r="D135" s="93">
        <v>8</v>
      </c>
      <c r="E135" s="93">
        <v>72</v>
      </c>
      <c r="G135" t="s">
        <v>2918</v>
      </c>
      <c r="H135">
        <v>57</v>
      </c>
    </row>
    <row r="136" spans="2:8" x14ac:dyDescent="0.2">
      <c r="B136" s="92" t="s">
        <v>2739</v>
      </c>
      <c r="C136" s="93">
        <v>2019</v>
      </c>
      <c r="D136" s="93">
        <v>3</v>
      </c>
      <c r="E136" s="93">
        <v>71</v>
      </c>
      <c r="G136" t="s">
        <v>2826</v>
      </c>
      <c r="H136">
        <v>56</v>
      </c>
    </row>
    <row r="137" spans="2:8" x14ac:dyDescent="0.2">
      <c r="B137" s="92" t="s">
        <v>2739</v>
      </c>
      <c r="C137" s="93">
        <v>2019</v>
      </c>
      <c r="D137" s="93">
        <v>11</v>
      </c>
      <c r="E137" s="93">
        <v>62</v>
      </c>
      <c r="G137" t="s">
        <v>2919</v>
      </c>
      <c r="H137">
        <v>55</v>
      </c>
    </row>
    <row r="138" spans="2:8" x14ac:dyDescent="0.2">
      <c r="B138" s="92" t="s">
        <v>2739</v>
      </c>
      <c r="C138" s="93">
        <v>2019</v>
      </c>
      <c r="D138" s="93">
        <v>5</v>
      </c>
      <c r="E138" s="93">
        <v>55</v>
      </c>
      <c r="G138" t="s">
        <v>2731</v>
      </c>
      <c r="H138">
        <v>53</v>
      </c>
    </row>
    <row r="139" spans="2:8" x14ac:dyDescent="0.2">
      <c r="B139" s="92" t="s">
        <v>2739</v>
      </c>
      <c r="C139" s="93">
        <v>2019</v>
      </c>
      <c r="D139" s="93">
        <v>1</v>
      </c>
      <c r="E139" s="93">
        <v>51</v>
      </c>
      <c r="G139" t="s">
        <v>2920</v>
      </c>
      <c r="H139">
        <v>52</v>
      </c>
    </row>
    <row r="140" spans="2:8" x14ac:dyDescent="0.2">
      <c r="B140" s="92" t="s">
        <v>2739</v>
      </c>
      <c r="C140" s="93">
        <v>2019</v>
      </c>
      <c r="D140" s="93">
        <v>7</v>
      </c>
      <c r="E140" s="93">
        <v>51</v>
      </c>
      <c r="G140" t="s">
        <v>2921</v>
      </c>
      <c r="H140">
        <v>51</v>
      </c>
    </row>
    <row r="141" spans="2:8" x14ac:dyDescent="0.2">
      <c r="B141" s="92" t="s">
        <v>2739</v>
      </c>
      <c r="C141" s="93">
        <v>2019</v>
      </c>
      <c r="D141" s="93">
        <v>12</v>
      </c>
      <c r="E141" s="93">
        <v>46</v>
      </c>
      <c r="G141" t="s">
        <v>2823</v>
      </c>
      <c r="H141">
        <v>51</v>
      </c>
    </row>
    <row r="142" spans="2:8" x14ac:dyDescent="0.2">
      <c r="B142" s="92" t="s">
        <v>2740</v>
      </c>
      <c r="C142" s="93">
        <v>2019</v>
      </c>
      <c r="D142" s="93">
        <v>3</v>
      </c>
      <c r="E142" s="93">
        <v>20</v>
      </c>
      <c r="G142" t="s">
        <v>2922</v>
      </c>
      <c r="H142">
        <v>51</v>
      </c>
    </row>
    <row r="143" spans="2:8" x14ac:dyDescent="0.2">
      <c r="B143" s="92" t="s">
        <v>2740</v>
      </c>
      <c r="C143" s="93">
        <v>2019</v>
      </c>
      <c r="D143" s="93">
        <v>1</v>
      </c>
      <c r="E143" s="93">
        <v>7</v>
      </c>
      <c r="G143" t="s">
        <v>2923</v>
      </c>
      <c r="H143">
        <v>51</v>
      </c>
    </row>
    <row r="144" spans="2:8" x14ac:dyDescent="0.2">
      <c r="B144" s="92" t="s">
        <v>2740</v>
      </c>
      <c r="C144" s="93">
        <v>2019</v>
      </c>
      <c r="D144" s="93">
        <v>7</v>
      </c>
      <c r="E144" s="93">
        <v>7</v>
      </c>
      <c r="G144" t="s">
        <v>2790</v>
      </c>
      <c r="H144">
        <v>49</v>
      </c>
    </row>
    <row r="145" spans="2:8" x14ac:dyDescent="0.2">
      <c r="B145" s="92" t="s">
        <v>2740</v>
      </c>
      <c r="C145" s="93">
        <v>2019</v>
      </c>
      <c r="D145" s="93">
        <v>8</v>
      </c>
      <c r="E145" s="93">
        <v>5</v>
      </c>
      <c r="G145" t="s">
        <v>2791</v>
      </c>
      <c r="H145">
        <v>49</v>
      </c>
    </row>
    <row r="146" spans="2:8" x14ac:dyDescent="0.2">
      <c r="B146" s="92" t="s">
        <v>2740</v>
      </c>
      <c r="C146" s="93">
        <v>2019</v>
      </c>
      <c r="D146" s="93">
        <v>5</v>
      </c>
      <c r="E146" s="93">
        <v>4</v>
      </c>
      <c r="G146" t="s">
        <v>2814</v>
      </c>
      <c r="H146">
        <v>47</v>
      </c>
    </row>
    <row r="147" spans="2:8" x14ac:dyDescent="0.2">
      <c r="B147" s="92" t="s">
        <v>2740</v>
      </c>
      <c r="C147" s="93">
        <v>2019</v>
      </c>
      <c r="D147" s="93">
        <v>2</v>
      </c>
      <c r="E147" s="93">
        <v>3</v>
      </c>
      <c r="G147" t="s">
        <v>2738</v>
      </c>
      <c r="H147">
        <v>46</v>
      </c>
    </row>
    <row r="148" spans="2:8" x14ac:dyDescent="0.2">
      <c r="B148" s="92" t="s">
        <v>2740</v>
      </c>
      <c r="C148" s="93">
        <v>2019</v>
      </c>
      <c r="D148" s="93">
        <v>6</v>
      </c>
      <c r="E148" s="93">
        <v>3</v>
      </c>
      <c r="G148" t="s">
        <v>2924</v>
      </c>
      <c r="H148">
        <v>46</v>
      </c>
    </row>
    <row r="149" spans="2:8" x14ac:dyDescent="0.2">
      <c r="B149" s="92" t="s">
        <v>2740</v>
      </c>
      <c r="C149" s="93">
        <v>2019</v>
      </c>
      <c r="D149" s="93">
        <v>12</v>
      </c>
      <c r="E149" s="93">
        <v>3</v>
      </c>
      <c r="G149" t="s">
        <v>2750</v>
      </c>
      <c r="H149">
        <v>45</v>
      </c>
    </row>
    <row r="150" spans="2:8" x14ac:dyDescent="0.2">
      <c r="B150" s="92" t="s">
        <v>2740</v>
      </c>
      <c r="C150" s="93">
        <v>2019</v>
      </c>
      <c r="D150" s="93">
        <v>4</v>
      </c>
      <c r="E150" s="93">
        <v>2</v>
      </c>
      <c r="G150" t="s">
        <v>2925</v>
      </c>
      <c r="H150">
        <v>45</v>
      </c>
    </row>
    <row r="151" spans="2:8" x14ac:dyDescent="0.2">
      <c r="B151" s="92" t="s">
        <v>2740</v>
      </c>
      <c r="C151" s="93">
        <v>2019</v>
      </c>
      <c r="D151" s="93">
        <v>9</v>
      </c>
      <c r="E151" s="93">
        <v>2</v>
      </c>
      <c r="G151" t="s">
        <v>2833</v>
      </c>
      <c r="H151">
        <v>45</v>
      </c>
    </row>
    <row r="152" spans="2:8" x14ac:dyDescent="0.2">
      <c r="B152" s="92" t="s">
        <v>2740</v>
      </c>
      <c r="C152" s="93">
        <v>2019</v>
      </c>
      <c r="D152" s="93">
        <v>11</v>
      </c>
      <c r="E152" s="93">
        <v>2</v>
      </c>
      <c r="G152" t="s">
        <v>2752</v>
      </c>
      <c r="H152">
        <v>44</v>
      </c>
    </row>
    <row r="153" spans="2:8" x14ac:dyDescent="0.2">
      <c r="B153" s="92" t="s">
        <v>2740</v>
      </c>
      <c r="C153" s="93">
        <v>2019</v>
      </c>
      <c r="D153" s="93">
        <v>10</v>
      </c>
      <c r="E153" s="93">
        <v>1</v>
      </c>
      <c r="G153" t="s">
        <v>2926</v>
      </c>
      <c r="H153">
        <v>44</v>
      </c>
    </row>
    <row r="154" spans="2:8" x14ac:dyDescent="0.2">
      <c r="B154" s="92" t="s">
        <v>2741</v>
      </c>
      <c r="C154" s="93">
        <v>2019</v>
      </c>
      <c r="D154" s="93">
        <v>4</v>
      </c>
      <c r="E154" s="93">
        <v>110</v>
      </c>
      <c r="G154" t="s">
        <v>2748</v>
      </c>
      <c r="H154">
        <v>43</v>
      </c>
    </row>
    <row r="155" spans="2:8" x14ac:dyDescent="0.2">
      <c r="B155" s="92" t="s">
        <v>2741</v>
      </c>
      <c r="C155" s="93">
        <v>2019</v>
      </c>
      <c r="D155" s="93">
        <v>5</v>
      </c>
      <c r="E155" s="93">
        <v>92</v>
      </c>
      <c r="G155" t="s">
        <v>2777</v>
      </c>
      <c r="H155">
        <v>43</v>
      </c>
    </row>
    <row r="156" spans="2:8" x14ac:dyDescent="0.2">
      <c r="B156" s="92" t="s">
        <v>2741</v>
      </c>
      <c r="C156" s="93">
        <v>2019</v>
      </c>
      <c r="D156" s="93">
        <v>9</v>
      </c>
      <c r="E156" s="93">
        <v>91</v>
      </c>
      <c r="G156" t="s">
        <v>2805</v>
      </c>
      <c r="H156">
        <v>43</v>
      </c>
    </row>
    <row r="157" spans="2:8" x14ac:dyDescent="0.2">
      <c r="B157" s="92" t="s">
        <v>2741</v>
      </c>
      <c r="C157" s="93">
        <v>2019</v>
      </c>
      <c r="D157" s="93">
        <v>3</v>
      </c>
      <c r="E157" s="93">
        <v>84</v>
      </c>
      <c r="G157" t="s">
        <v>2927</v>
      </c>
      <c r="H157">
        <v>43</v>
      </c>
    </row>
    <row r="158" spans="2:8" x14ac:dyDescent="0.2">
      <c r="B158" s="92" t="s">
        <v>2741</v>
      </c>
      <c r="C158" s="93">
        <v>2019</v>
      </c>
      <c r="D158" s="93">
        <v>10</v>
      </c>
      <c r="E158" s="93">
        <v>77</v>
      </c>
      <c r="G158" t="s">
        <v>2783</v>
      </c>
      <c r="H158">
        <v>40</v>
      </c>
    </row>
    <row r="159" spans="2:8" x14ac:dyDescent="0.2">
      <c r="B159" s="92" t="s">
        <v>2741</v>
      </c>
      <c r="C159" s="93">
        <v>2019</v>
      </c>
      <c r="D159" s="93">
        <v>11</v>
      </c>
      <c r="E159" s="93">
        <v>69</v>
      </c>
      <c r="G159" t="s">
        <v>2928</v>
      </c>
      <c r="H159">
        <v>40</v>
      </c>
    </row>
    <row r="160" spans="2:8" x14ac:dyDescent="0.2">
      <c r="B160" s="92" t="s">
        <v>2741</v>
      </c>
      <c r="C160" s="93">
        <v>2019</v>
      </c>
      <c r="D160" s="93">
        <v>8</v>
      </c>
      <c r="E160" s="93">
        <v>68</v>
      </c>
      <c r="G160" t="s">
        <v>2929</v>
      </c>
      <c r="H160">
        <v>40</v>
      </c>
    </row>
    <row r="161" spans="2:8" x14ac:dyDescent="0.2">
      <c r="B161" s="92" t="s">
        <v>2741</v>
      </c>
      <c r="C161" s="93">
        <v>2019</v>
      </c>
      <c r="D161" s="93">
        <v>7</v>
      </c>
      <c r="E161" s="93">
        <v>54</v>
      </c>
      <c r="G161" t="s">
        <v>2834</v>
      </c>
      <c r="H161">
        <v>38</v>
      </c>
    </row>
    <row r="162" spans="2:8" x14ac:dyDescent="0.2">
      <c r="B162" s="92" t="s">
        <v>2741</v>
      </c>
      <c r="C162" s="93">
        <v>2019</v>
      </c>
      <c r="D162" s="93">
        <v>1</v>
      </c>
      <c r="E162" s="93">
        <v>49</v>
      </c>
      <c r="G162" t="s">
        <v>2747</v>
      </c>
      <c r="H162">
        <v>36</v>
      </c>
    </row>
    <row r="163" spans="2:8" x14ac:dyDescent="0.2">
      <c r="B163" s="92" t="s">
        <v>2741</v>
      </c>
      <c r="C163" s="93">
        <v>2019</v>
      </c>
      <c r="D163" s="93">
        <v>6</v>
      </c>
      <c r="E163" s="93">
        <v>49</v>
      </c>
      <c r="G163" t="s">
        <v>2838</v>
      </c>
      <c r="H163">
        <v>36</v>
      </c>
    </row>
    <row r="164" spans="2:8" x14ac:dyDescent="0.2">
      <c r="B164" s="92" t="s">
        <v>2741</v>
      </c>
      <c r="C164" s="93">
        <v>2019</v>
      </c>
      <c r="D164" s="93">
        <v>12</v>
      </c>
      <c r="E164" s="93">
        <v>30</v>
      </c>
      <c r="G164" t="s">
        <v>2733</v>
      </c>
      <c r="H164">
        <v>35</v>
      </c>
    </row>
    <row r="165" spans="2:8" x14ac:dyDescent="0.2">
      <c r="B165" s="92" t="s">
        <v>2741</v>
      </c>
      <c r="C165" s="93">
        <v>2019</v>
      </c>
      <c r="D165" s="93">
        <v>2</v>
      </c>
      <c r="E165" s="93">
        <v>19</v>
      </c>
      <c r="G165" t="s">
        <v>2730</v>
      </c>
      <c r="H165">
        <v>34</v>
      </c>
    </row>
    <row r="166" spans="2:8" x14ac:dyDescent="0.2">
      <c r="B166" s="92" t="s">
        <v>2742</v>
      </c>
      <c r="C166" s="93">
        <v>2019</v>
      </c>
      <c r="D166" s="93">
        <v>4</v>
      </c>
      <c r="E166" s="93">
        <v>5</v>
      </c>
      <c r="G166" t="s">
        <v>2773</v>
      </c>
      <c r="H166">
        <v>34</v>
      </c>
    </row>
    <row r="167" spans="2:8" x14ac:dyDescent="0.2">
      <c r="B167" s="92" t="s">
        <v>2742</v>
      </c>
      <c r="C167" s="93">
        <v>2019</v>
      </c>
      <c r="D167" s="93">
        <v>7</v>
      </c>
      <c r="E167" s="93">
        <v>5</v>
      </c>
      <c r="G167" t="s">
        <v>2793</v>
      </c>
      <c r="H167">
        <v>33</v>
      </c>
    </row>
    <row r="168" spans="2:8" x14ac:dyDescent="0.2">
      <c r="B168" s="92" t="s">
        <v>2742</v>
      </c>
      <c r="C168" s="93">
        <v>2019</v>
      </c>
      <c r="D168" s="93">
        <v>3</v>
      </c>
      <c r="E168" s="93">
        <v>3</v>
      </c>
      <c r="G168" t="s">
        <v>2930</v>
      </c>
      <c r="H168">
        <v>33</v>
      </c>
    </row>
    <row r="169" spans="2:8" x14ac:dyDescent="0.2">
      <c r="B169" s="92" t="s">
        <v>2742</v>
      </c>
      <c r="C169" s="93">
        <v>2019</v>
      </c>
      <c r="D169" s="93">
        <v>8</v>
      </c>
      <c r="E169" s="93">
        <v>3</v>
      </c>
      <c r="G169" t="s">
        <v>2855</v>
      </c>
      <c r="H169">
        <v>33</v>
      </c>
    </row>
    <row r="170" spans="2:8" x14ac:dyDescent="0.2">
      <c r="B170" s="92" t="s">
        <v>2742</v>
      </c>
      <c r="C170" s="93">
        <v>2019</v>
      </c>
      <c r="D170" s="93">
        <v>5</v>
      </c>
      <c r="E170" s="93">
        <v>2</v>
      </c>
      <c r="G170" t="s">
        <v>2829</v>
      </c>
      <c r="H170">
        <v>32</v>
      </c>
    </row>
    <row r="171" spans="2:8" x14ac:dyDescent="0.2">
      <c r="B171" s="92" t="s">
        <v>2742</v>
      </c>
      <c r="C171" s="93">
        <v>2019</v>
      </c>
      <c r="D171" s="93">
        <v>2</v>
      </c>
      <c r="E171" s="93">
        <v>1</v>
      </c>
      <c r="G171" t="s">
        <v>2897</v>
      </c>
      <c r="H171">
        <v>31</v>
      </c>
    </row>
    <row r="172" spans="2:8" x14ac:dyDescent="0.2">
      <c r="B172" s="92" t="s">
        <v>2742</v>
      </c>
      <c r="C172" s="93">
        <v>2019</v>
      </c>
      <c r="D172" s="93">
        <v>6</v>
      </c>
      <c r="E172" s="93">
        <v>1</v>
      </c>
      <c r="G172" t="s">
        <v>2931</v>
      </c>
      <c r="H172">
        <v>29</v>
      </c>
    </row>
    <row r="173" spans="2:8" x14ac:dyDescent="0.2">
      <c r="B173" s="92" t="s">
        <v>2742</v>
      </c>
      <c r="C173" s="93">
        <v>2019</v>
      </c>
      <c r="D173" s="93">
        <v>9</v>
      </c>
      <c r="E173" s="93">
        <v>1</v>
      </c>
      <c r="G173" t="s">
        <v>2789</v>
      </c>
      <c r="H173">
        <v>29</v>
      </c>
    </row>
    <row r="174" spans="2:8" x14ac:dyDescent="0.2">
      <c r="B174" s="92" t="s">
        <v>2743</v>
      </c>
      <c r="C174" s="93">
        <v>2019</v>
      </c>
      <c r="D174" s="93">
        <v>3</v>
      </c>
      <c r="E174" s="93">
        <v>295</v>
      </c>
      <c r="G174" t="s">
        <v>2932</v>
      </c>
      <c r="H174">
        <v>27</v>
      </c>
    </row>
    <row r="175" spans="2:8" x14ac:dyDescent="0.2">
      <c r="B175" s="92" t="s">
        <v>2743</v>
      </c>
      <c r="C175" s="93">
        <v>2019</v>
      </c>
      <c r="D175" s="93">
        <v>9</v>
      </c>
      <c r="E175" s="93">
        <v>285</v>
      </c>
      <c r="G175" t="s">
        <v>2832</v>
      </c>
      <c r="H175">
        <v>26</v>
      </c>
    </row>
    <row r="176" spans="2:8" x14ac:dyDescent="0.2">
      <c r="B176" s="92" t="s">
        <v>2743</v>
      </c>
      <c r="C176" s="93">
        <v>2019</v>
      </c>
      <c r="D176" s="93">
        <v>1</v>
      </c>
      <c r="E176" s="93">
        <v>283</v>
      </c>
      <c r="G176" t="s">
        <v>2795</v>
      </c>
      <c r="H176">
        <v>24</v>
      </c>
    </row>
    <row r="177" spans="2:8" x14ac:dyDescent="0.2">
      <c r="B177" s="92" t="s">
        <v>2743</v>
      </c>
      <c r="C177" s="93">
        <v>2019</v>
      </c>
      <c r="D177" s="93">
        <v>4</v>
      </c>
      <c r="E177" s="93">
        <v>276</v>
      </c>
      <c r="G177" t="s">
        <v>2933</v>
      </c>
      <c r="H177">
        <v>24</v>
      </c>
    </row>
    <row r="178" spans="2:8" x14ac:dyDescent="0.2">
      <c r="B178" s="92" t="s">
        <v>2743</v>
      </c>
      <c r="C178" s="93">
        <v>2019</v>
      </c>
      <c r="D178" s="93">
        <v>5</v>
      </c>
      <c r="E178" s="93">
        <v>258</v>
      </c>
      <c r="G178" t="s">
        <v>2934</v>
      </c>
      <c r="H178">
        <v>24</v>
      </c>
    </row>
    <row r="179" spans="2:8" x14ac:dyDescent="0.2">
      <c r="B179" s="92" t="s">
        <v>2743</v>
      </c>
      <c r="C179" s="93">
        <v>2019</v>
      </c>
      <c r="D179" s="93">
        <v>2</v>
      </c>
      <c r="E179" s="93">
        <v>195</v>
      </c>
      <c r="G179" t="s">
        <v>2890</v>
      </c>
      <c r="H179">
        <v>23</v>
      </c>
    </row>
    <row r="180" spans="2:8" x14ac:dyDescent="0.2">
      <c r="B180" s="92" t="s">
        <v>2743</v>
      </c>
      <c r="C180" s="93">
        <v>2019</v>
      </c>
      <c r="D180" s="93">
        <v>8</v>
      </c>
      <c r="E180" s="93">
        <v>184</v>
      </c>
      <c r="G180" t="s">
        <v>2781</v>
      </c>
      <c r="H180">
        <v>23</v>
      </c>
    </row>
    <row r="181" spans="2:8" x14ac:dyDescent="0.2">
      <c r="B181" s="92" t="s">
        <v>2743</v>
      </c>
      <c r="C181" s="93">
        <v>2019</v>
      </c>
      <c r="D181" s="93">
        <v>12</v>
      </c>
      <c r="E181" s="93">
        <v>180</v>
      </c>
      <c r="G181" t="s">
        <v>2935</v>
      </c>
      <c r="H181">
        <v>23</v>
      </c>
    </row>
    <row r="182" spans="2:8" x14ac:dyDescent="0.2">
      <c r="B182" s="92" t="s">
        <v>2743</v>
      </c>
      <c r="C182" s="93">
        <v>2019</v>
      </c>
      <c r="D182" s="93">
        <v>10</v>
      </c>
      <c r="E182" s="93">
        <v>171</v>
      </c>
      <c r="G182" t="s">
        <v>2936</v>
      </c>
      <c r="H182">
        <v>23</v>
      </c>
    </row>
    <row r="183" spans="2:8" x14ac:dyDescent="0.2">
      <c r="B183" s="92" t="s">
        <v>2743</v>
      </c>
      <c r="C183" s="93">
        <v>2019</v>
      </c>
      <c r="D183" s="93">
        <v>11</v>
      </c>
      <c r="E183" s="93">
        <v>136</v>
      </c>
      <c r="G183" t="s">
        <v>2742</v>
      </c>
      <c r="H183">
        <v>21</v>
      </c>
    </row>
    <row r="184" spans="2:8" x14ac:dyDescent="0.2">
      <c r="B184" s="92" t="s">
        <v>2743</v>
      </c>
      <c r="C184" s="93">
        <v>2019</v>
      </c>
      <c r="D184" s="93">
        <v>7</v>
      </c>
      <c r="E184" s="93">
        <v>133</v>
      </c>
      <c r="G184" t="s">
        <v>2937</v>
      </c>
      <c r="H184">
        <v>21</v>
      </c>
    </row>
    <row r="185" spans="2:8" x14ac:dyDescent="0.2">
      <c r="B185" s="92" t="s">
        <v>2743</v>
      </c>
      <c r="C185" s="93">
        <v>2019</v>
      </c>
      <c r="D185" s="93">
        <v>6</v>
      </c>
      <c r="E185" s="93">
        <v>131</v>
      </c>
      <c r="G185" t="s">
        <v>2770</v>
      </c>
      <c r="H185">
        <v>21</v>
      </c>
    </row>
    <row r="186" spans="2:8" x14ac:dyDescent="0.2">
      <c r="B186" s="92" t="s">
        <v>2908</v>
      </c>
      <c r="C186" s="93">
        <v>2019</v>
      </c>
      <c r="D186" s="93">
        <v>10</v>
      </c>
      <c r="E186" s="93">
        <v>24</v>
      </c>
      <c r="G186" t="s">
        <v>2938</v>
      </c>
      <c r="H186">
        <v>20</v>
      </c>
    </row>
    <row r="187" spans="2:8" x14ac:dyDescent="0.2">
      <c r="B187" s="92" t="s">
        <v>2908</v>
      </c>
      <c r="C187" s="93">
        <v>2019</v>
      </c>
      <c r="D187" s="93">
        <v>4</v>
      </c>
      <c r="E187" s="93">
        <v>22</v>
      </c>
      <c r="G187" t="s">
        <v>2939</v>
      </c>
      <c r="H187">
        <v>20</v>
      </c>
    </row>
    <row r="188" spans="2:8" x14ac:dyDescent="0.2">
      <c r="B188" s="92" t="s">
        <v>2908</v>
      </c>
      <c r="C188" s="93">
        <v>2019</v>
      </c>
      <c r="D188" s="93">
        <v>3</v>
      </c>
      <c r="E188" s="93">
        <v>17</v>
      </c>
      <c r="G188" t="s">
        <v>2940</v>
      </c>
      <c r="H188">
        <v>19</v>
      </c>
    </row>
    <row r="189" spans="2:8" x14ac:dyDescent="0.2">
      <c r="B189" s="92" t="s">
        <v>2908</v>
      </c>
      <c r="C189" s="93">
        <v>2019</v>
      </c>
      <c r="D189" s="93">
        <v>5</v>
      </c>
      <c r="E189" s="93">
        <v>13</v>
      </c>
      <c r="G189" t="s">
        <v>2824</v>
      </c>
      <c r="H189">
        <v>19</v>
      </c>
    </row>
    <row r="190" spans="2:8" x14ac:dyDescent="0.2">
      <c r="B190" s="92" t="s">
        <v>2908</v>
      </c>
      <c r="C190" s="93">
        <v>2019</v>
      </c>
      <c r="D190" s="93">
        <v>6</v>
      </c>
      <c r="E190" s="93">
        <v>10</v>
      </c>
      <c r="G190" t="s">
        <v>2835</v>
      </c>
      <c r="H190">
        <v>19</v>
      </c>
    </row>
    <row r="191" spans="2:8" x14ac:dyDescent="0.2">
      <c r="B191" s="92" t="s">
        <v>2908</v>
      </c>
      <c r="C191" s="93">
        <v>2019</v>
      </c>
      <c r="D191" s="93">
        <v>7</v>
      </c>
      <c r="E191" s="93">
        <v>10</v>
      </c>
      <c r="G191" t="s">
        <v>2755</v>
      </c>
      <c r="H191">
        <v>15</v>
      </c>
    </row>
    <row r="192" spans="2:8" x14ac:dyDescent="0.2">
      <c r="B192" s="92" t="s">
        <v>2908</v>
      </c>
      <c r="C192" s="93">
        <v>2019</v>
      </c>
      <c r="D192" s="93">
        <v>9</v>
      </c>
      <c r="E192" s="93">
        <v>10</v>
      </c>
      <c r="G192" t="s">
        <v>2941</v>
      </c>
      <c r="H192">
        <v>15</v>
      </c>
    </row>
    <row r="193" spans="2:8" x14ac:dyDescent="0.2">
      <c r="B193" s="92" t="s">
        <v>2908</v>
      </c>
      <c r="C193" s="93">
        <v>2019</v>
      </c>
      <c r="D193" s="93">
        <v>11</v>
      </c>
      <c r="E193" s="93">
        <v>7</v>
      </c>
      <c r="G193" t="s">
        <v>2942</v>
      </c>
      <c r="H193">
        <v>15</v>
      </c>
    </row>
    <row r="194" spans="2:8" x14ac:dyDescent="0.2">
      <c r="B194" s="92" t="s">
        <v>2908</v>
      </c>
      <c r="C194" s="93">
        <v>2019</v>
      </c>
      <c r="D194" s="93">
        <v>8</v>
      </c>
      <c r="E194" s="93">
        <v>5</v>
      </c>
      <c r="G194" t="s">
        <v>2943</v>
      </c>
      <c r="H194">
        <v>13</v>
      </c>
    </row>
    <row r="195" spans="2:8" x14ac:dyDescent="0.2">
      <c r="B195" s="92" t="s">
        <v>2908</v>
      </c>
      <c r="C195" s="93">
        <v>2019</v>
      </c>
      <c r="D195" s="93">
        <v>1</v>
      </c>
      <c r="E195" s="93">
        <v>3</v>
      </c>
      <c r="G195" t="s">
        <v>2784</v>
      </c>
      <c r="H195">
        <v>13</v>
      </c>
    </row>
    <row r="196" spans="2:8" x14ac:dyDescent="0.2">
      <c r="B196" s="92" t="s">
        <v>2908</v>
      </c>
      <c r="C196" s="93">
        <v>2019</v>
      </c>
      <c r="D196" s="93">
        <v>2</v>
      </c>
      <c r="E196" s="93">
        <v>3</v>
      </c>
      <c r="G196" t="s">
        <v>2944</v>
      </c>
      <c r="H196">
        <v>13</v>
      </c>
    </row>
    <row r="197" spans="2:8" x14ac:dyDescent="0.2">
      <c r="B197" s="92" t="s">
        <v>2744</v>
      </c>
      <c r="C197" s="93">
        <v>2019</v>
      </c>
      <c r="D197" s="93">
        <v>3</v>
      </c>
      <c r="E197" s="93">
        <v>39</v>
      </c>
      <c r="G197" t="s">
        <v>2945</v>
      </c>
      <c r="H197">
        <v>13</v>
      </c>
    </row>
    <row r="198" spans="2:8" x14ac:dyDescent="0.2">
      <c r="B198" s="92" t="s">
        <v>2744</v>
      </c>
      <c r="C198" s="93">
        <v>2019</v>
      </c>
      <c r="D198" s="93">
        <v>9</v>
      </c>
      <c r="E198" s="93">
        <v>33</v>
      </c>
      <c r="G198" t="s">
        <v>2946</v>
      </c>
      <c r="H198">
        <v>12</v>
      </c>
    </row>
    <row r="199" spans="2:8" x14ac:dyDescent="0.2">
      <c r="B199" s="92" t="s">
        <v>2744</v>
      </c>
      <c r="C199" s="93">
        <v>2019</v>
      </c>
      <c r="D199" s="93">
        <v>11</v>
      </c>
      <c r="E199" s="93">
        <v>31</v>
      </c>
      <c r="G199" t="s">
        <v>2947</v>
      </c>
      <c r="H199">
        <v>12</v>
      </c>
    </row>
    <row r="200" spans="2:8" x14ac:dyDescent="0.2">
      <c r="B200" s="92" t="s">
        <v>2744</v>
      </c>
      <c r="C200" s="93">
        <v>2019</v>
      </c>
      <c r="D200" s="93">
        <v>2</v>
      </c>
      <c r="E200" s="93">
        <v>29</v>
      </c>
      <c r="G200" t="s">
        <v>2948</v>
      </c>
      <c r="H200">
        <v>11</v>
      </c>
    </row>
    <row r="201" spans="2:8" x14ac:dyDescent="0.2">
      <c r="B201" s="92" t="s">
        <v>2744</v>
      </c>
      <c r="C201" s="93">
        <v>2019</v>
      </c>
      <c r="D201" s="93">
        <v>4</v>
      </c>
      <c r="E201" s="93">
        <v>29</v>
      </c>
      <c r="G201" t="s">
        <v>2804</v>
      </c>
      <c r="H201">
        <v>11</v>
      </c>
    </row>
    <row r="202" spans="2:8" x14ac:dyDescent="0.2">
      <c r="B202" s="92" t="s">
        <v>2744</v>
      </c>
      <c r="C202" s="93">
        <v>2019</v>
      </c>
      <c r="D202" s="93">
        <v>5</v>
      </c>
      <c r="E202" s="93">
        <v>29</v>
      </c>
      <c r="G202" t="s">
        <v>2949</v>
      </c>
      <c r="H202">
        <v>11</v>
      </c>
    </row>
    <row r="203" spans="2:8" x14ac:dyDescent="0.2">
      <c r="B203" s="92" t="s">
        <v>2744</v>
      </c>
      <c r="C203" s="93">
        <v>2019</v>
      </c>
      <c r="D203" s="93">
        <v>8</v>
      </c>
      <c r="E203" s="93">
        <v>28</v>
      </c>
      <c r="G203" t="s">
        <v>2950</v>
      </c>
      <c r="H203">
        <v>10</v>
      </c>
    </row>
    <row r="204" spans="2:8" x14ac:dyDescent="0.2">
      <c r="B204" s="92" t="s">
        <v>2744</v>
      </c>
      <c r="C204" s="93">
        <v>2019</v>
      </c>
      <c r="D204" s="93">
        <v>7</v>
      </c>
      <c r="E204" s="93">
        <v>26</v>
      </c>
      <c r="G204" t="s">
        <v>2951</v>
      </c>
      <c r="H204">
        <v>10</v>
      </c>
    </row>
    <row r="205" spans="2:8" x14ac:dyDescent="0.2">
      <c r="B205" s="92" t="s">
        <v>2744</v>
      </c>
      <c r="C205" s="93">
        <v>2019</v>
      </c>
      <c r="D205" s="93">
        <v>1</v>
      </c>
      <c r="E205" s="93">
        <v>21</v>
      </c>
      <c r="G205" t="s">
        <v>2952</v>
      </c>
      <c r="H205">
        <v>10</v>
      </c>
    </row>
    <row r="206" spans="2:8" x14ac:dyDescent="0.2">
      <c r="B206" s="92" t="s">
        <v>2744</v>
      </c>
      <c r="C206" s="93">
        <v>2019</v>
      </c>
      <c r="D206" s="93">
        <v>12</v>
      </c>
      <c r="E206" s="93">
        <v>20</v>
      </c>
      <c r="G206" t="s">
        <v>2953</v>
      </c>
      <c r="H206">
        <v>10</v>
      </c>
    </row>
    <row r="207" spans="2:8" x14ac:dyDescent="0.2">
      <c r="B207" s="92" t="s">
        <v>2744</v>
      </c>
      <c r="C207" s="93">
        <v>2019</v>
      </c>
      <c r="D207" s="93">
        <v>6</v>
      </c>
      <c r="E207" s="93">
        <v>15</v>
      </c>
      <c r="G207" t="s">
        <v>2954</v>
      </c>
      <c r="H207">
        <v>10</v>
      </c>
    </row>
    <row r="208" spans="2:8" x14ac:dyDescent="0.2">
      <c r="B208" s="92" t="s">
        <v>2744</v>
      </c>
      <c r="C208" s="93">
        <v>2019</v>
      </c>
      <c r="D208" s="93">
        <v>10</v>
      </c>
      <c r="E208" s="93">
        <v>11</v>
      </c>
      <c r="G208" t="s">
        <v>2757</v>
      </c>
      <c r="H208">
        <v>9</v>
      </c>
    </row>
    <row r="209" spans="2:8" x14ac:dyDescent="0.2">
      <c r="B209" s="92" t="s">
        <v>2745</v>
      </c>
      <c r="C209" s="93">
        <v>2019</v>
      </c>
      <c r="D209" s="93">
        <v>6</v>
      </c>
      <c r="E209" s="93">
        <v>23</v>
      </c>
      <c r="G209" t="s">
        <v>2955</v>
      </c>
      <c r="H209">
        <v>9</v>
      </c>
    </row>
    <row r="210" spans="2:8" x14ac:dyDescent="0.2">
      <c r="B210" s="92" t="s">
        <v>2745</v>
      </c>
      <c r="C210" s="93">
        <v>2019</v>
      </c>
      <c r="D210" s="93">
        <v>5</v>
      </c>
      <c r="E210" s="93">
        <v>14</v>
      </c>
      <c r="G210" t="s">
        <v>2856</v>
      </c>
      <c r="H210">
        <v>9</v>
      </c>
    </row>
    <row r="211" spans="2:8" x14ac:dyDescent="0.2">
      <c r="B211" s="92" t="s">
        <v>2745</v>
      </c>
      <c r="C211" s="93">
        <v>2019</v>
      </c>
      <c r="D211" s="93">
        <v>4</v>
      </c>
      <c r="E211" s="93">
        <v>12</v>
      </c>
      <c r="G211" t="s">
        <v>2775</v>
      </c>
      <c r="H211">
        <v>8</v>
      </c>
    </row>
    <row r="212" spans="2:8" x14ac:dyDescent="0.2">
      <c r="B212" s="92" t="s">
        <v>2745</v>
      </c>
      <c r="C212" s="93">
        <v>2019</v>
      </c>
      <c r="D212" s="93">
        <v>8</v>
      </c>
      <c r="E212" s="93">
        <v>11</v>
      </c>
      <c r="G212" t="s">
        <v>2956</v>
      </c>
      <c r="H212">
        <v>8</v>
      </c>
    </row>
    <row r="213" spans="2:8" x14ac:dyDescent="0.2">
      <c r="B213" s="92" t="s">
        <v>2745</v>
      </c>
      <c r="C213" s="93">
        <v>2019</v>
      </c>
      <c r="D213" s="93">
        <v>7</v>
      </c>
      <c r="E213" s="93">
        <v>9</v>
      </c>
      <c r="G213" t="s">
        <v>2957</v>
      </c>
      <c r="H213">
        <v>8</v>
      </c>
    </row>
    <row r="214" spans="2:8" x14ac:dyDescent="0.2">
      <c r="B214" s="92" t="s">
        <v>2745</v>
      </c>
      <c r="C214" s="93">
        <v>2019</v>
      </c>
      <c r="D214" s="93">
        <v>3</v>
      </c>
      <c r="E214" s="93">
        <v>7</v>
      </c>
      <c r="G214" t="s">
        <v>2958</v>
      </c>
      <c r="H214">
        <v>7</v>
      </c>
    </row>
    <row r="215" spans="2:8" x14ac:dyDescent="0.2">
      <c r="B215" s="92" t="s">
        <v>2745</v>
      </c>
      <c r="C215" s="93">
        <v>2019</v>
      </c>
      <c r="D215" s="93">
        <v>1</v>
      </c>
      <c r="E215" s="93">
        <v>6</v>
      </c>
      <c r="G215" t="s">
        <v>2959</v>
      </c>
      <c r="H215">
        <v>7</v>
      </c>
    </row>
    <row r="216" spans="2:8" x14ac:dyDescent="0.2">
      <c r="B216" s="92" t="s">
        <v>2745</v>
      </c>
      <c r="C216" s="93">
        <v>2019</v>
      </c>
      <c r="D216" s="93">
        <v>12</v>
      </c>
      <c r="E216" s="93">
        <v>5</v>
      </c>
      <c r="G216" t="s">
        <v>2960</v>
      </c>
      <c r="H216">
        <v>7</v>
      </c>
    </row>
    <row r="217" spans="2:8" x14ac:dyDescent="0.2">
      <c r="B217" s="92" t="s">
        <v>2745</v>
      </c>
      <c r="C217" s="93">
        <v>2019</v>
      </c>
      <c r="D217" s="93">
        <v>10</v>
      </c>
      <c r="E217" s="93">
        <v>4</v>
      </c>
      <c r="G217" t="s">
        <v>2961</v>
      </c>
      <c r="H217">
        <v>6</v>
      </c>
    </row>
    <row r="218" spans="2:8" x14ac:dyDescent="0.2">
      <c r="B218" s="92" t="s">
        <v>2745</v>
      </c>
      <c r="C218" s="93">
        <v>2019</v>
      </c>
      <c r="D218" s="93">
        <v>2</v>
      </c>
      <c r="E218" s="93">
        <v>3</v>
      </c>
      <c r="G218" t="s">
        <v>2962</v>
      </c>
      <c r="H218">
        <v>6</v>
      </c>
    </row>
    <row r="219" spans="2:8" x14ac:dyDescent="0.2">
      <c r="B219" s="92" t="s">
        <v>2746</v>
      </c>
      <c r="C219" s="93">
        <v>2019</v>
      </c>
      <c r="D219" s="93">
        <v>3</v>
      </c>
      <c r="E219" s="93">
        <v>12</v>
      </c>
      <c r="G219" t="s">
        <v>2963</v>
      </c>
      <c r="H219">
        <v>6</v>
      </c>
    </row>
    <row r="220" spans="2:8" x14ac:dyDescent="0.2">
      <c r="B220" s="92" t="s">
        <v>2746</v>
      </c>
      <c r="C220" s="93">
        <v>2019</v>
      </c>
      <c r="D220" s="93">
        <v>9</v>
      </c>
      <c r="E220" s="93">
        <v>10</v>
      </c>
      <c r="G220" t="s">
        <v>2964</v>
      </c>
      <c r="H220">
        <v>6</v>
      </c>
    </row>
    <row r="221" spans="2:8" x14ac:dyDescent="0.2">
      <c r="B221" s="92" t="s">
        <v>2746</v>
      </c>
      <c r="C221" s="93">
        <v>2019</v>
      </c>
      <c r="D221" s="93">
        <v>6</v>
      </c>
      <c r="E221" s="93">
        <v>9</v>
      </c>
      <c r="G221" t="s">
        <v>2965</v>
      </c>
      <c r="H221">
        <v>6</v>
      </c>
    </row>
    <row r="222" spans="2:8" x14ac:dyDescent="0.2">
      <c r="B222" s="92" t="s">
        <v>2746</v>
      </c>
      <c r="C222" s="93">
        <v>2019</v>
      </c>
      <c r="D222" s="93">
        <v>2</v>
      </c>
      <c r="E222" s="93">
        <v>6</v>
      </c>
      <c r="G222" t="s">
        <v>2966</v>
      </c>
      <c r="H222">
        <v>6</v>
      </c>
    </row>
    <row r="223" spans="2:8" x14ac:dyDescent="0.2">
      <c r="B223" s="92" t="s">
        <v>2746</v>
      </c>
      <c r="C223" s="93">
        <v>2019</v>
      </c>
      <c r="D223" s="93">
        <v>7</v>
      </c>
      <c r="E223" s="93">
        <v>6</v>
      </c>
      <c r="G223" t="s">
        <v>2893</v>
      </c>
      <c r="H223">
        <v>5</v>
      </c>
    </row>
    <row r="224" spans="2:8" x14ac:dyDescent="0.2">
      <c r="B224" s="92" t="s">
        <v>2746</v>
      </c>
      <c r="C224" s="93">
        <v>2019</v>
      </c>
      <c r="D224" s="93">
        <v>12</v>
      </c>
      <c r="E224" s="93">
        <v>6</v>
      </c>
      <c r="G224" t="s">
        <v>2967</v>
      </c>
      <c r="H224">
        <v>5</v>
      </c>
    </row>
    <row r="225" spans="2:8" x14ac:dyDescent="0.2">
      <c r="B225" s="92" t="s">
        <v>2746</v>
      </c>
      <c r="C225" s="93">
        <v>2019</v>
      </c>
      <c r="D225" s="93">
        <v>10</v>
      </c>
      <c r="E225" s="93">
        <v>5</v>
      </c>
      <c r="G225" t="s">
        <v>2968</v>
      </c>
      <c r="H225">
        <v>4</v>
      </c>
    </row>
    <row r="226" spans="2:8" x14ac:dyDescent="0.2">
      <c r="B226" s="92" t="s">
        <v>2746</v>
      </c>
      <c r="C226" s="93">
        <v>2019</v>
      </c>
      <c r="D226" s="93">
        <v>1</v>
      </c>
      <c r="E226" s="93">
        <v>4</v>
      </c>
      <c r="G226" t="s">
        <v>2969</v>
      </c>
      <c r="H226">
        <v>4</v>
      </c>
    </row>
    <row r="227" spans="2:8" x14ac:dyDescent="0.2">
      <c r="B227" s="92" t="s">
        <v>2746</v>
      </c>
      <c r="C227" s="93">
        <v>2019</v>
      </c>
      <c r="D227" s="93">
        <v>5</v>
      </c>
      <c r="E227" s="93">
        <v>4</v>
      </c>
      <c r="G227" t="s">
        <v>2970</v>
      </c>
      <c r="H227">
        <v>4</v>
      </c>
    </row>
    <row r="228" spans="2:8" x14ac:dyDescent="0.2">
      <c r="B228" s="92" t="s">
        <v>2746</v>
      </c>
      <c r="C228" s="93">
        <v>2019</v>
      </c>
      <c r="D228" s="93">
        <v>8</v>
      </c>
      <c r="E228" s="93">
        <v>3</v>
      </c>
      <c r="G228" t="s">
        <v>2971</v>
      </c>
      <c r="H228">
        <v>3</v>
      </c>
    </row>
    <row r="229" spans="2:8" x14ac:dyDescent="0.2">
      <c r="B229" s="92" t="s">
        <v>2746</v>
      </c>
      <c r="C229" s="93">
        <v>2019</v>
      </c>
      <c r="D229" s="93">
        <v>4</v>
      </c>
      <c r="E229" s="93">
        <v>2</v>
      </c>
      <c r="G229" t="s">
        <v>2972</v>
      </c>
      <c r="H229">
        <v>3</v>
      </c>
    </row>
    <row r="230" spans="2:8" x14ac:dyDescent="0.2">
      <c r="B230" s="92" t="s">
        <v>2746</v>
      </c>
      <c r="C230" s="93">
        <v>2019</v>
      </c>
      <c r="D230" s="93">
        <v>11</v>
      </c>
      <c r="E230" s="93">
        <v>1</v>
      </c>
      <c r="G230" t="s">
        <v>2853</v>
      </c>
      <c r="H230">
        <v>3</v>
      </c>
    </row>
    <row r="231" spans="2:8" x14ac:dyDescent="0.2">
      <c r="B231" s="92" t="s">
        <v>2747</v>
      </c>
      <c r="C231" s="93">
        <v>2019</v>
      </c>
      <c r="D231" s="93">
        <v>1</v>
      </c>
      <c r="E231" s="93">
        <v>6</v>
      </c>
      <c r="G231" t="s">
        <v>2973</v>
      </c>
      <c r="H231">
        <v>2</v>
      </c>
    </row>
    <row r="232" spans="2:8" x14ac:dyDescent="0.2">
      <c r="B232" s="92" t="s">
        <v>2747</v>
      </c>
      <c r="C232" s="93">
        <v>2019</v>
      </c>
      <c r="D232" s="93">
        <v>2</v>
      </c>
      <c r="E232" s="93">
        <v>5</v>
      </c>
      <c r="G232" t="s">
        <v>2974</v>
      </c>
      <c r="H232">
        <v>2</v>
      </c>
    </row>
    <row r="233" spans="2:8" x14ac:dyDescent="0.2">
      <c r="B233" s="92" t="s">
        <v>2747</v>
      </c>
      <c r="C233" s="93">
        <v>2019</v>
      </c>
      <c r="D233" s="93">
        <v>8</v>
      </c>
      <c r="E233" s="93">
        <v>5</v>
      </c>
      <c r="G233" t="s">
        <v>2975</v>
      </c>
      <c r="H233">
        <v>2</v>
      </c>
    </row>
    <row r="234" spans="2:8" x14ac:dyDescent="0.2">
      <c r="B234" s="92" t="s">
        <v>2747</v>
      </c>
      <c r="C234" s="93">
        <v>2019</v>
      </c>
      <c r="D234" s="93">
        <v>9</v>
      </c>
      <c r="E234" s="93">
        <v>4</v>
      </c>
      <c r="G234" t="s">
        <v>2976</v>
      </c>
      <c r="H234">
        <v>1</v>
      </c>
    </row>
    <row r="235" spans="2:8" x14ac:dyDescent="0.2">
      <c r="B235" s="92" t="s">
        <v>2747</v>
      </c>
      <c r="C235" s="93">
        <v>2019</v>
      </c>
      <c r="D235" s="93">
        <v>12</v>
      </c>
      <c r="E235" s="93">
        <v>4</v>
      </c>
      <c r="G235" t="s">
        <v>2977</v>
      </c>
      <c r="H235">
        <v>1</v>
      </c>
    </row>
    <row r="236" spans="2:8" x14ac:dyDescent="0.2">
      <c r="B236" s="92" t="s">
        <v>2747</v>
      </c>
      <c r="C236" s="93">
        <v>2019</v>
      </c>
      <c r="D236" s="93">
        <v>4</v>
      </c>
      <c r="E236" s="93">
        <v>3</v>
      </c>
      <c r="G236" t="s">
        <v>2844</v>
      </c>
      <c r="H236">
        <v>1</v>
      </c>
    </row>
    <row r="237" spans="2:8" x14ac:dyDescent="0.2">
      <c r="B237" s="92" t="s">
        <v>2747</v>
      </c>
      <c r="C237" s="93">
        <v>2019</v>
      </c>
      <c r="D237" s="93">
        <v>5</v>
      </c>
      <c r="E237" s="93">
        <v>3</v>
      </c>
      <c r="G237" t="s">
        <v>2978</v>
      </c>
      <c r="H237">
        <v>1</v>
      </c>
    </row>
    <row r="238" spans="2:8" x14ac:dyDescent="0.2">
      <c r="B238" s="92" t="s">
        <v>2747</v>
      </c>
      <c r="C238" s="93">
        <v>2019</v>
      </c>
      <c r="D238" s="93">
        <v>11</v>
      </c>
      <c r="E238" s="93">
        <v>3</v>
      </c>
      <c r="G238" t="s">
        <v>2857</v>
      </c>
      <c r="H238">
        <v>1</v>
      </c>
    </row>
    <row r="239" spans="2:8" x14ac:dyDescent="0.2">
      <c r="B239" s="92" t="s">
        <v>2747</v>
      </c>
      <c r="C239" s="93">
        <v>2019</v>
      </c>
      <c r="D239" s="93">
        <v>3</v>
      </c>
      <c r="E239" s="93">
        <v>2</v>
      </c>
      <c r="G239" t="s">
        <v>2979</v>
      </c>
      <c r="H239">
        <v>1</v>
      </c>
    </row>
    <row r="240" spans="2:8" x14ac:dyDescent="0.2">
      <c r="B240" s="92" t="s">
        <v>2747</v>
      </c>
      <c r="C240" s="93">
        <v>2019</v>
      </c>
      <c r="D240" s="93">
        <v>10</v>
      </c>
      <c r="E240" s="93">
        <v>1</v>
      </c>
    </row>
    <row r="241" spans="2:5" x14ac:dyDescent="0.2">
      <c r="B241" s="92" t="s">
        <v>2748</v>
      </c>
      <c r="C241" s="93">
        <v>2019</v>
      </c>
      <c r="D241" s="93">
        <v>1</v>
      </c>
      <c r="E241" s="93">
        <v>14</v>
      </c>
    </row>
    <row r="242" spans="2:5" x14ac:dyDescent="0.2">
      <c r="B242" s="92" t="s">
        <v>2748</v>
      </c>
      <c r="C242" s="93">
        <v>2019</v>
      </c>
      <c r="D242" s="93">
        <v>3</v>
      </c>
      <c r="E242" s="93">
        <v>7</v>
      </c>
    </row>
    <row r="243" spans="2:5" x14ac:dyDescent="0.2">
      <c r="B243" s="92" t="s">
        <v>2748</v>
      </c>
      <c r="C243" s="93">
        <v>2019</v>
      </c>
      <c r="D243" s="93">
        <v>4</v>
      </c>
      <c r="E243" s="93">
        <v>6</v>
      </c>
    </row>
    <row r="244" spans="2:5" x14ac:dyDescent="0.2">
      <c r="B244" s="92" t="s">
        <v>2748</v>
      </c>
      <c r="C244" s="93">
        <v>2019</v>
      </c>
      <c r="D244" s="93">
        <v>5</v>
      </c>
      <c r="E244" s="93">
        <v>4</v>
      </c>
    </row>
    <row r="245" spans="2:5" x14ac:dyDescent="0.2">
      <c r="B245" s="92" t="s">
        <v>2748</v>
      </c>
      <c r="C245" s="93">
        <v>2019</v>
      </c>
      <c r="D245" s="93">
        <v>6</v>
      </c>
      <c r="E245" s="93">
        <v>4</v>
      </c>
    </row>
    <row r="246" spans="2:5" x14ac:dyDescent="0.2">
      <c r="B246" s="92" t="s">
        <v>2748</v>
      </c>
      <c r="C246" s="93">
        <v>2019</v>
      </c>
      <c r="D246" s="93">
        <v>11</v>
      </c>
      <c r="E246" s="93">
        <v>3</v>
      </c>
    </row>
    <row r="247" spans="2:5" x14ac:dyDescent="0.2">
      <c r="B247" s="92" t="s">
        <v>2748</v>
      </c>
      <c r="C247" s="93">
        <v>2019</v>
      </c>
      <c r="D247" s="93">
        <v>7</v>
      </c>
      <c r="E247" s="93">
        <v>2</v>
      </c>
    </row>
    <row r="248" spans="2:5" x14ac:dyDescent="0.2">
      <c r="B248" s="92" t="s">
        <v>2748</v>
      </c>
      <c r="C248" s="93">
        <v>2019</v>
      </c>
      <c r="D248" s="93">
        <v>2</v>
      </c>
      <c r="E248" s="93">
        <v>1</v>
      </c>
    </row>
    <row r="249" spans="2:5" x14ac:dyDescent="0.2">
      <c r="B249" s="92" t="s">
        <v>2748</v>
      </c>
      <c r="C249" s="93">
        <v>2019</v>
      </c>
      <c r="D249" s="93">
        <v>9</v>
      </c>
      <c r="E249" s="93">
        <v>1</v>
      </c>
    </row>
    <row r="250" spans="2:5" x14ac:dyDescent="0.2">
      <c r="B250" s="92" t="s">
        <v>2748</v>
      </c>
      <c r="C250" s="93">
        <v>2019</v>
      </c>
      <c r="D250" s="93">
        <v>10</v>
      </c>
      <c r="E250" s="93">
        <v>1</v>
      </c>
    </row>
    <row r="251" spans="2:5" x14ac:dyDescent="0.2">
      <c r="B251" s="92" t="s">
        <v>2749</v>
      </c>
      <c r="C251" s="93">
        <v>2019</v>
      </c>
      <c r="D251" s="93">
        <v>5</v>
      </c>
      <c r="E251" s="93">
        <v>13</v>
      </c>
    </row>
    <row r="252" spans="2:5" x14ac:dyDescent="0.2">
      <c r="B252" s="92" t="s">
        <v>2749</v>
      </c>
      <c r="C252" s="93">
        <v>2019</v>
      </c>
      <c r="D252" s="93">
        <v>2</v>
      </c>
      <c r="E252" s="93">
        <v>12</v>
      </c>
    </row>
    <row r="253" spans="2:5" x14ac:dyDescent="0.2">
      <c r="B253" s="92" t="s">
        <v>2749</v>
      </c>
      <c r="C253" s="93">
        <v>2019</v>
      </c>
      <c r="D253" s="93">
        <v>8</v>
      </c>
      <c r="E253" s="93">
        <v>11</v>
      </c>
    </row>
    <row r="254" spans="2:5" x14ac:dyDescent="0.2">
      <c r="B254" s="92" t="s">
        <v>2749</v>
      </c>
      <c r="C254" s="93">
        <v>2019</v>
      </c>
      <c r="D254" s="93">
        <v>9</v>
      </c>
      <c r="E254" s="93">
        <v>11</v>
      </c>
    </row>
    <row r="255" spans="2:5" x14ac:dyDescent="0.2">
      <c r="B255" s="92" t="s">
        <v>2749</v>
      </c>
      <c r="C255" s="93">
        <v>2019</v>
      </c>
      <c r="D255" s="93">
        <v>7</v>
      </c>
      <c r="E255" s="93">
        <v>9</v>
      </c>
    </row>
    <row r="256" spans="2:5" x14ac:dyDescent="0.2">
      <c r="B256" s="92" t="s">
        <v>2749</v>
      </c>
      <c r="C256" s="93">
        <v>2019</v>
      </c>
      <c r="D256" s="93">
        <v>3</v>
      </c>
      <c r="E256" s="93">
        <v>8</v>
      </c>
    </row>
    <row r="257" spans="2:5" x14ac:dyDescent="0.2">
      <c r="B257" s="92" t="s">
        <v>2749</v>
      </c>
      <c r="C257" s="93">
        <v>2019</v>
      </c>
      <c r="D257" s="93">
        <v>10</v>
      </c>
      <c r="E257" s="93">
        <v>8</v>
      </c>
    </row>
    <row r="258" spans="2:5" x14ac:dyDescent="0.2">
      <c r="B258" s="92" t="s">
        <v>2749</v>
      </c>
      <c r="C258" s="93">
        <v>2019</v>
      </c>
      <c r="D258" s="93">
        <v>6</v>
      </c>
      <c r="E258" s="93">
        <v>7</v>
      </c>
    </row>
    <row r="259" spans="2:5" x14ac:dyDescent="0.2">
      <c r="B259" s="92" t="s">
        <v>2749</v>
      </c>
      <c r="C259" s="93">
        <v>2019</v>
      </c>
      <c r="D259" s="93">
        <v>4</v>
      </c>
      <c r="E259" s="93">
        <v>6</v>
      </c>
    </row>
    <row r="260" spans="2:5" x14ac:dyDescent="0.2">
      <c r="B260" s="92" t="s">
        <v>2749</v>
      </c>
      <c r="C260" s="93">
        <v>2019</v>
      </c>
      <c r="D260" s="93">
        <v>12</v>
      </c>
      <c r="E260" s="93">
        <v>6</v>
      </c>
    </row>
    <row r="261" spans="2:5" x14ac:dyDescent="0.2">
      <c r="B261" s="92" t="s">
        <v>2749</v>
      </c>
      <c r="C261" s="93">
        <v>2019</v>
      </c>
      <c r="D261" s="93">
        <v>1</v>
      </c>
      <c r="E261" s="93">
        <v>5</v>
      </c>
    </row>
    <row r="262" spans="2:5" x14ac:dyDescent="0.2">
      <c r="B262" s="92" t="s">
        <v>2749</v>
      </c>
      <c r="C262" s="93">
        <v>2019</v>
      </c>
      <c r="D262" s="93">
        <v>11</v>
      </c>
      <c r="E262" s="93">
        <v>2</v>
      </c>
    </row>
    <row r="263" spans="2:5" x14ac:dyDescent="0.2">
      <c r="B263" s="92" t="s">
        <v>2950</v>
      </c>
      <c r="C263" s="93">
        <v>2019</v>
      </c>
      <c r="D263" s="93">
        <v>6</v>
      </c>
      <c r="E263" s="93">
        <v>4</v>
      </c>
    </row>
    <row r="264" spans="2:5" x14ac:dyDescent="0.2">
      <c r="B264" s="92" t="s">
        <v>2950</v>
      </c>
      <c r="C264" s="93">
        <v>2019</v>
      </c>
      <c r="D264" s="93">
        <v>5</v>
      </c>
      <c r="E264" s="93">
        <v>2</v>
      </c>
    </row>
    <row r="265" spans="2:5" x14ac:dyDescent="0.2">
      <c r="B265" s="92" t="s">
        <v>2950</v>
      </c>
      <c r="C265" s="93">
        <v>2019</v>
      </c>
      <c r="D265" s="93">
        <v>2</v>
      </c>
      <c r="E265" s="93">
        <v>1</v>
      </c>
    </row>
    <row r="266" spans="2:5" x14ac:dyDescent="0.2">
      <c r="B266" s="92" t="s">
        <v>2950</v>
      </c>
      <c r="C266" s="93">
        <v>2019</v>
      </c>
      <c r="D266" s="93">
        <v>4</v>
      </c>
      <c r="E266" s="93">
        <v>1</v>
      </c>
    </row>
    <row r="267" spans="2:5" x14ac:dyDescent="0.2">
      <c r="B267" s="92" t="s">
        <v>2950</v>
      </c>
      <c r="C267" s="93">
        <v>2019</v>
      </c>
      <c r="D267" s="93">
        <v>9</v>
      </c>
      <c r="E267" s="93">
        <v>1</v>
      </c>
    </row>
    <row r="268" spans="2:5" x14ac:dyDescent="0.2">
      <c r="B268" s="92" t="s">
        <v>2950</v>
      </c>
      <c r="C268" s="93">
        <v>2019</v>
      </c>
      <c r="D268" s="93">
        <v>10</v>
      </c>
      <c r="E268" s="93">
        <v>1</v>
      </c>
    </row>
    <row r="269" spans="2:5" x14ac:dyDescent="0.2">
      <c r="B269" s="92" t="s">
        <v>2931</v>
      </c>
      <c r="C269" s="93">
        <v>2019</v>
      </c>
      <c r="D269" s="93">
        <v>5</v>
      </c>
      <c r="E269" s="93">
        <v>8</v>
      </c>
    </row>
    <row r="270" spans="2:5" x14ac:dyDescent="0.2">
      <c r="B270" s="92" t="s">
        <v>2931</v>
      </c>
      <c r="C270" s="93">
        <v>2019</v>
      </c>
      <c r="D270" s="93">
        <v>4</v>
      </c>
      <c r="E270" s="93">
        <v>6</v>
      </c>
    </row>
    <row r="271" spans="2:5" x14ac:dyDescent="0.2">
      <c r="B271" s="92" t="s">
        <v>2931</v>
      </c>
      <c r="C271" s="93">
        <v>2019</v>
      </c>
      <c r="D271" s="93">
        <v>2</v>
      </c>
      <c r="E271" s="93">
        <v>5</v>
      </c>
    </row>
    <row r="272" spans="2:5" x14ac:dyDescent="0.2">
      <c r="B272" s="92" t="s">
        <v>2931</v>
      </c>
      <c r="C272" s="93">
        <v>2019</v>
      </c>
      <c r="D272" s="93">
        <v>6</v>
      </c>
      <c r="E272" s="93">
        <v>5</v>
      </c>
    </row>
    <row r="273" spans="2:5" x14ac:dyDescent="0.2">
      <c r="B273" s="92" t="s">
        <v>2931</v>
      </c>
      <c r="C273" s="93">
        <v>2019</v>
      </c>
      <c r="D273" s="93">
        <v>3</v>
      </c>
      <c r="E273" s="93">
        <v>2</v>
      </c>
    </row>
    <row r="274" spans="2:5" x14ac:dyDescent="0.2">
      <c r="B274" s="92" t="s">
        <v>2931</v>
      </c>
      <c r="C274" s="93">
        <v>2019</v>
      </c>
      <c r="D274" s="93">
        <v>8</v>
      </c>
      <c r="E274" s="93">
        <v>1</v>
      </c>
    </row>
    <row r="275" spans="2:5" x14ac:dyDescent="0.2">
      <c r="B275" s="92" t="s">
        <v>2931</v>
      </c>
      <c r="C275" s="93">
        <v>2019</v>
      </c>
      <c r="D275" s="93">
        <v>9</v>
      </c>
      <c r="E275" s="93">
        <v>1</v>
      </c>
    </row>
    <row r="276" spans="2:5" x14ac:dyDescent="0.2">
      <c r="B276" s="92" t="s">
        <v>2931</v>
      </c>
      <c r="C276" s="93">
        <v>2019</v>
      </c>
      <c r="D276" s="93">
        <v>12</v>
      </c>
      <c r="E276" s="93">
        <v>1</v>
      </c>
    </row>
    <row r="277" spans="2:5" x14ac:dyDescent="0.2">
      <c r="B277" s="92" t="s">
        <v>2750</v>
      </c>
      <c r="C277" s="93">
        <v>2019</v>
      </c>
      <c r="D277" s="93">
        <v>10</v>
      </c>
      <c r="E277" s="93">
        <v>15</v>
      </c>
    </row>
    <row r="278" spans="2:5" x14ac:dyDescent="0.2">
      <c r="B278" s="92" t="s">
        <v>2750</v>
      </c>
      <c r="C278" s="93">
        <v>2019</v>
      </c>
      <c r="D278" s="93">
        <v>4</v>
      </c>
      <c r="E278" s="93">
        <v>8</v>
      </c>
    </row>
    <row r="279" spans="2:5" x14ac:dyDescent="0.2">
      <c r="B279" s="92" t="s">
        <v>2750</v>
      </c>
      <c r="C279" s="93">
        <v>2019</v>
      </c>
      <c r="D279" s="93">
        <v>1</v>
      </c>
      <c r="E279" s="93">
        <v>6</v>
      </c>
    </row>
    <row r="280" spans="2:5" x14ac:dyDescent="0.2">
      <c r="B280" s="92" t="s">
        <v>2750</v>
      </c>
      <c r="C280" s="93">
        <v>2019</v>
      </c>
      <c r="D280" s="93">
        <v>6</v>
      </c>
      <c r="E280" s="93">
        <v>4</v>
      </c>
    </row>
    <row r="281" spans="2:5" x14ac:dyDescent="0.2">
      <c r="B281" s="92" t="s">
        <v>2750</v>
      </c>
      <c r="C281" s="93">
        <v>2019</v>
      </c>
      <c r="D281" s="93">
        <v>11</v>
      </c>
      <c r="E281" s="93">
        <v>4</v>
      </c>
    </row>
    <row r="282" spans="2:5" x14ac:dyDescent="0.2">
      <c r="B282" s="92" t="s">
        <v>2750</v>
      </c>
      <c r="C282" s="93">
        <v>2019</v>
      </c>
      <c r="D282" s="93">
        <v>5</v>
      </c>
      <c r="E282" s="93">
        <v>3</v>
      </c>
    </row>
    <row r="283" spans="2:5" x14ac:dyDescent="0.2">
      <c r="B283" s="92" t="s">
        <v>2750</v>
      </c>
      <c r="C283" s="93">
        <v>2019</v>
      </c>
      <c r="D283" s="93">
        <v>3</v>
      </c>
      <c r="E283" s="93">
        <v>2</v>
      </c>
    </row>
    <row r="284" spans="2:5" x14ac:dyDescent="0.2">
      <c r="B284" s="92" t="s">
        <v>2750</v>
      </c>
      <c r="C284" s="93">
        <v>2019</v>
      </c>
      <c r="D284" s="93">
        <v>7</v>
      </c>
      <c r="E284" s="93">
        <v>1</v>
      </c>
    </row>
    <row r="285" spans="2:5" x14ac:dyDescent="0.2">
      <c r="B285" s="92" t="s">
        <v>2750</v>
      </c>
      <c r="C285" s="93">
        <v>2019</v>
      </c>
      <c r="D285" s="93">
        <v>8</v>
      </c>
      <c r="E285" s="93">
        <v>1</v>
      </c>
    </row>
    <row r="286" spans="2:5" x14ac:dyDescent="0.2">
      <c r="B286" s="92" t="s">
        <v>2750</v>
      </c>
      <c r="C286" s="93">
        <v>2019</v>
      </c>
      <c r="D286" s="93">
        <v>9</v>
      </c>
      <c r="E286" s="93">
        <v>1</v>
      </c>
    </row>
    <row r="287" spans="2:5" x14ac:dyDescent="0.2">
      <c r="B287" s="92" t="s">
        <v>2751</v>
      </c>
      <c r="C287" s="93">
        <v>2019</v>
      </c>
      <c r="D287" s="93">
        <v>4</v>
      </c>
      <c r="E287" s="93">
        <v>57</v>
      </c>
    </row>
    <row r="288" spans="2:5" x14ac:dyDescent="0.2">
      <c r="B288" s="92" t="s">
        <v>2751</v>
      </c>
      <c r="C288" s="93">
        <v>2019</v>
      </c>
      <c r="D288" s="93">
        <v>3</v>
      </c>
      <c r="E288" s="93">
        <v>49</v>
      </c>
    </row>
    <row r="289" spans="2:5" x14ac:dyDescent="0.2">
      <c r="B289" s="92" t="s">
        <v>2751</v>
      </c>
      <c r="C289" s="93">
        <v>2019</v>
      </c>
      <c r="D289" s="93">
        <v>10</v>
      </c>
      <c r="E289" s="93">
        <v>42</v>
      </c>
    </row>
    <row r="290" spans="2:5" x14ac:dyDescent="0.2">
      <c r="B290" s="92" t="s">
        <v>2751</v>
      </c>
      <c r="C290" s="93">
        <v>2019</v>
      </c>
      <c r="D290" s="93">
        <v>9</v>
      </c>
      <c r="E290" s="93">
        <v>41</v>
      </c>
    </row>
    <row r="291" spans="2:5" x14ac:dyDescent="0.2">
      <c r="B291" s="92" t="s">
        <v>2751</v>
      </c>
      <c r="C291" s="93">
        <v>2019</v>
      </c>
      <c r="D291" s="93">
        <v>8</v>
      </c>
      <c r="E291" s="93">
        <v>29</v>
      </c>
    </row>
    <row r="292" spans="2:5" x14ac:dyDescent="0.2">
      <c r="B292" s="92" t="s">
        <v>2751</v>
      </c>
      <c r="C292" s="93">
        <v>2019</v>
      </c>
      <c r="D292" s="93">
        <v>11</v>
      </c>
      <c r="E292" s="93">
        <v>28</v>
      </c>
    </row>
    <row r="293" spans="2:5" x14ac:dyDescent="0.2">
      <c r="B293" s="92" t="s">
        <v>2751</v>
      </c>
      <c r="C293" s="93">
        <v>2019</v>
      </c>
      <c r="D293" s="93">
        <v>12</v>
      </c>
      <c r="E293" s="93">
        <v>27</v>
      </c>
    </row>
    <row r="294" spans="2:5" x14ac:dyDescent="0.2">
      <c r="B294" s="92" t="s">
        <v>2751</v>
      </c>
      <c r="C294" s="93">
        <v>2019</v>
      </c>
      <c r="D294" s="93">
        <v>7</v>
      </c>
      <c r="E294" s="93">
        <v>24</v>
      </c>
    </row>
    <row r="295" spans="2:5" x14ac:dyDescent="0.2">
      <c r="B295" s="92" t="s">
        <v>2751</v>
      </c>
      <c r="C295" s="93">
        <v>2019</v>
      </c>
      <c r="D295" s="93">
        <v>6</v>
      </c>
      <c r="E295" s="93">
        <v>21</v>
      </c>
    </row>
    <row r="296" spans="2:5" x14ac:dyDescent="0.2">
      <c r="B296" s="92" t="s">
        <v>2751</v>
      </c>
      <c r="C296" s="93">
        <v>2019</v>
      </c>
      <c r="D296" s="93">
        <v>5</v>
      </c>
      <c r="E296" s="93">
        <v>19</v>
      </c>
    </row>
    <row r="297" spans="2:5" x14ac:dyDescent="0.2">
      <c r="B297" s="92" t="s">
        <v>2751</v>
      </c>
      <c r="C297" s="93">
        <v>2019</v>
      </c>
      <c r="D297" s="93">
        <v>2</v>
      </c>
      <c r="E297" s="93">
        <v>4</v>
      </c>
    </row>
    <row r="298" spans="2:5" x14ac:dyDescent="0.2">
      <c r="B298" s="92" t="s">
        <v>2751</v>
      </c>
      <c r="C298" s="93">
        <v>2019</v>
      </c>
      <c r="D298" s="93">
        <v>1</v>
      </c>
      <c r="E298" s="93">
        <v>1</v>
      </c>
    </row>
    <row r="299" spans="2:5" x14ac:dyDescent="0.2">
      <c r="B299" s="92" t="s">
        <v>2752</v>
      </c>
      <c r="C299" s="93">
        <v>2019</v>
      </c>
      <c r="D299" s="93">
        <v>3</v>
      </c>
      <c r="E299" s="93">
        <v>13</v>
      </c>
    </row>
    <row r="300" spans="2:5" x14ac:dyDescent="0.2">
      <c r="B300" s="92" t="s">
        <v>2752</v>
      </c>
      <c r="C300" s="93">
        <v>2019</v>
      </c>
      <c r="D300" s="93">
        <v>4</v>
      </c>
      <c r="E300" s="93">
        <v>10</v>
      </c>
    </row>
    <row r="301" spans="2:5" x14ac:dyDescent="0.2">
      <c r="B301" s="92" t="s">
        <v>2752</v>
      </c>
      <c r="C301" s="93">
        <v>2019</v>
      </c>
      <c r="D301" s="93">
        <v>8</v>
      </c>
      <c r="E301" s="93">
        <v>9</v>
      </c>
    </row>
    <row r="302" spans="2:5" x14ac:dyDescent="0.2">
      <c r="B302" s="92" t="s">
        <v>2752</v>
      </c>
      <c r="C302" s="93">
        <v>2019</v>
      </c>
      <c r="D302" s="93">
        <v>5</v>
      </c>
      <c r="E302" s="93">
        <v>4</v>
      </c>
    </row>
    <row r="303" spans="2:5" x14ac:dyDescent="0.2">
      <c r="B303" s="92" t="s">
        <v>2752</v>
      </c>
      <c r="C303" s="93">
        <v>2019</v>
      </c>
      <c r="D303" s="93">
        <v>6</v>
      </c>
      <c r="E303" s="93">
        <v>4</v>
      </c>
    </row>
    <row r="304" spans="2:5" x14ac:dyDescent="0.2">
      <c r="B304" s="92" t="s">
        <v>2752</v>
      </c>
      <c r="C304" s="93">
        <v>2019</v>
      </c>
      <c r="D304" s="93">
        <v>10</v>
      </c>
      <c r="E304" s="93">
        <v>3</v>
      </c>
    </row>
    <row r="305" spans="2:5" x14ac:dyDescent="0.2">
      <c r="B305" s="92" t="s">
        <v>2752</v>
      </c>
      <c r="C305" s="93">
        <v>2019</v>
      </c>
      <c r="D305" s="93">
        <v>9</v>
      </c>
      <c r="E305" s="93">
        <v>1</v>
      </c>
    </row>
    <row r="306" spans="2:5" x14ac:dyDescent="0.2">
      <c r="B306" s="92" t="s">
        <v>2753</v>
      </c>
      <c r="C306" s="93">
        <v>2019</v>
      </c>
      <c r="D306" s="93">
        <v>4</v>
      </c>
      <c r="E306" s="93">
        <v>50</v>
      </c>
    </row>
    <row r="307" spans="2:5" x14ac:dyDescent="0.2">
      <c r="B307" s="92" t="s">
        <v>2753</v>
      </c>
      <c r="C307" s="93">
        <v>2019</v>
      </c>
      <c r="D307" s="93">
        <v>8</v>
      </c>
      <c r="E307" s="93">
        <v>47</v>
      </c>
    </row>
    <row r="308" spans="2:5" x14ac:dyDescent="0.2">
      <c r="B308" s="92" t="s">
        <v>2753</v>
      </c>
      <c r="C308" s="93">
        <v>2019</v>
      </c>
      <c r="D308" s="93">
        <v>5</v>
      </c>
      <c r="E308" s="93">
        <v>41</v>
      </c>
    </row>
    <row r="309" spans="2:5" x14ac:dyDescent="0.2">
      <c r="B309" s="92" t="s">
        <v>2753</v>
      </c>
      <c r="C309" s="93">
        <v>2019</v>
      </c>
      <c r="D309" s="93">
        <v>10</v>
      </c>
      <c r="E309" s="93">
        <v>36</v>
      </c>
    </row>
    <row r="310" spans="2:5" x14ac:dyDescent="0.2">
      <c r="B310" s="92" t="s">
        <v>2753</v>
      </c>
      <c r="C310" s="93">
        <v>2019</v>
      </c>
      <c r="D310" s="93">
        <v>3</v>
      </c>
      <c r="E310" s="93">
        <v>20</v>
      </c>
    </row>
    <row r="311" spans="2:5" x14ac:dyDescent="0.2">
      <c r="B311" s="92" t="s">
        <v>2753</v>
      </c>
      <c r="C311" s="93">
        <v>2019</v>
      </c>
      <c r="D311" s="93">
        <v>12</v>
      </c>
      <c r="E311" s="93">
        <v>14</v>
      </c>
    </row>
    <row r="312" spans="2:5" x14ac:dyDescent="0.2">
      <c r="B312" s="92" t="s">
        <v>2753</v>
      </c>
      <c r="C312" s="93">
        <v>2019</v>
      </c>
      <c r="D312" s="93">
        <v>2</v>
      </c>
      <c r="E312" s="93">
        <v>13</v>
      </c>
    </row>
    <row r="313" spans="2:5" x14ac:dyDescent="0.2">
      <c r="B313" s="92" t="s">
        <v>2753</v>
      </c>
      <c r="C313" s="93">
        <v>2019</v>
      </c>
      <c r="D313" s="93">
        <v>6</v>
      </c>
      <c r="E313" s="93">
        <v>13</v>
      </c>
    </row>
    <row r="314" spans="2:5" x14ac:dyDescent="0.2">
      <c r="B314" s="92" t="s">
        <v>2753</v>
      </c>
      <c r="C314" s="93">
        <v>2019</v>
      </c>
      <c r="D314" s="93">
        <v>11</v>
      </c>
      <c r="E314" s="93">
        <v>6</v>
      </c>
    </row>
    <row r="315" spans="2:5" x14ac:dyDescent="0.2">
      <c r="B315" s="92" t="s">
        <v>2753</v>
      </c>
      <c r="C315" s="93">
        <v>2019</v>
      </c>
      <c r="D315" s="93">
        <v>7</v>
      </c>
      <c r="E315" s="93">
        <v>5</v>
      </c>
    </row>
    <row r="316" spans="2:5" x14ac:dyDescent="0.2">
      <c r="B316" s="92" t="s">
        <v>2753</v>
      </c>
      <c r="C316" s="93">
        <v>2019</v>
      </c>
      <c r="D316" s="93">
        <v>9</v>
      </c>
      <c r="E316" s="93">
        <v>4</v>
      </c>
    </row>
    <row r="317" spans="2:5" x14ac:dyDescent="0.2">
      <c r="B317" s="92" t="s">
        <v>2753</v>
      </c>
      <c r="C317" s="93">
        <v>2019</v>
      </c>
      <c r="D317" s="93">
        <v>1</v>
      </c>
      <c r="E317" s="93">
        <v>3</v>
      </c>
    </row>
    <row r="318" spans="2:5" x14ac:dyDescent="0.2">
      <c r="B318" s="92" t="s">
        <v>2961</v>
      </c>
      <c r="C318" s="93">
        <v>2019</v>
      </c>
      <c r="D318" s="93">
        <v>4</v>
      </c>
      <c r="E318" s="93">
        <v>3</v>
      </c>
    </row>
    <row r="319" spans="2:5" x14ac:dyDescent="0.2">
      <c r="B319" s="92" t="s">
        <v>2961</v>
      </c>
      <c r="C319" s="93">
        <v>2019</v>
      </c>
      <c r="D319" s="93">
        <v>10</v>
      </c>
      <c r="E319" s="93">
        <v>2</v>
      </c>
    </row>
    <row r="320" spans="2:5" x14ac:dyDescent="0.2">
      <c r="B320" s="92" t="s">
        <v>2961</v>
      </c>
      <c r="C320" s="93">
        <v>2019</v>
      </c>
      <c r="D320" s="93">
        <v>5</v>
      </c>
      <c r="E320" s="93">
        <v>1</v>
      </c>
    </row>
    <row r="321" spans="2:5" x14ac:dyDescent="0.2">
      <c r="B321" s="92" t="s">
        <v>2754</v>
      </c>
      <c r="C321" s="93">
        <v>2019</v>
      </c>
      <c r="D321" s="93">
        <v>4</v>
      </c>
      <c r="E321" s="93">
        <v>47</v>
      </c>
    </row>
    <row r="322" spans="2:5" x14ac:dyDescent="0.2">
      <c r="B322" s="92" t="s">
        <v>2754</v>
      </c>
      <c r="C322" s="93">
        <v>2019</v>
      </c>
      <c r="D322" s="93">
        <v>10</v>
      </c>
      <c r="E322" s="93">
        <v>46</v>
      </c>
    </row>
    <row r="323" spans="2:5" x14ac:dyDescent="0.2">
      <c r="B323" s="92" t="s">
        <v>2754</v>
      </c>
      <c r="C323" s="93">
        <v>2019</v>
      </c>
      <c r="D323" s="93">
        <v>2</v>
      </c>
      <c r="E323" s="93">
        <v>38</v>
      </c>
    </row>
    <row r="324" spans="2:5" x14ac:dyDescent="0.2">
      <c r="B324" s="92" t="s">
        <v>2754</v>
      </c>
      <c r="C324" s="93">
        <v>2019</v>
      </c>
      <c r="D324" s="93">
        <v>3</v>
      </c>
      <c r="E324" s="93">
        <v>27</v>
      </c>
    </row>
    <row r="325" spans="2:5" x14ac:dyDescent="0.2">
      <c r="B325" s="92" t="s">
        <v>2754</v>
      </c>
      <c r="C325" s="93">
        <v>2019</v>
      </c>
      <c r="D325" s="93">
        <v>1</v>
      </c>
      <c r="E325" s="93">
        <v>16</v>
      </c>
    </row>
    <row r="326" spans="2:5" x14ac:dyDescent="0.2">
      <c r="B326" s="92" t="s">
        <v>2754</v>
      </c>
      <c r="C326" s="93">
        <v>2019</v>
      </c>
      <c r="D326" s="93">
        <v>6</v>
      </c>
      <c r="E326" s="93">
        <v>16</v>
      </c>
    </row>
    <row r="327" spans="2:5" x14ac:dyDescent="0.2">
      <c r="B327" s="92" t="s">
        <v>2754</v>
      </c>
      <c r="C327" s="93">
        <v>2019</v>
      </c>
      <c r="D327" s="93">
        <v>8</v>
      </c>
      <c r="E327" s="93">
        <v>16</v>
      </c>
    </row>
    <row r="328" spans="2:5" x14ac:dyDescent="0.2">
      <c r="B328" s="92" t="s">
        <v>2754</v>
      </c>
      <c r="C328" s="93">
        <v>2019</v>
      </c>
      <c r="D328" s="93">
        <v>9</v>
      </c>
      <c r="E328" s="93">
        <v>11</v>
      </c>
    </row>
    <row r="329" spans="2:5" x14ac:dyDescent="0.2">
      <c r="B329" s="92" t="s">
        <v>2754</v>
      </c>
      <c r="C329" s="93">
        <v>2019</v>
      </c>
      <c r="D329" s="93">
        <v>12</v>
      </c>
      <c r="E329" s="93">
        <v>11</v>
      </c>
    </row>
    <row r="330" spans="2:5" x14ac:dyDescent="0.2">
      <c r="B330" s="92" t="s">
        <v>2754</v>
      </c>
      <c r="C330" s="93">
        <v>2019</v>
      </c>
      <c r="D330" s="93">
        <v>5</v>
      </c>
      <c r="E330" s="93">
        <v>10</v>
      </c>
    </row>
    <row r="331" spans="2:5" x14ac:dyDescent="0.2">
      <c r="B331" s="92" t="s">
        <v>2754</v>
      </c>
      <c r="C331" s="93">
        <v>2019</v>
      </c>
      <c r="D331" s="93">
        <v>7</v>
      </c>
      <c r="E331" s="93">
        <v>7</v>
      </c>
    </row>
    <row r="332" spans="2:5" x14ac:dyDescent="0.2">
      <c r="B332" s="92" t="s">
        <v>2754</v>
      </c>
      <c r="C332" s="93">
        <v>2019</v>
      </c>
      <c r="D332" s="93">
        <v>11</v>
      </c>
      <c r="E332" s="93">
        <v>1</v>
      </c>
    </row>
    <row r="333" spans="2:5" x14ac:dyDescent="0.2">
      <c r="B333" s="92" t="s">
        <v>2755</v>
      </c>
      <c r="C333" s="93">
        <v>2019</v>
      </c>
      <c r="D333" s="93">
        <v>10</v>
      </c>
      <c r="E333" s="93">
        <v>6</v>
      </c>
    </row>
    <row r="334" spans="2:5" x14ac:dyDescent="0.2">
      <c r="B334" s="92" t="s">
        <v>2755</v>
      </c>
      <c r="C334" s="93">
        <v>2019</v>
      </c>
      <c r="D334" s="93">
        <v>3</v>
      </c>
      <c r="E334" s="93">
        <v>3</v>
      </c>
    </row>
    <row r="335" spans="2:5" x14ac:dyDescent="0.2">
      <c r="B335" s="92" t="s">
        <v>2755</v>
      </c>
      <c r="C335" s="93">
        <v>2019</v>
      </c>
      <c r="D335" s="93">
        <v>8</v>
      </c>
      <c r="E335" s="93">
        <v>2</v>
      </c>
    </row>
    <row r="336" spans="2:5" x14ac:dyDescent="0.2">
      <c r="B336" s="92" t="s">
        <v>2755</v>
      </c>
      <c r="C336" s="93">
        <v>2019</v>
      </c>
      <c r="D336" s="93">
        <v>11</v>
      </c>
      <c r="E336" s="93">
        <v>2</v>
      </c>
    </row>
    <row r="337" spans="2:5" x14ac:dyDescent="0.2">
      <c r="B337" s="92" t="s">
        <v>2755</v>
      </c>
      <c r="C337" s="93">
        <v>2019</v>
      </c>
      <c r="D337" s="93">
        <v>1</v>
      </c>
      <c r="E337" s="93">
        <v>1</v>
      </c>
    </row>
    <row r="338" spans="2:5" x14ac:dyDescent="0.2">
      <c r="B338" s="92" t="s">
        <v>2755</v>
      </c>
      <c r="C338" s="93">
        <v>2019</v>
      </c>
      <c r="D338" s="93">
        <v>6</v>
      </c>
      <c r="E338" s="93">
        <v>1</v>
      </c>
    </row>
    <row r="339" spans="2:5" x14ac:dyDescent="0.2">
      <c r="B339" s="92" t="s">
        <v>2910</v>
      </c>
      <c r="C339" s="93">
        <v>2019</v>
      </c>
      <c r="D339" s="93">
        <v>4</v>
      </c>
      <c r="E339" s="93">
        <v>17</v>
      </c>
    </row>
    <row r="340" spans="2:5" x14ac:dyDescent="0.2">
      <c r="B340" s="92" t="s">
        <v>2910</v>
      </c>
      <c r="C340" s="93">
        <v>2019</v>
      </c>
      <c r="D340" s="93">
        <v>10</v>
      </c>
      <c r="E340" s="93">
        <v>13</v>
      </c>
    </row>
    <row r="341" spans="2:5" x14ac:dyDescent="0.2">
      <c r="B341" s="92" t="s">
        <v>2910</v>
      </c>
      <c r="C341" s="93">
        <v>2019</v>
      </c>
      <c r="D341" s="93">
        <v>7</v>
      </c>
      <c r="E341" s="93">
        <v>12</v>
      </c>
    </row>
    <row r="342" spans="2:5" x14ac:dyDescent="0.2">
      <c r="B342" s="92" t="s">
        <v>2910</v>
      </c>
      <c r="C342" s="93">
        <v>2019</v>
      </c>
      <c r="D342" s="93">
        <v>5</v>
      </c>
      <c r="E342" s="93">
        <v>10</v>
      </c>
    </row>
    <row r="343" spans="2:5" x14ac:dyDescent="0.2">
      <c r="B343" s="92" t="s">
        <v>2910</v>
      </c>
      <c r="C343" s="93">
        <v>2019</v>
      </c>
      <c r="D343" s="93">
        <v>8</v>
      </c>
      <c r="E343" s="93">
        <v>8</v>
      </c>
    </row>
    <row r="344" spans="2:5" x14ac:dyDescent="0.2">
      <c r="B344" s="92" t="s">
        <v>2910</v>
      </c>
      <c r="C344" s="93">
        <v>2019</v>
      </c>
      <c r="D344" s="93">
        <v>1</v>
      </c>
      <c r="E344" s="93">
        <v>5</v>
      </c>
    </row>
    <row r="345" spans="2:5" x14ac:dyDescent="0.2">
      <c r="B345" s="92" t="s">
        <v>2910</v>
      </c>
      <c r="C345" s="93">
        <v>2019</v>
      </c>
      <c r="D345" s="93">
        <v>2</v>
      </c>
      <c r="E345" s="93">
        <v>5</v>
      </c>
    </row>
    <row r="346" spans="2:5" x14ac:dyDescent="0.2">
      <c r="B346" s="92" t="s">
        <v>2910</v>
      </c>
      <c r="C346" s="93">
        <v>2019</v>
      </c>
      <c r="D346" s="93">
        <v>9</v>
      </c>
      <c r="E346" s="93">
        <v>5</v>
      </c>
    </row>
    <row r="347" spans="2:5" x14ac:dyDescent="0.2">
      <c r="B347" s="92" t="s">
        <v>2910</v>
      </c>
      <c r="C347" s="93">
        <v>2019</v>
      </c>
      <c r="D347" s="93">
        <v>12</v>
      </c>
      <c r="E347" s="93">
        <v>5</v>
      </c>
    </row>
    <row r="348" spans="2:5" x14ac:dyDescent="0.2">
      <c r="B348" s="92" t="s">
        <v>2910</v>
      </c>
      <c r="C348" s="93">
        <v>2019</v>
      </c>
      <c r="D348" s="93">
        <v>3</v>
      </c>
      <c r="E348" s="93">
        <v>4</v>
      </c>
    </row>
    <row r="349" spans="2:5" x14ac:dyDescent="0.2">
      <c r="B349" s="92" t="s">
        <v>2910</v>
      </c>
      <c r="C349" s="93">
        <v>2019</v>
      </c>
      <c r="D349" s="93">
        <v>6</v>
      </c>
      <c r="E349" s="93">
        <v>3</v>
      </c>
    </row>
    <row r="350" spans="2:5" x14ac:dyDescent="0.2">
      <c r="B350" s="92" t="s">
        <v>2910</v>
      </c>
      <c r="C350" s="93">
        <v>2019</v>
      </c>
      <c r="D350" s="93">
        <v>11</v>
      </c>
      <c r="E350" s="93">
        <v>2</v>
      </c>
    </row>
    <row r="351" spans="2:5" x14ac:dyDescent="0.2">
      <c r="B351" s="92" t="s">
        <v>2756</v>
      </c>
      <c r="C351" s="93">
        <v>2019</v>
      </c>
      <c r="D351" s="93">
        <v>8</v>
      </c>
      <c r="E351" s="93">
        <v>16</v>
      </c>
    </row>
    <row r="352" spans="2:5" x14ac:dyDescent="0.2">
      <c r="B352" s="92" t="s">
        <v>2756</v>
      </c>
      <c r="C352" s="93">
        <v>2019</v>
      </c>
      <c r="D352" s="93">
        <v>9</v>
      </c>
      <c r="E352" s="93">
        <v>15</v>
      </c>
    </row>
    <row r="353" spans="2:5" x14ac:dyDescent="0.2">
      <c r="B353" s="92" t="s">
        <v>2756</v>
      </c>
      <c r="C353" s="93">
        <v>2019</v>
      </c>
      <c r="D353" s="93">
        <v>3</v>
      </c>
      <c r="E353" s="93">
        <v>10</v>
      </c>
    </row>
    <row r="354" spans="2:5" x14ac:dyDescent="0.2">
      <c r="B354" s="92" t="s">
        <v>2756</v>
      </c>
      <c r="C354" s="93">
        <v>2019</v>
      </c>
      <c r="D354" s="93">
        <v>5</v>
      </c>
      <c r="E354" s="93">
        <v>10</v>
      </c>
    </row>
    <row r="355" spans="2:5" x14ac:dyDescent="0.2">
      <c r="B355" s="92" t="s">
        <v>2756</v>
      </c>
      <c r="C355" s="93">
        <v>2019</v>
      </c>
      <c r="D355" s="93">
        <v>10</v>
      </c>
      <c r="E355" s="93">
        <v>8</v>
      </c>
    </row>
    <row r="356" spans="2:5" x14ac:dyDescent="0.2">
      <c r="B356" s="92" t="s">
        <v>2756</v>
      </c>
      <c r="C356" s="93">
        <v>2019</v>
      </c>
      <c r="D356" s="93">
        <v>4</v>
      </c>
      <c r="E356" s="93">
        <v>6</v>
      </c>
    </row>
    <row r="357" spans="2:5" x14ac:dyDescent="0.2">
      <c r="B357" s="92" t="s">
        <v>2756</v>
      </c>
      <c r="C357" s="93">
        <v>2019</v>
      </c>
      <c r="D357" s="93">
        <v>6</v>
      </c>
      <c r="E357" s="93">
        <v>6</v>
      </c>
    </row>
    <row r="358" spans="2:5" x14ac:dyDescent="0.2">
      <c r="B358" s="92" t="s">
        <v>2756</v>
      </c>
      <c r="C358" s="93">
        <v>2019</v>
      </c>
      <c r="D358" s="93">
        <v>2</v>
      </c>
      <c r="E358" s="93">
        <v>5</v>
      </c>
    </row>
    <row r="359" spans="2:5" x14ac:dyDescent="0.2">
      <c r="B359" s="92" t="s">
        <v>2756</v>
      </c>
      <c r="C359" s="93">
        <v>2019</v>
      </c>
      <c r="D359" s="93">
        <v>7</v>
      </c>
      <c r="E359" s="93">
        <v>5</v>
      </c>
    </row>
    <row r="360" spans="2:5" x14ac:dyDescent="0.2">
      <c r="B360" s="92" t="s">
        <v>2756</v>
      </c>
      <c r="C360" s="93">
        <v>2019</v>
      </c>
      <c r="D360" s="93">
        <v>11</v>
      </c>
      <c r="E360" s="93">
        <v>3</v>
      </c>
    </row>
    <row r="361" spans="2:5" x14ac:dyDescent="0.2">
      <c r="B361" s="92" t="s">
        <v>2756</v>
      </c>
      <c r="C361" s="93">
        <v>2019</v>
      </c>
      <c r="D361" s="93">
        <v>12</v>
      </c>
      <c r="E361" s="93">
        <v>2</v>
      </c>
    </row>
    <row r="362" spans="2:5" x14ac:dyDescent="0.2">
      <c r="B362" s="92" t="s">
        <v>2756</v>
      </c>
      <c r="C362" s="93">
        <v>2019</v>
      </c>
      <c r="D362" s="93">
        <v>1</v>
      </c>
      <c r="E362" s="93">
        <v>1</v>
      </c>
    </row>
    <row r="363" spans="2:5" x14ac:dyDescent="0.2">
      <c r="B363" s="92" t="s">
        <v>2757</v>
      </c>
      <c r="C363" s="93">
        <v>2019</v>
      </c>
      <c r="D363" s="93">
        <v>11</v>
      </c>
      <c r="E363" s="93">
        <v>3</v>
      </c>
    </row>
    <row r="364" spans="2:5" x14ac:dyDescent="0.2">
      <c r="B364" s="92" t="s">
        <v>2757</v>
      </c>
      <c r="C364" s="93">
        <v>2019</v>
      </c>
      <c r="D364" s="93">
        <v>3</v>
      </c>
      <c r="E364" s="93">
        <v>2</v>
      </c>
    </row>
    <row r="365" spans="2:5" x14ac:dyDescent="0.2">
      <c r="B365" s="92" t="s">
        <v>2757</v>
      </c>
      <c r="C365" s="93">
        <v>2019</v>
      </c>
      <c r="D365" s="93">
        <v>5</v>
      </c>
      <c r="E365" s="93">
        <v>2</v>
      </c>
    </row>
    <row r="366" spans="2:5" x14ac:dyDescent="0.2">
      <c r="B366" s="92" t="s">
        <v>2757</v>
      </c>
      <c r="C366" s="93">
        <v>2019</v>
      </c>
      <c r="D366" s="93">
        <v>4</v>
      </c>
      <c r="E366" s="93">
        <v>1</v>
      </c>
    </row>
    <row r="367" spans="2:5" x14ac:dyDescent="0.2">
      <c r="B367" s="92" t="s">
        <v>2757</v>
      </c>
      <c r="C367" s="93">
        <v>2019</v>
      </c>
      <c r="D367" s="93">
        <v>9</v>
      </c>
      <c r="E367" s="93">
        <v>1</v>
      </c>
    </row>
    <row r="368" spans="2:5" x14ac:dyDescent="0.2">
      <c r="B368" s="92" t="s">
        <v>2937</v>
      </c>
      <c r="C368" s="93">
        <v>2019</v>
      </c>
      <c r="D368" s="93">
        <v>4</v>
      </c>
      <c r="E368" s="93">
        <v>4</v>
      </c>
    </row>
    <row r="369" spans="2:5" x14ac:dyDescent="0.2">
      <c r="B369" s="92" t="s">
        <v>2937</v>
      </c>
      <c r="C369" s="93">
        <v>2019</v>
      </c>
      <c r="D369" s="93">
        <v>5</v>
      </c>
      <c r="E369" s="93">
        <v>4</v>
      </c>
    </row>
    <row r="370" spans="2:5" x14ac:dyDescent="0.2">
      <c r="B370" s="92" t="s">
        <v>2937</v>
      </c>
      <c r="C370" s="93">
        <v>2019</v>
      </c>
      <c r="D370" s="93">
        <v>2</v>
      </c>
      <c r="E370" s="93">
        <v>3</v>
      </c>
    </row>
    <row r="371" spans="2:5" x14ac:dyDescent="0.2">
      <c r="B371" s="92" t="s">
        <v>2937</v>
      </c>
      <c r="C371" s="93">
        <v>2019</v>
      </c>
      <c r="D371" s="93">
        <v>1</v>
      </c>
      <c r="E371" s="93">
        <v>2</v>
      </c>
    </row>
    <row r="372" spans="2:5" x14ac:dyDescent="0.2">
      <c r="B372" s="92" t="s">
        <v>2937</v>
      </c>
      <c r="C372" s="93">
        <v>2019</v>
      </c>
      <c r="D372" s="93">
        <v>3</v>
      </c>
      <c r="E372" s="93">
        <v>2</v>
      </c>
    </row>
    <row r="373" spans="2:5" x14ac:dyDescent="0.2">
      <c r="B373" s="92" t="s">
        <v>2937</v>
      </c>
      <c r="C373" s="93">
        <v>2019</v>
      </c>
      <c r="D373" s="93">
        <v>8</v>
      </c>
      <c r="E373" s="93">
        <v>2</v>
      </c>
    </row>
    <row r="374" spans="2:5" x14ac:dyDescent="0.2">
      <c r="B374" s="92" t="s">
        <v>2937</v>
      </c>
      <c r="C374" s="93">
        <v>2019</v>
      </c>
      <c r="D374" s="93">
        <v>6</v>
      </c>
      <c r="E374" s="93">
        <v>1</v>
      </c>
    </row>
    <row r="375" spans="2:5" x14ac:dyDescent="0.2">
      <c r="B375" s="92" t="s">
        <v>2937</v>
      </c>
      <c r="C375" s="93">
        <v>2019</v>
      </c>
      <c r="D375" s="93">
        <v>7</v>
      </c>
      <c r="E375" s="93">
        <v>1</v>
      </c>
    </row>
    <row r="376" spans="2:5" x14ac:dyDescent="0.2">
      <c r="B376" s="92" t="s">
        <v>2937</v>
      </c>
      <c r="C376" s="93">
        <v>2019</v>
      </c>
      <c r="D376" s="93">
        <v>9</v>
      </c>
      <c r="E376" s="93">
        <v>1</v>
      </c>
    </row>
    <row r="377" spans="2:5" x14ac:dyDescent="0.2">
      <c r="B377" s="92" t="s">
        <v>2937</v>
      </c>
      <c r="C377" s="93">
        <v>2019</v>
      </c>
      <c r="D377" s="93">
        <v>10</v>
      </c>
      <c r="E377" s="93">
        <v>1</v>
      </c>
    </row>
    <row r="378" spans="2:5" x14ac:dyDescent="0.2">
      <c r="B378" s="92" t="s">
        <v>2919</v>
      </c>
      <c r="C378" s="93">
        <v>2019</v>
      </c>
      <c r="D378" s="93">
        <v>3</v>
      </c>
      <c r="E378" s="93">
        <v>19</v>
      </c>
    </row>
    <row r="379" spans="2:5" x14ac:dyDescent="0.2">
      <c r="B379" s="92" t="s">
        <v>2919</v>
      </c>
      <c r="C379" s="93">
        <v>2019</v>
      </c>
      <c r="D379" s="93">
        <v>6</v>
      </c>
      <c r="E379" s="93">
        <v>10</v>
      </c>
    </row>
    <row r="380" spans="2:5" x14ac:dyDescent="0.2">
      <c r="B380" s="92" t="s">
        <v>2919</v>
      </c>
      <c r="C380" s="93">
        <v>2019</v>
      </c>
      <c r="D380" s="93">
        <v>11</v>
      </c>
      <c r="E380" s="93">
        <v>8</v>
      </c>
    </row>
    <row r="381" spans="2:5" x14ac:dyDescent="0.2">
      <c r="B381" s="92" t="s">
        <v>2919</v>
      </c>
      <c r="C381" s="93">
        <v>2019</v>
      </c>
      <c r="D381" s="93">
        <v>5</v>
      </c>
      <c r="E381" s="93">
        <v>5</v>
      </c>
    </row>
    <row r="382" spans="2:5" x14ac:dyDescent="0.2">
      <c r="B382" s="92" t="s">
        <v>2919</v>
      </c>
      <c r="C382" s="93">
        <v>2019</v>
      </c>
      <c r="D382" s="93">
        <v>7</v>
      </c>
      <c r="E382" s="93">
        <v>4</v>
      </c>
    </row>
    <row r="383" spans="2:5" x14ac:dyDescent="0.2">
      <c r="B383" s="92" t="s">
        <v>2919</v>
      </c>
      <c r="C383" s="93">
        <v>2019</v>
      </c>
      <c r="D383" s="93">
        <v>1</v>
      </c>
      <c r="E383" s="93">
        <v>2</v>
      </c>
    </row>
    <row r="384" spans="2:5" x14ac:dyDescent="0.2">
      <c r="B384" s="92" t="s">
        <v>2919</v>
      </c>
      <c r="C384" s="93">
        <v>2019</v>
      </c>
      <c r="D384" s="93">
        <v>2</v>
      </c>
      <c r="E384" s="93">
        <v>2</v>
      </c>
    </row>
    <row r="385" spans="2:5" x14ac:dyDescent="0.2">
      <c r="B385" s="92" t="s">
        <v>2919</v>
      </c>
      <c r="C385" s="93">
        <v>2019</v>
      </c>
      <c r="D385" s="93">
        <v>8</v>
      </c>
      <c r="E385" s="93">
        <v>2</v>
      </c>
    </row>
    <row r="386" spans="2:5" x14ac:dyDescent="0.2">
      <c r="B386" s="92" t="s">
        <v>2919</v>
      </c>
      <c r="C386" s="93">
        <v>2019</v>
      </c>
      <c r="D386" s="93">
        <v>10</v>
      </c>
      <c r="E386" s="93">
        <v>2</v>
      </c>
    </row>
    <row r="387" spans="2:5" x14ac:dyDescent="0.2">
      <c r="B387" s="92" t="s">
        <v>2919</v>
      </c>
      <c r="C387" s="93">
        <v>2019</v>
      </c>
      <c r="D387" s="93">
        <v>9</v>
      </c>
      <c r="E387" s="93">
        <v>1</v>
      </c>
    </row>
    <row r="388" spans="2:5" x14ac:dyDescent="0.2">
      <c r="B388" s="92" t="s">
        <v>2758</v>
      </c>
      <c r="C388" s="93">
        <v>2019</v>
      </c>
      <c r="D388" s="93">
        <v>10</v>
      </c>
      <c r="E388" s="93">
        <v>30</v>
      </c>
    </row>
    <row r="389" spans="2:5" x14ac:dyDescent="0.2">
      <c r="B389" s="92" t="s">
        <v>2758</v>
      </c>
      <c r="C389" s="93">
        <v>2019</v>
      </c>
      <c r="D389" s="93">
        <v>5</v>
      </c>
      <c r="E389" s="93">
        <v>22</v>
      </c>
    </row>
    <row r="390" spans="2:5" x14ac:dyDescent="0.2">
      <c r="B390" s="92" t="s">
        <v>2758</v>
      </c>
      <c r="C390" s="93">
        <v>2019</v>
      </c>
      <c r="D390" s="93">
        <v>8</v>
      </c>
      <c r="E390" s="93">
        <v>22</v>
      </c>
    </row>
    <row r="391" spans="2:5" x14ac:dyDescent="0.2">
      <c r="B391" s="92" t="s">
        <v>2758</v>
      </c>
      <c r="C391" s="93">
        <v>2019</v>
      </c>
      <c r="D391" s="93">
        <v>11</v>
      </c>
      <c r="E391" s="93">
        <v>20</v>
      </c>
    </row>
    <row r="392" spans="2:5" x14ac:dyDescent="0.2">
      <c r="B392" s="92" t="s">
        <v>2758</v>
      </c>
      <c r="C392" s="93">
        <v>2019</v>
      </c>
      <c r="D392" s="93">
        <v>4</v>
      </c>
      <c r="E392" s="93">
        <v>18</v>
      </c>
    </row>
    <row r="393" spans="2:5" x14ac:dyDescent="0.2">
      <c r="B393" s="92" t="s">
        <v>2758</v>
      </c>
      <c r="C393" s="93">
        <v>2019</v>
      </c>
      <c r="D393" s="93">
        <v>6</v>
      </c>
      <c r="E393" s="93">
        <v>15</v>
      </c>
    </row>
    <row r="394" spans="2:5" x14ac:dyDescent="0.2">
      <c r="B394" s="92" t="s">
        <v>2758</v>
      </c>
      <c r="C394" s="93">
        <v>2019</v>
      </c>
      <c r="D394" s="93">
        <v>1</v>
      </c>
      <c r="E394" s="93">
        <v>14</v>
      </c>
    </row>
    <row r="395" spans="2:5" x14ac:dyDescent="0.2">
      <c r="B395" s="92" t="s">
        <v>2758</v>
      </c>
      <c r="C395" s="93">
        <v>2019</v>
      </c>
      <c r="D395" s="93">
        <v>2</v>
      </c>
      <c r="E395" s="93">
        <v>14</v>
      </c>
    </row>
    <row r="396" spans="2:5" x14ac:dyDescent="0.2">
      <c r="B396" s="92" t="s">
        <v>2758</v>
      </c>
      <c r="C396" s="93">
        <v>2019</v>
      </c>
      <c r="D396" s="93">
        <v>3</v>
      </c>
      <c r="E396" s="93">
        <v>4</v>
      </c>
    </row>
    <row r="397" spans="2:5" x14ac:dyDescent="0.2">
      <c r="B397" s="92" t="s">
        <v>2758</v>
      </c>
      <c r="C397" s="93">
        <v>2019</v>
      </c>
      <c r="D397" s="93">
        <v>7</v>
      </c>
      <c r="E397" s="93">
        <v>4</v>
      </c>
    </row>
    <row r="398" spans="2:5" x14ac:dyDescent="0.2">
      <c r="B398" s="92" t="s">
        <v>2758</v>
      </c>
      <c r="C398" s="93">
        <v>2019</v>
      </c>
      <c r="D398" s="93">
        <v>9</v>
      </c>
      <c r="E398" s="93">
        <v>3</v>
      </c>
    </row>
    <row r="399" spans="2:5" x14ac:dyDescent="0.2">
      <c r="B399" s="92" t="s">
        <v>2758</v>
      </c>
      <c r="C399" s="93">
        <v>2019</v>
      </c>
      <c r="D399" s="93">
        <v>12</v>
      </c>
      <c r="E399" s="93">
        <v>3</v>
      </c>
    </row>
    <row r="400" spans="2:5" x14ac:dyDescent="0.2">
      <c r="B400" s="92" t="s">
        <v>2759</v>
      </c>
      <c r="C400" s="93">
        <v>2019</v>
      </c>
      <c r="D400" s="93">
        <v>9</v>
      </c>
      <c r="E400" s="93">
        <v>67</v>
      </c>
    </row>
    <row r="401" spans="2:5" x14ac:dyDescent="0.2">
      <c r="B401" s="92" t="s">
        <v>2759</v>
      </c>
      <c r="C401" s="93">
        <v>2019</v>
      </c>
      <c r="D401" s="93">
        <v>4</v>
      </c>
      <c r="E401" s="93">
        <v>35</v>
      </c>
    </row>
    <row r="402" spans="2:5" x14ac:dyDescent="0.2">
      <c r="B402" s="92" t="s">
        <v>2759</v>
      </c>
      <c r="C402" s="93">
        <v>2019</v>
      </c>
      <c r="D402" s="93">
        <v>3</v>
      </c>
      <c r="E402" s="93">
        <v>34</v>
      </c>
    </row>
    <row r="403" spans="2:5" x14ac:dyDescent="0.2">
      <c r="B403" s="92" t="s">
        <v>2759</v>
      </c>
      <c r="C403" s="93">
        <v>2019</v>
      </c>
      <c r="D403" s="93">
        <v>10</v>
      </c>
      <c r="E403" s="93">
        <v>33</v>
      </c>
    </row>
    <row r="404" spans="2:5" x14ac:dyDescent="0.2">
      <c r="B404" s="92" t="s">
        <v>2759</v>
      </c>
      <c r="C404" s="93">
        <v>2019</v>
      </c>
      <c r="D404" s="93">
        <v>8</v>
      </c>
      <c r="E404" s="93">
        <v>31</v>
      </c>
    </row>
    <row r="405" spans="2:5" x14ac:dyDescent="0.2">
      <c r="B405" s="92" t="s">
        <v>2759</v>
      </c>
      <c r="C405" s="93">
        <v>2019</v>
      </c>
      <c r="D405" s="93">
        <v>1</v>
      </c>
      <c r="E405" s="93">
        <v>24</v>
      </c>
    </row>
    <row r="406" spans="2:5" x14ac:dyDescent="0.2">
      <c r="B406" s="92" t="s">
        <v>2759</v>
      </c>
      <c r="C406" s="93">
        <v>2019</v>
      </c>
      <c r="D406" s="93">
        <v>11</v>
      </c>
      <c r="E406" s="93">
        <v>23</v>
      </c>
    </row>
    <row r="407" spans="2:5" x14ac:dyDescent="0.2">
      <c r="B407" s="92" t="s">
        <v>2759</v>
      </c>
      <c r="C407" s="93">
        <v>2019</v>
      </c>
      <c r="D407" s="93">
        <v>7</v>
      </c>
      <c r="E407" s="93">
        <v>21</v>
      </c>
    </row>
    <row r="408" spans="2:5" x14ac:dyDescent="0.2">
      <c r="B408" s="92" t="s">
        <v>2759</v>
      </c>
      <c r="C408" s="93">
        <v>2019</v>
      </c>
      <c r="D408" s="93">
        <v>12</v>
      </c>
      <c r="E408" s="93">
        <v>12</v>
      </c>
    </row>
    <row r="409" spans="2:5" x14ac:dyDescent="0.2">
      <c r="B409" s="92" t="s">
        <v>2759</v>
      </c>
      <c r="C409" s="93">
        <v>2019</v>
      </c>
      <c r="D409" s="93">
        <v>5</v>
      </c>
      <c r="E409" s="93">
        <v>11</v>
      </c>
    </row>
    <row r="410" spans="2:5" x14ac:dyDescent="0.2">
      <c r="B410" s="92" t="s">
        <v>2759</v>
      </c>
      <c r="C410" s="93">
        <v>2019</v>
      </c>
      <c r="D410" s="93">
        <v>6</v>
      </c>
      <c r="E410" s="93">
        <v>11</v>
      </c>
    </row>
    <row r="411" spans="2:5" x14ac:dyDescent="0.2">
      <c r="B411" s="92" t="s">
        <v>2759</v>
      </c>
      <c r="C411" s="93">
        <v>2019</v>
      </c>
      <c r="D411" s="93">
        <v>2</v>
      </c>
      <c r="E411" s="93">
        <v>6</v>
      </c>
    </row>
    <row r="412" spans="2:5" x14ac:dyDescent="0.2">
      <c r="B412" s="92" t="s">
        <v>2760</v>
      </c>
      <c r="C412" s="93">
        <v>2019</v>
      </c>
      <c r="D412" s="93">
        <v>10</v>
      </c>
      <c r="E412" s="93">
        <v>398</v>
      </c>
    </row>
    <row r="413" spans="2:5" x14ac:dyDescent="0.2">
      <c r="B413" s="92" t="s">
        <v>2760</v>
      </c>
      <c r="C413" s="93">
        <v>2019</v>
      </c>
      <c r="D413" s="93">
        <v>4</v>
      </c>
      <c r="E413" s="93">
        <v>371</v>
      </c>
    </row>
    <row r="414" spans="2:5" x14ac:dyDescent="0.2">
      <c r="B414" s="92" t="s">
        <v>2760</v>
      </c>
      <c r="C414" s="93">
        <v>2019</v>
      </c>
      <c r="D414" s="93">
        <v>8</v>
      </c>
      <c r="E414" s="93">
        <v>346</v>
      </c>
    </row>
    <row r="415" spans="2:5" x14ac:dyDescent="0.2">
      <c r="B415" s="92" t="s">
        <v>2760</v>
      </c>
      <c r="C415" s="93">
        <v>2019</v>
      </c>
      <c r="D415" s="93">
        <v>5</v>
      </c>
      <c r="E415" s="93">
        <v>313</v>
      </c>
    </row>
    <row r="416" spans="2:5" x14ac:dyDescent="0.2">
      <c r="B416" s="92" t="s">
        <v>2760</v>
      </c>
      <c r="C416" s="93">
        <v>2019</v>
      </c>
      <c r="D416" s="93">
        <v>6</v>
      </c>
      <c r="E416" s="93">
        <v>266</v>
      </c>
    </row>
    <row r="417" spans="2:5" x14ac:dyDescent="0.2">
      <c r="B417" s="92" t="s">
        <v>2760</v>
      </c>
      <c r="C417" s="93">
        <v>2019</v>
      </c>
      <c r="D417" s="93">
        <v>3</v>
      </c>
      <c r="E417" s="93">
        <v>251</v>
      </c>
    </row>
    <row r="418" spans="2:5" x14ac:dyDescent="0.2">
      <c r="B418" s="92" t="s">
        <v>2760</v>
      </c>
      <c r="C418" s="93">
        <v>2019</v>
      </c>
      <c r="D418" s="93">
        <v>9</v>
      </c>
      <c r="E418" s="93">
        <v>243</v>
      </c>
    </row>
    <row r="419" spans="2:5" x14ac:dyDescent="0.2">
      <c r="B419" s="92" t="s">
        <v>2760</v>
      </c>
      <c r="C419" s="93">
        <v>2019</v>
      </c>
      <c r="D419" s="93">
        <v>2</v>
      </c>
      <c r="E419" s="93">
        <v>193</v>
      </c>
    </row>
    <row r="420" spans="2:5" x14ac:dyDescent="0.2">
      <c r="B420" s="92" t="s">
        <v>2760</v>
      </c>
      <c r="C420" s="93">
        <v>2019</v>
      </c>
      <c r="D420" s="93">
        <v>11</v>
      </c>
      <c r="E420" s="93">
        <v>190</v>
      </c>
    </row>
    <row r="421" spans="2:5" x14ac:dyDescent="0.2">
      <c r="B421" s="92" t="s">
        <v>2760</v>
      </c>
      <c r="C421" s="93">
        <v>2019</v>
      </c>
      <c r="D421" s="93">
        <v>1</v>
      </c>
      <c r="E421" s="93">
        <v>166</v>
      </c>
    </row>
    <row r="422" spans="2:5" x14ac:dyDescent="0.2">
      <c r="B422" s="92" t="s">
        <v>2760</v>
      </c>
      <c r="C422" s="93">
        <v>2019</v>
      </c>
      <c r="D422" s="93">
        <v>7</v>
      </c>
      <c r="E422" s="93">
        <v>157</v>
      </c>
    </row>
    <row r="423" spans="2:5" x14ac:dyDescent="0.2">
      <c r="B423" s="92" t="s">
        <v>2760</v>
      </c>
      <c r="C423" s="93">
        <v>2019</v>
      </c>
      <c r="D423" s="93">
        <v>12</v>
      </c>
      <c r="E423" s="93">
        <v>142</v>
      </c>
    </row>
    <row r="424" spans="2:5" x14ac:dyDescent="0.2">
      <c r="B424" s="92" t="s">
        <v>2896</v>
      </c>
      <c r="C424" s="93">
        <v>2019</v>
      </c>
      <c r="D424" s="93">
        <v>6</v>
      </c>
      <c r="E424" s="93">
        <v>45</v>
      </c>
    </row>
    <row r="425" spans="2:5" x14ac:dyDescent="0.2">
      <c r="B425" s="92" t="s">
        <v>2896</v>
      </c>
      <c r="C425" s="93">
        <v>2019</v>
      </c>
      <c r="D425" s="93">
        <v>5</v>
      </c>
      <c r="E425" s="93">
        <v>40</v>
      </c>
    </row>
    <row r="426" spans="2:5" x14ac:dyDescent="0.2">
      <c r="B426" s="92" t="s">
        <v>2896</v>
      </c>
      <c r="C426" s="93">
        <v>2019</v>
      </c>
      <c r="D426" s="93">
        <v>9</v>
      </c>
      <c r="E426" s="93">
        <v>35</v>
      </c>
    </row>
    <row r="427" spans="2:5" x14ac:dyDescent="0.2">
      <c r="B427" s="92" t="s">
        <v>2896</v>
      </c>
      <c r="C427" s="93">
        <v>2019</v>
      </c>
      <c r="D427" s="93">
        <v>11</v>
      </c>
      <c r="E427" s="93">
        <v>30</v>
      </c>
    </row>
    <row r="428" spans="2:5" x14ac:dyDescent="0.2">
      <c r="B428" s="92" t="s">
        <v>2896</v>
      </c>
      <c r="C428" s="93">
        <v>2019</v>
      </c>
      <c r="D428" s="93">
        <v>10</v>
      </c>
      <c r="E428" s="93">
        <v>18</v>
      </c>
    </row>
    <row r="429" spans="2:5" x14ac:dyDescent="0.2">
      <c r="B429" s="92" t="s">
        <v>2896</v>
      </c>
      <c r="C429" s="93">
        <v>2019</v>
      </c>
      <c r="D429" s="93">
        <v>2</v>
      </c>
      <c r="E429" s="93">
        <v>17</v>
      </c>
    </row>
    <row r="430" spans="2:5" x14ac:dyDescent="0.2">
      <c r="B430" s="92" t="s">
        <v>2896</v>
      </c>
      <c r="C430" s="93">
        <v>2019</v>
      </c>
      <c r="D430" s="93">
        <v>4</v>
      </c>
      <c r="E430" s="93">
        <v>17</v>
      </c>
    </row>
    <row r="431" spans="2:5" x14ac:dyDescent="0.2">
      <c r="B431" s="92" t="s">
        <v>2896</v>
      </c>
      <c r="C431" s="93">
        <v>2019</v>
      </c>
      <c r="D431" s="93">
        <v>7</v>
      </c>
      <c r="E431" s="93">
        <v>13</v>
      </c>
    </row>
    <row r="432" spans="2:5" x14ac:dyDescent="0.2">
      <c r="B432" s="92" t="s">
        <v>2896</v>
      </c>
      <c r="C432" s="93">
        <v>2019</v>
      </c>
      <c r="D432" s="93">
        <v>8</v>
      </c>
      <c r="E432" s="93">
        <v>11</v>
      </c>
    </row>
    <row r="433" spans="2:5" x14ac:dyDescent="0.2">
      <c r="B433" s="92" t="s">
        <v>2896</v>
      </c>
      <c r="C433" s="93">
        <v>2019</v>
      </c>
      <c r="D433" s="93">
        <v>3</v>
      </c>
      <c r="E433" s="93">
        <v>10</v>
      </c>
    </row>
    <row r="434" spans="2:5" x14ac:dyDescent="0.2">
      <c r="B434" s="92" t="s">
        <v>2896</v>
      </c>
      <c r="C434" s="93">
        <v>2019</v>
      </c>
      <c r="D434" s="93">
        <v>12</v>
      </c>
      <c r="E434" s="93">
        <v>7</v>
      </c>
    </row>
    <row r="435" spans="2:5" x14ac:dyDescent="0.2">
      <c r="B435" s="92" t="s">
        <v>2896</v>
      </c>
      <c r="C435" s="93">
        <v>2019</v>
      </c>
      <c r="D435" s="93">
        <v>1</v>
      </c>
      <c r="E435" s="93">
        <v>6</v>
      </c>
    </row>
    <row r="436" spans="2:5" x14ac:dyDescent="0.2">
      <c r="B436" s="92" t="s">
        <v>2761</v>
      </c>
      <c r="C436" s="93">
        <v>2019</v>
      </c>
      <c r="D436" s="93">
        <v>4</v>
      </c>
      <c r="E436" s="93">
        <v>76</v>
      </c>
    </row>
    <row r="437" spans="2:5" x14ac:dyDescent="0.2">
      <c r="B437" s="92" t="s">
        <v>2761</v>
      </c>
      <c r="C437" s="93">
        <v>2019</v>
      </c>
      <c r="D437" s="93">
        <v>7</v>
      </c>
      <c r="E437" s="93">
        <v>22</v>
      </c>
    </row>
    <row r="438" spans="2:5" x14ac:dyDescent="0.2">
      <c r="B438" s="92" t="s">
        <v>2761</v>
      </c>
      <c r="C438" s="93">
        <v>2019</v>
      </c>
      <c r="D438" s="93">
        <v>6</v>
      </c>
      <c r="E438" s="93">
        <v>12</v>
      </c>
    </row>
    <row r="439" spans="2:5" x14ac:dyDescent="0.2">
      <c r="B439" s="92" t="s">
        <v>2761</v>
      </c>
      <c r="C439" s="93">
        <v>2019</v>
      </c>
      <c r="D439" s="93">
        <v>11</v>
      </c>
      <c r="E439" s="93">
        <v>7</v>
      </c>
    </row>
    <row r="440" spans="2:5" x14ac:dyDescent="0.2">
      <c r="B440" s="92" t="s">
        <v>2761</v>
      </c>
      <c r="C440" s="93">
        <v>2019</v>
      </c>
      <c r="D440" s="93">
        <v>1</v>
      </c>
      <c r="E440" s="93">
        <v>6</v>
      </c>
    </row>
    <row r="441" spans="2:5" x14ac:dyDescent="0.2">
      <c r="B441" s="92" t="s">
        <v>2761</v>
      </c>
      <c r="C441" s="93">
        <v>2019</v>
      </c>
      <c r="D441" s="93">
        <v>8</v>
      </c>
      <c r="E441" s="93">
        <v>5</v>
      </c>
    </row>
    <row r="442" spans="2:5" x14ac:dyDescent="0.2">
      <c r="B442" s="92" t="s">
        <v>2761</v>
      </c>
      <c r="C442" s="93">
        <v>2019</v>
      </c>
      <c r="D442" s="93">
        <v>10</v>
      </c>
      <c r="E442" s="93">
        <v>5</v>
      </c>
    </row>
    <row r="443" spans="2:5" x14ac:dyDescent="0.2">
      <c r="B443" s="92" t="s">
        <v>2761</v>
      </c>
      <c r="C443" s="93">
        <v>2019</v>
      </c>
      <c r="D443" s="93">
        <v>2</v>
      </c>
      <c r="E443" s="93">
        <v>2</v>
      </c>
    </row>
    <row r="444" spans="2:5" x14ac:dyDescent="0.2">
      <c r="B444" s="92" t="s">
        <v>2761</v>
      </c>
      <c r="C444" s="93">
        <v>2019</v>
      </c>
      <c r="D444" s="93">
        <v>5</v>
      </c>
      <c r="E444" s="93">
        <v>2</v>
      </c>
    </row>
    <row r="445" spans="2:5" x14ac:dyDescent="0.2">
      <c r="B445" s="92" t="s">
        <v>2761</v>
      </c>
      <c r="C445" s="93">
        <v>2019</v>
      </c>
      <c r="D445" s="93">
        <v>3</v>
      </c>
      <c r="E445" s="93">
        <v>1</v>
      </c>
    </row>
    <row r="446" spans="2:5" x14ac:dyDescent="0.2">
      <c r="B446" s="92" t="s">
        <v>2761</v>
      </c>
      <c r="C446" s="93">
        <v>2019</v>
      </c>
      <c r="D446" s="93">
        <v>12</v>
      </c>
      <c r="E446" s="93">
        <v>1</v>
      </c>
    </row>
    <row r="447" spans="2:5" x14ac:dyDescent="0.2">
      <c r="B447" s="92" t="s">
        <v>2911</v>
      </c>
      <c r="C447" s="93">
        <v>2019</v>
      </c>
      <c r="D447" s="93">
        <v>5</v>
      </c>
      <c r="E447" s="93">
        <v>13</v>
      </c>
    </row>
    <row r="448" spans="2:5" x14ac:dyDescent="0.2">
      <c r="B448" s="92" t="s">
        <v>2911</v>
      </c>
      <c r="C448" s="93">
        <v>2019</v>
      </c>
      <c r="D448" s="93">
        <v>9</v>
      </c>
      <c r="E448" s="93">
        <v>12</v>
      </c>
    </row>
    <row r="449" spans="2:5" x14ac:dyDescent="0.2">
      <c r="B449" s="92" t="s">
        <v>2911</v>
      </c>
      <c r="C449" s="93">
        <v>2019</v>
      </c>
      <c r="D449" s="93">
        <v>4</v>
      </c>
      <c r="E449" s="93">
        <v>11</v>
      </c>
    </row>
    <row r="450" spans="2:5" x14ac:dyDescent="0.2">
      <c r="B450" s="92" t="s">
        <v>2911</v>
      </c>
      <c r="C450" s="93">
        <v>2019</v>
      </c>
      <c r="D450" s="93">
        <v>6</v>
      </c>
      <c r="E450" s="93">
        <v>10</v>
      </c>
    </row>
    <row r="451" spans="2:5" x14ac:dyDescent="0.2">
      <c r="B451" s="92" t="s">
        <v>2911</v>
      </c>
      <c r="C451" s="93">
        <v>2019</v>
      </c>
      <c r="D451" s="93">
        <v>11</v>
      </c>
      <c r="E451" s="93">
        <v>10</v>
      </c>
    </row>
    <row r="452" spans="2:5" x14ac:dyDescent="0.2">
      <c r="B452" s="92" t="s">
        <v>2911</v>
      </c>
      <c r="C452" s="93">
        <v>2019</v>
      </c>
      <c r="D452" s="93">
        <v>2</v>
      </c>
      <c r="E452" s="93">
        <v>7</v>
      </c>
    </row>
    <row r="453" spans="2:5" x14ac:dyDescent="0.2">
      <c r="B453" s="92" t="s">
        <v>2911</v>
      </c>
      <c r="C453" s="93">
        <v>2019</v>
      </c>
      <c r="D453" s="93">
        <v>10</v>
      </c>
      <c r="E453" s="93">
        <v>7</v>
      </c>
    </row>
    <row r="454" spans="2:5" x14ac:dyDescent="0.2">
      <c r="B454" s="92" t="s">
        <v>2911</v>
      </c>
      <c r="C454" s="93">
        <v>2019</v>
      </c>
      <c r="D454" s="93">
        <v>3</v>
      </c>
      <c r="E454" s="93">
        <v>6</v>
      </c>
    </row>
    <row r="455" spans="2:5" x14ac:dyDescent="0.2">
      <c r="B455" s="92" t="s">
        <v>2911</v>
      </c>
      <c r="C455" s="93">
        <v>2019</v>
      </c>
      <c r="D455" s="93">
        <v>1</v>
      </c>
      <c r="E455" s="93">
        <v>5</v>
      </c>
    </row>
    <row r="456" spans="2:5" x14ac:dyDescent="0.2">
      <c r="B456" s="92" t="s">
        <v>2911</v>
      </c>
      <c r="C456" s="93">
        <v>2019</v>
      </c>
      <c r="D456" s="93">
        <v>8</v>
      </c>
      <c r="E456" s="93">
        <v>3</v>
      </c>
    </row>
    <row r="457" spans="2:5" x14ac:dyDescent="0.2">
      <c r="B457" s="92" t="s">
        <v>2911</v>
      </c>
      <c r="C457" s="93">
        <v>2019</v>
      </c>
      <c r="D457" s="93">
        <v>12</v>
      </c>
      <c r="E457" s="93">
        <v>3</v>
      </c>
    </row>
    <row r="458" spans="2:5" x14ac:dyDescent="0.2">
      <c r="B458" s="92" t="s">
        <v>2911</v>
      </c>
      <c r="C458" s="93">
        <v>2019</v>
      </c>
      <c r="D458" s="93">
        <v>7</v>
      </c>
      <c r="E458" s="93">
        <v>2</v>
      </c>
    </row>
    <row r="459" spans="2:5" x14ac:dyDescent="0.2">
      <c r="B459" s="92" t="s">
        <v>2762</v>
      </c>
      <c r="C459" s="93">
        <v>2019</v>
      </c>
      <c r="D459" s="93">
        <v>4</v>
      </c>
      <c r="E459" s="93">
        <v>12</v>
      </c>
    </row>
    <row r="460" spans="2:5" x14ac:dyDescent="0.2">
      <c r="B460" s="92" t="s">
        <v>2762</v>
      </c>
      <c r="C460" s="93">
        <v>2019</v>
      </c>
      <c r="D460" s="93">
        <v>8</v>
      </c>
      <c r="E460" s="93">
        <v>11</v>
      </c>
    </row>
    <row r="461" spans="2:5" x14ac:dyDescent="0.2">
      <c r="B461" s="92" t="s">
        <v>2762</v>
      </c>
      <c r="C461" s="93">
        <v>2019</v>
      </c>
      <c r="D461" s="93">
        <v>10</v>
      </c>
      <c r="E461" s="93">
        <v>11</v>
      </c>
    </row>
    <row r="462" spans="2:5" x14ac:dyDescent="0.2">
      <c r="B462" s="92" t="s">
        <v>2762</v>
      </c>
      <c r="C462" s="93">
        <v>2019</v>
      </c>
      <c r="D462" s="93">
        <v>6</v>
      </c>
      <c r="E462" s="93">
        <v>10</v>
      </c>
    </row>
    <row r="463" spans="2:5" x14ac:dyDescent="0.2">
      <c r="B463" s="92" t="s">
        <v>2762</v>
      </c>
      <c r="C463" s="93">
        <v>2019</v>
      </c>
      <c r="D463" s="93">
        <v>5</v>
      </c>
      <c r="E463" s="93">
        <v>9</v>
      </c>
    </row>
    <row r="464" spans="2:5" x14ac:dyDescent="0.2">
      <c r="B464" s="92" t="s">
        <v>2762</v>
      </c>
      <c r="C464" s="93">
        <v>2019</v>
      </c>
      <c r="D464" s="93">
        <v>3</v>
      </c>
      <c r="E464" s="93">
        <v>4</v>
      </c>
    </row>
    <row r="465" spans="2:5" x14ac:dyDescent="0.2">
      <c r="B465" s="92" t="s">
        <v>2762</v>
      </c>
      <c r="C465" s="93">
        <v>2019</v>
      </c>
      <c r="D465" s="93">
        <v>9</v>
      </c>
      <c r="E465" s="93">
        <v>4</v>
      </c>
    </row>
    <row r="466" spans="2:5" x14ac:dyDescent="0.2">
      <c r="B466" s="92" t="s">
        <v>2763</v>
      </c>
      <c r="C466" s="93">
        <v>2019</v>
      </c>
      <c r="D466" s="93">
        <v>3</v>
      </c>
      <c r="E466" s="93">
        <v>25</v>
      </c>
    </row>
    <row r="467" spans="2:5" x14ac:dyDescent="0.2">
      <c r="B467" s="92" t="s">
        <v>2763</v>
      </c>
      <c r="C467" s="93">
        <v>2019</v>
      </c>
      <c r="D467" s="93">
        <v>2</v>
      </c>
      <c r="E467" s="93">
        <v>12</v>
      </c>
    </row>
    <row r="468" spans="2:5" x14ac:dyDescent="0.2">
      <c r="B468" s="92" t="s">
        <v>2763</v>
      </c>
      <c r="C468" s="93">
        <v>2019</v>
      </c>
      <c r="D468" s="93">
        <v>6</v>
      </c>
      <c r="E468" s="93">
        <v>7</v>
      </c>
    </row>
    <row r="469" spans="2:5" x14ac:dyDescent="0.2">
      <c r="B469" s="92" t="s">
        <v>2763</v>
      </c>
      <c r="C469" s="93">
        <v>2019</v>
      </c>
      <c r="D469" s="93">
        <v>11</v>
      </c>
      <c r="E469" s="93">
        <v>7</v>
      </c>
    </row>
    <row r="470" spans="2:5" x14ac:dyDescent="0.2">
      <c r="B470" s="92" t="s">
        <v>2763</v>
      </c>
      <c r="C470" s="93">
        <v>2019</v>
      </c>
      <c r="D470" s="93">
        <v>5</v>
      </c>
      <c r="E470" s="93">
        <v>6</v>
      </c>
    </row>
    <row r="471" spans="2:5" x14ac:dyDescent="0.2">
      <c r="B471" s="92" t="s">
        <v>2763</v>
      </c>
      <c r="C471" s="93">
        <v>2019</v>
      </c>
      <c r="D471" s="93">
        <v>7</v>
      </c>
      <c r="E471" s="93">
        <v>5</v>
      </c>
    </row>
    <row r="472" spans="2:5" x14ac:dyDescent="0.2">
      <c r="B472" s="92" t="s">
        <v>2763</v>
      </c>
      <c r="C472" s="93">
        <v>2019</v>
      </c>
      <c r="D472" s="93">
        <v>8</v>
      </c>
      <c r="E472" s="93">
        <v>2</v>
      </c>
    </row>
    <row r="473" spans="2:5" x14ac:dyDescent="0.2">
      <c r="B473" s="92" t="s">
        <v>2763</v>
      </c>
      <c r="C473" s="93">
        <v>2019</v>
      </c>
      <c r="D473" s="93">
        <v>9</v>
      </c>
      <c r="E473" s="93">
        <v>2</v>
      </c>
    </row>
    <row r="474" spans="2:5" x14ac:dyDescent="0.2">
      <c r="B474" s="92" t="s">
        <v>2955</v>
      </c>
      <c r="C474" s="93">
        <v>2019</v>
      </c>
      <c r="D474" s="93">
        <v>2</v>
      </c>
      <c r="E474" s="93">
        <v>2</v>
      </c>
    </row>
    <row r="475" spans="2:5" x14ac:dyDescent="0.2">
      <c r="B475" s="92" t="s">
        <v>2955</v>
      </c>
      <c r="C475" s="93">
        <v>2019</v>
      </c>
      <c r="D475" s="93">
        <v>3</v>
      </c>
      <c r="E475" s="93">
        <v>2</v>
      </c>
    </row>
    <row r="476" spans="2:5" x14ac:dyDescent="0.2">
      <c r="B476" s="92" t="s">
        <v>2955</v>
      </c>
      <c r="C476" s="93">
        <v>2019</v>
      </c>
      <c r="D476" s="93">
        <v>4</v>
      </c>
      <c r="E476" s="93">
        <v>2</v>
      </c>
    </row>
    <row r="477" spans="2:5" x14ac:dyDescent="0.2">
      <c r="B477" s="92" t="s">
        <v>2955</v>
      </c>
      <c r="C477" s="93">
        <v>2019</v>
      </c>
      <c r="D477" s="93">
        <v>10</v>
      </c>
      <c r="E477" s="93">
        <v>2</v>
      </c>
    </row>
    <row r="478" spans="2:5" x14ac:dyDescent="0.2">
      <c r="B478" s="92" t="s">
        <v>2955</v>
      </c>
      <c r="C478" s="93">
        <v>2019</v>
      </c>
      <c r="D478" s="93">
        <v>12</v>
      </c>
      <c r="E478" s="93">
        <v>1</v>
      </c>
    </row>
    <row r="479" spans="2:5" x14ac:dyDescent="0.2">
      <c r="B479" s="92" t="s">
        <v>2951</v>
      </c>
      <c r="C479" s="93">
        <v>2019</v>
      </c>
      <c r="D479" s="93">
        <v>3</v>
      </c>
      <c r="E479" s="93">
        <v>2</v>
      </c>
    </row>
    <row r="480" spans="2:5" x14ac:dyDescent="0.2">
      <c r="B480" s="92" t="s">
        <v>2951</v>
      </c>
      <c r="C480" s="93">
        <v>2019</v>
      </c>
      <c r="D480" s="93">
        <v>7</v>
      </c>
      <c r="E480" s="93">
        <v>2</v>
      </c>
    </row>
    <row r="481" spans="2:5" x14ac:dyDescent="0.2">
      <c r="B481" s="92" t="s">
        <v>2951</v>
      </c>
      <c r="C481" s="93">
        <v>2019</v>
      </c>
      <c r="D481" s="93">
        <v>9</v>
      </c>
      <c r="E481" s="93">
        <v>2</v>
      </c>
    </row>
    <row r="482" spans="2:5" x14ac:dyDescent="0.2">
      <c r="B482" s="92" t="s">
        <v>2951</v>
      </c>
      <c r="C482" s="93">
        <v>2019</v>
      </c>
      <c r="D482" s="93">
        <v>1</v>
      </c>
      <c r="E482" s="93">
        <v>1</v>
      </c>
    </row>
    <row r="483" spans="2:5" x14ac:dyDescent="0.2">
      <c r="B483" s="92" t="s">
        <v>2951</v>
      </c>
      <c r="C483" s="93">
        <v>2019</v>
      </c>
      <c r="D483" s="93">
        <v>4</v>
      </c>
      <c r="E483" s="93">
        <v>1</v>
      </c>
    </row>
    <row r="484" spans="2:5" x14ac:dyDescent="0.2">
      <c r="B484" s="92" t="s">
        <v>2951</v>
      </c>
      <c r="C484" s="93">
        <v>2019</v>
      </c>
      <c r="D484" s="93">
        <v>6</v>
      </c>
      <c r="E484" s="93">
        <v>1</v>
      </c>
    </row>
    <row r="485" spans="2:5" x14ac:dyDescent="0.2">
      <c r="B485" s="92" t="s">
        <v>2951</v>
      </c>
      <c r="C485" s="93">
        <v>2019</v>
      </c>
      <c r="D485" s="93">
        <v>10</v>
      </c>
      <c r="E485" s="93">
        <v>1</v>
      </c>
    </row>
    <row r="486" spans="2:5" x14ac:dyDescent="0.2">
      <c r="B486" s="92" t="s">
        <v>2764</v>
      </c>
      <c r="C486" s="93">
        <v>2019</v>
      </c>
      <c r="D486" s="93">
        <v>3</v>
      </c>
      <c r="E486" s="93">
        <v>16</v>
      </c>
    </row>
    <row r="487" spans="2:5" x14ac:dyDescent="0.2">
      <c r="B487" s="92" t="s">
        <v>2764</v>
      </c>
      <c r="C487" s="93">
        <v>2019</v>
      </c>
      <c r="D487" s="93">
        <v>7</v>
      </c>
      <c r="E487" s="93">
        <v>11</v>
      </c>
    </row>
    <row r="488" spans="2:5" x14ac:dyDescent="0.2">
      <c r="B488" s="92" t="s">
        <v>2764</v>
      </c>
      <c r="C488" s="93">
        <v>2019</v>
      </c>
      <c r="D488" s="93">
        <v>5</v>
      </c>
      <c r="E488" s="93">
        <v>7</v>
      </c>
    </row>
    <row r="489" spans="2:5" x14ac:dyDescent="0.2">
      <c r="B489" s="92" t="s">
        <v>2764</v>
      </c>
      <c r="C489" s="93">
        <v>2019</v>
      </c>
      <c r="D489" s="93">
        <v>9</v>
      </c>
      <c r="E489" s="93">
        <v>7</v>
      </c>
    </row>
    <row r="490" spans="2:5" x14ac:dyDescent="0.2">
      <c r="B490" s="92" t="s">
        <v>2764</v>
      </c>
      <c r="C490" s="93">
        <v>2019</v>
      </c>
      <c r="D490" s="93">
        <v>10</v>
      </c>
      <c r="E490" s="93">
        <v>6</v>
      </c>
    </row>
    <row r="491" spans="2:5" x14ac:dyDescent="0.2">
      <c r="B491" s="92" t="s">
        <v>2764</v>
      </c>
      <c r="C491" s="93">
        <v>2019</v>
      </c>
      <c r="D491" s="93">
        <v>11</v>
      </c>
      <c r="E491" s="93">
        <v>6</v>
      </c>
    </row>
    <row r="492" spans="2:5" x14ac:dyDescent="0.2">
      <c r="B492" s="92" t="s">
        <v>2764</v>
      </c>
      <c r="C492" s="93">
        <v>2019</v>
      </c>
      <c r="D492" s="93">
        <v>6</v>
      </c>
      <c r="E492" s="93">
        <v>4</v>
      </c>
    </row>
    <row r="493" spans="2:5" x14ac:dyDescent="0.2">
      <c r="B493" s="92" t="s">
        <v>2764</v>
      </c>
      <c r="C493" s="93">
        <v>2019</v>
      </c>
      <c r="D493" s="93">
        <v>8</v>
      </c>
      <c r="E493" s="93">
        <v>4</v>
      </c>
    </row>
    <row r="494" spans="2:5" x14ac:dyDescent="0.2">
      <c r="B494" s="92" t="s">
        <v>2764</v>
      </c>
      <c r="C494" s="93">
        <v>2019</v>
      </c>
      <c r="D494" s="93">
        <v>1</v>
      </c>
      <c r="E494" s="93">
        <v>3</v>
      </c>
    </row>
    <row r="495" spans="2:5" x14ac:dyDescent="0.2">
      <c r="B495" s="92" t="s">
        <v>2764</v>
      </c>
      <c r="C495" s="93">
        <v>2019</v>
      </c>
      <c r="D495" s="93">
        <v>12</v>
      </c>
      <c r="E495" s="93">
        <v>2</v>
      </c>
    </row>
    <row r="496" spans="2:5" x14ac:dyDescent="0.2">
      <c r="B496" s="92" t="s">
        <v>2764</v>
      </c>
      <c r="C496" s="93">
        <v>2019</v>
      </c>
      <c r="D496" s="93">
        <v>4</v>
      </c>
      <c r="E496" s="93">
        <v>1</v>
      </c>
    </row>
    <row r="497" spans="2:5" x14ac:dyDescent="0.2">
      <c r="B497" s="92" t="s">
        <v>2765</v>
      </c>
      <c r="C497" s="93">
        <v>2019</v>
      </c>
      <c r="D497" s="93">
        <v>4</v>
      </c>
      <c r="E497" s="93">
        <v>12</v>
      </c>
    </row>
    <row r="498" spans="2:5" x14ac:dyDescent="0.2">
      <c r="B498" s="92" t="s">
        <v>2765</v>
      </c>
      <c r="C498" s="93">
        <v>2019</v>
      </c>
      <c r="D498" s="93">
        <v>1</v>
      </c>
      <c r="E498" s="93">
        <v>9</v>
      </c>
    </row>
    <row r="499" spans="2:5" x14ac:dyDescent="0.2">
      <c r="B499" s="92" t="s">
        <v>2765</v>
      </c>
      <c r="C499" s="93">
        <v>2019</v>
      </c>
      <c r="D499" s="93">
        <v>5</v>
      </c>
      <c r="E499" s="93">
        <v>9</v>
      </c>
    </row>
    <row r="500" spans="2:5" x14ac:dyDescent="0.2">
      <c r="B500" s="92" t="s">
        <v>2765</v>
      </c>
      <c r="C500" s="93">
        <v>2019</v>
      </c>
      <c r="D500" s="93">
        <v>10</v>
      </c>
      <c r="E500" s="93">
        <v>7</v>
      </c>
    </row>
    <row r="501" spans="2:5" x14ac:dyDescent="0.2">
      <c r="B501" s="92" t="s">
        <v>2765</v>
      </c>
      <c r="C501" s="93">
        <v>2019</v>
      </c>
      <c r="D501" s="93">
        <v>2</v>
      </c>
      <c r="E501" s="93">
        <v>6</v>
      </c>
    </row>
    <row r="502" spans="2:5" x14ac:dyDescent="0.2">
      <c r="B502" s="92" t="s">
        <v>2765</v>
      </c>
      <c r="C502" s="93">
        <v>2019</v>
      </c>
      <c r="D502" s="93">
        <v>6</v>
      </c>
      <c r="E502" s="93">
        <v>5</v>
      </c>
    </row>
    <row r="503" spans="2:5" x14ac:dyDescent="0.2">
      <c r="B503" s="92" t="s">
        <v>2765</v>
      </c>
      <c r="C503" s="93">
        <v>2019</v>
      </c>
      <c r="D503" s="93">
        <v>3</v>
      </c>
      <c r="E503" s="93">
        <v>4</v>
      </c>
    </row>
    <row r="504" spans="2:5" x14ac:dyDescent="0.2">
      <c r="B504" s="92" t="s">
        <v>2765</v>
      </c>
      <c r="C504" s="93">
        <v>2019</v>
      </c>
      <c r="D504" s="93">
        <v>9</v>
      </c>
      <c r="E504" s="93">
        <v>4</v>
      </c>
    </row>
    <row r="505" spans="2:5" x14ac:dyDescent="0.2">
      <c r="B505" s="92" t="s">
        <v>2765</v>
      </c>
      <c r="C505" s="93">
        <v>2019</v>
      </c>
      <c r="D505" s="93">
        <v>11</v>
      </c>
      <c r="E505" s="93">
        <v>4</v>
      </c>
    </row>
    <row r="506" spans="2:5" x14ac:dyDescent="0.2">
      <c r="B506" s="92" t="s">
        <v>2765</v>
      </c>
      <c r="C506" s="93">
        <v>2019</v>
      </c>
      <c r="D506" s="93">
        <v>7</v>
      </c>
      <c r="E506" s="93">
        <v>2</v>
      </c>
    </row>
    <row r="507" spans="2:5" x14ac:dyDescent="0.2">
      <c r="B507" s="92" t="s">
        <v>2765</v>
      </c>
      <c r="C507" s="93">
        <v>2019</v>
      </c>
      <c r="D507" s="93">
        <v>8</v>
      </c>
      <c r="E507" s="93">
        <v>2</v>
      </c>
    </row>
    <row r="508" spans="2:5" x14ac:dyDescent="0.2">
      <c r="B508" s="92" t="s">
        <v>2765</v>
      </c>
      <c r="C508" s="93">
        <v>2019</v>
      </c>
      <c r="D508" s="93">
        <v>12</v>
      </c>
      <c r="E508" s="93">
        <v>2</v>
      </c>
    </row>
    <row r="509" spans="2:5" x14ac:dyDescent="0.2">
      <c r="B509" s="92" t="s">
        <v>2766</v>
      </c>
      <c r="C509" s="93">
        <v>2019</v>
      </c>
      <c r="D509" s="93">
        <v>5</v>
      </c>
      <c r="E509" s="93">
        <v>45</v>
      </c>
    </row>
    <row r="510" spans="2:5" x14ac:dyDescent="0.2">
      <c r="B510" s="92" t="s">
        <v>2766</v>
      </c>
      <c r="C510" s="93">
        <v>2019</v>
      </c>
      <c r="D510" s="93">
        <v>2</v>
      </c>
      <c r="E510" s="93">
        <v>30</v>
      </c>
    </row>
    <row r="511" spans="2:5" x14ac:dyDescent="0.2">
      <c r="B511" s="92" t="s">
        <v>2766</v>
      </c>
      <c r="C511" s="93">
        <v>2019</v>
      </c>
      <c r="D511" s="93">
        <v>3</v>
      </c>
      <c r="E511" s="93">
        <v>24</v>
      </c>
    </row>
    <row r="512" spans="2:5" x14ac:dyDescent="0.2">
      <c r="B512" s="92" t="s">
        <v>2766</v>
      </c>
      <c r="C512" s="93">
        <v>2019</v>
      </c>
      <c r="D512" s="93">
        <v>6</v>
      </c>
      <c r="E512" s="93">
        <v>20</v>
      </c>
    </row>
    <row r="513" spans="2:5" x14ac:dyDescent="0.2">
      <c r="B513" s="92" t="s">
        <v>2766</v>
      </c>
      <c r="C513" s="93">
        <v>2019</v>
      </c>
      <c r="D513" s="93">
        <v>10</v>
      </c>
      <c r="E513" s="93">
        <v>20</v>
      </c>
    </row>
    <row r="514" spans="2:5" x14ac:dyDescent="0.2">
      <c r="B514" s="92" t="s">
        <v>2766</v>
      </c>
      <c r="C514" s="93">
        <v>2019</v>
      </c>
      <c r="D514" s="93">
        <v>4</v>
      </c>
      <c r="E514" s="93">
        <v>18</v>
      </c>
    </row>
    <row r="515" spans="2:5" x14ac:dyDescent="0.2">
      <c r="B515" s="92" t="s">
        <v>2766</v>
      </c>
      <c r="C515" s="93">
        <v>2019</v>
      </c>
      <c r="D515" s="93">
        <v>1</v>
      </c>
      <c r="E515" s="93">
        <v>14</v>
      </c>
    </row>
    <row r="516" spans="2:5" x14ac:dyDescent="0.2">
      <c r="B516" s="92" t="s">
        <v>2766</v>
      </c>
      <c r="C516" s="93">
        <v>2019</v>
      </c>
      <c r="D516" s="93">
        <v>7</v>
      </c>
      <c r="E516" s="93">
        <v>13</v>
      </c>
    </row>
    <row r="517" spans="2:5" x14ac:dyDescent="0.2">
      <c r="B517" s="92" t="s">
        <v>2766</v>
      </c>
      <c r="C517" s="93">
        <v>2019</v>
      </c>
      <c r="D517" s="93">
        <v>8</v>
      </c>
      <c r="E517" s="93">
        <v>9</v>
      </c>
    </row>
    <row r="518" spans="2:5" x14ac:dyDescent="0.2">
      <c r="B518" s="92" t="s">
        <v>2766</v>
      </c>
      <c r="C518" s="93">
        <v>2019</v>
      </c>
      <c r="D518" s="93">
        <v>12</v>
      </c>
      <c r="E518" s="93">
        <v>6</v>
      </c>
    </row>
    <row r="519" spans="2:5" x14ac:dyDescent="0.2">
      <c r="B519" s="92" t="s">
        <v>2766</v>
      </c>
      <c r="C519" s="93">
        <v>2019</v>
      </c>
      <c r="D519" s="93">
        <v>9</v>
      </c>
      <c r="E519" s="93">
        <v>4</v>
      </c>
    </row>
    <row r="520" spans="2:5" x14ac:dyDescent="0.2">
      <c r="B520" s="92" t="s">
        <v>2766</v>
      </c>
      <c r="C520" s="93">
        <v>2019</v>
      </c>
      <c r="D520" s="93">
        <v>11</v>
      </c>
      <c r="E520" s="93">
        <v>4</v>
      </c>
    </row>
    <row r="521" spans="2:5" x14ac:dyDescent="0.2">
      <c r="B521" s="92" t="s">
        <v>2767</v>
      </c>
      <c r="C521" s="93">
        <v>2019</v>
      </c>
      <c r="D521" s="93">
        <v>1</v>
      </c>
      <c r="E521" s="93">
        <v>343</v>
      </c>
    </row>
    <row r="522" spans="2:5" x14ac:dyDescent="0.2">
      <c r="B522" s="92" t="s">
        <v>2767</v>
      </c>
      <c r="C522" s="93">
        <v>2019</v>
      </c>
      <c r="D522" s="93">
        <v>3</v>
      </c>
      <c r="E522" s="93">
        <v>311</v>
      </c>
    </row>
    <row r="523" spans="2:5" x14ac:dyDescent="0.2">
      <c r="B523" s="92" t="s">
        <v>2767</v>
      </c>
      <c r="C523" s="93">
        <v>2019</v>
      </c>
      <c r="D523" s="93">
        <v>9</v>
      </c>
      <c r="E523" s="93">
        <v>297</v>
      </c>
    </row>
    <row r="524" spans="2:5" x14ac:dyDescent="0.2">
      <c r="B524" s="92" t="s">
        <v>2767</v>
      </c>
      <c r="C524" s="93">
        <v>2019</v>
      </c>
      <c r="D524" s="93">
        <v>4</v>
      </c>
      <c r="E524" s="93">
        <v>287</v>
      </c>
    </row>
    <row r="525" spans="2:5" x14ac:dyDescent="0.2">
      <c r="B525" s="92" t="s">
        <v>2767</v>
      </c>
      <c r="C525" s="93">
        <v>2019</v>
      </c>
      <c r="D525" s="93">
        <v>10</v>
      </c>
      <c r="E525" s="93">
        <v>252</v>
      </c>
    </row>
    <row r="526" spans="2:5" x14ac:dyDescent="0.2">
      <c r="B526" s="92" t="s">
        <v>2767</v>
      </c>
      <c r="C526" s="93">
        <v>2019</v>
      </c>
      <c r="D526" s="93">
        <v>8</v>
      </c>
      <c r="E526" s="93">
        <v>222</v>
      </c>
    </row>
    <row r="527" spans="2:5" x14ac:dyDescent="0.2">
      <c r="B527" s="92" t="s">
        <v>2767</v>
      </c>
      <c r="C527" s="93">
        <v>2019</v>
      </c>
      <c r="D527" s="93">
        <v>7</v>
      </c>
      <c r="E527" s="93">
        <v>217</v>
      </c>
    </row>
    <row r="528" spans="2:5" x14ac:dyDescent="0.2">
      <c r="B528" s="92" t="s">
        <v>2767</v>
      </c>
      <c r="C528" s="93">
        <v>2019</v>
      </c>
      <c r="D528" s="93">
        <v>11</v>
      </c>
      <c r="E528" s="93">
        <v>191</v>
      </c>
    </row>
    <row r="529" spans="2:5" x14ac:dyDescent="0.2">
      <c r="B529" s="92" t="s">
        <v>2767</v>
      </c>
      <c r="C529" s="93">
        <v>2019</v>
      </c>
      <c r="D529" s="93">
        <v>2</v>
      </c>
      <c r="E529" s="93">
        <v>181</v>
      </c>
    </row>
    <row r="530" spans="2:5" x14ac:dyDescent="0.2">
      <c r="B530" s="92" t="s">
        <v>2767</v>
      </c>
      <c r="C530" s="93">
        <v>2019</v>
      </c>
      <c r="D530" s="93">
        <v>12</v>
      </c>
      <c r="E530" s="93">
        <v>174</v>
      </c>
    </row>
    <row r="531" spans="2:5" x14ac:dyDescent="0.2">
      <c r="B531" s="92" t="s">
        <v>2767</v>
      </c>
      <c r="C531" s="93">
        <v>2019</v>
      </c>
      <c r="D531" s="93">
        <v>6</v>
      </c>
      <c r="E531" s="93">
        <v>153</v>
      </c>
    </row>
    <row r="532" spans="2:5" x14ac:dyDescent="0.2">
      <c r="B532" s="92" t="s">
        <v>2767</v>
      </c>
      <c r="C532" s="93">
        <v>2019</v>
      </c>
      <c r="D532" s="93">
        <v>5</v>
      </c>
      <c r="E532" s="93">
        <v>109</v>
      </c>
    </row>
    <row r="533" spans="2:5" x14ac:dyDescent="0.2">
      <c r="B533" s="92" t="s">
        <v>2948</v>
      </c>
      <c r="C533" s="93">
        <v>2019</v>
      </c>
      <c r="D533" s="93">
        <v>7</v>
      </c>
      <c r="E533" s="93">
        <v>3</v>
      </c>
    </row>
    <row r="534" spans="2:5" x14ac:dyDescent="0.2">
      <c r="B534" s="92" t="s">
        <v>2948</v>
      </c>
      <c r="C534" s="93">
        <v>2019</v>
      </c>
      <c r="D534" s="93">
        <v>8</v>
      </c>
      <c r="E534" s="93">
        <v>3</v>
      </c>
    </row>
    <row r="535" spans="2:5" x14ac:dyDescent="0.2">
      <c r="B535" s="92" t="s">
        <v>2948</v>
      </c>
      <c r="C535" s="93">
        <v>2019</v>
      </c>
      <c r="D535" s="93">
        <v>3</v>
      </c>
      <c r="E535" s="93">
        <v>2</v>
      </c>
    </row>
    <row r="536" spans="2:5" x14ac:dyDescent="0.2">
      <c r="B536" s="92" t="s">
        <v>2948</v>
      </c>
      <c r="C536" s="93">
        <v>2019</v>
      </c>
      <c r="D536" s="93">
        <v>5</v>
      </c>
      <c r="E536" s="93">
        <v>1</v>
      </c>
    </row>
    <row r="537" spans="2:5" x14ac:dyDescent="0.2">
      <c r="B537" s="92" t="s">
        <v>2948</v>
      </c>
      <c r="C537" s="93">
        <v>2019</v>
      </c>
      <c r="D537" s="93">
        <v>9</v>
      </c>
      <c r="E537" s="93">
        <v>1</v>
      </c>
    </row>
    <row r="538" spans="2:5" x14ac:dyDescent="0.2">
      <c r="B538" s="92" t="s">
        <v>2948</v>
      </c>
      <c r="C538" s="93">
        <v>2019</v>
      </c>
      <c r="D538" s="93">
        <v>11</v>
      </c>
      <c r="E538" s="93">
        <v>1</v>
      </c>
    </row>
    <row r="539" spans="2:5" x14ac:dyDescent="0.2">
      <c r="B539" s="92" t="s">
        <v>2940</v>
      </c>
      <c r="C539" s="93">
        <v>2019</v>
      </c>
      <c r="D539" s="93">
        <v>4</v>
      </c>
      <c r="E539" s="93">
        <v>4</v>
      </c>
    </row>
    <row r="540" spans="2:5" x14ac:dyDescent="0.2">
      <c r="B540" s="92" t="s">
        <v>2940</v>
      </c>
      <c r="C540" s="93">
        <v>2019</v>
      </c>
      <c r="D540" s="93">
        <v>10</v>
      </c>
      <c r="E540" s="93">
        <v>4</v>
      </c>
    </row>
    <row r="541" spans="2:5" x14ac:dyDescent="0.2">
      <c r="B541" s="92" t="s">
        <v>2940</v>
      </c>
      <c r="C541" s="93">
        <v>2019</v>
      </c>
      <c r="D541" s="93">
        <v>5</v>
      </c>
      <c r="E541" s="93">
        <v>3</v>
      </c>
    </row>
    <row r="542" spans="2:5" x14ac:dyDescent="0.2">
      <c r="B542" s="92" t="s">
        <v>2940</v>
      </c>
      <c r="C542" s="93">
        <v>2019</v>
      </c>
      <c r="D542" s="93">
        <v>2</v>
      </c>
      <c r="E542" s="93">
        <v>2</v>
      </c>
    </row>
    <row r="543" spans="2:5" x14ac:dyDescent="0.2">
      <c r="B543" s="92" t="s">
        <v>2940</v>
      </c>
      <c r="C543" s="93">
        <v>2019</v>
      </c>
      <c r="D543" s="93">
        <v>7</v>
      </c>
      <c r="E543" s="93">
        <v>2</v>
      </c>
    </row>
    <row r="544" spans="2:5" x14ac:dyDescent="0.2">
      <c r="B544" s="92" t="s">
        <v>2940</v>
      </c>
      <c r="C544" s="93">
        <v>2019</v>
      </c>
      <c r="D544" s="93">
        <v>8</v>
      </c>
      <c r="E544" s="93">
        <v>2</v>
      </c>
    </row>
    <row r="545" spans="2:5" x14ac:dyDescent="0.2">
      <c r="B545" s="92" t="s">
        <v>2940</v>
      </c>
      <c r="C545" s="93">
        <v>2019</v>
      </c>
      <c r="D545" s="93">
        <v>6</v>
      </c>
      <c r="E545" s="93">
        <v>1</v>
      </c>
    </row>
    <row r="546" spans="2:5" x14ac:dyDescent="0.2">
      <c r="B546" s="92" t="s">
        <v>2940</v>
      </c>
      <c r="C546" s="93">
        <v>2019</v>
      </c>
      <c r="D546" s="93">
        <v>9</v>
      </c>
      <c r="E546" s="93">
        <v>1</v>
      </c>
    </row>
    <row r="547" spans="2:5" x14ac:dyDescent="0.2">
      <c r="B547" s="92" t="s">
        <v>2768</v>
      </c>
      <c r="C547" s="93">
        <v>2019</v>
      </c>
      <c r="D547" s="93">
        <v>9</v>
      </c>
      <c r="E547" s="93">
        <v>21</v>
      </c>
    </row>
    <row r="548" spans="2:5" x14ac:dyDescent="0.2">
      <c r="B548" s="92" t="s">
        <v>2768</v>
      </c>
      <c r="C548" s="93">
        <v>2019</v>
      </c>
      <c r="D548" s="93">
        <v>5</v>
      </c>
      <c r="E548" s="93">
        <v>15</v>
      </c>
    </row>
    <row r="549" spans="2:5" x14ac:dyDescent="0.2">
      <c r="B549" s="92" t="s">
        <v>2768</v>
      </c>
      <c r="C549" s="93">
        <v>2019</v>
      </c>
      <c r="D549" s="93">
        <v>8</v>
      </c>
      <c r="E549" s="93">
        <v>14</v>
      </c>
    </row>
    <row r="550" spans="2:5" x14ac:dyDescent="0.2">
      <c r="B550" s="92" t="s">
        <v>2768</v>
      </c>
      <c r="C550" s="93">
        <v>2019</v>
      </c>
      <c r="D550" s="93">
        <v>11</v>
      </c>
      <c r="E550" s="93">
        <v>14</v>
      </c>
    </row>
    <row r="551" spans="2:5" x14ac:dyDescent="0.2">
      <c r="B551" s="92" t="s">
        <v>2768</v>
      </c>
      <c r="C551" s="93">
        <v>2019</v>
      </c>
      <c r="D551" s="93">
        <v>7</v>
      </c>
      <c r="E551" s="93">
        <v>11</v>
      </c>
    </row>
    <row r="552" spans="2:5" x14ac:dyDescent="0.2">
      <c r="B552" s="92" t="s">
        <v>2768</v>
      </c>
      <c r="C552" s="93">
        <v>2019</v>
      </c>
      <c r="D552" s="93">
        <v>3</v>
      </c>
      <c r="E552" s="93">
        <v>9</v>
      </c>
    </row>
    <row r="553" spans="2:5" x14ac:dyDescent="0.2">
      <c r="B553" s="92" t="s">
        <v>2768</v>
      </c>
      <c r="C553" s="93">
        <v>2019</v>
      </c>
      <c r="D553" s="93">
        <v>10</v>
      </c>
      <c r="E553" s="93">
        <v>7</v>
      </c>
    </row>
    <row r="554" spans="2:5" x14ac:dyDescent="0.2">
      <c r="B554" s="92" t="s">
        <v>2768</v>
      </c>
      <c r="C554" s="93">
        <v>2019</v>
      </c>
      <c r="D554" s="93">
        <v>6</v>
      </c>
      <c r="E554" s="93">
        <v>6</v>
      </c>
    </row>
    <row r="555" spans="2:5" x14ac:dyDescent="0.2">
      <c r="B555" s="92" t="s">
        <v>2768</v>
      </c>
      <c r="C555" s="93">
        <v>2019</v>
      </c>
      <c r="D555" s="93">
        <v>1</v>
      </c>
      <c r="E555" s="93">
        <v>5</v>
      </c>
    </row>
    <row r="556" spans="2:5" x14ac:dyDescent="0.2">
      <c r="B556" s="92" t="s">
        <v>2768</v>
      </c>
      <c r="C556" s="93">
        <v>2019</v>
      </c>
      <c r="D556" s="93">
        <v>4</v>
      </c>
      <c r="E556" s="93">
        <v>3</v>
      </c>
    </row>
    <row r="557" spans="2:5" x14ac:dyDescent="0.2">
      <c r="B557" s="92" t="s">
        <v>2769</v>
      </c>
      <c r="C557" s="93">
        <v>2019</v>
      </c>
      <c r="D557" s="93">
        <v>4</v>
      </c>
      <c r="E557" s="93">
        <v>28</v>
      </c>
    </row>
    <row r="558" spans="2:5" x14ac:dyDescent="0.2">
      <c r="B558" s="92" t="s">
        <v>2769</v>
      </c>
      <c r="C558" s="93">
        <v>2019</v>
      </c>
      <c r="D558" s="93">
        <v>3</v>
      </c>
      <c r="E558" s="93">
        <v>17</v>
      </c>
    </row>
    <row r="559" spans="2:5" x14ac:dyDescent="0.2">
      <c r="B559" s="92" t="s">
        <v>2769</v>
      </c>
      <c r="C559" s="93">
        <v>2019</v>
      </c>
      <c r="D559" s="93">
        <v>6</v>
      </c>
      <c r="E559" s="93">
        <v>17</v>
      </c>
    </row>
    <row r="560" spans="2:5" x14ac:dyDescent="0.2">
      <c r="B560" s="92" t="s">
        <v>2769</v>
      </c>
      <c r="C560" s="93">
        <v>2019</v>
      </c>
      <c r="D560" s="93">
        <v>10</v>
      </c>
      <c r="E560" s="93">
        <v>17</v>
      </c>
    </row>
    <row r="561" spans="2:5" x14ac:dyDescent="0.2">
      <c r="B561" s="92" t="s">
        <v>2769</v>
      </c>
      <c r="C561" s="93">
        <v>2019</v>
      </c>
      <c r="D561" s="93">
        <v>7</v>
      </c>
      <c r="E561" s="93">
        <v>15</v>
      </c>
    </row>
    <row r="562" spans="2:5" x14ac:dyDescent="0.2">
      <c r="B562" s="92" t="s">
        <v>2769</v>
      </c>
      <c r="C562" s="93">
        <v>2019</v>
      </c>
      <c r="D562" s="93">
        <v>9</v>
      </c>
      <c r="E562" s="93">
        <v>14</v>
      </c>
    </row>
    <row r="563" spans="2:5" x14ac:dyDescent="0.2">
      <c r="B563" s="92" t="s">
        <v>2769</v>
      </c>
      <c r="C563" s="93">
        <v>2019</v>
      </c>
      <c r="D563" s="93">
        <v>5</v>
      </c>
      <c r="E563" s="93">
        <v>11</v>
      </c>
    </row>
    <row r="564" spans="2:5" x14ac:dyDescent="0.2">
      <c r="B564" s="92" t="s">
        <v>2769</v>
      </c>
      <c r="C564" s="93">
        <v>2019</v>
      </c>
      <c r="D564" s="93">
        <v>2</v>
      </c>
      <c r="E564" s="93">
        <v>9</v>
      </c>
    </row>
    <row r="565" spans="2:5" x14ac:dyDescent="0.2">
      <c r="B565" s="92" t="s">
        <v>2769</v>
      </c>
      <c r="C565" s="93">
        <v>2019</v>
      </c>
      <c r="D565" s="93">
        <v>8</v>
      </c>
      <c r="E565" s="93">
        <v>7</v>
      </c>
    </row>
    <row r="566" spans="2:5" x14ac:dyDescent="0.2">
      <c r="B566" s="92" t="s">
        <v>2769</v>
      </c>
      <c r="C566" s="93">
        <v>2019</v>
      </c>
      <c r="D566" s="93">
        <v>11</v>
      </c>
      <c r="E566" s="93">
        <v>3</v>
      </c>
    </row>
    <row r="567" spans="2:5" x14ac:dyDescent="0.2">
      <c r="B567" s="92" t="s">
        <v>2770</v>
      </c>
      <c r="C567" s="93">
        <v>2019</v>
      </c>
      <c r="D567" s="93">
        <v>6</v>
      </c>
      <c r="E567" s="93">
        <v>7</v>
      </c>
    </row>
    <row r="568" spans="2:5" x14ac:dyDescent="0.2">
      <c r="B568" s="92" t="s">
        <v>2770</v>
      </c>
      <c r="C568" s="93">
        <v>2019</v>
      </c>
      <c r="D568" s="93">
        <v>4</v>
      </c>
      <c r="E568" s="93">
        <v>5</v>
      </c>
    </row>
    <row r="569" spans="2:5" x14ac:dyDescent="0.2">
      <c r="B569" s="92" t="s">
        <v>2770</v>
      </c>
      <c r="C569" s="93">
        <v>2019</v>
      </c>
      <c r="D569" s="93">
        <v>1</v>
      </c>
      <c r="E569" s="93">
        <v>4</v>
      </c>
    </row>
    <row r="570" spans="2:5" x14ac:dyDescent="0.2">
      <c r="B570" s="92" t="s">
        <v>2770</v>
      </c>
      <c r="C570" s="93">
        <v>2019</v>
      </c>
      <c r="D570" s="93">
        <v>2</v>
      </c>
      <c r="E570" s="93">
        <v>3</v>
      </c>
    </row>
    <row r="571" spans="2:5" x14ac:dyDescent="0.2">
      <c r="B571" s="92" t="s">
        <v>2770</v>
      </c>
      <c r="C571" s="93">
        <v>2019</v>
      </c>
      <c r="D571" s="93">
        <v>5</v>
      </c>
      <c r="E571" s="93">
        <v>2</v>
      </c>
    </row>
    <row r="572" spans="2:5" x14ac:dyDescent="0.2">
      <c r="B572" s="92" t="s">
        <v>2771</v>
      </c>
      <c r="C572" s="93">
        <v>2019</v>
      </c>
      <c r="D572" s="93">
        <v>9</v>
      </c>
      <c r="E572" s="93">
        <v>36</v>
      </c>
    </row>
    <row r="573" spans="2:5" x14ac:dyDescent="0.2">
      <c r="B573" s="92" t="s">
        <v>2771</v>
      </c>
      <c r="C573" s="93">
        <v>2019</v>
      </c>
      <c r="D573" s="93">
        <v>11</v>
      </c>
      <c r="E573" s="93">
        <v>28</v>
      </c>
    </row>
    <row r="574" spans="2:5" x14ac:dyDescent="0.2">
      <c r="B574" s="92" t="s">
        <v>2771</v>
      </c>
      <c r="C574" s="93">
        <v>2019</v>
      </c>
      <c r="D574" s="93">
        <v>2</v>
      </c>
      <c r="E574" s="93">
        <v>27</v>
      </c>
    </row>
    <row r="575" spans="2:5" x14ac:dyDescent="0.2">
      <c r="B575" s="92" t="s">
        <v>2771</v>
      </c>
      <c r="C575" s="93">
        <v>2019</v>
      </c>
      <c r="D575" s="93">
        <v>8</v>
      </c>
      <c r="E575" s="93">
        <v>24</v>
      </c>
    </row>
    <row r="576" spans="2:5" x14ac:dyDescent="0.2">
      <c r="B576" s="92" t="s">
        <v>2771</v>
      </c>
      <c r="C576" s="93">
        <v>2019</v>
      </c>
      <c r="D576" s="93">
        <v>7</v>
      </c>
      <c r="E576" s="93">
        <v>23</v>
      </c>
    </row>
    <row r="577" spans="2:5" x14ac:dyDescent="0.2">
      <c r="B577" s="92" t="s">
        <v>2771</v>
      </c>
      <c r="C577" s="93">
        <v>2019</v>
      </c>
      <c r="D577" s="93">
        <v>5</v>
      </c>
      <c r="E577" s="93">
        <v>19</v>
      </c>
    </row>
    <row r="578" spans="2:5" x14ac:dyDescent="0.2">
      <c r="B578" s="92" t="s">
        <v>2771</v>
      </c>
      <c r="C578" s="93">
        <v>2019</v>
      </c>
      <c r="D578" s="93">
        <v>6</v>
      </c>
      <c r="E578" s="93">
        <v>14</v>
      </c>
    </row>
    <row r="579" spans="2:5" x14ac:dyDescent="0.2">
      <c r="B579" s="92" t="s">
        <v>2771</v>
      </c>
      <c r="C579" s="93">
        <v>2019</v>
      </c>
      <c r="D579" s="93">
        <v>3</v>
      </c>
      <c r="E579" s="93">
        <v>10</v>
      </c>
    </row>
    <row r="580" spans="2:5" x14ac:dyDescent="0.2">
      <c r="B580" s="92" t="s">
        <v>2771</v>
      </c>
      <c r="C580" s="93">
        <v>2019</v>
      </c>
      <c r="D580" s="93">
        <v>10</v>
      </c>
      <c r="E580" s="93">
        <v>8</v>
      </c>
    </row>
    <row r="581" spans="2:5" x14ac:dyDescent="0.2">
      <c r="B581" s="92" t="s">
        <v>2771</v>
      </c>
      <c r="C581" s="93">
        <v>2019</v>
      </c>
      <c r="D581" s="93">
        <v>4</v>
      </c>
      <c r="E581" s="93">
        <v>4</v>
      </c>
    </row>
    <row r="582" spans="2:5" x14ac:dyDescent="0.2">
      <c r="B582" s="92" t="s">
        <v>2771</v>
      </c>
      <c r="C582" s="93">
        <v>2019</v>
      </c>
      <c r="D582" s="93">
        <v>12</v>
      </c>
      <c r="E582" s="93">
        <v>2</v>
      </c>
    </row>
    <row r="583" spans="2:5" x14ac:dyDescent="0.2">
      <c r="B583" s="92" t="s">
        <v>2771</v>
      </c>
      <c r="C583" s="93">
        <v>2019</v>
      </c>
      <c r="D583" s="93">
        <v>1</v>
      </c>
      <c r="E583" s="93">
        <v>1</v>
      </c>
    </row>
    <row r="584" spans="2:5" x14ac:dyDescent="0.2">
      <c r="B584" s="92" t="s">
        <v>2772</v>
      </c>
      <c r="C584" s="93">
        <v>2019</v>
      </c>
      <c r="D584" s="93">
        <v>3</v>
      </c>
      <c r="E584" s="93">
        <v>216</v>
      </c>
    </row>
    <row r="585" spans="2:5" x14ac:dyDescent="0.2">
      <c r="B585" s="92" t="s">
        <v>2772</v>
      </c>
      <c r="C585" s="93">
        <v>2019</v>
      </c>
      <c r="D585" s="93">
        <v>9</v>
      </c>
      <c r="E585" s="93">
        <v>154</v>
      </c>
    </row>
    <row r="586" spans="2:5" x14ac:dyDescent="0.2">
      <c r="B586" s="92" t="s">
        <v>2772</v>
      </c>
      <c r="C586" s="93">
        <v>2019</v>
      </c>
      <c r="D586" s="93">
        <v>4</v>
      </c>
      <c r="E586" s="93">
        <v>121</v>
      </c>
    </row>
    <row r="587" spans="2:5" x14ac:dyDescent="0.2">
      <c r="B587" s="92" t="s">
        <v>2772</v>
      </c>
      <c r="C587" s="93">
        <v>2019</v>
      </c>
      <c r="D587" s="93">
        <v>10</v>
      </c>
      <c r="E587" s="93">
        <v>121</v>
      </c>
    </row>
    <row r="588" spans="2:5" x14ac:dyDescent="0.2">
      <c r="B588" s="92" t="s">
        <v>2772</v>
      </c>
      <c r="C588" s="93">
        <v>2019</v>
      </c>
      <c r="D588" s="93">
        <v>8</v>
      </c>
      <c r="E588" s="93">
        <v>106</v>
      </c>
    </row>
    <row r="589" spans="2:5" x14ac:dyDescent="0.2">
      <c r="B589" s="92" t="s">
        <v>2772</v>
      </c>
      <c r="C589" s="93">
        <v>2019</v>
      </c>
      <c r="D589" s="93">
        <v>11</v>
      </c>
      <c r="E589" s="93">
        <v>102</v>
      </c>
    </row>
    <row r="590" spans="2:5" x14ac:dyDescent="0.2">
      <c r="B590" s="92" t="s">
        <v>2772</v>
      </c>
      <c r="C590" s="93">
        <v>2019</v>
      </c>
      <c r="D590" s="93">
        <v>5</v>
      </c>
      <c r="E590" s="93">
        <v>96</v>
      </c>
    </row>
    <row r="591" spans="2:5" x14ac:dyDescent="0.2">
      <c r="B591" s="92" t="s">
        <v>2772</v>
      </c>
      <c r="C591" s="93">
        <v>2019</v>
      </c>
      <c r="D591" s="93">
        <v>6</v>
      </c>
      <c r="E591" s="93">
        <v>75</v>
      </c>
    </row>
    <row r="592" spans="2:5" x14ac:dyDescent="0.2">
      <c r="B592" s="92" t="s">
        <v>2772</v>
      </c>
      <c r="C592" s="93">
        <v>2019</v>
      </c>
      <c r="D592" s="93">
        <v>7</v>
      </c>
      <c r="E592" s="93">
        <v>65</v>
      </c>
    </row>
    <row r="593" spans="2:5" x14ac:dyDescent="0.2">
      <c r="B593" s="92" t="s">
        <v>2772</v>
      </c>
      <c r="C593" s="93">
        <v>2019</v>
      </c>
      <c r="D593" s="93">
        <v>1</v>
      </c>
      <c r="E593" s="93">
        <v>11</v>
      </c>
    </row>
    <row r="594" spans="2:5" x14ac:dyDescent="0.2">
      <c r="B594" s="92" t="s">
        <v>2772</v>
      </c>
      <c r="C594" s="93">
        <v>2019</v>
      </c>
      <c r="D594" s="93">
        <v>2</v>
      </c>
      <c r="E594" s="93">
        <v>3</v>
      </c>
    </row>
    <row r="595" spans="2:5" x14ac:dyDescent="0.2">
      <c r="B595" s="92" t="s">
        <v>2773</v>
      </c>
      <c r="C595" s="93">
        <v>2019</v>
      </c>
      <c r="D595" s="93">
        <v>5</v>
      </c>
      <c r="E595" s="93">
        <v>16</v>
      </c>
    </row>
    <row r="596" spans="2:5" x14ac:dyDescent="0.2">
      <c r="B596" s="92" t="s">
        <v>2773</v>
      </c>
      <c r="C596" s="93">
        <v>2019</v>
      </c>
      <c r="D596" s="93">
        <v>6</v>
      </c>
      <c r="E596" s="93">
        <v>8</v>
      </c>
    </row>
    <row r="597" spans="2:5" x14ac:dyDescent="0.2">
      <c r="B597" s="92" t="s">
        <v>2773</v>
      </c>
      <c r="C597" s="93">
        <v>2019</v>
      </c>
      <c r="D597" s="93">
        <v>2</v>
      </c>
      <c r="E597" s="93">
        <v>3</v>
      </c>
    </row>
    <row r="598" spans="2:5" x14ac:dyDescent="0.2">
      <c r="B598" s="92" t="s">
        <v>2773</v>
      </c>
      <c r="C598" s="93">
        <v>2019</v>
      </c>
      <c r="D598" s="93">
        <v>9</v>
      </c>
      <c r="E598" s="93">
        <v>3</v>
      </c>
    </row>
    <row r="599" spans="2:5" x14ac:dyDescent="0.2">
      <c r="B599" s="92" t="s">
        <v>2773</v>
      </c>
      <c r="C599" s="93">
        <v>2019</v>
      </c>
      <c r="D599" s="93">
        <v>3</v>
      </c>
      <c r="E599" s="93">
        <v>1</v>
      </c>
    </row>
    <row r="600" spans="2:5" x14ac:dyDescent="0.2">
      <c r="B600" s="92" t="s">
        <v>2773</v>
      </c>
      <c r="C600" s="93">
        <v>2019</v>
      </c>
      <c r="D600" s="93">
        <v>7</v>
      </c>
      <c r="E600" s="93">
        <v>1</v>
      </c>
    </row>
    <row r="601" spans="2:5" x14ac:dyDescent="0.2">
      <c r="B601" s="92" t="s">
        <v>2773</v>
      </c>
      <c r="C601" s="93">
        <v>2019</v>
      </c>
      <c r="D601" s="93">
        <v>8</v>
      </c>
      <c r="E601" s="93">
        <v>1</v>
      </c>
    </row>
    <row r="602" spans="2:5" x14ac:dyDescent="0.2">
      <c r="B602" s="92" t="s">
        <v>2773</v>
      </c>
      <c r="C602" s="93">
        <v>2019</v>
      </c>
      <c r="D602" s="93">
        <v>12</v>
      </c>
      <c r="E602" s="93">
        <v>1</v>
      </c>
    </row>
    <row r="603" spans="2:5" x14ac:dyDescent="0.2">
      <c r="B603" s="92" t="s">
        <v>2938</v>
      </c>
      <c r="C603" s="93">
        <v>2019</v>
      </c>
      <c r="D603" s="93">
        <v>1</v>
      </c>
      <c r="E603" s="93">
        <v>4</v>
      </c>
    </row>
    <row r="604" spans="2:5" x14ac:dyDescent="0.2">
      <c r="B604" s="92" t="s">
        <v>2938</v>
      </c>
      <c r="C604" s="93">
        <v>2019</v>
      </c>
      <c r="D604" s="93">
        <v>3</v>
      </c>
      <c r="E604" s="93">
        <v>3</v>
      </c>
    </row>
    <row r="605" spans="2:5" x14ac:dyDescent="0.2">
      <c r="B605" s="92" t="s">
        <v>2938</v>
      </c>
      <c r="C605" s="93">
        <v>2019</v>
      </c>
      <c r="D605" s="93">
        <v>10</v>
      </c>
      <c r="E605" s="93">
        <v>3</v>
      </c>
    </row>
    <row r="606" spans="2:5" x14ac:dyDescent="0.2">
      <c r="B606" s="92" t="s">
        <v>2938</v>
      </c>
      <c r="C606" s="93">
        <v>2019</v>
      </c>
      <c r="D606" s="93">
        <v>4</v>
      </c>
      <c r="E606" s="93">
        <v>2</v>
      </c>
    </row>
    <row r="607" spans="2:5" x14ac:dyDescent="0.2">
      <c r="B607" s="92" t="s">
        <v>2938</v>
      </c>
      <c r="C607" s="93">
        <v>2019</v>
      </c>
      <c r="D607" s="93">
        <v>7</v>
      </c>
      <c r="E607" s="93">
        <v>2</v>
      </c>
    </row>
    <row r="608" spans="2:5" x14ac:dyDescent="0.2">
      <c r="B608" s="92" t="s">
        <v>2938</v>
      </c>
      <c r="C608" s="93">
        <v>2019</v>
      </c>
      <c r="D608" s="93">
        <v>8</v>
      </c>
      <c r="E608" s="93">
        <v>2</v>
      </c>
    </row>
    <row r="609" spans="2:5" x14ac:dyDescent="0.2">
      <c r="B609" s="92" t="s">
        <v>2938</v>
      </c>
      <c r="C609" s="93">
        <v>2019</v>
      </c>
      <c r="D609" s="93">
        <v>5</v>
      </c>
      <c r="E609" s="93">
        <v>1</v>
      </c>
    </row>
    <row r="610" spans="2:5" x14ac:dyDescent="0.2">
      <c r="B610" s="92" t="s">
        <v>2938</v>
      </c>
      <c r="C610" s="93">
        <v>2019</v>
      </c>
      <c r="D610" s="93">
        <v>6</v>
      </c>
      <c r="E610" s="93">
        <v>1</v>
      </c>
    </row>
    <row r="611" spans="2:5" x14ac:dyDescent="0.2">
      <c r="B611" s="92" t="s">
        <v>2938</v>
      </c>
      <c r="C611" s="93">
        <v>2019</v>
      </c>
      <c r="D611" s="93">
        <v>9</v>
      </c>
      <c r="E611" s="93">
        <v>1</v>
      </c>
    </row>
    <row r="612" spans="2:5" x14ac:dyDescent="0.2">
      <c r="B612" s="92" t="s">
        <v>2938</v>
      </c>
      <c r="C612" s="93">
        <v>2019</v>
      </c>
      <c r="D612" s="93">
        <v>12</v>
      </c>
      <c r="E612" s="93">
        <v>1</v>
      </c>
    </row>
    <row r="613" spans="2:5" x14ac:dyDescent="0.2">
      <c r="B613" s="92" t="s">
        <v>2774</v>
      </c>
      <c r="C613" s="93">
        <v>2019</v>
      </c>
      <c r="D613" s="93">
        <v>9</v>
      </c>
      <c r="E613" s="93">
        <v>40</v>
      </c>
    </row>
    <row r="614" spans="2:5" x14ac:dyDescent="0.2">
      <c r="B614" s="92" t="s">
        <v>2774</v>
      </c>
      <c r="C614" s="93">
        <v>2019</v>
      </c>
      <c r="D614" s="93">
        <v>5</v>
      </c>
      <c r="E614" s="93">
        <v>36</v>
      </c>
    </row>
    <row r="615" spans="2:5" x14ac:dyDescent="0.2">
      <c r="B615" s="92" t="s">
        <v>2774</v>
      </c>
      <c r="C615" s="93">
        <v>2019</v>
      </c>
      <c r="D615" s="93">
        <v>4</v>
      </c>
      <c r="E615" s="93">
        <v>31</v>
      </c>
    </row>
    <row r="616" spans="2:5" x14ac:dyDescent="0.2">
      <c r="B616" s="92" t="s">
        <v>2774</v>
      </c>
      <c r="C616" s="93">
        <v>2019</v>
      </c>
      <c r="D616" s="93">
        <v>1</v>
      </c>
      <c r="E616" s="93">
        <v>28</v>
      </c>
    </row>
    <row r="617" spans="2:5" x14ac:dyDescent="0.2">
      <c r="B617" s="92" t="s">
        <v>2774</v>
      </c>
      <c r="C617" s="93">
        <v>2019</v>
      </c>
      <c r="D617" s="93">
        <v>10</v>
      </c>
      <c r="E617" s="93">
        <v>17</v>
      </c>
    </row>
    <row r="618" spans="2:5" x14ac:dyDescent="0.2">
      <c r="B618" s="92" t="s">
        <v>2774</v>
      </c>
      <c r="C618" s="93">
        <v>2019</v>
      </c>
      <c r="D618" s="93">
        <v>6</v>
      </c>
      <c r="E618" s="93">
        <v>14</v>
      </c>
    </row>
    <row r="619" spans="2:5" x14ac:dyDescent="0.2">
      <c r="B619" s="92" t="s">
        <v>2774</v>
      </c>
      <c r="C619" s="93">
        <v>2019</v>
      </c>
      <c r="D619" s="93">
        <v>8</v>
      </c>
      <c r="E619" s="93">
        <v>14</v>
      </c>
    </row>
    <row r="620" spans="2:5" x14ac:dyDescent="0.2">
      <c r="B620" s="92" t="s">
        <v>2774</v>
      </c>
      <c r="C620" s="93">
        <v>2019</v>
      </c>
      <c r="D620" s="93">
        <v>12</v>
      </c>
      <c r="E620" s="93">
        <v>14</v>
      </c>
    </row>
    <row r="621" spans="2:5" x14ac:dyDescent="0.2">
      <c r="B621" s="92" t="s">
        <v>2774</v>
      </c>
      <c r="C621" s="93">
        <v>2019</v>
      </c>
      <c r="D621" s="93">
        <v>3</v>
      </c>
      <c r="E621" s="93">
        <v>6</v>
      </c>
    </row>
    <row r="622" spans="2:5" x14ac:dyDescent="0.2">
      <c r="B622" s="92" t="s">
        <v>2774</v>
      </c>
      <c r="C622" s="93">
        <v>2019</v>
      </c>
      <c r="D622" s="93">
        <v>7</v>
      </c>
      <c r="E622" s="93">
        <v>5</v>
      </c>
    </row>
    <row r="623" spans="2:5" x14ac:dyDescent="0.2">
      <c r="B623" s="92" t="s">
        <v>2774</v>
      </c>
      <c r="C623" s="93">
        <v>2019</v>
      </c>
      <c r="D623" s="93">
        <v>11</v>
      </c>
      <c r="E623" s="93">
        <v>4</v>
      </c>
    </row>
    <row r="624" spans="2:5" x14ac:dyDescent="0.2">
      <c r="B624" s="92" t="s">
        <v>2774</v>
      </c>
      <c r="C624" s="93">
        <v>2019</v>
      </c>
      <c r="D624" s="93">
        <v>2</v>
      </c>
      <c r="E624" s="93">
        <v>3</v>
      </c>
    </row>
    <row r="625" spans="2:5" x14ac:dyDescent="0.2">
      <c r="B625" s="92" t="s">
        <v>2775</v>
      </c>
      <c r="C625" s="93">
        <v>2019</v>
      </c>
      <c r="D625" s="93">
        <v>6</v>
      </c>
      <c r="E625" s="93">
        <v>4</v>
      </c>
    </row>
    <row r="626" spans="2:5" x14ac:dyDescent="0.2">
      <c r="B626" s="92" t="s">
        <v>2775</v>
      </c>
      <c r="C626" s="93">
        <v>2019</v>
      </c>
      <c r="D626" s="93">
        <v>5</v>
      </c>
      <c r="E626" s="93">
        <v>1</v>
      </c>
    </row>
    <row r="627" spans="2:5" x14ac:dyDescent="0.2">
      <c r="B627" s="92" t="s">
        <v>2775</v>
      </c>
      <c r="C627" s="93">
        <v>2019</v>
      </c>
      <c r="D627" s="93">
        <v>7</v>
      </c>
      <c r="E627" s="93">
        <v>1</v>
      </c>
    </row>
    <row r="628" spans="2:5" x14ac:dyDescent="0.2">
      <c r="B628" s="92" t="s">
        <v>2775</v>
      </c>
      <c r="C628" s="93">
        <v>2019</v>
      </c>
      <c r="D628" s="93">
        <v>9</v>
      </c>
      <c r="E628" s="93">
        <v>1</v>
      </c>
    </row>
    <row r="629" spans="2:5" x14ac:dyDescent="0.2">
      <c r="B629" s="92" t="s">
        <v>2775</v>
      </c>
      <c r="C629" s="93">
        <v>2019</v>
      </c>
      <c r="D629" s="93">
        <v>10</v>
      </c>
      <c r="E629" s="93">
        <v>1</v>
      </c>
    </row>
    <row r="630" spans="2:5" x14ac:dyDescent="0.2">
      <c r="B630" s="92" t="s">
        <v>2913</v>
      </c>
      <c r="C630" s="93">
        <v>2019</v>
      </c>
      <c r="D630" s="93">
        <v>7</v>
      </c>
      <c r="E630" s="93">
        <v>12</v>
      </c>
    </row>
    <row r="631" spans="2:5" x14ac:dyDescent="0.2">
      <c r="B631" s="92" t="s">
        <v>2913</v>
      </c>
      <c r="C631" s="93">
        <v>2019</v>
      </c>
      <c r="D631" s="93">
        <v>5</v>
      </c>
      <c r="E631" s="93">
        <v>10</v>
      </c>
    </row>
    <row r="632" spans="2:5" x14ac:dyDescent="0.2">
      <c r="B632" s="92" t="s">
        <v>2913</v>
      </c>
      <c r="C632" s="93">
        <v>2019</v>
      </c>
      <c r="D632" s="93">
        <v>6</v>
      </c>
      <c r="E632" s="93">
        <v>9</v>
      </c>
    </row>
    <row r="633" spans="2:5" x14ac:dyDescent="0.2">
      <c r="B633" s="92" t="s">
        <v>2913</v>
      </c>
      <c r="C633" s="93">
        <v>2019</v>
      </c>
      <c r="D633" s="93">
        <v>11</v>
      </c>
      <c r="E633" s="93">
        <v>9</v>
      </c>
    </row>
    <row r="634" spans="2:5" x14ac:dyDescent="0.2">
      <c r="B634" s="92" t="s">
        <v>2913</v>
      </c>
      <c r="C634" s="93">
        <v>2019</v>
      </c>
      <c r="D634" s="93">
        <v>4</v>
      </c>
      <c r="E634" s="93">
        <v>7</v>
      </c>
    </row>
    <row r="635" spans="2:5" x14ac:dyDescent="0.2">
      <c r="B635" s="92" t="s">
        <v>2913</v>
      </c>
      <c r="C635" s="93">
        <v>2019</v>
      </c>
      <c r="D635" s="93">
        <v>8</v>
      </c>
      <c r="E635" s="93">
        <v>7</v>
      </c>
    </row>
    <row r="636" spans="2:5" x14ac:dyDescent="0.2">
      <c r="B636" s="92" t="s">
        <v>2913</v>
      </c>
      <c r="C636" s="93">
        <v>2019</v>
      </c>
      <c r="D636" s="93">
        <v>12</v>
      </c>
      <c r="E636" s="93">
        <v>7</v>
      </c>
    </row>
    <row r="637" spans="2:5" x14ac:dyDescent="0.2">
      <c r="B637" s="92" t="s">
        <v>2913</v>
      </c>
      <c r="C637" s="93">
        <v>2019</v>
      </c>
      <c r="D637" s="93">
        <v>2</v>
      </c>
      <c r="E637" s="93">
        <v>6</v>
      </c>
    </row>
    <row r="638" spans="2:5" x14ac:dyDescent="0.2">
      <c r="B638" s="92" t="s">
        <v>2913</v>
      </c>
      <c r="C638" s="93">
        <v>2019</v>
      </c>
      <c r="D638" s="93">
        <v>9</v>
      </c>
      <c r="E638" s="93">
        <v>6</v>
      </c>
    </row>
    <row r="639" spans="2:5" x14ac:dyDescent="0.2">
      <c r="B639" s="92" t="s">
        <v>2913</v>
      </c>
      <c r="C639" s="93">
        <v>2019</v>
      </c>
      <c r="D639" s="93">
        <v>1</v>
      </c>
      <c r="E639" s="93">
        <v>3</v>
      </c>
    </row>
    <row r="640" spans="2:5" x14ac:dyDescent="0.2">
      <c r="B640" s="92" t="s">
        <v>2913</v>
      </c>
      <c r="C640" s="93">
        <v>2019</v>
      </c>
      <c r="D640" s="93">
        <v>3</v>
      </c>
      <c r="E640" s="93">
        <v>3</v>
      </c>
    </row>
    <row r="641" spans="2:5" x14ac:dyDescent="0.2">
      <c r="B641" s="92" t="s">
        <v>2913</v>
      </c>
      <c r="C641" s="93">
        <v>2019</v>
      </c>
      <c r="D641" s="93">
        <v>10</v>
      </c>
      <c r="E641" s="93">
        <v>2</v>
      </c>
    </row>
    <row r="642" spans="2:5" x14ac:dyDescent="0.2">
      <c r="B642" s="92" t="s">
        <v>2943</v>
      </c>
      <c r="C642" s="93">
        <v>2019</v>
      </c>
      <c r="D642" s="93">
        <v>1</v>
      </c>
      <c r="E642" s="93">
        <v>4</v>
      </c>
    </row>
    <row r="643" spans="2:5" x14ac:dyDescent="0.2">
      <c r="B643" s="92" t="s">
        <v>2943</v>
      </c>
      <c r="C643" s="93">
        <v>2019</v>
      </c>
      <c r="D643" s="93">
        <v>4</v>
      </c>
      <c r="E643" s="93">
        <v>3</v>
      </c>
    </row>
    <row r="644" spans="2:5" x14ac:dyDescent="0.2">
      <c r="B644" s="92" t="s">
        <v>2943</v>
      </c>
      <c r="C644" s="93">
        <v>2019</v>
      </c>
      <c r="D644" s="93">
        <v>11</v>
      </c>
      <c r="E644" s="93">
        <v>3</v>
      </c>
    </row>
    <row r="645" spans="2:5" x14ac:dyDescent="0.2">
      <c r="B645" s="92" t="s">
        <v>2943</v>
      </c>
      <c r="C645" s="93">
        <v>2019</v>
      </c>
      <c r="D645" s="93">
        <v>5</v>
      </c>
      <c r="E645" s="93">
        <v>1</v>
      </c>
    </row>
    <row r="646" spans="2:5" x14ac:dyDescent="0.2">
      <c r="B646" s="92" t="s">
        <v>2943</v>
      </c>
      <c r="C646" s="93">
        <v>2019</v>
      </c>
      <c r="D646" s="93">
        <v>7</v>
      </c>
      <c r="E646" s="93">
        <v>1</v>
      </c>
    </row>
    <row r="647" spans="2:5" x14ac:dyDescent="0.2">
      <c r="B647" s="92" t="s">
        <v>2943</v>
      </c>
      <c r="C647" s="93">
        <v>2019</v>
      </c>
      <c r="D647" s="93">
        <v>10</v>
      </c>
      <c r="E647" s="93">
        <v>1</v>
      </c>
    </row>
    <row r="648" spans="2:5" x14ac:dyDescent="0.2">
      <c r="B648" s="92" t="s">
        <v>2976</v>
      </c>
      <c r="C648" s="93">
        <v>2019</v>
      </c>
      <c r="D648" s="93">
        <v>3</v>
      </c>
      <c r="E648" s="93">
        <v>1</v>
      </c>
    </row>
    <row r="649" spans="2:5" x14ac:dyDescent="0.2">
      <c r="B649" s="92" t="s">
        <v>2776</v>
      </c>
      <c r="C649" s="93">
        <v>2019</v>
      </c>
      <c r="D649" s="93">
        <v>8</v>
      </c>
      <c r="E649" s="93">
        <v>63</v>
      </c>
    </row>
    <row r="650" spans="2:5" x14ac:dyDescent="0.2">
      <c r="B650" s="92" t="s">
        <v>2776</v>
      </c>
      <c r="C650" s="93">
        <v>2019</v>
      </c>
      <c r="D650" s="93">
        <v>10</v>
      </c>
      <c r="E650" s="93">
        <v>46</v>
      </c>
    </row>
    <row r="651" spans="2:5" x14ac:dyDescent="0.2">
      <c r="B651" s="92" t="s">
        <v>2776</v>
      </c>
      <c r="C651" s="93">
        <v>2019</v>
      </c>
      <c r="D651" s="93">
        <v>9</v>
      </c>
      <c r="E651" s="93">
        <v>42</v>
      </c>
    </row>
    <row r="652" spans="2:5" x14ac:dyDescent="0.2">
      <c r="B652" s="92" t="s">
        <v>2776</v>
      </c>
      <c r="C652" s="93">
        <v>2019</v>
      </c>
      <c r="D652" s="93">
        <v>7</v>
      </c>
      <c r="E652" s="93">
        <v>34</v>
      </c>
    </row>
    <row r="653" spans="2:5" x14ac:dyDescent="0.2">
      <c r="B653" s="92" t="s">
        <v>2776</v>
      </c>
      <c r="C653" s="93">
        <v>2019</v>
      </c>
      <c r="D653" s="93">
        <v>11</v>
      </c>
      <c r="E653" s="93">
        <v>33</v>
      </c>
    </row>
    <row r="654" spans="2:5" x14ac:dyDescent="0.2">
      <c r="B654" s="92" t="s">
        <v>2776</v>
      </c>
      <c r="C654" s="93">
        <v>2019</v>
      </c>
      <c r="D654" s="93">
        <v>6</v>
      </c>
      <c r="E654" s="93">
        <v>30</v>
      </c>
    </row>
    <row r="655" spans="2:5" x14ac:dyDescent="0.2">
      <c r="B655" s="92" t="s">
        <v>2776</v>
      </c>
      <c r="C655" s="93">
        <v>2019</v>
      </c>
      <c r="D655" s="93">
        <v>12</v>
      </c>
      <c r="E655" s="93">
        <v>27</v>
      </c>
    </row>
    <row r="656" spans="2:5" x14ac:dyDescent="0.2">
      <c r="B656" s="92" t="s">
        <v>2776</v>
      </c>
      <c r="C656" s="93">
        <v>2019</v>
      </c>
      <c r="D656" s="93">
        <v>3</v>
      </c>
      <c r="E656" s="93">
        <v>23</v>
      </c>
    </row>
    <row r="657" spans="2:5" x14ac:dyDescent="0.2">
      <c r="B657" s="92" t="s">
        <v>2776</v>
      </c>
      <c r="C657" s="93">
        <v>2019</v>
      </c>
      <c r="D657" s="93">
        <v>5</v>
      </c>
      <c r="E657" s="93">
        <v>19</v>
      </c>
    </row>
    <row r="658" spans="2:5" x14ac:dyDescent="0.2">
      <c r="B658" s="92" t="s">
        <v>2776</v>
      </c>
      <c r="C658" s="93">
        <v>2019</v>
      </c>
      <c r="D658" s="93">
        <v>2</v>
      </c>
      <c r="E658" s="93">
        <v>13</v>
      </c>
    </row>
    <row r="659" spans="2:5" x14ac:dyDescent="0.2">
      <c r="B659" s="92" t="s">
        <v>2776</v>
      </c>
      <c r="C659" s="93">
        <v>2019</v>
      </c>
      <c r="D659" s="93">
        <v>4</v>
      </c>
      <c r="E659" s="93">
        <v>9</v>
      </c>
    </row>
    <row r="660" spans="2:5" x14ac:dyDescent="0.2">
      <c r="B660" s="92" t="s">
        <v>2776</v>
      </c>
      <c r="C660" s="93">
        <v>2019</v>
      </c>
      <c r="D660" s="93">
        <v>1</v>
      </c>
      <c r="E660" s="93">
        <v>6</v>
      </c>
    </row>
    <row r="661" spans="2:5" x14ac:dyDescent="0.2">
      <c r="B661" s="92" t="s">
        <v>2777</v>
      </c>
      <c r="C661" s="93">
        <v>2019</v>
      </c>
      <c r="D661" s="93">
        <v>9</v>
      </c>
      <c r="E661" s="93">
        <v>8</v>
      </c>
    </row>
    <row r="662" spans="2:5" x14ac:dyDescent="0.2">
      <c r="B662" s="92" t="s">
        <v>2777</v>
      </c>
      <c r="C662" s="93">
        <v>2019</v>
      </c>
      <c r="D662" s="93">
        <v>10</v>
      </c>
      <c r="E662" s="93">
        <v>8</v>
      </c>
    </row>
    <row r="663" spans="2:5" x14ac:dyDescent="0.2">
      <c r="B663" s="92" t="s">
        <v>2777</v>
      </c>
      <c r="C663" s="93">
        <v>2019</v>
      </c>
      <c r="D663" s="93">
        <v>6</v>
      </c>
      <c r="E663" s="93">
        <v>7</v>
      </c>
    </row>
    <row r="664" spans="2:5" x14ac:dyDescent="0.2">
      <c r="B664" s="92" t="s">
        <v>2777</v>
      </c>
      <c r="C664" s="93">
        <v>2019</v>
      </c>
      <c r="D664" s="93">
        <v>3</v>
      </c>
      <c r="E664" s="93">
        <v>5</v>
      </c>
    </row>
    <row r="665" spans="2:5" x14ac:dyDescent="0.2">
      <c r="B665" s="92" t="s">
        <v>2777</v>
      </c>
      <c r="C665" s="93">
        <v>2019</v>
      </c>
      <c r="D665" s="93">
        <v>2</v>
      </c>
      <c r="E665" s="93">
        <v>3</v>
      </c>
    </row>
    <row r="666" spans="2:5" x14ac:dyDescent="0.2">
      <c r="B666" s="92" t="s">
        <v>2777</v>
      </c>
      <c r="C666" s="93">
        <v>2019</v>
      </c>
      <c r="D666" s="93">
        <v>4</v>
      </c>
      <c r="E666" s="93">
        <v>3</v>
      </c>
    </row>
    <row r="667" spans="2:5" x14ac:dyDescent="0.2">
      <c r="B667" s="92" t="s">
        <v>2777</v>
      </c>
      <c r="C667" s="93">
        <v>2019</v>
      </c>
      <c r="D667" s="93">
        <v>12</v>
      </c>
      <c r="E667" s="93">
        <v>3</v>
      </c>
    </row>
    <row r="668" spans="2:5" x14ac:dyDescent="0.2">
      <c r="B668" s="92" t="s">
        <v>2777</v>
      </c>
      <c r="C668" s="93">
        <v>2019</v>
      </c>
      <c r="D668" s="93">
        <v>5</v>
      </c>
      <c r="E668" s="93">
        <v>2</v>
      </c>
    </row>
    <row r="669" spans="2:5" x14ac:dyDescent="0.2">
      <c r="B669" s="92" t="s">
        <v>2777</v>
      </c>
      <c r="C669" s="93">
        <v>2019</v>
      </c>
      <c r="D669" s="93">
        <v>8</v>
      </c>
      <c r="E669" s="93">
        <v>2</v>
      </c>
    </row>
    <row r="670" spans="2:5" x14ac:dyDescent="0.2">
      <c r="B670" s="92" t="s">
        <v>2777</v>
      </c>
      <c r="C670" s="93">
        <v>2019</v>
      </c>
      <c r="D670" s="93">
        <v>1</v>
      </c>
      <c r="E670" s="93">
        <v>1</v>
      </c>
    </row>
    <row r="671" spans="2:5" x14ac:dyDescent="0.2">
      <c r="B671" s="92" t="s">
        <v>2777</v>
      </c>
      <c r="C671" s="93">
        <v>2019</v>
      </c>
      <c r="D671" s="93">
        <v>11</v>
      </c>
      <c r="E671" s="93">
        <v>1</v>
      </c>
    </row>
    <row r="672" spans="2:5" x14ac:dyDescent="0.2">
      <c r="B672" s="92" t="s">
        <v>2778</v>
      </c>
      <c r="C672" s="93">
        <v>2019</v>
      </c>
      <c r="D672" s="93">
        <v>7</v>
      </c>
      <c r="E672" s="93">
        <v>15</v>
      </c>
    </row>
    <row r="673" spans="2:5" x14ac:dyDescent="0.2">
      <c r="B673" s="92" t="s">
        <v>2778</v>
      </c>
      <c r="C673" s="93">
        <v>2019</v>
      </c>
      <c r="D673" s="93">
        <v>6</v>
      </c>
      <c r="E673" s="93">
        <v>13</v>
      </c>
    </row>
    <row r="674" spans="2:5" x14ac:dyDescent="0.2">
      <c r="B674" s="92" t="s">
        <v>2778</v>
      </c>
      <c r="C674" s="93">
        <v>2019</v>
      </c>
      <c r="D674" s="93">
        <v>10</v>
      </c>
      <c r="E674" s="93">
        <v>13</v>
      </c>
    </row>
    <row r="675" spans="2:5" x14ac:dyDescent="0.2">
      <c r="B675" s="92" t="s">
        <v>2778</v>
      </c>
      <c r="C675" s="93">
        <v>2019</v>
      </c>
      <c r="D675" s="93">
        <v>8</v>
      </c>
      <c r="E675" s="93">
        <v>9</v>
      </c>
    </row>
    <row r="676" spans="2:5" x14ac:dyDescent="0.2">
      <c r="B676" s="92" t="s">
        <v>2778</v>
      </c>
      <c r="C676" s="93">
        <v>2019</v>
      </c>
      <c r="D676" s="93">
        <v>5</v>
      </c>
      <c r="E676" s="93">
        <v>8</v>
      </c>
    </row>
    <row r="677" spans="2:5" x14ac:dyDescent="0.2">
      <c r="B677" s="92" t="s">
        <v>2778</v>
      </c>
      <c r="C677" s="93">
        <v>2019</v>
      </c>
      <c r="D677" s="93">
        <v>11</v>
      </c>
      <c r="E677" s="93">
        <v>6</v>
      </c>
    </row>
    <row r="678" spans="2:5" x14ac:dyDescent="0.2">
      <c r="B678" s="92" t="s">
        <v>2778</v>
      </c>
      <c r="C678" s="93">
        <v>2019</v>
      </c>
      <c r="D678" s="93">
        <v>3</v>
      </c>
      <c r="E678" s="93">
        <v>3</v>
      </c>
    </row>
    <row r="679" spans="2:5" x14ac:dyDescent="0.2">
      <c r="B679" s="92" t="s">
        <v>2778</v>
      </c>
      <c r="C679" s="93">
        <v>2019</v>
      </c>
      <c r="D679" s="93">
        <v>1</v>
      </c>
      <c r="E679" s="93">
        <v>2</v>
      </c>
    </row>
    <row r="680" spans="2:5" x14ac:dyDescent="0.2">
      <c r="B680" s="92" t="s">
        <v>2778</v>
      </c>
      <c r="C680" s="93">
        <v>2019</v>
      </c>
      <c r="D680" s="93">
        <v>12</v>
      </c>
      <c r="E680" s="93">
        <v>2</v>
      </c>
    </row>
    <row r="681" spans="2:5" x14ac:dyDescent="0.2">
      <c r="B681" s="92" t="s">
        <v>2778</v>
      </c>
      <c r="C681" s="93">
        <v>2019</v>
      </c>
      <c r="D681" s="93">
        <v>4</v>
      </c>
      <c r="E681" s="93">
        <v>1</v>
      </c>
    </row>
    <row r="682" spans="2:5" x14ac:dyDescent="0.2">
      <c r="B682" s="92" t="s">
        <v>2779</v>
      </c>
      <c r="C682" s="93">
        <v>2019</v>
      </c>
      <c r="D682" s="93">
        <v>3</v>
      </c>
      <c r="E682" s="93">
        <v>91</v>
      </c>
    </row>
    <row r="683" spans="2:5" x14ac:dyDescent="0.2">
      <c r="B683" s="92" t="s">
        <v>2779</v>
      </c>
      <c r="C683" s="93">
        <v>2019</v>
      </c>
      <c r="D683" s="93">
        <v>9</v>
      </c>
      <c r="E683" s="93">
        <v>66</v>
      </c>
    </row>
    <row r="684" spans="2:5" x14ac:dyDescent="0.2">
      <c r="B684" s="92" t="s">
        <v>2779</v>
      </c>
      <c r="C684" s="93">
        <v>2019</v>
      </c>
      <c r="D684" s="93">
        <v>10</v>
      </c>
      <c r="E684" s="93">
        <v>66</v>
      </c>
    </row>
    <row r="685" spans="2:5" x14ac:dyDescent="0.2">
      <c r="B685" s="92" t="s">
        <v>2779</v>
      </c>
      <c r="C685" s="93">
        <v>2019</v>
      </c>
      <c r="D685" s="93">
        <v>7</v>
      </c>
      <c r="E685" s="93">
        <v>58</v>
      </c>
    </row>
    <row r="686" spans="2:5" x14ac:dyDescent="0.2">
      <c r="B686" s="92" t="s">
        <v>2779</v>
      </c>
      <c r="C686" s="93">
        <v>2019</v>
      </c>
      <c r="D686" s="93">
        <v>5</v>
      </c>
      <c r="E686" s="93">
        <v>52</v>
      </c>
    </row>
    <row r="687" spans="2:5" x14ac:dyDescent="0.2">
      <c r="B687" s="92" t="s">
        <v>2779</v>
      </c>
      <c r="C687" s="93">
        <v>2019</v>
      </c>
      <c r="D687" s="93">
        <v>8</v>
      </c>
      <c r="E687" s="93">
        <v>50</v>
      </c>
    </row>
    <row r="688" spans="2:5" x14ac:dyDescent="0.2">
      <c r="B688" s="92" t="s">
        <v>2779</v>
      </c>
      <c r="C688" s="93">
        <v>2019</v>
      </c>
      <c r="D688" s="93">
        <v>6</v>
      </c>
      <c r="E688" s="93">
        <v>35</v>
      </c>
    </row>
    <row r="689" spans="2:5" x14ac:dyDescent="0.2">
      <c r="B689" s="92" t="s">
        <v>2779</v>
      </c>
      <c r="C689" s="93">
        <v>2019</v>
      </c>
      <c r="D689" s="93">
        <v>11</v>
      </c>
      <c r="E689" s="93">
        <v>23</v>
      </c>
    </row>
    <row r="690" spans="2:5" x14ac:dyDescent="0.2">
      <c r="B690" s="92" t="s">
        <v>2779</v>
      </c>
      <c r="C690" s="93">
        <v>2019</v>
      </c>
      <c r="D690" s="93">
        <v>1</v>
      </c>
      <c r="E690" s="93">
        <v>19</v>
      </c>
    </row>
    <row r="691" spans="2:5" x14ac:dyDescent="0.2">
      <c r="B691" s="92" t="s">
        <v>2779</v>
      </c>
      <c r="C691" s="93">
        <v>2019</v>
      </c>
      <c r="D691" s="93">
        <v>4</v>
      </c>
      <c r="E691" s="93">
        <v>11</v>
      </c>
    </row>
    <row r="692" spans="2:5" x14ac:dyDescent="0.2">
      <c r="B692" s="92" t="s">
        <v>2779</v>
      </c>
      <c r="C692" s="93">
        <v>2019</v>
      </c>
      <c r="D692" s="93">
        <v>2</v>
      </c>
      <c r="E692" s="93">
        <v>2</v>
      </c>
    </row>
    <row r="693" spans="2:5" x14ac:dyDescent="0.2">
      <c r="B693" s="92" t="s">
        <v>2779</v>
      </c>
      <c r="C693" s="93">
        <v>2019</v>
      </c>
      <c r="D693" s="93">
        <v>12</v>
      </c>
      <c r="E693" s="93">
        <v>1</v>
      </c>
    </row>
    <row r="694" spans="2:5" x14ac:dyDescent="0.2">
      <c r="B694" s="92" t="s">
        <v>2780</v>
      </c>
      <c r="C694" s="93">
        <v>2019</v>
      </c>
      <c r="D694" s="93">
        <v>6</v>
      </c>
      <c r="E694" s="93">
        <v>14</v>
      </c>
    </row>
    <row r="695" spans="2:5" x14ac:dyDescent="0.2">
      <c r="B695" s="92" t="s">
        <v>2780</v>
      </c>
      <c r="C695" s="93">
        <v>2019</v>
      </c>
      <c r="D695" s="93">
        <v>5</v>
      </c>
      <c r="E695" s="93">
        <v>13</v>
      </c>
    </row>
    <row r="696" spans="2:5" x14ac:dyDescent="0.2">
      <c r="B696" s="92" t="s">
        <v>2780</v>
      </c>
      <c r="C696" s="93">
        <v>2019</v>
      </c>
      <c r="D696" s="93">
        <v>1</v>
      </c>
      <c r="E696" s="93">
        <v>9</v>
      </c>
    </row>
    <row r="697" spans="2:5" x14ac:dyDescent="0.2">
      <c r="B697" s="92" t="s">
        <v>2780</v>
      </c>
      <c r="C697" s="93">
        <v>2019</v>
      </c>
      <c r="D697" s="93">
        <v>2</v>
      </c>
      <c r="E697" s="93">
        <v>4</v>
      </c>
    </row>
    <row r="698" spans="2:5" x14ac:dyDescent="0.2">
      <c r="B698" s="92" t="s">
        <v>2780</v>
      </c>
      <c r="C698" s="93">
        <v>2019</v>
      </c>
      <c r="D698" s="93">
        <v>4</v>
      </c>
      <c r="E698" s="93">
        <v>4</v>
      </c>
    </row>
    <row r="699" spans="2:5" x14ac:dyDescent="0.2">
      <c r="B699" s="92" t="s">
        <v>2780</v>
      </c>
      <c r="C699" s="93">
        <v>2019</v>
      </c>
      <c r="D699" s="93">
        <v>10</v>
      </c>
      <c r="E699" s="93">
        <v>4</v>
      </c>
    </row>
    <row r="700" spans="2:5" x14ac:dyDescent="0.2">
      <c r="B700" s="92" t="s">
        <v>2780</v>
      </c>
      <c r="C700" s="93">
        <v>2019</v>
      </c>
      <c r="D700" s="93">
        <v>3</v>
      </c>
      <c r="E700" s="93">
        <v>3</v>
      </c>
    </row>
    <row r="701" spans="2:5" x14ac:dyDescent="0.2">
      <c r="B701" s="92" t="s">
        <v>2780</v>
      </c>
      <c r="C701" s="93">
        <v>2019</v>
      </c>
      <c r="D701" s="93">
        <v>12</v>
      </c>
      <c r="E701" s="93">
        <v>3</v>
      </c>
    </row>
    <row r="702" spans="2:5" x14ac:dyDescent="0.2">
      <c r="B702" s="92" t="s">
        <v>2780</v>
      </c>
      <c r="C702" s="93">
        <v>2019</v>
      </c>
      <c r="D702" s="93">
        <v>7</v>
      </c>
      <c r="E702" s="93">
        <v>2</v>
      </c>
    </row>
    <row r="703" spans="2:5" x14ac:dyDescent="0.2">
      <c r="B703" s="92" t="s">
        <v>2780</v>
      </c>
      <c r="C703" s="93">
        <v>2019</v>
      </c>
      <c r="D703" s="93">
        <v>8</v>
      </c>
      <c r="E703" s="93">
        <v>2</v>
      </c>
    </row>
    <row r="704" spans="2:5" x14ac:dyDescent="0.2">
      <c r="B704" s="92" t="s">
        <v>2780</v>
      </c>
      <c r="C704" s="93">
        <v>2019</v>
      </c>
      <c r="D704" s="93">
        <v>9</v>
      </c>
      <c r="E704" s="93">
        <v>2</v>
      </c>
    </row>
    <row r="705" spans="2:5" x14ac:dyDescent="0.2">
      <c r="B705" s="92" t="s">
        <v>2952</v>
      </c>
      <c r="C705" s="93">
        <v>2019</v>
      </c>
      <c r="D705" s="93">
        <v>4</v>
      </c>
      <c r="E705" s="93">
        <v>2</v>
      </c>
    </row>
    <row r="706" spans="2:5" x14ac:dyDescent="0.2">
      <c r="B706" s="92" t="s">
        <v>2952</v>
      </c>
      <c r="C706" s="93">
        <v>2019</v>
      </c>
      <c r="D706" s="93">
        <v>6</v>
      </c>
      <c r="E706" s="93">
        <v>2</v>
      </c>
    </row>
    <row r="707" spans="2:5" x14ac:dyDescent="0.2">
      <c r="B707" s="92" t="s">
        <v>2952</v>
      </c>
      <c r="C707" s="93">
        <v>2019</v>
      </c>
      <c r="D707" s="93">
        <v>10</v>
      </c>
      <c r="E707" s="93">
        <v>2</v>
      </c>
    </row>
    <row r="708" spans="2:5" x14ac:dyDescent="0.2">
      <c r="B708" s="92" t="s">
        <v>2952</v>
      </c>
      <c r="C708" s="93">
        <v>2019</v>
      </c>
      <c r="D708" s="93">
        <v>3</v>
      </c>
      <c r="E708" s="93">
        <v>1</v>
      </c>
    </row>
    <row r="709" spans="2:5" x14ac:dyDescent="0.2">
      <c r="B709" s="92" t="s">
        <v>2952</v>
      </c>
      <c r="C709" s="93">
        <v>2019</v>
      </c>
      <c r="D709" s="93">
        <v>7</v>
      </c>
      <c r="E709" s="93">
        <v>1</v>
      </c>
    </row>
    <row r="710" spans="2:5" x14ac:dyDescent="0.2">
      <c r="B710" s="92" t="s">
        <v>2952</v>
      </c>
      <c r="C710" s="93">
        <v>2019</v>
      </c>
      <c r="D710" s="93">
        <v>9</v>
      </c>
      <c r="E710" s="93">
        <v>1</v>
      </c>
    </row>
    <row r="711" spans="2:5" x14ac:dyDescent="0.2">
      <c r="B711" s="92" t="s">
        <v>2952</v>
      </c>
      <c r="C711" s="93">
        <v>2019</v>
      </c>
      <c r="D711" s="93">
        <v>11</v>
      </c>
      <c r="E711" s="93">
        <v>1</v>
      </c>
    </row>
    <row r="712" spans="2:5" x14ac:dyDescent="0.2">
      <c r="B712" s="92" t="s">
        <v>2781</v>
      </c>
      <c r="C712" s="93">
        <v>2019</v>
      </c>
      <c r="D712" s="93">
        <v>6</v>
      </c>
      <c r="E712" s="93">
        <v>4</v>
      </c>
    </row>
    <row r="713" spans="2:5" x14ac:dyDescent="0.2">
      <c r="B713" s="92" t="s">
        <v>2781</v>
      </c>
      <c r="C713" s="93">
        <v>2019</v>
      </c>
      <c r="D713" s="93">
        <v>8</v>
      </c>
      <c r="E713" s="93">
        <v>4</v>
      </c>
    </row>
    <row r="714" spans="2:5" x14ac:dyDescent="0.2">
      <c r="B714" s="92" t="s">
        <v>2781</v>
      </c>
      <c r="C714" s="93">
        <v>2019</v>
      </c>
      <c r="D714" s="93">
        <v>11</v>
      </c>
      <c r="E714" s="93">
        <v>4</v>
      </c>
    </row>
    <row r="715" spans="2:5" x14ac:dyDescent="0.2">
      <c r="B715" s="92" t="s">
        <v>2781</v>
      </c>
      <c r="C715" s="93">
        <v>2019</v>
      </c>
      <c r="D715" s="93">
        <v>3</v>
      </c>
      <c r="E715" s="93">
        <v>3</v>
      </c>
    </row>
    <row r="716" spans="2:5" x14ac:dyDescent="0.2">
      <c r="B716" s="92" t="s">
        <v>2781</v>
      </c>
      <c r="C716" s="93">
        <v>2019</v>
      </c>
      <c r="D716" s="93">
        <v>7</v>
      </c>
      <c r="E716" s="93">
        <v>3</v>
      </c>
    </row>
    <row r="717" spans="2:5" x14ac:dyDescent="0.2">
      <c r="B717" s="92" t="s">
        <v>2781</v>
      </c>
      <c r="C717" s="93">
        <v>2019</v>
      </c>
      <c r="D717" s="93">
        <v>9</v>
      </c>
      <c r="E717" s="93">
        <v>3</v>
      </c>
    </row>
    <row r="718" spans="2:5" x14ac:dyDescent="0.2">
      <c r="B718" s="92" t="s">
        <v>2781</v>
      </c>
      <c r="C718" s="93">
        <v>2019</v>
      </c>
      <c r="D718" s="93">
        <v>1</v>
      </c>
      <c r="E718" s="93">
        <v>1</v>
      </c>
    </row>
    <row r="719" spans="2:5" x14ac:dyDescent="0.2">
      <c r="B719" s="92" t="s">
        <v>2781</v>
      </c>
      <c r="C719" s="93">
        <v>2019</v>
      </c>
      <c r="D719" s="93">
        <v>2</v>
      </c>
      <c r="E719" s="93">
        <v>1</v>
      </c>
    </row>
    <row r="720" spans="2:5" x14ac:dyDescent="0.2">
      <c r="B720" s="92" t="s">
        <v>2782</v>
      </c>
      <c r="C720" s="93">
        <v>2019</v>
      </c>
      <c r="D720" s="93">
        <v>5</v>
      </c>
      <c r="E720" s="93">
        <v>55</v>
      </c>
    </row>
    <row r="721" spans="2:5" x14ac:dyDescent="0.2">
      <c r="B721" s="92" t="s">
        <v>2782</v>
      </c>
      <c r="C721" s="93">
        <v>2019</v>
      </c>
      <c r="D721" s="93">
        <v>10</v>
      </c>
      <c r="E721" s="93">
        <v>55</v>
      </c>
    </row>
    <row r="722" spans="2:5" x14ac:dyDescent="0.2">
      <c r="B722" s="92" t="s">
        <v>2782</v>
      </c>
      <c r="C722" s="93">
        <v>2019</v>
      </c>
      <c r="D722" s="93">
        <v>3</v>
      </c>
      <c r="E722" s="93">
        <v>37</v>
      </c>
    </row>
    <row r="723" spans="2:5" x14ac:dyDescent="0.2">
      <c r="B723" s="92" t="s">
        <v>2782</v>
      </c>
      <c r="C723" s="93">
        <v>2019</v>
      </c>
      <c r="D723" s="93">
        <v>8</v>
      </c>
      <c r="E723" s="93">
        <v>36</v>
      </c>
    </row>
    <row r="724" spans="2:5" x14ac:dyDescent="0.2">
      <c r="B724" s="92" t="s">
        <v>2782</v>
      </c>
      <c r="C724" s="93">
        <v>2019</v>
      </c>
      <c r="D724" s="93">
        <v>11</v>
      </c>
      <c r="E724" s="93">
        <v>28</v>
      </c>
    </row>
    <row r="725" spans="2:5" x14ac:dyDescent="0.2">
      <c r="B725" s="92" t="s">
        <v>2782</v>
      </c>
      <c r="C725" s="93">
        <v>2019</v>
      </c>
      <c r="D725" s="93">
        <v>6</v>
      </c>
      <c r="E725" s="93">
        <v>18</v>
      </c>
    </row>
    <row r="726" spans="2:5" x14ac:dyDescent="0.2">
      <c r="B726" s="92" t="s">
        <v>2782</v>
      </c>
      <c r="C726" s="93">
        <v>2019</v>
      </c>
      <c r="D726" s="93">
        <v>9</v>
      </c>
      <c r="E726" s="93">
        <v>17</v>
      </c>
    </row>
    <row r="727" spans="2:5" x14ac:dyDescent="0.2">
      <c r="B727" s="92" t="s">
        <v>2782</v>
      </c>
      <c r="C727" s="93">
        <v>2019</v>
      </c>
      <c r="D727" s="93">
        <v>7</v>
      </c>
      <c r="E727" s="93">
        <v>8</v>
      </c>
    </row>
    <row r="728" spans="2:5" x14ac:dyDescent="0.2">
      <c r="B728" s="92" t="s">
        <v>2782</v>
      </c>
      <c r="C728" s="93">
        <v>2019</v>
      </c>
      <c r="D728" s="93">
        <v>2</v>
      </c>
      <c r="E728" s="93">
        <v>7</v>
      </c>
    </row>
    <row r="729" spans="2:5" x14ac:dyDescent="0.2">
      <c r="B729" s="92" t="s">
        <v>2782</v>
      </c>
      <c r="C729" s="93">
        <v>2019</v>
      </c>
      <c r="D729" s="93">
        <v>12</v>
      </c>
      <c r="E729" s="93">
        <v>5</v>
      </c>
    </row>
    <row r="730" spans="2:5" x14ac:dyDescent="0.2">
      <c r="B730" s="92" t="s">
        <v>2782</v>
      </c>
      <c r="C730" s="93">
        <v>2019</v>
      </c>
      <c r="D730" s="93">
        <v>4</v>
      </c>
      <c r="E730" s="93">
        <v>3</v>
      </c>
    </row>
    <row r="731" spans="2:5" x14ac:dyDescent="0.2">
      <c r="B731" s="92" t="s">
        <v>2783</v>
      </c>
      <c r="C731" s="93">
        <v>2019</v>
      </c>
      <c r="D731" s="93">
        <v>3</v>
      </c>
      <c r="E731" s="93">
        <v>7</v>
      </c>
    </row>
    <row r="732" spans="2:5" x14ac:dyDescent="0.2">
      <c r="B732" s="92" t="s">
        <v>2783</v>
      </c>
      <c r="C732" s="93">
        <v>2019</v>
      </c>
      <c r="D732" s="93">
        <v>11</v>
      </c>
      <c r="E732" s="93">
        <v>7</v>
      </c>
    </row>
    <row r="733" spans="2:5" x14ac:dyDescent="0.2">
      <c r="B733" s="92" t="s">
        <v>2783</v>
      </c>
      <c r="C733" s="93">
        <v>2019</v>
      </c>
      <c r="D733" s="93">
        <v>9</v>
      </c>
      <c r="E733" s="93">
        <v>6</v>
      </c>
    </row>
    <row r="734" spans="2:5" x14ac:dyDescent="0.2">
      <c r="B734" s="92" t="s">
        <v>2783</v>
      </c>
      <c r="C734" s="93">
        <v>2019</v>
      </c>
      <c r="D734" s="93">
        <v>10</v>
      </c>
      <c r="E734" s="93">
        <v>5</v>
      </c>
    </row>
    <row r="735" spans="2:5" x14ac:dyDescent="0.2">
      <c r="B735" s="92" t="s">
        <v>2783</v>
      </c>
      <c r="C735" s="93">
        <v>2019</v>
      </c>
      <c r="D735" s="93">
        <v>6</v>
      </c>
      <c r="E735" s="93">
        <v>4</v>
      </c>
    </row>
    <row r="736" spans="2:5" x14ac:dyDescent="0.2">
      <c r="B736" s="92" t="s">
        <v>2783</v>
      </c>
      <c r="C736" s="93">
        <v>2019</v>
      </c>
      <c r="D736" s="93">
        <v>7</v>
      </c>
      <c r="E736" s="93">
        <v>4</v>
      </c>
    </row>
    <row r="737" spans="2:5" x14ac:dyDescent="0.2">
      <c r="B737" s="92" t="s">
        <v>2783</v>
      </c>
      <c r="C737" s="93">
        <v>2019</v>
      </c>
      <c r="D737" s="93">
        <v>8</v>
      </c>
      <c r="E737" s="93">
        <v>4</v>
      </c>
    </row>
    <row r="738" spans="2:5" x14ac:dyDescent="0.2">
      <c r="B738" s="92" t="s">
        <v>2783</v>
      </c>
      <c r="C738" s="93">
        <v>2019</v>
      </c>
      <c r="D738" s="93">
        <v>5</v>
      </c>
      <c r="E738" s="93">
        <v>3</v>
      </c>
    </row>
    <row r="739" spans="2:5" x14ac:dyDescent="0.2">
      <c r="B739" s="92" t="s">
        <v>2971</v>
      </c>
      <c r="C739" s="93">
        <v>2019</v>
      </c>
      <c r="D739" s="93">
        <v>1</v>
      </c>
      <c r="E739" s="93">
        <v>2</v>
      </c>
    </row>
    <row r="740" spans="2:5" x14ac:dyDescent="0.2">
      <c r="B740" s="92" t="s">
        <v>2971</v>
      </c>
      <c r="C740" s="93">
        <v>2019</v>
      </c>
      <c r="D740" s="93">
        <v>9</v>
      </c>
      <c r="E740" s="93">
        <v>1</v>
      </c>
    </row>
    <row r="741" spans="2:5" x14ac:dyDescent="0.2">
      <c r="B741" s="92" t="s">
        <v>2972</v>
      </c>
      <c r="C741" s="93">
        <v>2019</v>
      </c>
      <c r="D741" s="93">
        <v>5</v>
      </c>
      <c r="E741" s="93">
        <v>2</v>
      </c>
    </row>
    <row r="742" spans="2:5" x14ac:dyDescent="0.2">
      <c r="B742" s="92" t="s">
        <v>2972</v>
      </c>
      <c r="C742" s="93">
        <v>2019</v>
      </c>
      <c r="D742" s="93">
        <v>11</v>
      </c>
      <c r="E742" s="93">
        <v>1</v>
      </c>
    </row>
    <row r="743" spans="2:5" x14ac:dyDescent="0.2">
      <c r="B743" s="92" t="s">
        <v>2784</v>
      </c>
      <c r="C743" s="93">
        <v>2019</v>
      </c>
      <c r="D743" s="93">
        <v>1</v>
      </c>
      <c r="E743" s="93">
        <v>4</v>
      </c>
    </row>
    <row r="744" spans="2:5" x14ac:dyDescent="0.2">
      <c r="B744" s="92" t="s">
        <v>2784</v>
      </c>
      <c r="C744" s="93">
        <v>2019</v>
      </c>
      <c r="D744" s="93">
        <v>4</v>
      </c>
      <c r="E744" s="93">
        <v>3</v>
      </c>
    </row>
    <row r="745" spans="2:5" x14ac:dyDescent="0.2">
      <c r="B745" s="92" t="s">
        <v>2784</v>
      </c>
      <c r="C745" s="93">
        <v>2019</v>
      </c>
      <c r="D745" s="93">
        <v>6</v>
      </c>
      <c r="E745" s="93">
        <v>2</v>
      </c>
    </row>
    <row r="746" spans="2:5" x14ac:dyDescent="0.2">
      <c r="B746" s="92" t="s">
        <v>2784</v>
      </c>
      <c r="C746" s="93">
        <v>2019</v>
      </c>
      <c r="D746" s="93">
        <v>12</v>
      </c>
      <c r="E746" s="93">
        <v>2</v>
      </c>
    </row>
    <row r="747" spans="2:5" x14ac:dyDescent="0.2">
      <c r="B747" s="92" t="s">
        <v>2784</v>
      </c>
      <c r="C747" s="93">
        <v>2019</v>
      </c>
      <c r="D747" s="93">
        <v>3</v>
      </c>
      <c r="E747" s="93">
        <v>1</v>
      </c>
    </row>
    <row r="748" spans="2:5" x14ac:dyDescent="0.2">
      <c r="B748" s="92" t="s">
        <v>2784</v>
      </c>
      <c r="C748" s="93">
        <v>2019</v>
      </c>
      <c r="D748" s="93">
        <v>5</v>
      </c>
      <c r="E748" s="93">
        <v>1</v>
      </c>
    </row>
    <row r="749" spans="2:5" x14ac:dyDescent="0.2">
      <c r="B749" s="92" t="s">
        <v>2973</v>
      </c>
      <c r="C749" s="93">
        <v>2019</v>
      </c>
      <c r="D749" s="93">
        <v>9</v>
      </c>
      <c r="E749" s="93">
        <v>2</v>
      </c>
    </row>
    <row r="750" spans="2:5" x14ac:dyDescent="0.2">
      <c r="B750" s="92" t="s">
        <v>979</v>
      </c>
      <c r="C750" s="93">
        <v>2019</v>
      </c>
      <c r="D750" s="93">
        <v>1</v>
      </c>
      <c r="E750" s="93">
        <v>1516</v>
      </c>
    </row>
    <row r="751" spans="2:5" x14ac:dyDescent="0.2">
      <c r="B751" s="92" t="s">
        <v>979</v>
      </c>
      <c r="C751" s="93">
        <v>2019</v>
      </c>
      <c r="D751" s="93">
        <v>4</v>
      </c>
      <c r="E751" s="93">
        <v>1076</v>
      </c>
    </row>
    <row r="752" spans="2:5" x14ac:dyDescent="0.2">
      <c r="B752" s="92" t="s">
        <v>979</v>
      </c>
      <c r="C752" s="93">
        <v>2019</v>
      </c>
      <c r="D752" s="93">
        <v>10</v>
      </c>
      <c r="E752" s="93">
        <v>1049</v>
      </c>
    </row>
    <row r="753" spans="2:5" x14ac:dyDescent="0.2">
      <c r="B753" s="92" t="s">
        <v>979</v>
      </c>
      <c r="C753" s="93">
        <v>2019</v>
      </c>
      <c r="D753" s="93">
        <v>9</v>
      </c>
      <c r="E753" s="93">
        <v>1022</v>
      </c>
    </row>
    <row r="754" spans="2:5" x14ac:dyDescent="0.2">
      <c r="B754" s="92" t="s">
        <v>979</v>
      </c>
      <c r="C754" s="93">
        <v>2019</v>
      </c>
      <c r="D754" s="93">
        <v>2</v>
      </c>
      <c r="E754" s="93">
        <v>914</v>
      </c>
    </row>
    <row r="755" spans="2:5" x14ac:dyDescent="0.2">
      <c r="B755" s="92" t="s">
        <v>979</v>
      </c>
      <c r="C755" s="93">
        <v>2019</v>
      </c>
      <c r="D755" s="93">
        <v>3</v>
      </c>
      <c r="E755" s="93">
        <v>912</v>
      </c>
    </row>
    <row r="756" spans="2:5" x14ac:dyDescent="0.2">
      <c r="B756" s="92" t="s">
        <v>979</v>
      </c>
      <c r="C756" s="93">
        <v>2019</v>
      </c>
      <c r="D756" s="93">
        <v>12</v>
      </c>
      <c r="E756" s="93">
        <v>820</v>
      </c>
    </row>
    <row r="757" spans="2:5" x14ac:dyDescent="0.2">
      <c r="B757" s="92" t="s">
        <v>979</v>
      </c>
      <c r="C757" s="93">
        <v>2019</v>
      </c>
      <c r="D757" s="93">
        <v>8</v>
      </c>
      <c r="E757" s="93">
        <v>750</v>
      </c>
    </row>
    <row r="758" spans="2:5" x14ac:dyDescent="0.2">
      <c r="B758" s="92" t="s">
        <v>979</v>
      </c>
      <c r="C758" s="93">
        <v>2019</v>
      </c>
      <c r="D758" s="93">
        <v>5</v>
      </c>
      <c r="E758" s="93">
        <v>688</v>
      </c>
    </row>
    <row r="759" spans="2:5" x14ac:dyDescent="0.2">
      <c r="B759" s="92" t="s">
        <v>979</v>
      </c>
      <c r="C759" s="93">
        <v>2019</v>
      </c>
      <c r="D759" s="93">
        <v>7</v>
      </c>
      <c r="E759" s="93">
        <v>649</v>
      </c>
    </row>
    <row r="760" spans="2:5" x14ac:dyDescent="0.2">
      <c r="B760" s="92" t="s">
        <v>979</v>
      </c>
      <c r="C760" s="93">
        <v>2019</v>
      </c>
      <c r="D760" s="93">
        <v>11</v>
      </c>
      <c r="E760" s="93">
        <v>596</v>
      </c>
    </row>
    <row r="761" spans="2:5" x14ac:dyDescent="0.2">
      <c r="B761" s="92" t="s">
        <v>979</v>
      </c>
      <c r="C761" s="93">
        <v>2019</v>
      </c>
      <c r="D761" s="93">
        <v>6</v>
      </c>
      <c r="E761" s="93">
        <v>453</v>
      </c>
    </row>
    <row r="762" spans="2:5" x14ac:dyDescent="0.2">
      <c r="B762" s="92" t="s">
        <v>2786</v>
      </c>
      <c r="C762" s="93">
        <v>2019</v>
      </c>
      <c r="D762" s="93">
        <v>2</v>
      </c>
      <c r="E762" s="93">
        <v>14</v>
      </c>
    </row>
    <row r="763" spans="2:5" x14ac:dyDescent="0.2">
      <c r="B763" s="92" t="s">
        <v>2786</v>
      </c>
      <c r="C763" s="93">
        <v>2019</v>
      </c>
      <c r="D763" s="93">
        <v>7</v>
      </c>
      <c r="E763" s="93">
        <v>11</v>
      </c>
    </row>
    <row r="764" spans="2:5" x14ac:dyDescent="0.2">
      <c r="B764" s="92" t="s">
        <v>2786</v>
      </c>
      <c r="C764" s="93">
        <v>2019</v>
      </c>
      <c r="D764" s="93">
        <v>3</v>
      </c>
      <c r="E764" s="93">
        <v>7</v>
      </c>
    </row>
    <row r="765" spans="2:5" x14ac:dyDescent="0.2">
      <c r="B765" s="92" t="s">
        <v>2786</v>
      </c>
      <c r="C765" s="93">
        <v>2019</v>
      </c>
      <c r="D765" s="93">
        <v>1</v>
      </c>
      <c r="E765" s="93">
        <v>6</v>
      </c>
    </row>
    <row r="766" spans="2:5" x14ac:dyDescent="0.2">
      <c r="B766" s="92" t="s">
        <v>2786</v>
      </c>
      <c r="C766" s="93">
        <v>2019</v>
      </c>
      <c r="D766" s="93">
        <v>4</v>
      </c>
      <c r="E766" s="93">
        <v>6</v>
      </c>
    </row>
    <row r="767" spans="2:5" x14ac:dyDescent="0.2">
      <c r="B767" s="92" t="s">
        <v>2786</v>
      </c>
      <c r="C767" s="93">
        <v>2019</v>
      </c>
      <c r="D767" s="93">
        <v>10</v>
      </c>
      <c r="E767" s="93">
        <v>6</v>
      </c>
    </row>
    <row r="768" spans="2:5" x14ac:dyDescent="0.2">
      <c r="B768" s="92" t="s">
        <v>2786</v>
      </c>
      <c r="C768" s="93">
        <v>2019</v>
      </c>
      <c r="D768" s="93">
        <v>5</v>
      </c>
      <c r="E768" s="93">
        <v>5</v>
      </c>
    </row>
    <row r="769" spans="2:5" x14ac:dyDescent="0.2">
      <c r="B769" s="92" t="s">
        <v>2786</v>
      </c>
      <c r="C769" s="93">
        <v>2019</v>
      </c>
      <c r="D769" s="93">
        <v>12</v>
      </c>
      <c r="E769" s="93">
        <v>5</v>
      </c>
    </row>
    <row r="770" spans="2:5" x14ac:dyDescent="0.2">
      <c r="B770" s="92" t="s">
        <v>2786</v>
      </c>
      <c r="C770" s="93">
        <v>2019</v>
      </c>
      <c r="D770" s="93">
        <v>8</v>
      </c>
      <c r="E770" s="93">
        <v>3</v>
      </c>
    </row>
    <row r="771" spans="2:5" x14ac:dyDescent="0.2">
      <c r="B771" s="92" t="s">
        <v>2786</v>
      </c>
      <c r="C771" s="93">
        <v>2019</v>
      </c>
      <c r="D771" s="93">
        <v>9</v>
      </c>
      <c r="E771" s="93">
        <v>3</v>
      </c>
    </row>
    <row r="772" spans="2:5" x14ac:dyDescent="0.2">
      <c r="B772" s="92" t="s">
        <v>2786</v>
      </c>
      <c r="C772" s="93">
        <v>2019</v>
      </c>
      <c r="D772" s="93">
        <v>11</v>
      </c>
      <c r="E772" s="93">
        <v>2</v>
      </c>
    </row>
    <row r="773" spans="2:5" x14ac:dyDescent="0.2">
      <c r="B773" s="92" t="s">
        <v>2787</v>
      </c>
      <c r="C773" s="93">
        <v>2019</v>
      </c>
      <c r="D773" s="93">
        <v>3</v>
      </c>
      <c r="E773" s="93">
        <v>16</v>
      </c>
    </row>
    <row r="774" spans="2:5" x14ac:dyDescent="0.2">
      <c r="B774" s="92" t="s">
        <v>2787</v>
      </c>
      <c r="C774" s="93">
        <v>2019</v>
      </c>
      <c r="D774" s="93">
        <v>9</v>
      </c>
      <c r="E774" s="93">
        <v>16</v>
      </c>
    </row>
    <row r="775" spans="2:5" x14ac:dyDescent="0.2">
      <c r="B775" s="92" t="s">
        <v>2787</v>
      </c>
      <c r="C775" s="93">
        <v>2019</v>
      </c>
      <c r="D775" s="93">
        <v>10</v>
      </c>
      <c r="E775" s="93">
        <v>10</v>
      </c>
    </row>
    <row r="776" spans="2:5" x14ac:dyDescent="0.2">
      <c r="B776" s="92" t="s">
        <v>2787</v>
      </c>
      <c r="C776" s="93">
        <v>2019</v>
      </c>
      <c r="D776" s="93">
        <v>5</v>
      </c>
      <c r="E776" s="93">
        <v>6</v>
      </c>
    </row>
    <row r="777" spans="2:5" x14ac:dyDescent="0.2">
      <c r="B777" s="92" t="s">
        <v>2787</v>
      </c>
      <c r="C777" s="93">
        <v>2019</v>
      </c>
      <c r="D777" s="93">
        <v>6</v>
      </c>
      <c r="E777" s="93">
        <v>3</v>
      </c>
    </row>
    <row r="778" spans="2:5" x14ac:dyDescent="0.2">
      <c r="B778" s="92" t="s">
        <v>2787</v>
      </c>
      <c r="C778" s="93">
        <v>2019</v>
      </c>
      <c r="D778" s="93">
        <v>7</v>
      </c>
      <c r="E778" s="93">
        <v>3</v>
      </c>
    </row>
    <row r="779" spans="2:5" x14ac:dyDescent="0.2">
      <c r="B779" s="92" t="s">
        <v>2787</v>
      </c>
      <c r="C779" s="93">
        <v>2019</v>
      </c>
      <c r="D779" s="93">
        <v>8</v>
      </c>
      <c r="E779" s="93">
        <v>3</v>
      </c>
    </row>
    <row r="780" spans="2:5" x14ac:dyDescent="0.2">
      <c r="B780" s="92" t="s">
        <v>2787</v>
      </c>
      <c r="C780" s="93">
        <v>2019</v>
      </c>
      <c r="D780" s="93">
        <v>2</v>
      </c>
      <c r="E780" s="93">
        <v>2</v>
      </c>
    </row>
    <row r="781" spans="2:5" x14ac:dyDescent="0.2">
      <c r="B781" s="92" t="s">
        <v>2787</v>
      </c>
      <c r="C781" s="93">
        <v>2019</v>
      </c>
      <c r="D781" s="93">
        <v>4</v>
      </c>
      <c r="E781" s="93">
        <v>2</v>
      </c>
    </row>
    <row r="782" spans="2:5" x14ac:dyDescent="0.2">
      <c r="B782" s="92" t="s">
        <v>2787</v>
      </c>
      <c r="C782" s="93">
        <v>2019</v>
      </c>
      <c r="D782" s="93">
        <v>12</v>
      </c>
      <c r="E782" s="93">
        <v>2</v>
      </c>
    </row>
    <row r="783" spans="2:5" x14ac:dyDescent="0.2">
      <c r="B783" s="92" t="s">
        <v>2787</v>
      </c>
      <c r="C783" s="93">
        <v>2019</v>
      </c>
      <c r="D783" s="93">
        <v>1</v>
      </c>
      <c r="E783" s="93">
        <v>1</v>
      </c>
    </row>
    <row r="784" spans="2:5" x14ac:dyDescent="0.2">
      <c r="B784" s="92" t="s">
        <v>2917</v>
      </c>
      <c r="C784" s="93">
        <v>2019</v>
      </c>
      <c r="D784" s="93">
        <v>6</v>
      </c>
      <c r="E784" s="93">
        <v>12</v>
      </c>
    </row>
    <row r="785" spans="2:5" x14ac:dyDescent="0.2">
      <c r="B785" s="92" t="s">
        <v>2917</v>
      </c>
      <c r="C785" s="93">
        <v>2019</v>
      </c>
      <c r="D785" s="93">
        <v>5</v>
      </c>
      <c r="E785" s="93">
        <v>9</v>
      </c>
    </row>
    <row r="786" spans="2:5" x14ac:dyDescent="0.2">
      <c r="B786" s="92" t="s">
        <v>2917</v>
      </c>
      <c r="C786" s="93">
        <v>2019</v>
      </c>
      <c r="D786" s="93">
        <v>10</v>
      </c>
      <c r="E786" s="93">
        <v>9</v>
      </c>
    </row>
    <row r="787" spans="2:5" x14ac:dyDescent="0.2">
      <c r="B787" s="92" t="s">
        <v>2917</v>
      </c>
      <c r="C787" s="93">
        <v>2019</v>
      </c>
      <c r="D787" s="93">
        <v>8</v>
      </c>
      <c r="E787" s="93">
        <v>8</v>
      </c>
    </row>
    <row r="788" spans="2:5" x14ac:dyDescent="0.2">
      <c r="B788" s="92" t="s">
        <v>2917</v>
      </c>
      <c r="C788" s="93">
        <v>2019</v>
      </c>
      <c r="D788" s="93">
        <v>3</v>
      </c>
      <c r="E788" s="93">
        <v>7</v>
      </c>
    </row>
    <row r="789" spans="2:5" x14ac:dyDescent="0.2">
      <c r="B789" s="92" t="s">
        <v>2917</v>
      </c>
      <c r="C789" s="93">
        <v>2019</v>
      </c>
      <c r="D789" s="93">
        <v>4</v>
      </c>
      <c r="E789" s="93">
        <v>7</v>
      </c>
    </row>
    <row r="790" spans="2:5" x14ac:dyDescent="0.2">
      <c r="B790" s="92" t="s">
        <v>2917</v>
      </c>
      <c r="C790" s="93">
        <v>2019</v>
      </c>
      <c r="D790" s="93">
        <v>7</v>
      </c>
      <c r="E790" s="93">
        <v>5</v>
      </c>
    </row>
    <row r="791" spans="2:5" x14ac:dyDescent="0.2">
      <c r="B791" s="92" t="s">
        <v>2917</v>
      </c>
      <c r="C791" s="93">
        <v>2019</v>
      </c>
      <c r="D791" s="93">
        <v>11</v>
      </c>
      <c r="E791" s="93">
        <v>4</v>
      </c>
    </row>
    <row r="792" spans="2:5" x14ac:dyDescent="0.2">
      <c r="B792" s="92" t="s">
        <v>2917</v>
      </c>
      <c r="C792" s="93">
        <v>2019</v>
      </c>
      <c r="D792" s="93">
        <v>9</v>
      </c>
      <c r="E792" s="93">
        <v>1</v>
      </c>
    </row>
    <row r="793" spans="2:5" x14ac:dyDescent="0.2">
      <c r="B793" s="92" t="s">
        <v>2917</v>
      </c>
      <c r="C793" s="93">
        <v>2019</v>
      </c>
      <c r="D793" s="93">
        <v>12</v>
      </c>
      <c r="E793" s="93">
        <v>1</v>
      </c>
    </row>
    <row r="794" spans="2:5" x14ac:dyDescent="0.2">
      <c r="B794" s="92" t="s">
        <v>2932</v>
      </c>
      <c r="C794" s="93">
        <v>2019</v>
      </c>
      <c r="D794" s="93">
        <v>3</v>
      </c>
      <c r="E794" s="93">
        <v>10</v>
      </c>
    </row>
    <row r="795" spans="2:5" x14ac:dyDescent="0.2">
      <c r="B795" s="92" t="s">
        <v>2932</v>
      </c>
      <c r="C795" s="93">
        <v>2019</v>
      </c>
      <c r="D795" s="93">
        <v>5</v>
      </c>
      <c r="E795" s="93">
        <v>10</v>
      </c>
    </row>
    <row r="796" spans="2:5" x14ac:dyDescent="0.2">
      <c r="B796" s="92" t="s">
        <v>2932</v>
      </c>
      <c r="C796" s="93">
        <v>2019</v>
      </c>
      <c r="D796" s="93">
        <v>12</v>
      </c>
      <c r="E796" s="93">
        <v>2</v>
      </c>
    </row>
    <row r="797" spans="2:5" x14ac:dyDescent="0.2">
      <c r="B797" s="92" t="s">
        <v>2932</v>
      </c>
      <c r="C797" s="93">
        <v>2019</v>
      </c>
      <c r="D797" s="93">
        <v>2</v>
      </c>
      <c r="E797" s="93">
        <v>1</v>
      </c>
    </row>
    <row r="798" spans="2:5" x14ac:dyDescent="0.2">
      <c r="B798" s="92" t="s">
        <v>2932</v>
      </c>
      <c r="C798" s="93">
        <v>2019</v>
      </c>
      <c r="D798" s="93">
        <v>4</v>
      </c>
      <c r="E798" s="93">
        <v>1</v>
      </c>
    </row>
    <row r="799" spans="2:5" x14ac:dyDescent="0.2">
      <c r="B799" s="92" t="s">
        <v>2932</v>
      </c>
      <c r="C799" s="93">
        <v>2019</v>
      </c>
      <c r="D799" s="93">
        <v>6</v>
      </c>
      <c r="E799" s="93">
        <v>1</v>
      </c>
    </row>
    <row r="800" spans="2:5" x14ac:dyDescent="0.2">
      <c r="B800" s="92" t="s">
        <v>2932</v>
      </c>
      <c r="C800" s="93">
        <v>2019</v>
      </c>
      <c r="D800" s="93">
        <v>8</v>
      </c>
      <c r="E800" s="93">
        <v>1</v>
      </c>
    </row>
    <row r="801" spans="2:5" x14ac:dyDescent="0.2">
      <c r="B801" s="92" t="s">
        <v>2932</v>
      </c>
      <c r="C801" s="93">
        <v>2019</v>
      </c>
      <c r="D801" s="93">
        <v>9</v>
      </c>
      <c r="E801" s="93">
        <v>1</v>
      </c>
    </row>
    <row r="802" spans="2:5" x14ac:dyDescent="0.2">
      <c r="B802" s="92" t="s">
        <v>2907</v>
      </c>
      <c r="C802" s="93">
        <v>2019</v>
      </c>
      <c r="D802" s="93">
        <v>2</v>
      </c>
      <c r="E802" s="93">
        <v>24</v>
      </c>
    </row>
    <row r="803" spans="2:5" x14ac:dyDescent="0.2">
      <c r="B803" s="92" t="s">
        <v>2907</v>
      </c>
      <c r="C803" s="93">
        <v>2019</v>
      </c>
      <c r="D803" s="93">
        <v>9</v>
      </c>
      <c r="E803" s="93">
        <v>20</v>
      </c>
    </row>
    <row r="804" spans="2:5" x14ac:dyDescent="0.2">
      <c r="B804" s="92" t="s">
        <v>2907</v>
      </c>
      <c r="C804" s="93">
        <v>2019</v>
      </c>
      <c r="D804" s="93">
        <v>11</v>
      </c>
      <c r="E804" s="93">
        <v>20</v>
      </c>
    </row>
    <row r="805" spans="2:5" x14ac:dyDescent="0.2">
      <c r="B805" s="92" t="s">
        <v>2907</v>
      </c>
      <c r="C805" s="93">
        <v>2019</v>
      </c>
      <c r="D805" s="93">
        <v>4</v>
      </c>
      <c r="E805" s="93">
        <v>18</v>
      </c>
    </row>
    <row r="806" spans="2:5" x14ac:dyDescent="0.2">
      <c r="B806" s="92" t="s">
        <v>2907</v>
      </c>
      <c r="C806" s="93">
        <v>2019</v>
      </c>
      <c r="D806" s="93">
        <v>5</v>
      </c>
      <c r="E806" s="93">
        <v>15</v>
      </c>
    </row>
    <row r="807" spans="2:5" x14ac:dyDescent="0.2">
      <c r="B807" s="92" t="s">
        <v>2907</v>
      </c>
      <c r="C807" s="93">
        <v>2019</v>
      </c>
      <c r="D807" s="93">
        <v>8</v>
      </c>
      <c r="E807" s="93">
        <v>14</v>
      </c>
    </row>
    <row r="808" spans="2:5" x14ac:dyDescent="0.2">
      <c r="B808" s="92" t="s">
        <v>2907</v>
      </c>
      <c r="C808" s="93">
        <v>2019</v>
      </c>
      <c r="D808" s="93">
        <v>6</v>
      </c>
      <c r="E808" s="93">
        <v>11</v>
      </c>
    </row>
    <row r="809" spans="2:5" x14ac:dyDescent="0.2">
      <c r="B809" s="92" t="s">
        <v>2907</v>
      </c>
      <c r="C809" s="93">
        <v>2019</v>
      </c>
      <c r="D809" s="93">
        <v>7</v>
      </c>
      <c r="E809" s="93">
        <v>8</v>
      </c>
    </row>
    <row r="810" spans="2:5" x14ac:dyDescent="0.2">
      <c r="B810" s="92" t="s">
        <v>2907</v>
      </c>
      <c r="C810" s="93">
        <v>2019</v>
      </c>
      <c r="D810" s="93">
        <v>10</v>
      </c>
      <c r="E810" s="93">
        <v>3</v>
      </c>
    </row>
    <row r="811" spans="2:5" x14ac:dyDescent="0.2">
      <c r="B811" s="92" t="s">
        <v>2907</v>
      </c>
      <c r="C811" s="93">
        <v>2019</v>
      </c>
      <c r="D811" s="93">
        <v>3</v>
      </c>
      <c r="E811" s="93">
        <v>2</v>
      </c>
    </row>
    <row r="812" spans="2:5" x14ac:dyDescent="0.2">
      <c r="B812" s="92" t="s">
        <v>2788</v>
      </c>
      <c r="C812" s="93">
        <v>2019</v>
      </c>
      <c r="D812" s="93">
        <v>1</v>
      </c>
      <c r="E812" s="93">
        <v>9</v>
      </c>
    </row>
    <row r="813" spans="2:5" x14ac:dyDescent="0.2">
      <c r="B813" s="92" t="s">
        <v>2788</v>
      </c>
      <c r="C813" s="93">
        <v>2019</v>
      </c>
      <c r="D813" s="93">
        <v>10</v>
      </c>
      <c r="E813" s="93">
        <v>9</v>
      </c>
    </row>
    <row r="814" spans="2:5" x14ac:dyDescent="0.2">
      <c r="B814" s="92" t="s">
        <v>2788</v>
      </c>
      <c r="C814" s="93">
        <v>2019</v>
      </c>
      <c r="D814" s="93">
        <v>4</v>
      </c>
      <c r="E814" s="93">
        <v>8</v>
      </c>
    </row>
    <row r="815" spans="2:5" x14ac:dyDescent="0.2">
      <c r="B815" s="92" t="s">
        <v>2788</v>
      </c>
      <c r="C815" s="93">
        <v>2019</v>
      </c>
      <c r="D815" s="93">
        <v>9</v>
      </c>
      <c r="E815" s="93">
        <v>6</v>
      </c>
    </row>
    <row r="816" spans="2:5" x14ac:dyDescent="0.2">
      <c r="B816" s="92" t="s">
        <v>2788</v>
      </c>
      <c r="C816" s="93">
        <v>2019</v>
      </c>
      <c r="D816" s="93">
        <v>8</v>
      </c>
      <c r="E816" s="93">
        <v>5</v>
      </c>
    </row>
    <row r="817" spans="2:5" x14ac:dyDescent="0.2">
      <c r="B817" s="92" t="s">
        <v>2788</v>
      </c>
      <c r="C817" s="93">
        <v>2019</v>
      </c>
      <c r="D817" s="93">
        <v>6</v>
      </c>
      <c r="E817" s="93">
        <v>4</v>
      </c>
    </row>
    <row r="818" spans="2:5" x14ac:dyDescent="0.2">
      <c r="B818" s="92" t="s">
        <v>2788</v>
      </c>
      <c r="C818" s="93">
        <v>2019</v>
      </c>
      <c r="D818" s="93">
        <v>11</v>
      </c>
      <c r="E818" s="93">
        <v>4</v>
      </c>
    </row>
    <row r="819" spans="2:5" x14ac:dyDescent="0.2">
      <c r="B819" s="92" t="s">
        <v>2788</v>
      </c>
      <c r="C819" s="93">
        <v>2019</v>
      </c>
      <c r="D819" s="93">
        <v>12</v>
      </c>
      <c r="E819" s="93">
        <v>4</v>
      </c>
    </row>
    <row r="820" spans="2:5" x14ac:dyDescent="0.2">
      <c r="B820" s="92" t="s">
        <v>2788</v>
      </c>
      <c r="C820" s="93">
        <v>2019</v>
      </c>
      <c r="D820" s="93">
        <v>2</v>
      </c>
      <c r="E820" s="93">
        <v>3</v>
      </c>
    </row>
    <row r="821" spans="2:5" x14ac:dyDescent="0.2">
      <c r="B821" s="92" t="s">
        <v>2788</v>
      </c>
      <c r="C821" s="93">
        <v>2019</v>
      </c>
      <c r="D821" s="93">
        <v>3</v>
      </c>
      <c r="E821" s="93">
        <v>3</v>
      </c>
    </row>
    <row r="822" spans="2:5" x14ac:dyDescent="0.2">
      <c r="B822" s="92" t="s">
        <v>2788</v>
      </c>
      <c r="C822" s="93">
        <v>2019</v>
      </c>
      <c r="D822" s="93">
        <v>7</v>
      </c>
      <c r="E822" s="93">
        <v>3</v>
      </c>
    </row>
    <row r="823" spans="2:5" x14ac:dyDescent="0.2">
      <c r="B823" s="92" t="s">
        <v>2788</v>
      </c>
      <c r="C823" s="93">
        <v>2019</v>
      </c>
      <c r="D823" s="93">
        <v>5</v>
      </c>
      <c r="E823" s="93">
        <v>2</v>
      </c>
    </row>
    <row r="824" spans="2:5" x14ac:dyDescent="0.2">
      <c r="B824" s="92" t="s">
        <v>2789</v>
      </c>
      <c r="C824" s="93">
        <v>2019</v>
      </c>
      <c r="D824" s="93">
        <v>5</v>
      </c>
      <c r="E824" s="93">
        <v>14</v>
      </c>
    </row>
    <row r="825" spans="2:5" x14ac:dyDescent="0.2">
      <c r="B825" s="92" t="s">
        <v>2789</v>
      </c>
      <c r="C825" s="93">
        <v>2019</v>
      </c>
      <c r="D825" s="93">
        <v>6</v>
      </c>
      <c r="E825" s="93">
        <v>3</v>
      </c>
    </row>
    <row r="826" spans="2:5" x14ac:dyDescent="0.2">
      <c r="B826" s="92" t="s">
        <v>2789</v>
      </c>
      <c r="C826" s="93">
        <v>2019</v>
      </c>
      <c r="D826" s="93">
        <v>3</v>
      </c>
      <c r="E826" s="93">
        <v>2</v>
      </c>
    </row>
    <row r="827" spans="2:5" x14ac:dyDescent="0.2">
      <c r="B827" s="92" t="s">
        <v>2789</v>
      </c>
      <c r="C827" s="93">
        <v>2019</v>
      </c>
      <c r="D827" s="93">
        <v>4</v>
      </c>
      <c r="E827" s="93">
        <v>2</v>
      </c>
    </row>
    <row r="828" spans="2:5" x14ac:dyDescent="0.2">
      <c r="B828" s="92" t="s">
        <v>2789</v>
      </c>
      <c r="C828" s="93">
        <v>2019</v>
      </c>
      <c r="D828" s="93">
        <v>7</v>
      </c>
      <c r="E828" s="93">
        <v>2</v>
      </c>
    </row>
    <row r="829" spans="2:5" x14ac:dyDescent="0.2">
      <c r="B829" s="92" t="s">
        <v>2789</v>
      </c>
      <c r="C829" s="93">
        <v>2019</v>
      </c>
      <c r="D829" s="93">
        <v>8</v>
      </c>
      <c r="E829" s="93">
        <v>2</v>
      </c>
    </row>
    <row r="830" spans="2:5" x14ac:dyDescent="0.2">
      <c r="B830" s="92" t="s">
        <v>2789</v>
      </c>
      <c r="C830" s="93">
        <v>2019</v>
      </c>
      <c r="D830" s="93">
        <v>12</v>
      </c>
      <c r="E830" s="93">
        <v>2</v>
      </c>
    </row>
    <row r="831" spans="2:5" x14ac:dyDescent="0.2">
      <c r="B831" s="92" t="s">
        <v>2789</v>
      </c>
      <c r="C831" s="93">
        <v>2019</v>
      </c>
      <c r="D831" s="93">
        <v>9</v>
      </c>
      <c r="E831" s="93">
        <v>1</v>
      </c>
    </row>
    <row r="832" spans="2:5" x14ac:dyDescent="0.2">
      <c r="B832" s="92" t="s">
        <v>2789</v>
      </c>
      <c r="C832" s="93">
        <v>2019</v>
      </c>
      <c r="D832" s="93">
        <v>11</v>
      </c>
      <c r="E832" s="93">
        <v>1</v>
      </c>
    </row>
    <row r="833" spans="2:5" x14ac:dyDescent="0.2">
      <c r="B833" s="92" t="s">
        <v>2790</v>
      </c>
      <c r="C833" s="93">
        <v>2019</v>
      </c>
      <c r="D833" s="93">
        <v>5</v>
      </c>
      <c r="E833" s="93">
        <v>13</v>
      </c>
    </row>
    <row r="834" spans="2:5" x14ac:dyDescent="0.2">
      <c r="B834" s="92" t="s">
        <v>2790</v>
      </c>
      <c r="C834" s="93">
        <v>2019</v>
      </c>
      <c r="D834" s="93">
        <v>8</v>
      </c>
      <c r="E834" s="93">
        <v>6</v>
      </c>
    </row>
    <row r="835" spans="2:5" x14ac:dyDescent="0.2">
      <c r="B835" s="92" t="s">
        <v>2790</v>
      </c>
      <c r="C835" s="93">
        <v>2019</v>
      </c>
      <c r="D835" s="93">
        <v>6</v>
      </c>
      <c r="E835" s="93">
        <v>5</v>
      </c>
    </row>
    <row r="836" spans="2:5" x14ac:dyDescent="0.2">
      <c r="B836" s="92" t="s">
        <v>2790</v>
      </c>
      <c r="C836" s="93">
        <v>2019</v>
      </c>
      <c r="D836" s="93">
        <v>9</v>
      </c>
      <c r="E836" s="93">
        <v>5</v>
      </c>
    </row>
    <row r="837" spans="2:5" x14ac:dyDescent="0.2">
      <c r="B837" s="92" t="s">
        <v>2790</v>
      </c>
      <c r="C837" s="93">
        <v>2019</v>
      </c>
      <c r="D837" s="93">
        <v>10</v>
      </c>
      <c r="E837" s="93">
        <v>5</v>
      </c>
    </row>
    <row r="838" spans="2:5" x14ac:dyDescent="0.2">
      <c r="B838" s="92" t="s">
        <v>2790</v>
      </c>
      <c r="C838" s="93">
        <v>2019</v>
      </c>
      <c r="D838" s="93">
        <v>3</v>
      </c>
      <c r="E838" s="93">
        <v>4</v>
      </c>
    </row>
    <row r="839" spans="2:5" x14ac:dyDescent="0.2">
      <c r="B839" s="92" t="s">
        <v>2790</v>
      </c>
      <c r="C839" s="93">
        <v>2019</v>
      </c>
      <c r="D839" s="93">
        <v>2</v>
      </c>
      <c r="E839" s="93">
        <v>3</v>
      </c>
    </row>
    <row r="840" spans="2:5" x14ac:dyDescent="0.2">
      <c r="B840" s="92" t="s">
        <v>2790</v>
      </c>
      <c r="C840" s="93">
        <v>2019</v>
      </c>
      <c r="D840" s="93">
        <v>4</v>
      </c>
      <c r="E840" s="93">
        <v>3</v>
      </c>
    </row>
    <row r="841" spans="2:5" x14ac:dyDescent="0.2">
      <c r="B841" s="92" t="s">
        <v>2790</v>
      </c>
      <c r="C841" s="93">
        <v>2019</v>
      </c>
      <c r="D841" s="93">
        <v>11</v>
      </c>
      <c r="E841" s="93">
        <v>2</v>
      </c>
    </row>
    <row r="842" spans="2:5" x14ac:dyDescent="0.2">
      <c r="B842" s="92" t="s">
        <v>2790</v>
      </c>
      <c r="C842" s="93">
        <v>2019</v>
      </c>
      <c r="D842" s="93">
        <v>12</v>
      </c>
      <c r="E842" s="93">
        <v>2</v>
      </c>
    </row>
    <row r="843" spans="2:5" x14ac:dyDescent="0.2">
      <c r="B843" s="92" t="s">
        <v>2790</v>
      </c>
      <c r="C843" s="93">
        <v>2019</v>
      </c>
      <c r="D843" s="93">
        <v>7</v>
      </c>
      <c r="E843" s="93">
        <v>1</v>
      </c>
    </row>
    <row r="844" spans="2:5" x14ac:dyDescent="0.2">
      <c r="B844" s="92" t="s">
        <v>2968</v>
      </c>
      <c r="C844" s="93">
        <v>2019</v>
      </c>
      <c r="D844" s="93">
        <v>11</v>
      </c>
      <c r="E844" s="93">
        <v>2</v>
      </c>
    </row>
    <row r="845" spans="2:5" x14ac:dyDescent="0.2">
      <c r="B845" s="92" t="s">
        <v>2968</v>
      </c>
      <c r="C845" s="93">
        <v>2019</v>
      </c>
      <c r="D845" s="93">
        <v>1</v>
      </c>
      <c r="E845" s="93">
        <v>1</v>
      </c>
    </row>
    <row r="846" spans="2:5" x14ac:dyDescent="0.2">
      <c r="B846" s="92" t="s">
        <v>2968</v>
      </c>
      <c r="C846" s="93">
        <v>2019</v>
      </c>
      <c r="D846" s="93">
        <v>4</v>
      </c>
      <c r="E846" s="93">
        <v>1</v>
      </c>
    </row>
    <row r="847" spans="2:5" x14ac:dyDescent="0.2">
      <c r="B847" s="92" t="s">
        <v>2920</v>
      </c>
      <c r="C847" s="93">
        <v>2019</v>
      </c>
      <c r="D847" s="93">
        <v>9</v>
      </c>
      <c r="E847" s="93">
        <v>8</v>
      </c>
    </row>
    <row r="848" spans="2:5" x14ac:dyDescent="0.2">
      <c r="B848" s="92" t="s">
        <v>2920</v>
      </c>
      <c r="C848" s="93">
        <v>2019</v>
      </c>
      <c r="D848" s="93">
        <v>1</v>
      </c>
      <c r="E848" s="93">
        <v>7</v>
      </c>
    </row>
    <row r="849" spans="2:5" x14ac:dyDescent="0.2">
      <c r="B849" s="92" t="s">
        <v>2920</v>
      </c>
      <c r="C849" s="93">
        <v>2019</v>
      </c>
      <c r="D849" s="93">
        <v>3</v>
      </c>
      <c r="E849" s="93">
        <v>6</v>
      </c>
    </row>
    <row r="850" spans="2:5" x14ac:dyDescent="0.2">
      <c r="B850" s="92" t="s">
        <v>2920</v>
      </c>
      <c r="C850" s="93">
        <v>2019</v>
      </c>
      <c r="D850" s="93">
        <v>5</v>
      </c>
      <c r="E850" s="93">
        <v>5</v>
      </c>
    </row>
    <row r="851" spans="2:5" x14ac:dyDescent="0.2">
      <c r="B851" s="92" t="s">
        <v>2920</v>
      </c>
      <c r="C851" s="93">
        <v>2019</v>
      </c>
      <c r="D851" s="93">
        <v>7</v>
      </c>
      <c r="E851" s="93">
        <v>5</v>
      </c>
    </row>
    <row r="852" spans="2:5" x14ac:dyDescent="0.2">
      <c r="B852" s="92" t="s">
        <v>2920</v>
      </c>
      <c r="C852" s="93">
        <v>2019</v>
      </c>
      <c r="D852" s="93">
        <v>10</v>
      </c>
      <c r="E852" s="93">
        <v>5</v>
      </c>
    </row>
    <row r="853" spans="2:5" x14ac:dyDescent="0.2">
      <c r="B853" s="92" t="s">
        <v>2920</v>
      </c>
      <c r="C853" s="93">
        <v>2019</v>
      </c>
      <c r="D853" s="93">
        <v>11</v>
      </c>
      <c r="E853" s="93">
        <v>5</v>
      </c>
    </row>
    <row r="854" spans="2:5" x14ac:dyDescent="0.2">
      <c r="B854" s="92" t="s">
        <v>2920</v>
      </c>
      <c r="C854" s="93">
        <v>2019</v>
      </c>
      <c r="D854" s="93">
        <v>4</v>
      </c>
      <c r="E854" s="93">
        <v>3</v>
      </c>
    </row>
    <row r="855" spans="2:5" x14ac:dyDescent="0.2">
      <c r="B855" s="92" t="s">
        <v>2920</v>
      </c>
      <c r="C855" s="93">
        <v>2019</v>
      </c>
      <c r="D855" s="93">
        <v>2</v>
      </c>
      <c r="E855" s="93">
        <v>2</v>
      </c>
    </row>
    <row r="856" spans="2:5" x14ac:dyDescent="0.2">
      <c r="B856" s="92" t="s">
        <v>2920</v>
      </c>
      <c r="C856" s="93">
        <v>2019</v>
      </c>
      <c r="D856" s="93">
        <v>6</v>
      </c>
      <c r="E856" s="93">
        <v>2</v>
      </c>
    </row>
    <row r="857" spans="2:5" x14ac:dyDescent="0.2">
      <c r="B857" s="92" t="s">
        <v>2920</v>
      </c>
      <c r="C857" s="93">
        <v>2019</v>
      </c>
      <c r="D857" s="93">
        <v>8</v>
      </c>
      <c r="E857" s="93">
        <v>2</v>
      </c>
    </row>
    <row r="858" spans="2:5" x14ac:dyDescent="0.2">
      <c r="B858" s="92" t="s">
        <v>2920</v>
      </c>
      <c r="C858" s="93">
        <v>2019</v>
      </c>
      <c r="D858" s="93">
        <v>12</v>
      </c>
      <c r="E858" s="93">
        <v>2</v>
      </c>
    </row>
    <row r="859" spans="2:5" x14ac:dyDescent="0.2">
      <c r="B859" s="92" t="s">
        <v>2791</v>
      </c>
      <c r="C859" s="93">
        <v>2019</v>
      </c>
      <c r="D859" s="93">
        <v>4</v>
      </c>
      <c r="E859" s="93">
        <v>10</v>
      </c>
    </row>
    <row r="860" spans="2:5" x14ac:dyDescent="0.2">
      <c r="B860" s="92" t="s">
        <v>2791</v>
      </c>
      <c r="C860" s="93">
        <v>2019</v>
      </c>
      <c r="D860" s="93">
        <v>8</v>
      </c>
      <c r="E860" s="93">
        <v>8</v>
      </c>
    </row>
    <row r="861" spans="2:5" x14ac:dyDescent="0.2">
      <c r="B861" s="92" t="s">
        <v>2791</v>
      </c>
      <c r="C861" s="93">
        <v>2019</v>
      </c>
      <c r="D861" s="93">
        <v>3</v>
      </c>
      <c r="E861" s="93">
        <v>7</v>
      </c>
    </row>
    <row r="862" spans="2:5" x14ac:dyDescent="0.2">
      <c r="B862" s="92" t="s">
        <v>2791</v>
      </c>
      <c r="C862" s="93">
        <v>2019</v>
      </c>
      <c r="D862" s="93">
        <v>10</v>
      </c>
      <c r="E862" s="93">
        <v>7</v>
      </c>
    </row>
    <row r="863" spans="2:5" x14ac:dyDescent="0.2">
      <c r="B863" s="92" t="s">
        <v>2791</v>
      </c>
      <c r="C863" s="93">
        <v>2019</v>
      </c>
      <c r="D863" s="93">
        <v>1</v>
      </c>
      <c r="E863" s="93">
        <v>6</v>
      </c>
    </row>
    <row r="864" spans="2:5" x14ac:dyDescent="0.2">
      <c r="B864" s="92" t="s">
        <v>2791</v>
      </c>
      <c r="C864" s="93">
        <v>2019</v>
      </c>
      <c r="D864" s="93">
        <v>2</v>
      </c>
      <c r="E864" s="93">
        <v>5</v>
      </c>
    </row>
    <row r="865" spans="2:5" x14ac:dyDescent="0.2">
      <c r="B865" s="92" t="s">
        <v>2791</v>
      </c>
      <c r="C865" s="93">
        <v>2019</v>
      </c>
      <c r="D865" s="93">
        <v>9</v>
      </c>
      <c r="E865" s="93">
        <v>2</v>
      </c>
    </row>
    <row r="866" spans="2:5" x14ac:dyDescent="0.2">
      <c r="B866" s="92" t="s">
        <v>2791</v>
      </c>
      <c r="C866" s="93">
        <v>2019</v>
      </c>
      <c r="D866" s="93">
        <v>11</v>
      </c>
      <c r="E866" s="93">
        <v>2</v>
      </c>
    </row>
    <row r="867" spans="2:5" x14ac:dyDescent="0.2">
      <c r="B867" s="92" t="s">
        <v>2791</v>
      </c>
      <c r="C867" s="93">
        <v>2019</v>
      </c>
      <c r="D867" s="93">
        <v>5</v>
      </c>
      <c r="E867" s="93">
        <v>1</v>
      </c>
    </row>
    <row r="868" spans="2:5" x14ac:dyDescent="0.2">
      <c r="B868" s="92" t="s">
        <v>2791</v>
      </c>
      <c r="C868" s="93">
        <v>2019</v>
      </c>
      <c r="D868" s="93">
        <v>7</v>
      </c>
      <c r="E868" s="93">
        <v>1</v>
      </c>
    </row>
    <row r="869" spans="2:5" x14ac:dyDescent="0.2">
      <c r="B869" s="92" t="s">
        <v>2792</v>
      </c>
      <c r="C869" s="93">
        <v>2019</v>
      </c>
      <c r="D869" s="93">
        <v>3</v>
      </c>
      <c r="E869" s="93">
        <v>22</v>
      </c>
    </row>
    <row r="870" spans="2:5" x14ac:dyDescent="0.2">
      <c r="B870" s="92" t="s">
        <v>2792</v>
      </c>
      <c r="C870" s="93">
        <v>2019</v>
      </c>
      <c r="D870" s="93">
        <v>6</v>
      </c>
      <c r="E870" s="93">
        <v>22</v>
      </c>
    </row>
    <row r="871" spans="2:5" x14ac:dyDescent="0.2">
      <c r="B871" s="92" t="s">
        <v>2792</v>
      </c>
      <c r="C871" s="93">
        <v>2019</v>
      </c>
      <c r="D871" s="93">
        <v>7</v>
      </c>
      <c r="E871" s="93">
        <v>21</v>
      </c>
    </row>
    <row r="872" spans="2:5" x14ac:dyDescent="0.2">
      <c r="B872" s="92" t="s">
        <v>2792</v>
      </c>
      <c r="C872" s="93">
        <v>2019</v>
      </c>
      <c r="D872" s="93">
        <v>8</v>
      </c>
      <c r="E872" s="93">
        <v>14</v>
      </c>
    </row>
    <row r="873" spans="2:5" x14ac:dyDescent="0.2">
      <c r="B873" s="92" t="s">
        <v>2792</v>
      </c>
      <c r="C873" s="93">
        <v>2019</v>
      </c>
      <c r="D873" s="93">
        <v>9</v>
      </c>
      <c r="E873" s="93">
        <v>12</v>
      </c>
    </row>
    <row r="874" spans="2:5" x14ac:dyDescent="0.2">
      <c r="B874" s="92" t="s">
        <v>2792</v>
      </c>
      <c r="C874" s="93">
        <v>2019</v>
      </c>
      <c r="D874" s="93">
        <v>5</v>
      </c>
      <c r="E874" s="93">
        <v>9</v>
      </c>
    </row>
    <row r="875" spans="2:5" x14ac:dyDescent="0.2">
      <c r="B875" s="92" t="s">
        <v>2792</v>
      </c>
      <c r="C875" s="93">
        <v>2019</v>
      </c>
      <c r="D875" s="93">
        <v>11</v>
      </c>
      <c r="E875" s="93">
        <v>7</v>
      </c>
    </row>
    <row r="876" spans="2:5" x14ac:dyDescent="0.2">
      <c r="B876" s="92" t="s">
        <v>2792</v>
      </c>
      <c r="C876" s="93">
        <v>2019</v>
      </c>
      <c r="D876" s="93">
        <v>4</v>
      </c>
      <c r="E876" s="93">
        <v>5</v>
      </c>
    </row>
    <row r="877" spans="2:5" x14ac:dyDescent="0.2">
      <c r="B877" s="92" t="s">
        <v>2792</v>
      </c>
      <c r="C877" s="93">
        <v>2019</v>
      </c>
      <c r="D877" s="93">
        <v>12</v>
      </c>
      <c r="E877" s="93">
        <v>5</v>
      </c>
    </row>
    <row r="878" spans="2:5" x14ac:dyDescent="0.2">
      <c r="B878" s="92" t="s">
        <v>2792</v>
      </c>
      <c r="C878" s="93">
        <v>2019</v>
      </c>
      <c r="D878" s="93">
        <v>1</v>
      </c>
      <c r="E878" s="93">
        <v>4</v>
      </c>
    </row>
    <row r="879" spans="2:5" x14ac:dyDescent="0.2">
      <c r="B879" s="92" t="s">
        <v>2792</v>
      </c>
      <c r="C879" s="93">
        <v>2019</v>
      </c>
      <c r="D879" s="93">
        <v>10</v>
      </c>
      <c r="E879" s="93">
        <v>4</v>
      </c>
    </row>
    <row r="880" spans="2:5" x14ac:dyDescent="0.2">
      <c r="B880" s="92" t="s">
        <v>2792</v>
      </c>
      <c r="C880" s="93">
        <v>2019</v>
      </c>
      <c r="D880" s="93">
        <v>2</v>
      </c>
      <c r="E880" s="93">
        <v>1</v>
      </c>
    </row>
    <row r="881" spans="2:5" x14ac:dyDescent="0.2">
      <c r="B881" s="92" t="s">
        <v>2793</v>
      </c>
      <c r="C881" s="93">
        <v>2019</v>
      </c>
      <c r="D881" s="93">
        <v>4</v>
      </c>
      <c r="E881" s="93">
        <v>7</v>
      </c>
    </row>
    <row r="882" spans="2:5" x14ac:dyDescent="0.2">
      <c r="B882" s="92" t="s">
        <v>2793</v>
      </c>
      <c r="C882" s="93">
        <v>2019</v>
      </c>
      <c r="D882" s="93">
        <v>6</v>
      </c>
      <c r="E882" s="93">
        <v>7</v>
      </c>
    </row>
    <row r="883" spans="2:5" x14ac:dyDescent="0.2">
      <c r="B883" s="92" t="s">
        <v>2793</v>
      </c>
      <c r="C883" s="93">
        <v>2019</v>
      </c>
      <c r="D883" s="93">
        <v>1</v>
      </c>
      <c r="E883" s="93">
        <v>3</v>
      </c>
    </row>
    <row r="884" spans="2:5" x14ac:dyDescent="0.2">
      <c r="B884" s="92" t="s">
        <v>2793</v>
      </c>
      <c r="C884" s="93">
        <v>2019</v>
      </c>
      <c r="D884" s="93">
        <v>3</v>
      </c>
      <c r="E884" s="93">
        <v>3</v>
      </c>
    </row>
    <row r="885" spans="2:5" x14ac:dyDescent="0.2">
      <c r="B885" s="92" t="s">
        <v>2793</v>
      </c>
      <c r="C885" s="93">
        <v>2019</v>
      </c>
      <c r="D885" s="93">
        <v>5</v>
      </c>
      <c r="E885" s="93">
        <v>3</v>
      </c>
    </row>
    <row r="886" spans="2:5" x14ac:dyDescent="0.2">
      <c r="B886" s="92" t="s">
        <v>2793</v>
      </c>
      <c r="C886" s="93">
        <v>2019</v>
      </c>
      <c r="D886" s="93">
        <v>7</v>
      </c>
      <c r="E886" s="93">
        <v>3</v>
      </c>
    </row>
    <row r="887" spans="2:5" x14ac:dyDescent="0.2">
      <c r="B887" s="92" t="s">
        <v>2793</v>
      </c>
      <c r="C887" s="93">
        <v>2019</v>
      </c>
      <c r="D887" s="93">
        <v>8</v>
      </c>
      <c r="E887" s="93">
        <v>3</v>
      </c>
    </row>
    <row r="888" spans="2:5" x14ac:dyDescent="0.2">
      <c r="B888" s="92" t="s">
        <v>2793</v>
      </c>
      <c r="C888" s="93">
        <v>2019</v>
      </c>
      <c r="D888" s="93">
        <v>2</v>
      </c>
      <c r="E888" s="93">
        <v>1</v>
      </c>
    </row>
    <row r="889" spans="2:5" x14ac:dyDescent="0.2">
      <c r="B889" s="92" t="s">
        <v>2793</v>
      </c>
      <c r="C889" s="93">
        <v>2019</v>
      </c>
      <c r="D889" s="93">
        <v>9</v>
      </c>
      <c r="E889" s="93">
        <v>1</v>
      </c>
    </row>
    <row r="890" spans="2:5" x14ac:dyDescent="0.2">
      <c r="B890" s="92" t="s">
        <v>2793</v>
      </c>
      <c r="C890" s="93">
        <v>2019</v>
      </c>
      <c r="D890" s="93">
        <v>10</v>
      </c>
      <c r="E890" s="93">
        <v>1</v>
      </c>
    </row>
    <row r="891" spans="2:5" x14ac:dyDescent="0.2">
      <c r="B891" s="92" t="s">
        <v>2793</v>
      </c>
      <c r="C891" s="93">
        <v>2019</v>
      </c>
      <c r="D891" s="93">
        <v>12</v>
      </c>
      <c r="E891" s="93">
        <v>1</v>
      </c>
    </row>
    <row r="892" spans="2:5" x14ac:dyDescent="0.2">
      <c r="B892" s="92" t="s">
        <v>2794</v>
      </c>
      <c r="C892" s="93">
        <v>2019</v>
      </c>
      <c r="D892" s="93">
        <v>3</v>
      </c>
      <c r="E892" s="93">
        <v>15</v>
      </c>
    </row>
    <row r="893" spans="2:5" x14ac:dyDescent="0.2">
      <c r="B893" s="92" t="s">
        <v>2794</v>
      </c>
      <c r="C893" s="93">
        <v>2019</v>
      </c>
      <c r="D893" s="93">
        <v>8</v>
      </c>
      <c r="E893" s="93">
        <v>15</v>
      </c>
    </row>
    <row r="894" spans="2:5" x14ac:dyDescent="0.2">
      <c r="B894" s="92" t="s">
        <v>2794</v>
      </c>
      <c r="C894" s="93">
        <v>2019</v>
      </c>
      <c r="D894" s="93">
        <v>9</v>
      </c>
      <c r="E894" s="93">
        <v>11</v>
      </c>
    </row>
    <row r="895" spans="2:5" x14ac:dyDescent="0.2">
      <c r="B895" s="92" t="s">
        <v>2794</v>
      </c>
      <c r="C895" s="93">
        <v>2019</v>
      </c>
      <c r="D895" s="93">
        <v>6</v>
      </c>
      <c r="E895" s="93">
        <v>10</v>
      </c>
    </row>
    <row r="896" spans="2:5" x14ac:dyDescent="0.2">
      <c r="B896" s="92" t="s">
        <v>2794</v>
      </c>
      <c r="C896" s="93">
        <v>2019</v>
      </c>
      <c r="D896" s="93">
        <v>7</v>
      </c>
      <c r="E896" s="93">
        <v>8</v>
      </c>
    </row>
    <row r="897" spans="2:5" x14ac:dyDescent="0.2">
      <c r="B897" s="92" t="s">
        <v>2794</v>
      </c>
      <c r="C897" s="93">
        <v>2019</v>
      </c>
      <c r="D897" s="93">
        <v>5</v>
      </c>
      <c r="E897" s="93">
        <v>7</v>
      </c>
    </row>
    <row r="898" spans="2:5" x14ac:dyDescent="0.2">
      <c r="B898" s="92" t="s">
        <v>2794</v>
      </c>
      <c r="C898" s="93">
        <v>2019</v>
      </c>
      <c r="D898" s="93">
        <v>10</v>
      </c>
      <c r="E898" s="93">
        <v>7</v>
      </c>
    </row>
    <row r="899" spans="2:5" x14ac:dyDescent="0.2">
      <c r="B899" s="92" t="s">
        <v>2794</v>
      </c>
      <c r="C899" s="93">
        <v>2019</v>
      </c>
      <c r="D899" s="93">
        <v>11</v>
      </c>
      <c r="E899" s="93">
        <v>6</v>
      </c>
    </row>
    <row r="900" spans="2:5" x14ac:dyDescent="0.2">
      <c r="B900" s="92" t="s">
        <v>2794</v>
      </c>
      <c r="C900" s="93">
        <v>2019</v>
      </c>
      <c r="D900" s="93">
        <v>1</v>
      </c>
      <c r="E900" s="93">
        <v>5</v>
      </c>
    </row>
    <row r="901" spans="2:5" x14ac:dyDescent="0.2">
      <c r="B901" s="92" t="s">
        <v>2794</v>
      </c>
      <c r="C901" s="93">
        <v>2019</v>
      </c>
      <c r="D901" s="93">
        <v>12</v>
      </c>
      <c r="E901" s="93">
        <v>4</v>
      </c>
    </row>
    <row r="902" spans="2:5" x14ac:dyDescent="0.2">
      <c r="B902" s="92" t="s">
        <v>2794</v>
      </c>
      <c r="C902" s="93">
        <v>2019</v>
      </c>
      <c r="D902" s="93">
        <v>2</v>
      </c>
      <c r="E902" s="93">
        <v>3</v>
      </c>
    </row>
    <row r="903" spans="2:5" x14ac:dyDescent="0.2">
      <c r="B903" s="92" t="s">
        <v>2794</v>
      </c>
      <c r="C903" s="93">
        <v>2019</v>
      </c>
      <c r="D903" s="93">
        <v>4</v>
      </c>
      <c r="E903" s="93">
        <v>2</v>
      </c>
    </row>
    <row r="904" spans="2:5" x14ac:dyDescent="0.2">
      <c r="B904" s="92" t="s">
        <v>2795</v>
      </c>
      <c r="C904" s="93">
        <v>2019</v>
      </c>
      <c r="D904" s="93">
        <v>11</v>
      </c>
      <c r="E904" s="93">
        <v>6</v>
      </c>
    </row>
    <row r="905" spans="2:5" x14ac:dyDescent="0.2">
      <c r="B905" s="92" t="s">
        <v>2795</v>
      </c>
      <c r="C905" s="93">
        <v>2019</v>
      </c>
      <c r="D905" s="93">
        <v>10</v>
      </c>
      <c r="E905" s="93">
        <v>5</v>
      </c>
    </row>
    <row r="906" spans="2:5" x14ac:dyDescent="0.2">
      <c r="B906" s="92" t="s">
        <v>2795</v>
      </c>
      <c r="C906" s="93">
        <v>2019</v>
      </c>
      <c r="D906" s="93">
        <v>4</v>
      </c>
      <c r="E906" s="93">
        <v>3</v>
      </c>
    </row>
    <row r="907" spans="2:5" x14ac:dyDescent="0.2">
      <c r="B907" s="92" t="s">
        <v>2795</v>
      </c>
      <c r="C907" s="93">
        <v>2019</v>
      </c>
      <c r="D907" s="93">
        <v>7</v>
      </c>
      <c r="E907" s="93">
        <v>3</v>
      </c>
    </row>
    <row r="908" spans="2:5" x14ac:dyDescent="0.2">
      <c r="B908" s="92" t="s">
        <v>2795</v>
      </c>
      <c r="C908" s="93">
        <v>2019</v>
      </c>
      <c r="D908" s="93">
        <v>8</v>
      </c>
      <c r="E908" s="93">
        <v>2</v>
      </c>
    </row>
    <row r="909" spans="2:5" x14ac:dyDescent="0.2">
      <c r="B909" s="92" t="s">
        <v>2795</v>
      </c>
      <c r="C909" s="93">
        <v>2019</v>
      </c>
      <c r="D909" s="93">
        <v>9</v>
      </c>
      <c r="E909" s="93">
        <v>2</v>
      </c>
    </row>
    <row r="910" spans="2:5" x14ac:dyDescent="0.2">
      <c r="B910" s="92" t="s">
        <v>2795</v>
      </c>
      <c r="C910" s="93">
        <v>2019</v>
      </c>
      <c r="D910" s="93">
        <v>2</v>
      </c>
      <c r="E910" s="93">
        <v>1</v>
      </c>
    </row>
    <row r="911" spans="2:5" x14ac:dyDescent="0.2">
      <c r="B911" s="92" t="s">
        <v>2795</v>
      </c>
      <c r="C911" s="93">
        <v>2019</v>
      </c>
      <c r="D911" s="93">
        <v>5</v>
      </c>
      <c r="E911" s="93">
        <v>1</v>
      </c>
    </row>
    <row r="912" spans="2:5" x14ac:dyDescent="0.2">
      <c r="B912" s="92" t="s">
        <v>2795</v>
      </c>
      <c r="C912" s="93">
        <v>2019</v>
      </c>
      <c r="D912" s="93">
        <v>12</v>
      </c>
      <c r="E912" s="93">
        <v>1</v>
      </c>
    </row>
    <row r="913" spans="2:5" x14ac:dyDescent="0.2">
      <c r="B913" s="92" t="s">
        <v>2796</v>
      </c>
      <c r="C913" s="93">
        <v>2019</v>
      </c>
      <c r="D913" s="93">
        <v>5</v>
      </c>
      <c r="E913" s="93">
        <v>44</v>
      </c>
    </row>
    <row r="914" spans="2:5" x14ac:dyDescent="0.2">
      <c r="B914" s="92" t="s">
        <v>2796</v>
      </c>
      <c r="C914" s="93">
        <v>2019</v>
      </c>
      <c r="D914" s="93">
        <v>10</v>
      </c>
      <c r="E914" s="93">
        <v>40</v>
      </c>
    </row>
    <row r="915" spans="2:5" x14ac:dyDescent="0.2">
      <c r="B915" s="92" t="s">
        <v>2796</v>
      </c>
      <c r="C915" s="93">
        <v>2019</v>
      </c>
      <c r="D915" s="93">
        <v>4</v>
      </c>
      <c r="E915" s="93">
        <v>23</v>
      </c>
    </row>
    <row r="916" spans="2:5" x14ac:dyDescent="0.2">
      <c r="B916" s="92" t="s">
        <v>2796</v>
      </c>
      <c r="C916" s="93">
        <v>2019</v>
      </c>
      <c r="D916" s="93">
        <v>3</v>
      </c>
      <c r="E916" s="93">
        <v>22</v>
      </c>
    </row>
    <row r="917" spans="2:5" x14ac:dyDescent="0.2">
      <c r="B917" s="92" t="s">
        <v>2796</v>
      </c>
      <c r="C917" s="93">
        <v>2019</v>
      </c>
      <c r="D917" s="93">
        <v>9</v>
      </c>
      <c r="E917" s="93">
        <v>16</v>
      </c>
    </row>
    <row r="918" spans="2:5" x14ac:dyDescent="0.2">
      <c r="B918" s="92" t="s">
        <v>2796</v>
      </c>
      <c r="C918" s="93">
        <v>2019</v>
      </c>
      <c r="D918" s="93">
        <v>6</v>
      </c>
      <c r="E918" s="93">
        <v>15</v>
      </c>
    </row>
    <row r="919" spans="2:5" x14ac:dyDescent="0.2">
      <c r="B919" s="92" t="s">
        <v>2796</v>
      </c>
      <c r="C919" s="93">
        <v>2019</v>
      </c>
      <c r="D919" s="93">
        <v>8</v>
      </c>
      <c r="E919" s="93">
        <v>14</v>
      </c>
    </row>
    <row r="920" spans="2:5" x14ac:dyDescent="0.2">
      <c r="B920" s="92" t="s">
        <v>2796</v>
      </c>
      <c r="C920" s="93">
        <v>2019</v>
      </c>
      <c r="D920" s="93">
        <v>11</v>
      </c>
      <c r="E920" s="93">
        <v>10</v>
      </c>
    </row>
    <row r="921" spans="2:5" x14ac:dyDescent="0.2">
      <c r="B921" s="92" t="s">
        <v>2796</v>
      </c>
      <c r="C921" s="93">
        <v>2019</v>
      </c>
      <c r="D921" s="93">
        <v>7</v>
      </c>
      <c r="E921" s="93">
        <v>6</v>
      </c>
    </row>
    <row r="922" spans="2:5" x14ac:dyDescent="0.2">
      <c r="B922" s="92" t="s">
        <v>2796</v>
      </c>
      <c r="C922" s="93">
        <v>2019</v>
      </c>
      <c r="D922" s="93">
        <v>12</v>
      </c>
      <c r="E922" s="93">
        <v>6</v>
      </c>
    </row>
    <row r="923" spans="2:5" x14ac:dyDescent="0.2">
      <c r="B923" s="92" t="s">
        <v>2796</v>
      </c>
      <c r="C923" s="93">
        <v>2019</v>
      </c>
      <c r="D923" s="93">
        <v>2</v>
      </c>
      <c r="E923" s="93">
        <v>3</v>
      </c>
    </row>
    <row r="924" spans="2:5" x14ac:dyDescent="0.2">
      <c r="B924" s="92" t="s">
        <v>2797</v>
      </c>
      <c r="C924" s="93">
        <v>2019</v>
      </c>
      <c r="D924" s="93">
        <v>3</v>
      </c>
      <c r="E924" s="93">
        <v>270</v>
      </c>
    </row>
    <row r="925" spans="2:5" x14ac:dyDescent="0.2">
      <c r="B925" s="92" t="s">
        <v>2797</v>
      </c>
      <c r="C925" s="93">
        <v>2019</v>
      </c>
      <c r="D925" s="93">
        <v>1</v>
      </c>
      <c r="E925" s="93">
        <v>262</v>
      </c>
    </row>
    <row r="926" spans="2:5" x14ac:dyDescent="0.2">
      <c r="B926" s="92" t="s">
        <v>2797</v>
      </c>
      <c r="C926" s="93">
        <v>2019</v>
      </c>
      <c r="D926" s="93">
        <v>9</v>
      </c>
      <c r="E926" s="93">
        <v>218</v>
      </c>
    </row>
    <row r="927" spans="2:5" x14ac:dyDescent="0.2">
      <c r="B927" s="92" t="s">
        <v>2797</v>
      </c>
      <c r="C927" s="93">
        <v>2019</v>
      </c>
      <c r="D927" s="93">
        <v>8</v>
      </c>
      <c r="E927" s="93">
        <v>211</v>
      </c>
    </row>
    <row r="928" spans="2:5" x14ac:dyDescent="0.2">
      <c r="B928" s="92" t="s">
        <v>2797</v>
      </c>
      <c r="C928" s="93">
        <v>2019</v>
      </c>
      <c r="D928" s="93">
        <v>4</v>
      </c>
      <c r="E928" s="93">
        <v>196</v>
      </c>
    </row>
    <row r="929" spans="2:5" x14ac:dyDescent="0.2">
      <c r="B929" s="92" t="s">
        <v>2797</v>
      </c>
      <c r="C929" s="93">
        <v>2019</v>
      </c>
      <c r="D929" s="93">
        <v>10</v>
      </c>
      <c r="E929" s="93">
        <v>193</v>
      </c>
    </row>
    <row r="930" spans="2:5" x14ac:dyDescent="0.2">
      <c r="B930" s="92" t="s">
        <v>2797</v>
      </c>
      <c r="C930" s="93">
        <v>2019</v>
      </c>
      <c r="D930" s="93">
        <v>12</v>
      </c>
      <c r="E930" s="93">
        <v>165</v>
      </c>
    </row>
    <row r="931" spans="2:5" x14ac:dyDescent="0.2">
      <c r="B931" s="92" t="s">
        <v>2797</v>
      </c>
      <c r="C931" s="93">
        <v>2019</v>
      </c>
      <c r="D931" s="93">
        <v>11</v>
      </c>
      <c r="E931" s="93">
        <v>156</v>
      </c>
    </row>
    <row r="932" spans="2:5" x14ac:dyDescent="0.2">
      <c r="B932" s="92" t="s">
        <v>2797</v>
      </c>
      <c r="C932" s="93">
        <v>2019</v>
      </c>
      <c r="D932" s="93">
        <v>2</v>
      </c>
      <c r="E932" s="93">
        <v>151</v>
      </c>
    </row>
    <row r="933" spans="2:5" x14ac:dyDescent="0.2">
      <c r="B933" s="92" t="s">
        <v>2797</v>
      </c>
      <c r="C933" s="93">
        <v>2019</v>
      </c>
      <c r="D933" s="93">
        <v>7</v>
      </c>
      <c r="E933" s="93">
        <v>149</v>
      </c>
    </row>
    <row r="934" spans="2:5" x14ac:dyDescent="0.2">
      <c r="B934" s="92" t="s">
        <v>2797</v>
      </c>
      <c r="C934" s="93">
        <v>2019</v>
      </c>
      <c r="D934" s="93">
        <v>5</v>
      </c>
      <c r="E934" s="93">
        <v>147</v>
      </c>
    </row>
    <row r="935" spans="2:5" x14ac:dyDescent="0.2">
      <c r="B935" s="92" t="s">
        <v>2797</v>
      </c>
      <c r="C935" s="93">
        <v>2019</v>
      </c>
      <c r="D935" s="93">
        <v>6</v>
      </c>
      <c r="E935" s="93">
        <v>104</v>
      </c>
    </row>
    <row r="936" spans="2:5" x14ac:dyDescent="0.2">
      <c r="B936" s="92" t="s">
        <v>2798</v>
      </c>
      <c r="C936" s="93">
        <v>2019</v>
      </c>
      <c r="D936" s="93">
        <v>3</v>
      </c>
      <c r="E936" s="93">
        <v>32</v>
      </c>
    </row>
    <row r="937" spans="2:5" x14ac:dyDescent="0.2">
      <c r="B937" s="92" t="s">
        <v>2798</v>
      </c>
      <c r="C937" s="93">
        <v>2019</v>
      </c>
      <c r="D937" s="93">
        <v>1</v>
      </c>
      <c r="E937" s="93">
        <v>10</v>
      </c>
    </row>
    <row r="938" spans="2:5" x14ac:dyDescent="0.2">
      <c r="B938" s="92" t="s">
        <v>2798</v>
      </c>
      <c r="C938" s="93">
        <v>2019</v>
      </c>
      <c r="D938" s="93">
        <v>7</v>
      </c>
      <c r="E938" s="93">
        <v>9</v>
      </c>
    </row>
    <row r="939" spans="2:5" x14ac:dyDescent="0.2">
      <c r="B939" s="92" t="s">
        <v>2798</v>
      </c>
      <c r="C939" s="93">
        <v>2019</v>
      </c>
      <c r="D939" s="93">
        <v>8</v>
      </c>
      <c r="E939" s="93">
        <v>6</v>
      </c>
    </row>
    <row r="940" spans="2:5" x14ac:dyDescent="0.2">
      <c r="B940" s="92" t="s">
        <v>2798</v>
      </c>
      <c r="C940" s="93">
        <v>2019</v>
      </c>
      <c r="D940" s="93">
        <v>4</v>
      </c>
      <c r="E940" s="93">
        <v>4</v>
      </c>
    </row>
    <row r="941" spans="2:5" x14ac:dyDescent="0.2">
      <c r="B941" s="92" t="s">
        <v>2798</v>
      </c>
      <c r="C941" s="93">
        <v>2019</v>
      </c>
      <c r="D941" s="93">
        <v>6</v>
      </c>
      <c r="E941" s="93">
        <v>4</v>
      </c>
    </row>
    <row r="942" spans="2:5" x14ac:dyDescent="0.2">
      <c r="B942" s="92" t="s">
        <v>2798</v>
      </c>
      <c r="C942" s="93">
        <v>2019</v>
      </c>
      <c r="D942" s="93">
        <v>5</v>
      </c>
      <c r="E942" s="93">
        <v>3</v>
      </c>
    </row>
    <row r="943" spans="2:5" x14ac:dyDescent="0.2">
      <c r="B943" s="92" t="s">
        <v>2798</v>
      </c>
      <c r="C943" s="93">
        <v>2019</v>
      </c>
      <c r="D943" s="93">
        <v>10</v>
      </c>
      <c r="E943" s="93">
        <v>3</v>
      </c>
    </row>
    <row r="944" spans="2:5" x14ac:dyDescent="0.2">
      <c r="B944" s="92" t="s">
        <v>2930</v>
      </c>
      <c r="C944" s="93">
        <v>2019</v>
      </c>
      <c r="D944" s="93">
        <v>3</v>
      </c>
      <c r="E944" s="93">
        <v>14</v>
      </c>
    </row>
    <row r="945" spans="2:5" x14ac:dyDescent="0.2">
      <c r="B945" s="92" t="s">
        <v>2930</v>
      </c>
      <c r="C945" s="93">
        <v>2019</v>
      </c>
      <c r="D945" s="93">
        <v>6</v>
      </c>
      <c r="E945" s="93">
        <v>5</v>
      </c>
    </row>
    <row r="946" spans="2:5" x14ac:dyDescent="0.2">
      <c r="B946" s="92" t="s">
        <v>2930</v>
      </c>
      <c r="C946" s="93">
        <v>2019</v>
      </c>
      <c r="D946" s="93">
        <v>1</v>
      </c>
      <c r="E946" s="93">
        <v>3</v>
      </c>
    </row>
    <row r="947" spans="2:5" x14ac:dyDescent="0.2">
      <c r="B947" s="92" t="s">
        <v>2930</v>
      </c>
      <c r="C947" s="93">
        <v>2019</v>
      </c>
      <c r="D947" s="93">
        <v>10</v>
      </c>
      <c r="E947" s="93">
        <v>3</v>
      </c>
    </row>
    <row r="948" spans="2:5" x14ac:dyDescent="0.2">
      <c r="B948" s="92" t="s">
        <v>2930</v>
      </c>
      <c r="C948" s="93">
        <v>2019</v>
      </c>
      <c r="D948" s="93">
        <v>4</v>
      </c>
      <c r="E948" s="93">
        <v>2</v>
      </c>
    </row>
    <row r="949" spans="2:5" x14ac:dyDescent="0.2">
      <c r="B949" s="92" t="s">
        <v>2930</v>
      </c>
      <c r="C949" s="93">
        <v>2019</v>
      </c>
      <c r="D949" s="93">
        <v>5</v>
      </c>
      <c r="E949" s="93">
        <v>2</v>
      </c>
    </row>
    <row r="950" spans="2:5" x14ac:dyDescent="0.2">
      <c r="B950" s="92" t="s">
        <v>2930</v>
      </c>
      <c r="C950" s="93">
        <v>2019</v>
      </c>
      <c r="D950" s="93">
        <v>7</v>
      </c>
      <c r="E950" s="93">
        <v>2</v>
      </c>
    </row>
    <row r="951" spans="2:5" x14ac:dyDescent="0.2">
      <c r="B951" s="92" t="s">
        <v>2930</v>
      </c>
      <c r="C951" s="93">
        <v>2019</v>
      </c>
      <c r="D951" s="93">
        <v>8</v>
      </c>
      <c r="E951" s="93">
        <v>2</v>
      </c>
    </row>
    <row r="952" spans="2:5" x14ac:dyDescent="0.2">
      <c r="B952" s="92" t="s">
        <v>2956</v>
      </c>
      <c r="C952" s="93">
        <v>2019</v>
      </c>
      <c r="D952" s="93">
        <v>4</v>
      </c>
      <c r="E952" s="93">
        <v>2</v>
      </c>
    </row>
    <row r="953" spans="2:5" x14ac:dyDescent="0.2">
      <c r="B953" s="92" t="s">
        <v>2956</v>
      </c>
      <c r="C953" s="93">
        <v>2019</v>
      </c>
      <c r="D953" s="93">
        <v>6</v>
      </c>
      <c r="E953" s="93">
        <v>2</v>
      </c>
    </row>
    <row r="954" spans="2:5" x14ac:dyDescent="0.2">
      <c r="B954" s="92" t="s">
        <v>2956</v>
      </c>
      <c r="C954" s="93">
        <v>2019</v>
      </c>
      <c r="D954" s="93">
        <v>2</v>
      </c>
      <c r="E954" s="93">
        <v>1</v>
      </c>
    </row>
    <row r="955" spans="2:5" x14ac:dyDescent="0.2">
      <c r="B955" s="92" t="s">
        <v>2956</v>
      </c>
      <c r="C955" s="93">
        <v>2019</v>
      </c>
      <c r="D955" s="93">
        <v>7</v>
      </c>
      <c r="E955" s="93">
        <v>1</v>
      </c>
    </row>
    <row r="956" spans="2:5" x14ac:dyDescent="0.2">
      <c r="B956" s="92" t="s">
        <v>2956</v>
      </c>
      <c r="C956" s="93">
        <v>2019</v>
      </c>
      <c r="D956" s="93">
        <v>9</v>
      </c>
      <c r="E956" s="93">
        <v>1</v>
      </c>
    </row>
    <row r="957" spans="2:5" x14ac:dyDescent="0.2">
      <c r="B957" s="92" t="s">
        <v>2956</v>
      </c>
      <c r="C957" s="93">
        <v>2019</v>
      </c>
      <c r="D957" s="93">
        <v>11</v>
      </c>
      <c r="E957" s="93">
        <v>1</v>
      </c>
    </row>
    <row r="958" spans="2:5" x14ac:dyDescent="0.2">
      <c r="B958" s="92" t="s">
        <v>2799</v>
      </c>
      <c r="C958" s="93">
        <v>2019</v>
      </c>
      <c r="D958" s="93">
        <v>5</v>
      </c>
      <c r="E958" s="93">
        <v>22</v>
      </c>
    </row>
    <row r="959" spans="2:5" x14ac:dyDescent="0.2">
      <c r="B959" s="92" t="s">
        <v>2799</v>
      </c>
      <c r="C959" s="93">
        <v>2019</v>
      </c>
      <c r="D959" s="93">
        <v>10</v>
      </c>
      <c r="E959" s="93">
        <v>11</v>
      </c>
    </row>
    <row r="960" spans="2:5" x14ac:dyDescent="0.2">
      <c r="B960" s="92" t="s">
        <v>2799</v>
      </c>
      <c r="C960" s="93">
        <v>2019</v>
      </c>
      <c r="D960" s="93">
        <v>2</v>
      </c>
      <c r="E960" s="93">
        <v>6</v>
      </c>
    </row>
    <row r="961" spans="2:5" x14ac:dyDescent="0.2">
      <c r="B961" s="92" t="s">
        <v>2799</v>
      </c>
      <c r="C961" s="93">
        <v>2019</v>
      </c>
      <c r="D961" s="93">
        <v>4</v>
      </c>
      <c r="E961" s="93">
        <v>5</v>
      </c>
    </row>
    <row r="962" spans="2:5" x14ac:dyDescent="0.2">
      <c r="B962" s="92" t="s">
        <v>2799</v>
      </c>
      <c r="C962" s="93">
        <v>2019</v>
      </c>
      <c r="D962" s="93">
        <v>1</v>
      </c>
      <c r="E962" s="93">
        <v>4</v>
      </c>
    </row>
    <row r="963" spans="2:5" x14ac:dyDescent="0.2">
      <c r="B963" s="92" t="s">
        <v>2799</v>
      </c>
      <c r="C963" s="93">
        <v>2019</v>
      </c>
      <c r="D963" s="93">
        <v>6</v>
      </c>
      <c r="E963" s="93">
        <v>3</v>
      </c>
    </row>
    <row r="964" spans="2:5" x14ac:dyDescent="0.2">
      <c r="B964" s="92" t="s">
        <v>2799</v>
      </c>
      <c r="C964" s="93">
        <v>2019</v>
      </c>
      <c r="D964" s="93">
        <v>12</v>
      </c>
      <c r="E964" s="93">
        <v>3</v>
      </c>
    </row>
    <row r="965" spans="2:5" x14ac:dyDescent="0.2">
      <c r="B965" s="92" t="s">
        <v>2799</v>
      </c>
      <c r="C965" s="93">
        <v>2019</v>
      </c>
      <c r="D965" s="93">
        <v>3</v>
      </c>
      <c r="E965" s="93">
        <v>2</v>
      </c>
    </row>
    <row r="966" spans="2:5" x14ac:dyDescent="0.2">
      <c r="B966" s="92" t="s">
        <v>2799</v>
      </c>
      <c r="C966" s="93">
        <v>2019</v>
      </c>
      <c r="D966" s="93">
        <v>8</v>
      </c>
      <c r="E966" s="93">
        <v>2</v>
      </c>
    </row>
    <row r="967" spans="2:5" x14ac:dyDescent="0.2">
      <c r="B967" s="92" t="s">
        <v>2799</v>
      </c>
      <c r="C967" s="93">
        <v>2019</v>
      </c>
      <c r="D967" s="93">
        <v>9</v>
      </c>
      <c r="E967" s="93">
        <v>2</v>
      </c>
    </row>
    <row r="968" spans="2:5" x14ac:dyDescent="0.2">
      <c r="B968" s="92" t="s">
        <v>2799</v>
      </c>
      <c r="C968" s="93">
        <v>2019</v>
      </c>
      <c r="D968" s="93">
        <v>7</v>
      </c>
      <c r="E968" s="93">
        <v>1</v>
      </c>
    </row>
    <row r="969" spans="2:5" x14ac:dyDescent="0.2">
      <c r="B969" s="92" t="s">
        <v>991</v>
      </c>
      <c r="C969" s="93">
        <v>2019</v>
      </c>
      <c r="D969" s="93">
        <v>10</v>
      </c>
      <c r="E969" s="93">
        <v>379</v>
      </c>
    </row>
    <row r="970" spans="2:5" x14ac:dyDescent="0.2">
      <c r="B970" s="92" t="s">
        <v>991</v>
      </c>
      <c r="C970" s="93">
        <v>2019</v>
      </c>
      <c r="D970" s="93">
        <v>4</v>
      </c>
      <c r="E970" s="93">
        <v>365</v>
      </c>
    </row>
    <row r="971" spans="2:5" x14ac:dyDescent="0.2">
      <c r="B971" s="92" t="s">
        <v>991</v>
      </c>
      <c r="C971" s="93">
        <v>2019</v>
      </c>
      <c r="D971" s="93">
        <v>9</v>
      </c>
      <c r="E971" s="93">
        <v>346</v>
      </c>
    </row>
    <row r="972" spans="2:5" x14ac:dyDescent="0.2">
      <c r="B972" s="92" t="s">
        <v>991</v>
      </c>
      <c r="C972" s="93">
        <v>2019</v>
      </c>
      <c r="D972" s="93">
        <v>1</v>
      </c>
      <c r="E972" s="93">
        <v>319</v>
      </c>
    </row>
    <row r="973" spans="2:5" x14ac:dyDescent="0.2">
      <c r="B973" s="92" t="s">
        <v>991</v>
      </c>
      <c r="C973" s="93">
        <v>2019</v>
      </c>
      <c r="D973" s="93">
        <v>3</v>
      </c>
      <c r="E973" s="93">
        <v>303</v>
      </c>
    </row>
    <row r="974" spans="2:5" x14ac:dyDescent="0.2">
      <c r="B974" s="92" t="s">
        <v>991</v>
      </c>
      <c r="C974" s="93">
        <v>2019</v>
      </c>
      <c r="D974" s="93">
        <v>12</v>
      </c>
      <c r="E974" s="93">
        <v>290</v>
      </c>
    </row>
    <row r="975" spans="2:5" x14ac:dyDescent="0.2">
      <c r="B975" s="92" t="s">
        <v>991</v>
      </c>
      <c r="C975" s="93">
        <v>2019</v>
      </c>
      <c r="D975" s="93">
        <v>7</v>
      </c>
      <c r="E975" s="93">
        <v>227</v>
      </c>
    </row>
    <row r="976" spans="2:5" x14ac:dyDescent="0.2">
      <c r="B976" s="92" t="s">
        <v>991</v>
      </c>
      <c r="C976" s="93">
        <v>2019</v>
      </c>
      <c r="D976" s="93">
        <v>2</v>
      </c>
      <c r="E976" s="93">
        <v>223</v>
      </c>
    </row>
    <row r="977" spans="2:5" x14ac:dyDescent="0.2">
      <c r="B977" s="92" t="s">
        <v>991</v>
      </c>
      <c r="C977" s="93">
        <v>2019</v>
      </c>
      <c r="D977" s="93">
        <v>11</v>
      </c>
      <c r="E977" s="93">
        <v>212</v>
      </c>
    </row>
    <row r="978" spans="2:5" x14ac:dyDescent="0.2">
      <c r="B978" s="92" t="s">
        <v>991</v>
      </c>
      <c r="C978" s="93">
        <v>2019</v>
      </c>
      <c r="D978" s="93">
        <v>5</v>
      </c>
      <c r="E978" s="93">
        <v>199</v>
      </c>
    </row>
    <row r="979" spans="2:5" x14ac:dyDescent="0.2">
      <c r="B979" s="92" t="s">
        <v>991</v>
      </c>
      <c r="C979" s="93">
        <v>2019</v>
      </c>
      <c r="D979" s="93">
        <v>8</v>
      </c>
      <c r="E979" s="93">
        <v>175</v>
      </c>
    </row>
    <row r="980" spans="2:5" x14ac:dyDescent="0.2">
      <c r="B980" s="92" t="s">
        <v>991</v>
      </c>
      <c r="C980" s="93">
        <v>2019</v>
      </c>
      <c r="D980" s="93">
        <v>6</v>
      </c>
      <c r="E980" s="93">
        <v>136</v>
      </c>
    </row>
    <row r="981" spans="2:5" x14ac:dyDescent="0.2">
      <c r="B981" s="92" t="s">
        <v>2962</v>
      </c>
      <c r="C981" s="93">
        <v>2019</v>
      </c>
      <c r="D981" s="93">
        <v>5</v>
      </c>
      <c r="E981" s="93">
        <v>3</v>
      </c>
    </row>
    <row r="982" spans="2:5" x14ac:dyDescent="0.2">
      <c r="B982" s="92" t="s">
        <v>2962</v>
      </c>
      <c r="C982" s="93">
        <v>2019</v>
      </c>
      <c r="D982" s="93">
        <v>7</v>
      </c>
      <c r="E982" s="93">
        <v>2</v>
      </c>
    </row>
    <row r="983" spans="2:5" x14ac:dyDescent="0.2">
      <c r="B983" s="92" t="s">
        <v>2962</v>
      </c>
      <c r="C983" s="93">
        <v>2019</v>
      </c>
      <c r="D983" s="93">
        <v>4</v>
      </c>
      <c r="E983" s="93">
        <v>1</v>
      </c>
    </row>
    <row r="984" spans="2:5" x14ac:dyDescent="0.2">
      <c r="B984" s="92" t="s">
        <v>2800</v>
      </c>
      <c r="C984" s="93">
        <v>2019</v>
      </c>
      <c r="D984" s="93">
        <v>9</v>
      </c>
      <c r="E984" s="93">
        <v>15</v>
      </c>
    </row>
    <row r="985" spans="2:5" x14ac:dyDescent="0.2">
      <c r="B985" s="92" t="s">
        <v>2800</v>
      </c>
      <c r="C985" s="93">
        <v>2019</v>
      </c>
      <c r="D985" s="93">
        <v>7</v>
      </c>
      <c r="E985" s="93">
        <v>14</v>
      </c>
    </row>
    <row r="986" spans="2:5" x14ac:dyDescent="0.2">
      <c r="B986" s="92" t="s">
        <v>2800</v>
      </c>
      <c r="C986" s="93">
        <v>2019</v>
      </c>
      <c r="D986" s="93">
        <v>10</v>
      </c>
      <c r="E986" s="93">
        <v>13</v>
      </c>
    </row>
    <row r="987" spans="2:5" x14ac:dyDescent="0.2">
      <c r="B987" s="92" t="s">
        <v>2800</v>
      </c>
      <c r="C987" s="93">
        <v>2019</v>
      </c>
      <c r="D987" s="93">
        <v>3</v>
      </c>
      <c r="E987" s="93">
        <v>6</v>
      </c>
    </row>
    <row r="988" spans="2:5" x14ac:dyDescent="0.2">
      <c r="B988" s="92" t="s">
        <v>2800</v>
      </c>
      <c r="C988" s="93">
        <v>2019</v>
      </c>
      <c r="D988" s="93">
        <v>8</v>
      </c>
      <c r="E988" s="93">
        <v>6</v>
      </c>
    </row>
    <row r="989" spans="2:5" x14ac:dyDescent="0.2">
      <c r="B989" s="92" t="s">
        <v>2800</v>
      </c>
      <c r="C989" s="93">
        <v>2019</v>
      </c>
      <c r="D989" s="93">
        <v>4</v>
      </c>
      <c r="E989" s="93">
        <v>5</v>
      </c>
    </row>
    <row r="990" spans="2:5" x14ac:dyDescent="0.2">
      <c r="B990" s="92" t="s">
        <v>2800</v>
      </c>
      <c r="C990" s="93">
        <v>2019</v>
      </c>
      <c r="D990" s="93">
        <v>6</v>
      </c>
      <c r="E990" s="93">
        <v>5</v>
      </c>
    </row>
    <row r="991" spans="2:5" x14ac:dyDescent="0.2">
      <c r="B991" s="92" t="s">
        <v>2800</v>
      </c>
      <c r="C991" s="93">
        <v>2019</v>
      </c>
      <c r="D991" s="93">
        <v>5</v>
      </c>
      <c r="E991" s="93">
        <v>4</v>
      </c>
    </row>
    <row r="992" spans="2:5" x14ac:dyDescent="0.2">
      <c r="B992" s="92" t="s">
        <v>2800</v>
      </c>
      <c r="C992" s="93">
        <v>2019</v>
      </c>
      <c r="D992" s="93">
        <v>2</v>
      </c>
      <c r="E992" s="93">
        <v>1</v>
      </c>
    </row>
    <row r="993" spans="2:5" x14ac:dyDescent="0.2">
      <c r="B993" s="92" t="s">
        <v>2801</v>
      </c>
      <c r="C993" s="93">
        <v>2019</v>
      </c>
      <c r="D993" s="93">
        <v>4</v>
      </c>
      <c r="E993" s="93">
        <v>15</v>
      </c>
    </row>
    <row r="994" spans="2:5" x14ac:dyDescent="0.2">
      <c r="B994" s="92" t="s">
        <v>2801</v>
      </c>
      <c r="C994" s="93">
        <v>2019</v>
      </c>
      <c r="D994" s="93">
        <v>9</v>
      </c>
      <c r="E994" s="93">
        <v>9</v>
      </c>
    </row>
    <row r="995" spans="2:5" x14ac:dyDescent="0.2">
      <c r="B995" s="92" t="s">
        <v>2801</v>
      </c>
      <c r="C995" s="93">
        <v>2019</v>
      </c>
      <c r="D995" s="93">
        <v>2</v>
      </c>
      <c r="E995" s="93">
        <v>7</v>
      </c>
    </row>
    <row r="996" spans="2:5" x14ac:dyDescent="0.2">
      <c r="B996" s="92" t="s">
        <v>2801</v>
      </c>
      <c r="C996" s="93">
        <v>2019</v>
      </c>
      <c r="D996" s="93">
        <v>3</v>
      </c>
      <c r="E996" s="93">
        <v>6</v>
      </c>
    </row>
    <row r="997" spans="2:5" x14ac:dyDescent="0.2">
      <c r="B997" s="92" t="s">
        <v>2801</v>
      </c>
      <c r="C997" s="93">
        <v>2019</v>
      </c>
      <c r="D997" s="93">
        <v>6</v>
      </c>
      <c r="E997" s="93">
        <v>6</v>
      </c>
    </row>
    <row r="998" spans="2:5" x14ac:dyDescent="0.2">
      <c r="B998" s="92" t="s">
        <v>2801</v>
      </c>
      <c r="C998" s="93">
        <v>2019</v>
      </c>
      <c r="D998" s="93">
        <v>8</v>
      </c>
      <c r="E998" s="93">
        <v>6</v>
      </c>
    </row>
    <row r="999" spans="2:5" x14ac:dyDescent="0.2">
      <c r="B999" s="92" t="s">
        <v>2801</v>
      </c>
      <c r="C999" s="93">
        <v>2019</v>
      </c>
      <c r="D999" s="93">
        <v>11</v>
      </c>
      <c r="E999" s="93">
        <v>5</v>
      </c>
    </row>
    <row r="1000" spans="2:5" x14ac:dyDescent="0.2">
      <c r="B1000" s="92" t="s">
        <v>2801</v>
      </c>
      <c r="C1000" s="93">
        <v>2019</v>
      </c>
      <c r="D1000" s="93">
        <v>7</v>
      </c>
      <c r="E1000" s="93">
        <v>4</v>
      </c>
    </row>
    <row r="1001" spans="2:5" x14ac:dyDescent="0.2">
      <c r="B1001" s="92" t="s">
        <v>2801</v>
      </c>
      <c r="C1001" s="93">
        <v>2019</v>
      </c>
      <c r="D1001" s="93">
        <v>10</v>
      </c>
      <c r="E1001" s="93">
        <v>4</v>
      </c>
    </row>
    <row r="1002" spans="2:5" x14ac:dyDescent="0.2">
      <c r="B1002" s="92" t="s">
        <v>2801</v>
      </c>
      <c r="C1002" s="93">
        <v>2019</v>
      </c>
      <c r="D1002" s="93">
        <v>1</v>
      </c>
      <c r="E1002" s="93">
        <v>1</v>
      </c>
    </row>
    <row r="1003" spans="2:5" x14ac:dyDescent="0.2">
      <c r="B1003" s="92" t="s">
        <v>2801</v>
      </c>
      <c r="C1003" s="93">
        <v>2019</v>
      </c>
      <c r="D1003" s="93">
        <v>5</v>
      </c>
      <c r="E1003" s="93">
        <v>1</v>
      </c>
    </row>
    <row r="1004" spans="2:5" x14ac:dyDescent="0.2">
      <c r="B1004" s="92" t="s">
        <v>2801</v>
      </c>
      <c r="C1004" s="93">
        <v>2019</v>
      </c>
      <c r="D1004" s="93">
        <v>12</v>
      </c>
      <c r="E1004" s="93">
        <v>1</v>
      </c>
    </row>
    <row r="1005" spans="2:5" x14ac:dyDescent="0.2">
      <c r="B1005" s="92" t="s">
        <v>2802</v>
      </c>
      <c r="C1005" s="93">
        <v>2019</v>
      </c>
      <c r="D1005" s="93">
        <v>3</v>
      </c>
      <c r="E1005" s="93">
        <v>231</v>
      </c>
    </row>
    <row r="1006" spans="2:5" x14ac:dyDescent="0.2">
      <c r="B1006" s="92" t="s">
        <v>2802</v>
      </c>
      <c r="C1006" s="93">
        <v>2019</v>
      </c>
      <c r="D1006" s="93">
        <v>9</v>
      </c>
      <c r="E1006" s="93">
        <v>202</v>
      </c>
    </row>
    <row r="1007" spans="2:5" x14ac:dyDescent="0.2">
      <c r="B1007" s="92" t="s">
        <v>2802</v>
      </c>
      <c r="C1007" s="93">
        <v>2019</v>
      </c>
      <c r="D1007" s="93">
        <v>1</v>
      </c>
      <c r="E1007" s="93">
        <v>174</v>
      </c>
    </row>
    <row r="1008" spans="2:5" x14ac:dyDescent="0.2">
      <c r="B1008" s="92" t="s">
        <v>2802</v>
      </c>
      <c r="C1008" s="93">
        <v>2019</v>
      </c>
      <c r="D1008" s="93">
        <v>8</v>
      </c>
      <c r="E1008" s="93">
        <v>160</v>
      </c>
    </row>
    <row r="1009" spans="2:5" x14ac:dyDescent="0.2">
      <c r="B1009" s="92" t="s">
        <v>2802</v>
      </c>
      <c r="C1009" s="93">
        <v>2019</v>
      </c>
      <c r="D1009" s="93">
        <v>4</v>
      </c>
      <c r="E1009" s="93">
        <v>150</v>
      </c>
    </row>
    <row r="1010" spans="2:5" x14ac:dyDescent="0.2">
      <c r="B1010" s="92" t="s">
        <v>2802</v>
      </c>
      <c r="C1010" s="93">
        <v>2019</v>
      </c>
      <c r="D1010" s="93">
        <v>5</v>
      </c>
      <c r="E1010" s="93">
        <v>120</v>
      </c>
    </row>
    <row r="1011" spans="2:5" x14ac:dyDescent="0.2">
      <c r="B1011" s="92" t="s">
        <v>2802</v>
      </c>
      <c r="C1011" s="93">
        <v>2019</v>
      </c>
      <c r="D1011" s="93">
        <v>7</v>
      </c>
      <c r="E1011" s="93">
        <v>109</v>
      </c>
    </row>
    <row r="1012" spans="2:5" x14ac:dyDescent="0.2">
      <c r="B1012" s="92" t="s">
        <v>2802</v>
      </c>
      <c r="C1012" s="93">
        <v>2019</v>
      </c>
      <c r="D1012" s="93">
        <v>6</v>
      </c>
      <c r="E1012" s="93">
        <v>108</v>
      </c>
    </row>
    <row r="1013" spans="2:5" x14ac:dyDescent="0.2">
      <c r="B1013" s="92" t="s">
        <v>2802</v>
      </c>
      <c r="C1013" s="93">
        <v>2019</v>
      </c>
      <c r="D1013" s="93">
        <v>11</v>
      </c>
      <c r="E1013" s="93">
        <v>103</v>
      </c>
    </row>
    <row r="1014" spans="2:5" x14ac:dyDescent="0.2">
      <c r="B1014" s="92" t="s">
        <v>2802</v>
      </c>
      <c r="C1014" s="93">
        <v>2019</v>
      </c>
      <c r="D1014" s="93">
        <v>12</v>
      </c>
      <c r="E1014" s="93">
        <v>102</v>
      </c>
    </row>
    <row r="1015" spans="2:5" x14ac:dyDescent="0.2">
      <c r="B1015" s="92" t="s">
        <v>2802</v>
      </c>
      <c r="C1015" s="93">
        <v>2019</v>
      </c>
      <c r="D1015" s="93">
        <v>10</v>
      </c>
      <c r="E1015" s="93">
        <v>101</v>
      </c>
    </row>
    <row r="1016" spans="2:5" x14ac:dyDescent="0.2">
      <c r="B1016" s="92" t="s">
        <v>2802</v>
      </c>
      <c r="C1016" s="93">
        <v>2019</v>
      </c>
      <c r="D1016" s="93">
        <v>2</v>
      </c>
      <c r="E1016" s="93">
        <v>15</v>
      </c>
    </row>
    <row r="1017" spans="2:5" x14ac:dyDescent="0.2">
      <c r="B1017" s="92" t="s">
        <v>2977</v>
      </c>
      <c r="C1017" s="93">
        <v>2019</v>
      </c>
      <c r="D1017" s="93">
        <v>4</v>
      </c>
      <c r="E1017" s="93">
        <v>1</v>
      </c>
    </row>
    <row r="1018" spans="2:5" x14ac:dyDescent="0.2">
      <c r="B1018" s="92" t="s">
        <v>2803</v>
      </c>
      <c r="C1018" s="93">
        <v>2019</v>
      </c>
      <c r="D1018" s="93">
        <v>7</v>
      </c>
      <c r="E1018" s="93">
        <v>42</v>
      </c>
    </row>
    <row r="1019" spans="2:5" x14ac:dyDescent="0.2">
      <c r="B1019" s="92" t="s">
        <v>2803</v>
      </c>
      <c r="C1019" s="93">
        <v>2019</v>
      </c>
      <c r="D1019" s="93">
        <v>1</v>
      </c>
      <c r="E1019" s="93">
        <v>40</v>
      </c>
    </row>
    <row r="1020" spans="2:5" x14ac:dyDescent="0.2">
      <c r="B1020" s="92" t="s">
        <v>2803</v>
      </c>
      <c r="C1020" s="93">
        <v>2019</v>
      </c>
      <c r="D1020" s="93">
        <v>8</v>
      </c>
      <c r="E1020" s="93">
        <v>40</v>
      </c>
    </row>
    <row r="1021" spans="2:5" x14ac:dyDescent="0.2">
      <c r="B1021" s="92" t="s">
        <v>2803</v>
      </c>
      <c r="C1021" s="93">
        <v>2019</v>
      </c>
      <c r="D1021" s="93">
        <v>10</v>
      </c>
      <c r="E1021" s="93">
        <v>28</v>
      </c>
    </row>
    <row r="1022" spans="2:5" x14ac:dyDescent="0.2">
      <c r="B1022" s="92" t="s">
        <v>2803</v>
      </c>
      <c r="C1022" s="93">
        <v>2019</v>
      </c>
      <c r="D1022" s="93">
        <v>12</v>
      </c>
      <c r="E1022" s="93">
        <v>28</v>
      </c>
    </row>
    <row r="1023" spans="2:5" x14ac:dyDescent="0.2">
      <c r="B1023" s="92" t="s">
        <v>2803</v>
      </c>
      <c r="C1023" s="93">
        <v>2019</v>
      </c>
      <c r="D1023" s="93">
        <v>11</v>
      </c>
      <c r="E1023" s="93">
        <v>23</v>
      </c>
    </row>
    <row r="1024" spans="2:5" x14ac:dyDescent="0.2">
      <c r="B1024" s="92" t="s">
        <v>2803</v>
      </c>
      <c r="C1024" s="93">
        <v>2019</v>
      </c>
      <c r="D1024" s="93">
        <v>5</v>
      </c>
      <c r="E1024" s="93">
        <v>20</v>
      </c>
    </row>
    <row r="1025" spans="2:5" x14ac:dyDescent="0.2">
      <c r="B1025" s="92" t="s">
        <v>2803</v>
      </c>
      <c r="C1025" s="93">
        <v>2019</v>
      </c>
      <c r="D1025" s="93">
        <v>6</v>
      </c>
      <c r="E1025" s="93">
        <v>18</v>
      </c>
    </row>
    <row r="1026" spans="2:5" x14ac:dyDescent="0.2">
      <c r="B1026" s="92" t="s">
        <v>2803</v>
      </c>
      <c r="C1026" s="93">
        <v>2019</v>
      </c>
      <c r="D1026" s="93">
        <v>9</v>
      </c>
      <c r="E1026" s="93">
        <v>15</v>
      </c>
    </row>
    <row r="1027" spans="2:5" x14ac:dyDescent="0.2">
      <c r="B1027" s="92" t="s">
        <v>2803</v>
      </c>
      <c r="C1027" s="93">
        <v>2019</v>
      </c>
      <c r="D1027" s="93">
        <v>4</v>
      </c>
      <c r="E1027" s="93">
        <v>11</v>
      </c>
    </row>
    <row r="1028" spans="2:5" x14ac:dyDescent="0.2">
      <c r="B1028" s="92" t="s">
        <v>2803</v>
      </c>
      <c r="C1028" s="93">
        <v>2019</v>
      </c>
      <c r="D1028" s="93">
        <v>2</v>
      </c>
      <c r="E1028" s="93">
        <v>8</v>
      </c>
    </row>
    <row r="1029" spans="2:5" x14ac:dyDescent="0.2">
      <c r="B1029" s="92" t="s">
        <v>2803</v>
      </c>
      <c r="C1029" s="93">
        <v>2019</v>
      </c>
      <c r="D1029" s="93">
        <v>3</v>
      </c>
      <c r="E1029" s="93">
        <v>7</v>
      </c>
    </row>
    <row r="1030" spans="2:5" x14ac:dyDescent="0.2">
      <c r="B1030" s="92" t="s">
        <v>2804</v>
      </c>
      <c r="C1030" s="93">
        <v>2019</v>
      </c>
      <c r="D1030" s="93">
        <v>6</v>
      </c>
      <c r="E1030" s="93">
        <v>5</v>
      </c>
    </row>
    <row r="1031" spans="2:5" x14ac:dyDescent="0.2">
      <c r="B1031" s="92" t="s">
        <v>2804</v>
      </c>
      <c r="C1031" s="93">
        <v>2019</v>
      </c>
      <c r="D1031" s="93">
        <v>8</v>
      </c>
      <c r="E1031" s="93">
        <v>2</v>
      </c>
    </row>
    <row r="1032" spans="2:5" x14ac:dyDescent="0.2">
      <c r="B1032" s="92" t="s">
        <v>2804</v>
      </c>
      <c r="C1032" s="93">
        <v>2019</v>
      </c>
      <c r="D1032" s="93">
        <v>2</v>
      </c>
      <c r="E1032" s="93">
        <v>1</v>
      </c>
    </row>
    <row r="1033" spans="2:5" x14ac:dyDescent="0.2">
      <c r="B1033" s="92" t="s">
        <v>2804</v>
      </c>
      <c r="C1033" s="93">
        <v>2019</v>
      </c>
      <c r="D1033" s="93">
        <v>3</v>
      </c>
      <c r="E1033" s="93">
        <v>1</v>
      </c>
    </row>
    <row r="1034" spans="2:5" x14ac:dyDescent="0.2">
      <c r="B1034" s="92" t="s">
        <v>2804</v>
      </c>
      <c r="C1034" s="93">
        <v>2019</v>
      </c>
      <c r="D1034" s="93">
        <v>5</v>
      </c>
      <c r="E1034" s="93">
        <v>1</v>
      </c>
    </row>
    <row r="1035" spans="2:5" x14ac:dyDescent="0.2">
      <c r="B1035" s="92" t="s">
        <v>2804</v>
      </c>
      <c r="C1035" s="93">
        <v>2019</v>
      </c>
      <c r="D1035" s="93">
        <v>7</v>
      </c>
      <c r="E1035" s="93">
        <v>1</v>
      </c>
    </row>
    <row r="1036" spans="2:5" x14ac:dyDescent="0.2">
      <c r="B1036" s="92" t="s">
        <v>2921</v>
      </c>
      <c r="C1036" s="93">
        <v>2019</v>
      </c>
      <c r="D1036" s="93">
        <v>1</v>
      </c>
      <c r="E1036" s="93">
        <v>7</v>
      </c>
    </row>
    <row r="1037" spans="2:5" x14ac:dyDescent="0.2">
      <c r="B1037" s="92" t="s">
        <v>2921</v>
      </c>
      <c r="C1037" s="93">
        <v>2019</v>
      </c>
      <c r="D1037" s="93">
        <v>4</v>
      </c>
      <c r="E1037" s="93">
        <v>7</v>
      </c>
    </row>
    <row r="1038" spans="2:5" x14ac:dyDescent="0.2">
      <c r="B1038" s="92" t="s">
        <v>2921</v>
      </c>
      <c r="C1038" s="93">
        <v>2019</v>
      </c>
      <c r="D1038" s="93">
        <v>5</v>
      </c>
      <c r="E1038" s="93">
        <v>7</v>
      </c>
    </row>
    <row r="1039" spans="2:5" x14ac:dyDescent="0.2">
      <c r="B1039" s="92" t="s">
        <v>2921</v>
      </c>
      <c r="C1039" s="93">
        <v>2019</v>
      </c>
      <c r="D1039" s="93">
        <v>7</v>
      </c>
      <c r="E1039" s="93">
        <v>6</v>
      </c>
    </row>
    <row r="1040" spans="2:5" x14ac:dyDescent="0.2">
      <c r="B1040" s="92" t="s">
        <v>2921</v>
      </c>
      <c r="C1040" s="93">
        <v>2019</v>
      </c>
      <c r="D1040" s="93">
        <v>8</v>
      </c>
      <c r="E1040" s="93">
        <v>6</v>
      </c>
    </row>
    <row r="1041" spans="2:5" x14ac:dyDescent="0.2">
      <c r="B1041" s="92" t="s">
        <v>2921</v>
      </c>
      <c r="C1041" s="93">
        <v>2019</v>
      </c>
      <c r="D1041" s="93">
        <v>9</v>
      </c>
      <c r="E1041" s="93">
        <v>6</v>
      </c>
    </row>
    <row r="1042" spans="2:5" x14ac:dyDescent="0.2">
      <c r="B1042" s="92" t="s">
        <v>2921</v>
      </c>
      <c r="C1042" s="93">
        <v>2019</v>
      </c>
      <c r="D1042" s="93">
        <v>2</v>
      </c>
      <c r="E1042" s="93">
        <v>5</v>
      </c>
    </row>
    <row r="1043" spans="2:5" x14ac:dyDescent="0.2">
      <c r="B1043" s="92" t="s">
        <v>2921</v>
      </c>
      <c r="C1043" s="93">
        <v>2019</v>
      </c>
      <c r="D1043" s="93">
        <v>6</v>
      </c>
      <c r="E1043" s="93">
        <v>3</v>
      </c>
    </row>
    <row r="1044" spans="2:5" x14ac:dyDescent="0.2">
      <c r="B1044" s="92" t="s">
        <v>2921</v>
      </c>
      <c r="C1044" s="93">
        <v>2019</v>
      </c>
      <c r="D1044" s="93">
        <v>3</v>
      </c>
      <c r="E1044" s="93">
        <v>2</v>
      </c>
    </row>
    <row r="1045" spans="2:5" x14ac:dyDescent="0.2">
      <c r="B1045" s="92" t="s">
        <v>2921</v>
      </c>
      <c r="C1045" s="93">
        <v>2019</v>
      </c>
      <c r="D1045" s="93">
        <v>10</v>
      </c>
      <c r="E1045" s="93">
        <v>2</v>
      </c>
    </row>
    <row r="1046" spans="2:5" x14ac:dyDescent="0.2">
      <c r="B1046" s="92" t="s">
        <v>2909</v>
      </c>
      <c r="C1046" s="93">
        <v>2019</v>
      </c>
      <c r="D1046" s="93">
        <v>5</v>
      </c>
      <c r="E1046" s="93">
        <v>30</v>
      </c>
    </row>
    <row r="1047" spans="2:5" x14ac:dyDescent="0.2">
      <c r="B1047" s="92" t="s">
        <v>2909</v>
      </c>
      <c r="C1047" s="93">
        <v>2019</v>
      </c>
      <c r="D1047" s="93">
        <v>4</v>
      </c>
      <c r="E1047" s="93">
        <v>19</v>
      </c>
    </row>
    <row r="1048" spans="2:5" x14ac:dyDescent="0.2">
      <c r="B1048" s="92" t="s">
        <v>2909</v>
      </c>
      <c r="C1048" s="93">
        <v>2019</v>
      </c>
      <c r="D1048" s="93">
        <v>6</v>
      </c>
      <c r="E1048" s="93">
        <v>14</v>
      </c>
    </row>
    <row r="1049" spans="2:5" x14ac:dyDescent="0.2">
      <c r="B1049" s="92" t="s">
        <v>2909</v>
      </c>
      <c r="C1049" s="93">
        <v>2019</v>
      </c>
      <c r="D1049" s="93">
        <v>1</v>
      </c>
      <c r="E1049" s="93">
        <v>13</v>
      </c>
    </row>
    <row r="1050" spans="2:5" x14ac:dyDescent="0.2">
      <c r="B1050" s="92" t="s">
        <v>2909</v>
      </c>
      <c r="C1050" s="93">
        <v>2019</v>
      </c>
      <c r="D1050" s="93">
        <v>2</v>
      </c>
      <c r="E1050" s="93">
        <v>8</v>
      </c>
    </row>
    <row r="1051" spans="2:5" x14ac:dyDescent="0.2">
      <c r="B1051" s="92" t="s">
        <v>2909</v>
      </c>
      <c r="C1051" s="93">
        <v>2019</v>
      </c>
      <c r="D1051" s="93">
        <v>3</v>
      </c>
      <c r="E1051" s="93">
        <v>7</v>
      </c>
    </row>
    <row r="1052" spans="2:5" x14ac:dyDescent="0.2">
      <c r="B1052" s="92" t="s">
        <v>2909</v>
      </c>
      <c r="C1052" s="93">
        <v>2019</v>
      </c>
      <c r="D1052" s="93">
        <v>10</v>
      </c>
      <c r="E1052" s="93">
        <v>6</v>
      </c>
    </row>
    <row r="1053" spans="2:5" x14ac:dyDescent="0.2">
      <c r="B1053" s="92" t="s">
        <v>2909</v>
      </c>
      <c r="C1053" s="93">
        <v>2019</v>
      </c>
      <c r="D1053" s="93">
        <v>7</v>
      </c>
      <c r="E1053" s="93">
        <v>4</v>
      </c>
    </row>
    <row r="1054" spans="2:5" x14ac:dyDescent="0.2">
      <c r="B1054" s="92" t="s">
        <v>2909</v>
      </c>
      <c r="C1054" s="93">
        <v>2019</v>
      </c>
      <c r="D1054" s="93">
        <v>12</v>
      </c>
      <c r="E1054" s="93">
        <v>3</v>
      </c>
    </row>
    <row r="1055" spans="2:5" x14ac:dyDescent="0.2">
      <c r="B1055" s="92" t="s">
        <v>2909</v>
      </c>
      <c r="C1055" s="93">
        <v>2019</v>
      </c>
      <c r="D1055" s="93">
        <v>8</v>
      </c>
      <c r="E1055" s="93">
        <v>2</v>
      </c>
    </row>
    <row r="1056" spans="2:5" x14ac:dyDescent="0.2">
      <c r="B1056" s="92" t="s">
        <v>2909</v>
      </c>
      <c r="C1056" s="93">
        <v>2019</v>
      </c>
      <c r="D1056" s="93">
        <v>9</v>
      </c>
      <c r="E1056" s="93">
        <v>2</v>
      </c>
    </row>
    <row r="1057" spans="2:5" x14ac:dyDescent="0.2">
      <c r="B1057" s="92" t="s">
        <v>2909</v>
      </c>
      <c r="C1057" s="93">
        <v>2019</v>
      </c>
      <c r="D1057" s="93">
        <v>11</v>
      </c>
      <c r="E1057" s="93">
        <v>1</v>
      </c>
    </row>
    <row r="1058" spans="2:5" x14ac:dyDescent="0.2">
      <c r="B1058" s="92" t="s">
        <v>2805</v>
      </c>
      <c r="C1058" s="93">
        <v>2019</v>
      </c>
      <c r="D1058" s="93">
        <v>1</v>
      </c>
      <c r="E1058" s="93">
        <v>8</v>
      </c>
    </row>
    <row r="1059" spans="2:5" x14ac:dyDescent="0.2">
      <c r="B1059" s="92" t="s">
        <v>2805</v>
      </c>
      <c r="C1059" s="93">
        <v>2019</v>
      </c>
      <c r="D1059" s="93">
        <v>4</v>
      </c>
      <c r="E1059" s="93">
        <v>7</v>
      </c>
    </row>
    <row r="1060" spans="2:5" x14ac:dyDescent="0.2">
      <c r="B1060" s="92" t="s">
        <v>2805</v>
      </c>
      <c r="C1060" s="93">
        <v>2019</v>
      </c>
      <c r="D1060" s="93">
        <v>3</v>
      </c>
      <c r="E1060" s="93">
        <v>5</v>
      </c>
    </row>
    <row r="1061" spans="2:5" x14ac:dyDescent="0.2">
      <c r="B1061" s="92" t="s">
        <v>2805</v>
      </c>
      <c r="C1061" s="93">
        <v>2019</v>
      </c>
      <c r="D1061" s="93">
        <v>6</v>
      </c>
      <c r="E1061" s="93">
        <v>4</v>
      </c>
    </row>
    <row r="1062" spans="2:5" x14ac:dyDescent="0.2">
      <c r="B1062" s="92" t="s">
        <v>2805</v>
      </c>
      <c r="C1062" s="93">
        <v>2019</v>
      </c>
      <c r="D1062" s="93">
        <v>7</v>
      </c>
      <c r="E1062" s="93">
        <v>4</v>
      </c>
    </row>
    <row r="1063" spans="2:5" x14ac:dyDescent="0.2">
      <c r="B1063" s="92" t="s">
        <v>2805</v>
      </c>
      <c r="C1063" s="93">
        <v>2019</v>
      </c>
      <c r="D1063" s="93">
        <v>9</v>
      </c>
      <c r="E1063" s="93">
        <v>4</v>
      </c>
    </row>
    <row r="1064" spans="2:5" x14ac:dyDescent="0.2">
      <c r="B1064" s="92" t="s">
        <v>2805</v>
      </c>
      <c r="C1064" s="93">
        <v>2019</v>
      </c>
      <c r="D1064" s="93">
        <v>10</v>
      </c>
      <c r="E1064" s="93">
        <v>3</v>
      </c>
    </row>
    <row r="1065" spans="2:5" x14ac:dyDescent="0.2">
      <c r="B1065" s="92" t="s">
        <v>2805</v>
      </c>
      <c r="C1065" s="93">
        <v>2019</v>
      </c>
      <c r="D1065" s="93">
        <v>11</v>
      </c>
      <c r="E1065" s="93">
        <v>3</v>
      </c>
    </row>
    <row r="1066" spans="2:5" x14ac:dyDescent="0.2">
      <c r="B1066" s="92" t="s">
        <v>2805</v>
      </c>
      <c r="C1066" s="93">
        <v>2019</v>
      </c>
      <c r="D1066" s="93">
        <v>8</v>
      </c>
      <c r="E1066" s="93">
        <v>2</v>
      </c>
    </row>
    <row r="1067" spans="2:5" x14ac:dyDescent="0.2">
      <c r="B1067" s="92" t="s">
        <v>2805</v>
      </c>
      <c r="C1067" s="93">
        <v>2019</v>
      </c>
      <c r="D1067" s="93">
        <v>12</v>
      </c>
      <c r="E1067" s="93">
        <v>2</v>
      </c>
    </row>
    <row r="1068" spans="2:5" x14ac:dyDescent="0.2">
      <c r="B1068" s="92" t="s">
        <v>2805</v>
      </c>
      <c r="C1068" s="93">
        <v>2019</v>
      </c>
      <c r="D1068" s="93">
        <v>5</v>
      </c>
      <c r="E1068" s="93">
        <v>1</v>
      </c>
    </row>
    <row r="1069" spans="2:5" x14ac:dyDescent="0.2">
      <c r="B1069" s="92" t="s">
        <v>2905</v>
      </c>
      <c r="C1069" s="93">
        <v>2019</v>
      </c>
      <c r="D1069" s="93">
        <v>6</v>
      </c>
      <c r="E1069" s="93">
        <v>30</v>
      </c>
    </row>
    <row r="1070" spans="2:5" x14ac:dyDescent="0.2">
      <c r="B1070" s="92" t="s">
        <v>2905</v>
      </c>
      <c r="C1070" s="93">
        <v>2019</v>
      </c>
      <c r="D1070" s="93">
        <v>8</v>
      </c>
      <c r="E1070" s="93">
        <v>24</v>
      </c>
    </row>
    <row r="1071" spans="2:5" x14ac:dyDescent="0.2">
      <c r="B1071" s="92" t="s">
        <v>2905</v>
      </c>
      <c r="C1071" s="93">
        <v>2019</v>
      </c>
      <c r="D1071" s="93">
        <v>3</v>
      </c>
      <c r="E1071" s="93">
        <v>20</v>
      </c>
    </row>
    <row r="1072" spans="2:5" x14ac:dyDescent="0.2">
      <c r="B1072" s="92" t="s">
        <v>2905</v>
      </c>
      <c r="C1072" s="93">
        <v>2019</v>
      </c>
      <c r="D1072" s="93">
        <v>7</v>
      </c>
      <c r="E1072" s="93">
        <v>17</v>
      </c>
    </row>
    <row r="1073" spans="2:5" x14ac:dyDescent="0.2">
      <c r="B1073" s="92" t="s">
        <v>2905</v>
      </c>
      <c r="C1073" s="93">
        <v>2019</v>
      </c>
      <c r="D1073" s="93">
        <v>9</v>
      </c>
      <c r="E1073" s="93">
        <v>16</v>
      </c>
    </row>
    <row r="1074" spans="2:5" x14ac:dyDescent="0.2">
      <c r="B1074" s="92" t="s">
        <v>2905</v>
      </c>
      <c r="C1074" s="93">
        <v>2019</v>
      </c>
      <c r="D1074" s="93">
        <v>5</v>
      </c>
      <c r="E1074" s="93">
        <v>15</v>
      </c>
    </row>
    <row r="1075" spans="2:5" x14ac:dyDescent="0.2">
      <c r="B1075" s="92" t="s">
        <v>2905</v>
      </c>
      <c r="C1075" s="93">
        <v>2019</v>
      </c>
      <c r="D1075" s="93">
        <v>11</v>
      </c>
      <c r="E1075" s="93">
        <v>9</v>
      </c>
    </row>
    <row r="1076" spans="2:5" x14ac:dyDescent="0.2">
      <c r="B1076" s="92" t="s">
        <v>2905</v>
      </c>
      <c r="C1076" s="93">
        <v>2019</v>
      </c>
      <c r="D1076" s="93">
        <v>2</v>
      </c>
      <c r="E1076" s="93">
        <v>8</v>
      </c>
    </row>
    <row r="1077" spans="2:5" x14ac:dyDescent="0.2">
      <c r="B1077" s="92" t="s">
        <v>2905</v>
      </c>
      <c r="C1077" s="93">
        <v>2019</v>
      </c>
      <c r="D1077" s="93">
        <v>1</v>
      </c>
      <c r="E1077" s="93">
        <v>6</v>
      </c>
    </row>
    <row r="1078" spans="2:5" x14ac:dyDescent="0.2">
      <c r="B1078" s="92" t="s">
        <v>2905</v>
      </c>
      <c r="C1078" s="93">
        <v>2019</v>
      </c>
      <c r="D1078" s="93">
        <v>4</v>
      </c>
      <c r="E1078" s="93">
        <v>6</v>
      </c>
    </row>
    <row r="1079" spans="2:5" x14ac:dyDescent="0.2">
      <c r="B1079" s="92" t="s">
        <v>2905</v>
      </c>
      <c r="C1079" s="93">
        <v>2019</v>
      </c>
      <c r="D1079" s="93">
        <v>10</v>
      </c>
      <c r="E1079" s="93">
        <v>6</v>
      </c>
    </row>
    <row r="1080" spans="2:5" x14ac:dyDescent="0.2">
      <c r="B1080" s="92" t="s">
        <v>2905</v>
      </c>
      <c r="C1080" s="93">
        <v>2019</v>
      </c>
      <c r="D1080" s="93">
        <v>12</v>
      </c>
      <c r="E1080" s="93">
        <v>6</v>
      </c>
    </row>
    <row r="1081" spans="2:5" x14ac:dyDescent="0.2">
      <c r="B1081" s="92" t="s">
        <v>2806</v>
      </c>
      <c r="C1081" s="93">
        <v>2019</v>
      </c>
      <c r="D1081" s="93">
        <v>9</v>
      </c>
      <c r="E1081" s="93">
        <v>147</v>
      </c>
    </row>
    <row r="1082" spans="2:5" x14ac:dyDescent="0.2">
      <c r="B1082" s="92" t="s">
        <v>2806</v>
      </c>
      <c r="C1082" s="93">
        <v>2019</v>
      </c>
      <c r="D1082" s="93">
        <v>3</v>
      </c>
      <c r="E1082" s="93">
        <v>136</v>
      </c>
    </row>
    <row r="1083" spans="2:5" x14ac:dyDescent="0.2">
      <c r="B1083" s="92" t="s">
        <v>2806</v>
      </c>
      <c r="C1083" s="93">
        <v>2019</v>
      </c>
      <c r="D1083" s="93">
        <v>4</v>
      </c>
      <c r="E1083" s="93">
        <v>136</v>
      </c>
    </row>
    <row r="1084" spans="2:5" x14ac:dyDescent="0.2">
      <c r="B1084" s="92" t="s">
        <v>2806</v>
      </c>
      <c r="C1084" s="93">
        <v>2019</v>
      </c>
      <c r="D1084" s="93">
        <v>8</v>
      </c>
      <c r="E1084" s="93">
        <v>116</v>
      </c>
    </row>
    <row r="1085" spans="2:5" x14ac:dyDescent="0.2">
      <c r="B1085" s="92" t="s">
        <v>2806</v>
      </c>
      <c r="C1085" s="93">
        <v>2019</v>
      </c>
      <c r="D1085" s="93">
        <v>10</v>
      </c>
      <c r="E1085" s="93">
        <v>107</v>
      </c>
    </row>
    <row r="1086" spans="2:5" x14ac:dyDescent="0.2">
      <c r="B1086" s="92" t="s">
        <v>2806</v>
      </c>
      <c r="C1086" s="93">
        <v>2019</v>
      </c>
      <c r="D1086" s="93">
        <v>2</v>
      </c>
      <c r="E1086" s="93">
        <v>82</v>
      </c>
    </row>
    <row r="1087" spans="2:5" x14ac:dyDescent="0.2">
      <c r="B1087" s="92" t="s">
        <v>2806</v>
      </c>
      <c r="C1087" s="93">
        <v>2019</v>
      </c>
      <c r="D1087" s="93">
        <v>11</v>
      </c>
      <c r="E1087" s="93">
        <v>79</v>
      </c>
    </row>
    <row r="1088" spans="2:5" x14ac:dyDescent="0.2">
      <c r="B1088" s="92" t="s">
        <v>2806</v>
      </c>
      <c r="C1088" s="93">
        <v>2019</v>
      </c>
      <c r="D1088" s="93">
        <v>6</v>
      </c>
      <c r="E1088" s="93">
        <v>78</v>
      </c>
    </row>
    <row r="1089" spans="2:5" x14ac:dyDescent="0.2">
      <c r="B1089" s="92" t="s">
        <v>2806</v>
      </c>
      <c r="C1089" s="93">
        <v>2019</v>
      </c>
      <c r="D1089" s="93">
        <v>7</v>
      </c>
      <c r="E1089" s="93">
        <v>72</v>
      </c>
    </row>
    <row r="1090" spans="2:5" x14ac:dyDescent="0.2">
      <c r="B1090" s="92" t="s">
        <v>2806</v>
      </c>
      <c r="C1090" s="93">
        <v>2019</v>
      </c>
      <c r="D1090" s="93">
        <v>12</v>
      </c>
      <c r="E1090" s="93">
        <v>69</v>
      </c>
    </row>
    <row r="1091" spans="2:5" x14ac:dyDescent="0.2">
      <c r="B1091" s="92" t="s">
        <v>2806</v>
      </c>
      <c r="C1091" s="93">
        <v>2019</v>
      </c>
      <c r="D1091" s="93">
        <v>5</v>
      </c>
      <c r="E1091" s="93">
        <v>57</v>
      </c>
    </row>
    <row r="1092" spans="2:5" x14ac:dyDescent="0.2">
      <c r="B1092" s="92" t="s">
        <v>2806</v>
      </c>
      <c r="C1092" s="93">
        <v>2019</v>
      </c>
      <c r="D1092" s="93">
        <v>1</v>
      </c>
      <c r="E1092" s="93">
        <v>34</v>
      </c>
    </row>
    <row r="1093" spans="2:5" x14ac:dyDescent="0.2">
      <c r="B1093" s="92" t="s">
        <v>985</v>
      </c>
      <c r="C1093" s="93">
        <v>2019</v>
      </c>
      <c r="D1093" s="93">
        <v>1</v>
      </c>
      <c r="E1093" s="93">
        <v>577</v>
      </c>
    </row>
    <row r="1094" spans="2:5" x14ac:dyDescent="0.2">
      <c r="B1094" s="92" t="s">
        <v>985</v>
      </c>
      <c r="C1094" s="93">
        <v>2019</v>
      </c>
      <c r="D1094" s="93">
        <v>3</v>
      </c>
      <c r="E1094" s="93">
        <v>496</v>
      </c>
    </row>
    <row r="1095" spans="2:5" x14ac:dyDescent="0.2">
      <c r="B1095" s="92" t="s">
        <v>985</v>
      </c>
      <c r="C1095" s="93">
        <v>2019</v>
      </c>
      <c r="D1095" s="93">
        <v>9</v>
      </c>
      <c r="E1095" s="93">
        <v>495</v>
      </c>
    </row>
    <row r="1096" spans="2:5" x14ac:dyDescent="0.2">
      <c r="B1096" s="92" t="s">
        <v>985</v>
      </c>
      <c r="C1096" s="93">
        <v>2019</v>
      </c>
      <c r="D1096" s="93">
        <v>10</v>
      </c>
      <c r="E1096" s="93">
        <v>475</v>
      </c>
    </row>
    <row r="1097" spans="2:5" x14ac:dyDescent="0.2">
      <c r="B1097" s="92" t="s">
        <v>985</v>
      </c>
      <c r="C1097" s="93">
        <v>2019</v>
      </c>
      <c r="D1097" s="93">
        <v>2</v>
      </c>
      <c r="E1097" s="93">
        <v>462</v>
      </c>
    </row>
    <row r="1098" spans="2:5" x14ac:dyDescent="0.2">
      <c r="B1098" s="92" t="s">
        <v>985</v>
      </c>
      <c r="C1098" s="93">
        <v>2019</v>
      </c>
      <c r="D1098" s="93">
        <v>4</v>
      </c>
      <c r="E1098" s="93">
        <v>456</v>
      </c>
    </row>
    <row r="1099" spans="2:5" x14ac:dyDescent="0.2">
      <c r="B1099" s="92" t="s">
        <v>985</v>
      </c>
      <c r="C1099" s="93">
        <v>2019</v>
      </c>
      <c r="D1099" s="93">
        <v>8</v>
      </c>
      <c r="E1099" s="93">
        <v>385</v>
      </c>
    </row>
    <row r="1100" spans="2:5" x14ac:dyDescent="0.2">
      <c r="B1100" s="92" t="s">
        <v>985</v>
      </c>
      <c r="C1100" s="93">
        <v>2019</v>
      </c>
      <c r="D1100" s="93">
        <v>12</v>
      </c>
      <c r="E1100" s="93">
        <v>346</v>
      </c>
    </row>
    <row r="1101" spans="2:5" x14ac:dyDescent="0.2">
      <c r="B1101" s="92" t="s">
        <v>985</v>
      </c>
      <c r="C1101" s="93">
        <v>2019</v>
      </c>
      <c r="D1101" s="93">
        <v>11</v>
      </c>
      <c r="E1101" s="93">
        <v>330</v>
      </c>
    </row>
    <row r="1102" spans="2:5" x14ac:dyDescent="0.2">
      <c r="B1102" s="92" t="s">
        <v>985</v>
      </c>
      <c r="C1102" s="93">
        <v>2019</v>
      </c>
      <c r="D1102" s="93">
        <v>6</v>
      </c>
      <c r="E1102" s="93">
        <v>261</v>
      </c>
    </row>
    <row r="1103" spans="2:5" x14ac:dyDescent="0.2">
      <c r="B1103" s="92" t="s">
        <v>985</v>
      </c>
      <c r="C1103" s="93">
        <v>2019</v>
      </c>
      <c r="D1103" s="93">
        <v>5</v>
      </c>
      <c r="E1103" s="93">
        <v>255</v>
      </c>
    </row>
    <row r="1104" spans="2:5" x14ac:dyDescent="0.2">
      <c r="B1104" s="92" t="s">
        <v>985</v>
      </c>
      <c r="C1104" s="93">
        <v>2019</v>
      </c>
      <c r="D1104" s="93">
        <v>7</v>
      </c>
      <c r="E1104" s="93">
        <v>248</v>
      </c>
    </row>
    <row r="1105" spans="2:5" x14ac:dyDescent="0.2">
      <c r="B1105" s="92" t="s">
        <v>2807</v>
      </c>
      <c r="C1105" s="93">
        <v>2019</v>
      </c>
      <c r="D1105" s="93">
        <v>9</v>
      </c>
      <c r="E1105" s="93">
        <v>36</v>
      </c>
    </row>
    <row r="1106" spans="2:5" x14ac:dyDescent="0.2">
      <c r="B1106" s="92" t="s">
        <v>2807</v>
      </c>
      <c r="C1106" s="93">
        <v>2019</v>
      </c>
      <c r="D1106" s="93">
        <v>2</v>
      </c>
      <c r="E1106" s="93">
        <v>32</v>
      </c>
    </row>
    <row r="1107" spans="2:5" x14ac:dyDescent="0.2">
      <c r="B1107" s="92" t="s">
        <v>2807</v>
      </c>
      <c r="C1107" s="93">
        <v>2019</v>
      </c>
      <c r="D1107" s="93">
        <v>3</v>
      </c>
      <c r="E1107" s="93">
        <v>32</v>
      </c>
    </row>
    <row r="1108" spans="2:5" x14ac:dyDescent="0.2">
      <c r="B1108" s="92" t="s">
        <v>2807</v>
      </c>
      <c r="C1108" s="93">
        <v>2019</v>
      </c>
      <c r="D1108" s="93">
        <v>4</v>
      </c>
      <c r="E1108" s="93">
        <v>32</v>
      </c>
    </row>
    <row r="1109" spans="2:5" x14ac:dyDescent="0.2">
      <c r="B1109" s="92" t="s">
        <v>2807</v>
      </c>
      <c r="C1109" s="93">
        <v>2019</v>
      </c>
      <c r="D1109" s="93">
        <v>8</v>
      </c>
      <c r="E1109" s="93">
        <v>18</v>
      </c>
    </row>
    <row r="1110" spans="2:5" x14ac:dyDescent="0.2">
      <c r="B1110" s="92" t="s">
        <v>2807</v>
      </c>
      <c r="C1110" s="93">
        <v>2019</v>
      </c>
      <c r="D1110" s="93">
        <v>5</v>
      </c>
      <c r="E1110" s="93">
        <v>17</v>
      </c>
    </row>
    <row r="1111" spans="2:5" x14ac:dyDescent="0.2">
      <c r="B1111" s="92" t="s">
        <v>2807</v>
      </c>
      <c r="C1111" s="93">
        <v>2019</v>
      </c>
      <c r="D1111" s="93">
        <v>7</v>
      </c>
      <c r="E1111" s="93">
        <v>16</v>
      </c>
    </row>
    <row r="1112" spans="2:5" x14ac:dyDescent="0.2">
      <c r="B1112" s="92" t="s">
        <v>2807</v>
      </c>
      <c r="C1112" s="93">
        <v>2019</v>
      </c>
      <c r="D1112" s="93">
        <v>6</v>
      </c>
      <c r="E1112" s="93">
        <v>15</v>
      </c>
    </row>
    <row r="1113" spans="2:5" x14ac:dyDescent="0.2">
      <c r="B1113" s="92" t="s">
        <v>2807</v>
      </c>
      <c r="C1113" s="93">
        <v>2019</v>
      </c>
      <c r="D1113" s="93">
        <v>11</v>
      </c>
      <c r="E1113" s="93">
        <v>15</v>
      </c>
    </row>
    <row r="1114" spans="2:5" x14ac:dyDescent="0.2">
      <c r="B1114" s="92" t="s">
        <v>2807</v>
      </c>
      <c r="C1114" s="93">
        <v>2019</v>
      </c>
      <c r="D1114" s="93">
        <v>1</v>
      </c>
      <c r="E1114" s="93">
        <v>14</v>
      </c>
    </row>
    <row r="1115" spans="2:5" x14ac:dyDescent="0.2">
      <c r="B1115" s="92" t="s">
        <v>2807</v>
      </c>
      <c r="C1115" s="93">
        <v>2019</v>
      </c>
      <c r="D1115" s="93">
        <v>12</v>
      </c>
      <c r="E1115" s="93">
        <v>8</v>
      </c>
    </row>
    <row r="1116" spans="2:5" x14ac:dyDescent="0.2">
      <c r="B1116" s="92" t="s">
        <v>2807</v>
      </c>
      <c r="C1116" s="93">
        <v>2019</v>
      </c>
      <c r="D1116" s="93">
        <v>10</v>
      </c>
      <c r="E1116" s="93">
        <v>3</v>
      </c>
    </row>
    <row r="1117" spans="2:5" x14ac:dyDescent="0.2">
      <c r="B1117" s="92" t="s">
        <v>2808</v>
      </c>
      <c r="C1117" s="93">
        <v>2019</v>
      </c>
      <c r="D1117" s="93">
        <v>5</v>
      </c>
      <c r="E1117" s="93">
        <v>47</v>
      </c>
    </row>
    <row r="1118" spans="2:5" x14ac:dyDescent="0.2">
      <c r="B1118" s="92" t="s">
        <v>2808</v>
      </c>
      <c r="C1118" s="93">
        <v>2019</v>
      </c>
      <c r="D1118" s="93">
        <v>10</v>
      </c>
      <c r="E1118" s="93">
        <v>26</v>
      </c>
    </row>
    <row r="1119" spans="2:5" x14ac:dyDescent="0.2">
      <c r="B1119" s="92" t="s">
        <v>2808</v>
      </c>
      <c r="C1119" s="93">
        <v>2019</v>
      </c>
      <c r="D1119" s="93">
        <v>6</v>
      </c>
      <c r="E1119" s="93">
        <v>25</v>
      </c>
    </row>
    <row r="1120" spans="2:5" x14ac:dyDescent="0.2">
      <c r="B1120" s="92" t="s">
        <v>2808</v>
      </c>
      <c r="C1120" s="93">
        <v>2019</v>
      </c>
      <c r="D1120" s="93">
        <v>8</v>
      </c>
      <c r="E1120" s="93">
        <v>20</v>
      </c>
    </row>
    <row r="1121" spans="2:5" x14ac:dyDescent="0.2">
      <c r="B1121" s="92" t="s">
        <v>2808</v>
      </c>
      <c r="C1121" s="93">
        <v>2019</v>
      </c>
      <c r="D1121" s="93">
        <v>7</v>
      </c>
      <c r="E1121" s="93">
        <v>13</v>
      </c>
    </row>
    <row r="1122" spans="2:5" x14ac:dyDescent="0.2">
      <c r="B1122" s="92" t="s">
        <v>2808</v>
      </c>
      <c r="C1122" s="93">
        <v>2019</v>
      </c>
      <c r="D1122" s="93">
        <v>9</v>
      </c>
      <c r="E1122" s="93">
        <v>11</v>
      </c>
    </row>
    <row r="1123" spans="2:5" x14ac:dyDescent="0.2">
      <c r="B1123" s="92" t="s">
        <v>2808</v>
      </c>
      <c r="C1123" s="93">
        <v>2019</v>
      </c>
      <c r="D1123" s="93">
        <v>12</v>
      </c>
      <c r="E1123" s="93">
        <v>9</v>
      </c>
    </row>
    <row r="1124" spans="2:5" x14ac:dyDescent="0.2">
      <c r="B1124" s="92" t="s">
        <v>2808</v>
      </c>
      <c r="C1124" s="93">
        <v>2019</v>
      </c>
      <c r="D1124" s="93">
        <v>2</v>
      </c>
      <c r="E1124" s="93">
        <v>6</v>
      </c>
    </row>
    <row r="1125" spans="2:5" x14ac:dyDescent="0.2">
      <c r="B1125" s="92" t="s">
        <v>2808</v>
      </c>
      <c r="C1125" s="93">
        <v>2019</v>
      </c>
      <c r="D1125" s="93">
        <v>3</v>
      </c>
      <c r="E1125" s="93">
        <v>5</v>
      </c>
    </row>
    <row r="1126" spans="2:5" x14ac:dyDescent="0.2">
      <c r="B1126" s="92" t="s">
        <v>2808</v>
      </c>
      <c r="C1126" s="93">
        <v>2019</v>
      </c>
      <c r="D1126" s="93">
        <v>4</v>
      </c>
      <c r="E1126" s="93">
        <v>5</v>
      </c>
    </row>
    <row r="1127" spans="2:5" x14ac:dyDescent="0.2">
      <c r="B1127" s="92" t="s">
        <v>2808</v>
      </c>
      <c r="C1127" s="93">
        <v>2019</v>
      </c>
      <c r="D1127" s="93">
        <v>1</v>
      </c>
      <c r="E1127" s="93">
        <v>4</v>
      </c>
    </row>
    <row r="1128" spans="2:5" x14ac:dyDescent="0.2">
      <c r="B1128" s="92" t="s">
        <v>2808</v>
      </c>
      <c r="C1128" s="93">
        <v>2019</v>
      </c>
      <c r="D1128" s="93">
        <v>11</v>
      </c>
      <c r="E1128" s="93">
        <v>1</v>
      </c>
    </row>
    <row r="1129" spans="2:5" x14ac:dyDescent="0.2">
      <c r="B1129" s="92" t="s">
        <v>2809</v>
      </c>
      <c r="C1129" s="93">
        <v>2019</v>
      </c>
      <c r="D1129" s="93">
        <v>6</v>
      </c>
      <c r="E1129" s="93">
        <v>15</v>
      </c>
    </row>
    <row r="1130" spans="2:5" x14ac:dyDescent="0.2">
      <c r="B1130" s="92" t="s">
        <v>2809</v>
      </c>
      <c r="C1130" s="93">
        <v>2019</v>
      </c>
      <c r="D1130" s="93">
        <v>1</v>
      </c>
      <c r="E1130" s="93">
        <v>12</v>
      </c>
    </row>
    <row r="1131" spans="2:5" x14ac:dyDescent="0.2">
      <c r="B1131" s="92" t="s">
        <v>2809</v>
      </c>
      <c r="C1131" s="93">
        <v>2019</v>
      </c>
      <c r="D1131" s="93">
        <v>7</v>
      </c>
      <c r="E1131" s="93">
        <v>11</v>
      </c>
    </row>
    <row r="1132" spans="2:5" x14ac:dyDescent="0.2">
      <c r="B1132" s="92" t="s">
        <v>2809</v>
      </c>
      <c r="C1132" s="93">
        <v>2019</v>
      </c>
      <c r="D1132" s="93">
        <v>9</v>
      </c>
      <c r="E1132" s="93">
        <v>11</v>
      </c>
    </row>
    <row r="1133" spans="2:5" x14ac:dyDescent="0.2">
      <c r="B1133" s="92" t="s">
        <v>2809</v>
      </c>
      <c r="C1133" s="93">
        <v>2019</v>
      </c>
      <c r="D1133" s="93">
        <v>8</v>
      </c>
      <c r="E1133" s="93">
        <v>10</v>
      </c>
    </row>
    <row r="1134" spans="2:5" x14ac:dyDescent="0.2">
      <c r="B1134" s="92" t="s">
        <v>2809</v>
      </c>
      <c r="C1134" s="93">
        <v>2019</v>
      </c>
      <c r="D1134" s="93">
        <v>3</v>
      </c>
      <c r="E1134" s="93">
        <v>9</v>
      </c>
    </row>
    <row r="1135" spans="2:5" x14ac:dyDescent="0.2">
      <c r="B1135" s="92" t="s">
        <v>2809</v>
      </c>
      <c r="C1135" s="93">
        <v>2019</v>
      </c>
      <c r="D1135" s="93">
        <v>12</v>
      </c>
      <c r="E1135" s="93">
        <v>8</v>
      </c>
    </row>
    <row r="1136" spans="2:5" x14ac:dyDescent="0.2">
      <c r="B1136" s="92" t="s">
        <v>2809</v>
      </c>
      <c r="C1136" s="93">
        <v>2019</v>
      </c>
      <c r="D1136" s="93">
        <v>11</v>
      </c>
      <c r="E1136" s="93">
        <v>6</v>
      </c>
    </row>
    <row r="1137" spans="2:5" x14ac:dyDescent="0.2">
      <c r="B1137" s="92" t="s">
        <v>2809</v>
      </c>
      <c r="C1137" s="93">
        <v>2019</v>
      </c>
      <c r="D1137" s="93">
        <v>2</v>
      </c>
      <c r="E1137" s="93">
        <v>4</v>
      </c>
    </row>
    <row r="1138" spans="2:5" x14ac:dyDescent="0.2">
      <c r="B1138" s="92" t="s">
        <v>2809</v>
      </c>
      <c r="C1138" s="93">
        <v>2019</v>
      </c>
      <c r="D1138" s="93">
        <v>10</v>
      </c>
      <c r="E1138" s="93">
        <v>4</v>
      </c>
    </row>
    <row r="1139" spans="2:5" x14ac:dyDescent="0.2">
      <c r="B1139" s="92" t="s">
        <v>2809</v>
      </c>
      <c r="C1139" s="93">
        <v>2019</v>
      </c>
      <c r="D1139" s="93">
        <v>4</v>
      </c>
      <c r="E1139" s="93">
        <v>3</v>
      </c>
    </row>
    <row r="1140" spans="2:5" x14ac:dyDescent="0.2">
      <c r="B1140" s="92" t="s">
        <v>2809</v>
      </c>
      <c r="C1140" s="93">
        <v>2019</v>
      </c>
      <c r="D1140" s="93">
        <v>5</v>
      </c>
      <c r="E1140" s="93">
        <v>2</v>
      </c>
    </row>
    <row r="1141" spans="2:5" x14ac:dyDescent="0.2">
      <c r="B1141" s="92" t="s">
        <v>2810</v>
      </c>
      <c r="C1141" s="93">
        <v>2019</v>
      </c>
      <c r="D1141" s="93">
        <v>10</v>
      </c>
      <c r="E1141" s="93">
        <v>182</v>
      </c>
    </row>
    <row r="1142" spans="2:5" x14ac:dyDescent="0.2">
      <c r="B1142" s="92" t="s">
        <v>2810</v>
      </c>
      <c r="C1142" s="93">
        <v>2019</v>
      </c>
      <c r="D1142" s="93">
        <v>5</v>
      </c>
      <c r="E1142" s="93">
        <v>170</v>
      </c>
    </row>
    <row r="1143" spans="2:5" x14ac:dyDescent="0.2">
      <c r="B1143" s="92" t="s">
        <v>2810</v>
      </c>
      <c r="C1143" s="93">
        <v>2019</v>
      </c>
      <c r="D1143" s="93">
        <v>6</v>
      </c>
      <c r="E1143" s="93">
        <v>164</v>
      </c>
    </row>
    <row r="1144" spans="2:5" x14ac:dyDescent="0.2">
      <c r="B1144" s="92" t="s">
        <v>2810</v>
      </c>
      <c r="C1144" s="93">
        <v>2019</v>
      </c>
      <c r="D1144" s="93">
        <v>8</v>
      </c>
      <c r="E1144" s="93">
        <v>160</v>
      </c>
    </row>
    <row r="1145" spans="2:5" x14ac:dyDescent="0.2">
      <c r="B1145" s="92" t="s">
        <v>2810</v>
      </c>
      <c r="C1145" s="93">
        <v>2019</v>
      </c>
      <c r="D1145" s="93">
        <v>9</v>
      </c>
      <c r="E1145" s="93">
        <v>120</v>
      </c>
    </row>
    <row r="1146" spans="2:5" x14ac:dyDescent="0.2">
      <c r="B1146" s="92" t="s">
        <v>2810</v>
      </c>
      <c r="C1146" s="93">
        <v>2019</v>
      </c>
      <c r="D1146" s="93">
        <v>11</v>
      </c>
      <c r="E1146" s="93">
        <v>113</v>
      </c>
    </row>
    <row r="1147" spans="2:5" x14ac:dyDescent="0.2">
      <c r="B1147" s="92" t="s">
        <v>2810</v>
      </c>
      <c r="C1147" s="93">
        <v>2019</v>
      </c>
      <c r="D1147" s="93">
        <v>4</v>
      </c>
      <c r="E1147" s="93">
        <v>110</v>
      </c>
    </row>
    <row r="1148" spans="2:5" x14ac:dyDescent="0.2">
      <c r="B1148" s="92" t="s">
        <v>2810</v>
      </c>
      <c r="C1148" s="93">
        <v>2019</v>
      </c>
      <c r="D1148" s="93">
        <v>7</v>
      </c>
      <c r="E1148" s="93">
        <v>110</v>
      </c>
    </row>
    <row r="1149" spans="2:5" x14ac:dyDescent="0.2">
      <c r="B1149" s="92" t="s">
        <v>2810</v>
      </c>
      <c r="C1149" s="93">
        <v>2019</v>
      </c>
      <c r="D1149" s="93">
        <v>3</v>
      </c>
      <c r="E1149" s="93">
        <v>92</v>
      </c>
    </row>
    <row r="1150" spans="2:5" x14ac:dyDescent="0.2">
      <c r="B1150" s="92" t="s">
        <v>2810</v>
      </c>
      <c r="C1150" s="93">
        <v>2019</v>
      </c>
      <c r="D1150" s="93">
        <v>2</v>
      </c>
      <c r="E1150" s="93">
        <v>60</v>
      </c>
    </row>
    <row r="1151" spans="2:5" x14ac:dyDescent="0.2">
      <c r="B1151" s="92" t="s">
        <v>2810</v>
      </c>
      <c r="C1151" s="93">
        <v>2019</v>
      </c>
      <c r="D1151" s="93">
        <v>1</v>
      </c>
      <c r="E1151" s="93">
        <v>58</v>
      </c>
    </row>
    <row r="1152" spans="2:5" x14ac:dyDescent="0.2">
      <c r="B1152" s="92" t="s">
        <v>2810</v>
      </c>
      <c r="C1152" s="93">
        <v>2019</v>
      </c>
      <c r="D1152" s="93">
        <v>12</v>
      </c>
      <c r="E1152" s="93">
        <v>7</v>
      </c>
    </row>
    <row r="1153" spans="2:5" x14ac:dyDescent="0.2">
      <c r="B1153" s="92" t="s">
        <v>2811</v>
      </c>
      <c r="C1153" s="93">
        <v>2019</v>
      </c>
      <c r="D1153" s="93">
        <v>5</v>
      </c>
      <c r="E1153" s="93">
        <v>171</v>
      </c>
    </row>
    <row r="1154" spans="2:5" x14ac:dyDescent="0.2">
      <c r="B1154" s="92" t="s">
        <v>2811</v>
      </c>
      <c r="C1154" s="93">
        <v>2019</v>
      </c>
      <c r="D1154" s="93">
        <v>10</v>
      </c>
      <c r="E1154" s="93">
        <v>85</v>
      </c>
    </row>
    <row r="1155" spans="2:5" x14ac:dyDescent="0.2">
      <c r="B1155" s="92" t="s">
        <v>2811</v>
      </c>
      <c r="C1155" s="93">
        <v>2019</v>
      </c>
      <c r="D1155" s="93">
        <v>7</v>
      </c>
      <c r="E1155" s="93">
        <v>74</v>
      </c>
    </row>
    <row r="1156" spans="2:5" x14ac:dyDescent="0.2">
      <c r="B1156" s="92" t="s">
        <v>2811</v>
      </c>
      <c r="C1156" s="93">
        <v>2019</v>
      </c>
      <c r="D1156" s="93">
        <v>6</v>
      </c>
      <c r="E1156" s="93">
        <v>64</v>
      </c>
    </row>
    <row r="1157" spans="2:5" x14ac:dyDescent="0.2">
      <c r="B1157" s="92" t="s">
        <v>2811</v>
      </c>
      <c r="C1157" s="93">
        <v>2019</v>
      </c>
      <c r="D1157" s="93">
        <v>8</v>
      </c>
      <c r="E1157" s="93">
        <v>61</v>
      </c>
    </row>
    <row r="1158" spans="2:5" x14ac:dyDescent="0.2">
      <c r="B1158" s="92" t="s">
        <v>2811</v>
      </c>
      <c r="C1158" s="93">
        <v>2019</v>
      </c>
      <c r="D1158" s="93">
        <v>11</v>
      </c>
      <c r="E1158" s="93">
        <v>49</v>
      </c>
    </row>
    <row r="1159" spans="2:5" x14ac:dyDescent="0.2">
      <c r="B1159" s="92" t="s">
        <v>2811</v>
      </c>
      <c r="C1159" s="93">
        <v>2019</v>
      </c>
      <c r="D1159" s="93">
        <v>1</v>
      </c>
      <c r="E1159" s="93">
        <v>47</v>
      </c>
    </row>
    <row r="1160" spans="2:5" x14ac:dyDescent="0.2">
      <c r="B1160" s="92" t="s">
        <v>2811</v>
      </c>
      <c r="C1160" s="93">
        <v>2019</v>
      </c>
      <c r="D1160" s="93">
        <v>4</v>
      </c>
      <c r="E1160" s="93">
        <v>34</v>
      </c>
    </row>
    <row r="1161" spans="2:5" x14ac:dyDescent="0.2">
      <c r="B1161" s="92" t="s">
        <v>2811</v>
      </c>
      <c r="C1161" s="93">
        <v>2019</v>
      </c>
      <c r="D1161" s="93">
        <v>9</v>
      </c>
      <c r="E1161" s="93">
        <v>34</v>
      </c>
    </row>
    <row r="1162" spans="2:5" x14ac:dyDescent="0.2">
      <c r="B1162" s="92" t="s">
        <v>2811</v>
      </c>
      <c r="C1162" s="93">
        <v>2019</v>
      </c>
      <c r="D1162" s="93">
        <v>3</v>
      </c>
      <c r="E1162" s="93">
        <v>24</v>
      </c>
    </row>
    <row r="1163" spans="2:5" x14ac:dyDescent="0.2">
      <c r="B1163" s="92" t="s">
        <v>2811</v>
      </c>
      <c r="C1163" s="93">
        <v>2019</v>
      </c>
      <c r="D1163" s="93">
        <v>2</v>
      </c>
      <c r="E1163" s="93">
        <v>19</v>
      </c>
    </row>
    <row r="1164" spans="2:5" x14ac:dyDescent="0.2">
      <c r="B1164" s="92" t="s">
        <v>2811</v>
      </c>
      <c r="C1164" s="93">
        <v>2019</v>
      </c>
      <c r="D1164" s="93">
        <v>12</v>
      </c>
      <c r="E1164" s="93">
        <v>17</v>
      </c>
    </row>
    <row r="1165" spans="2:5" x14ac:dyDescent="0.2">
      <c r="B1165" s="92" t="s">
        <v>2944</v>
      </c>
      <c r="C1165" s="93">
        <v>2019</v>
      </c>
      <c r="D1165" s="93">
        <v>4</v>
      </c>
      <c r="E1165" s="93">
        <v>3</v>
      </c>
    </row>
    <row r="1166" spans="2:5" x14ac:dyDescent="0.2">
      <c r="B1166" s="92" t="s">
        <v>2944</v>
      </c>
      <c r="C1166" s="93">
        <v>2019</v>
      </c>
      <c r="D1166" s="93">
        <v>1</v>
      </c>
      <c r="E1166" s="93">
        <v>2</v>
      </c>
    </row>
    <row r="1167" spans="2:5" x14ac:dyDescent="0.2">
      <c r="B1167" s="92" t="s">
        <v>2944</v>
      </c>
      <c r="C1167" s="93">
        <v>2019</v>
      </c>
      <c r="D1167" s="93">
        <v>5</v>
      </c>
      <c r="E1167" s="93">
        <v>2</v>
      </c>
    </row>
    <row r="1168" spans="2:5" x14ac:dyDescent="0.2">
      <c r="B1168" s="92" t="s">
        <v>2944</v>
      </c>
      <c r="C1168" s="93">
        <v>2019</v>
      </c>
      <c r="D1168" s="93">
        <v>8</v>
      </c>
      <c r="E1168" s="93">
        <v>2</v>
      </c>
    </row>
    <row r="1169" spans="2:5" x14ac:dyDescent="0.2">
      <c r="B1169" s="92" t="s">
        <v>2944</v>
      </c>
      <c r="C1169" s="93">
        <v>2019</v>
      </c>
      <c r="D1169" s="93">
        <v>2</v>
      </c>
      <c r="E1169" s="93">
        <v>1</v>
      </c>
    </row>
    <row r="1170" spans="2:5" x14ac:dyDescent="0.2">
      <c r="B1170" s="92" t="s">
        <v>2944</v>
      </c>
      <c r="C1170" s="93">
        <v>2019</v>
      </c>
      <c r="D1170" s="93">
        <v>3</v>
      </c>
      <c r="E1170" s="93">
        <v>1</v>
      </c>
    </row>
    <row r="1171" spans="2:5" x14ac:dyDescent="0.2">
      <c r="B1171" s="92" t="s">
        <v>2944</v>
      </c>
      <c r="C1171" s="93">
        <v>2019</v>
      </c>
      <c r="D1171" s="93">
        <v>7</v>
      </c>
      <c r="E1171" s="93">
        <v>1</v>
      </c>
    </row>
    <row r="1172" spans="2:5" x14ac:dyDescent="0.2">
      <c r="B1172" s="92" t="s">
        <v>2944</v>
      </c>
      <c r="C1172" s="93">
        <v>2019</v>
      </c>
      <c r="D1172" s="93">
        <v>10</v>
      </c>
      <c r="E1172" s="93">
        <v>1</v>
      </c>
    </row>
    <row r="1173" spans="2:5" x14ac:dyDescent="0.2">
      <c r="B1173" s="92" t="s">
        <v>2812</v>
      </c>
      <c r="C1173" s="93">
        <v>2019</v>
      </c>
      <c r="D1173" s="93">
        <v>9</v>
      </c>
      <c r="E1173" s="93">
        <v>85</v>
      </c>
    </row>
    <row r="1174" spans="2:5" x14ac:dyDescent="0.2">
      <c r="B1174" s="92" t="s">
        <v>2812</v>
      </c>
      <c r="C1174" s="93">
        <v>2019</v>
      </c>
      <c r="D1174" s="93">
        <v>10</v>
      </c>
      <c r="E1174" s="93">
        <v>80</v>
      </c>
    </row>
    <row r="1175" spans="2:5" x14ac:dyDescent="0.2">
      <c r="B1175" s="92" t="s">
        <v>2812</v>
      </c>
      <c r="C1175" s="93">
        <v>2019</v>
      </c>
      <c r="D1175" s="93">
        <v>4</v>
      </c>
      <c r="E1175" s="93">
        <v>64</v>
      </c>
    </row>
    <row r="1176" spans="2:5" x14ac:dyDescent="0.2">
      <c r="B1176" s="92" t="s">
        <v>2812</v>
      </c>
      <c r="C1176" s="93">
        <v>2019</v>
      </c>
      <c r="D1176" s="93">
        <v>12</v>
      </c>
      <c r="E1176" s="93">
        <v>60</v>
      </c>
    </row>
    <row r="1177" spans="2:5" x14ac:dyDescent="0.2">
      <c r="B1177" s="92" t="s">
        <v>2812</v>
      </c>
      <c r="C1177" s="93">
        <v>2019</v>
      </c>
      <c r="D1177" s="93">
        <v>2</v>
      </c>
      <c r="E1177" s="93">
        <v>57</v>
      </c>
    </row>
    <row r="1178" spans="2:5" x14ac:dyDescent="0.2">
      <c r="B1178" s="92" t="s">
        <v>2812</v>
      </c>
      <c r="C1178" s="93">
        <v>2019</v>
      </c>
      <c r="D1178" s="93">
        <v>3</v>
      </c>
      <c r="E1178" s="93">
        <v>46</v>
      </c>
    </row>
    <row r="1179" spans="2:5" x14ac:dyDescent="0.2">
      <c r="B1179" s="92" t="s">
        <v>2812</v>
      </c>
      <c r="C1179" s="93">
        <v>2019</v>
      </c>
      <c r="D1179" s="93">
        <v>8</v>
      </c>
      <c r="E1179" s="93">
        <v>45</v>
      </c>
    </row>
    <row r="1180" spans="2:5" x14ac:dyDescent="0.2">
      <c r="B1180" s="92" t="s">
        <v>2812</v>
      </c>
      <c r="C1180" s="93">
        <v>2019</v>
      </c>
      <c r="D1180" s="93">
        <v>5</v>
      </c>
      <c r="E1180" s="93">
        <v>38</v>
      </c>
    </row>
    <row r="1181" spans="2:5" x14ac:dyDescent="0.2">
      <c r="B1181" s="92" t="s">
        <v>2812</v>
      </c>
      <c r="C1181" s="93">
        <v>2019</v>
      </c>
      <c r="D1181" s="93">
        <v>7</v>
      </c>
      <c r="E1181" s="93">
        <v>37</v>
      </c>
    </row>
    <row r="1182" spans="2:5" x14ac:dyDescent="0.2">
      <c r="B1182" s="92" t="s">
        <v>2812</v>
      </c>
      <c r="C1182" s="93">
        <v>2019</v>
      </c>
      <c r="D1182" s="93">
        <v>11</v>
      </c>
      <c r="E1182" s="93">
        <v>37</v>
      </c>
    </row>
    <row r="1183" spans="2:5" x14ac:dyDescent="0.2">
      <c r="B1183" s="92" t="s">
        <v>2812</v>
      </c>
      <c r="C1183" s="93">
        <v>2019</v>
      </c>
      <c r="D1183" s="93">
        <v>1</v>
      </c>
      <c r="E1183" s="93">
        <v>24</v>
      </c>
    </row>
    <row r="1184" spans="2:5" x14ac:dyDescent="0.2">
      <c r="B1184" s="92" t="s">
        <v>2812</v>
      </c>
      <c r="C1184" s="93">
        <v>2019</v>
      </c>
      <c r="D1184" s="93">
        <v>6</v>
      </c>
      <c r="E1184" s="93">
        <v>24</v>
      </c>
    </row>
    <row r="1185" spans="2:5" x14ac:dyDescent="0.2">
      <c r="B1185" s="92" t="s">
        <v>2813</v>
      </c>
      <c r="C1185" s="93">
        <v>2019</v>
      </c>
      <c r="D1185" s="93">
        <v>11</v>
      </c>
      <c r="E1185" s="93">
        <v>36</v>
      </c>
    </row>
    <row r="1186" spans="2:5" x14ac:dyDescent="0.2">
      <c r="B1186" s="92" t="s">
        <v>2813</v>
      </c>
      <c r="C1186" s="93">
        <v>2019</v>
      </c>
      <c r="D1186" s="93">
        <v>3</v>
      </c>
      <c r="E1186" s="93">
        <v>35</v>
      </c>
    </row>
    <row r="1187" spans="2:5" x14ac:dyDescent="0.2">
      <c r="B1187" s="92" t="s">
        <v>2813</v>
      </c>
      <c r="C1187" s="93">
        <v>2019</v>
      </c>
      <c r="D1187" s="93">
        <v>9</v>
      </c>
      <c r="E1187" s="93">
        <v>35</v>
      </c>
    </row>
    <row r="1188" spans="2:5" x14ac:dyDescent="0.2">
      <c r="B1188" s="92" t="s">
        <v>2813</v>
      </c>
      <c r="C1188" s="93">
        <v>2019</v>
      </c>
      <c r="D1188" s="93">
        <v>5</v>
      </c>
      <c r="E1188" s="93">
        <v>29</v>
      </c>
    </row>
    <row r="1189" spans="2:5" x14ac:dyDescent="0.2">
      <c r="B1189" s="92" t="s">
        <v>2813</v>
      </c>
      <c r="C1189" s="93">
        <v>2019</v>
      </c>
      <c r="D1189" s="93">
        <v>7</v>
      </c>
      <c r="E1189" s="93">
        <v>29</v>
      </c>
    </row>
    <row r="1190" spans="2:5" x14ac:dyDescent="0.2">
      <c r="B1190" s="92" t="s">
        <v>2813</v>
      </c>
      <c r="C1190" s="93">
        <v>2019</v>
      </c>
      <c r="D1190" s="93">
        <v>6</v>
      </c>
      <c r="E1190" s="93">
        <v>28</v>
      </c>
    </row>
    <row r="1191" spans="2:5" x14ac:dyDescent="0.2">
      <c r="B1191" s="92" t="s">
        <v>2813</v>
      </c>
      <c r="C1191" s="93">
        <v>2019</v>
      </c>
      <c r="D1191" s="93">
        <v>8</v>
      </c>
      <c r="E1191" s="93">
        <v>27</v>
      </c>
    </row>
    <row r="1192" spans="2:5" x14ac:dyDescent="0.2">
      <c r="B1192" s="92" t="s">
        <v>2813</v>
      </c>
      <c r="C1192" s="93">
        <v>2019</v>
      </c>
      <c r="D1192" s="93">
        <v>12</v>
      </c>
      <c r="E1192" s="93">
        <v>19</v>
      </c>
    </row>
    <row r="1193" spans="2:5" x14ac:dyDescent="0.2">
      <c r="B1193" s="92" t="s">
        <v>2813</v>
      </c>
      <c r="C1193" s="93">
        <v>2019</v>
      </c>
      <c r="D1193" s="93">
        <v>4</v>
      </c>
      <c r="E1193" s="93">
        <v>17</v>
      </c>
    </row>
    <row r="1194" spans="2:5" x14ac:dyDescent="0.2">
      <c r="B1194" s="92" t="s">
        <v>2813</v>
      </c>
      <c r="C1194" s="93">
        <v>2019</v>
      </c>
      <c r="D1194" s="93">
        <v>1</v>
      </c>
      <c r="E1194" s="93">
        <v>11</v>
      </c>
    </row>
    <row r="1195" spans="2:5" x14ac:dyDescent="0.2">
      <c r="B1195" s="92" t="s">
        <v>2813</v>
      </c>
      <c r="C1195" s="93">
        <v>2019</v>
      </c>
      <c r="D1195" s="93">
        <v>10</v>
      </c>
      <c r="E1195" s="93">
        <v>7</v>
      </c>
    </row>
    <row r="1196" spans="2:5" x14ac:dyDescent="0.2">
      <c r="B1196" s="92" t="s">
        <v>2813</v>
      </c>
      <c r="C1196" s="93">
        <v>2019</v>
      </c>
      <c r="D1196" s="93">
        <v>2</v>
      </c>
      <c r="E1196" s="93">
        <v>4</v>
      </c>
    </row>
    <row r="1197" spans="2:5" x14ac:dyDescent="0.2">
      <c r="B1197" s="92" t="s">
        <v>2906</v>
      </c>
      <c r="C1197" s="93">
        <v>2019</v>
      </c>
      <c r="D1197" s="93">
        <v>3</v>
      </c>
      <c r="E1197" s="93">
        <v>25</v>
      </c>
    </row>
    <row r="1198" spans="2:5" x14ac:dyDescent="0.2">
      <c r="B1198" s="92" t="s">
        <v>2906</v>
      </c>
      <c r="C1198" s="93">
        <v>2019</v>
      </c>
      <c r="D1198" s="93">
        <v>7</v>
      </c>
      <c r="E1198" s="93">
        <v>19</v>
      </c>
    </row>
    <row r="1199" spans="2:5" x14ac:dyDescent="0.2">
      <c r="B1199" s="92" t="s">
        <v>2906</v>
      </c>
      <c r="C1199" s="93">
        <v>2019</v>
      </c>
      <c r="D1199" s="93">
        <v>6</v>
      </c>
      <c r="E1199" s="93">
        <v>18</v>
      </c>
    </row>
    <row r="1200" spans="2:5" x14ac:dyDescent="0.2">
      <c r="B1200" s="92" t="s">
        <v>2906</v>
      </c>
      <c r="C1200" s="93">
        <v>2019</v>
      </c>
      <c r="D1200" s="93">
        <v>9</v>
      </c>
      <c r="E1200" s="93">
        <v>18</v>
      </c>
    </row>
    <row r="1201" spans="2:5" x14ac:dyDescent="0.2">
      <c r="B1201" s="92" t="s">
        <v>2906</v>
      </c>
      <c r="C1201" s="93">
        <v>2019</v>
      </c>
      <c r="D1201" s="93">
        <v>8</v>
      </c>
      <c r="E1201" s="93">
        <v>17</v>
      </c>
    </row>
    <row r="1202" spans="2:5" x14ac:dyDescent="0.2">
      <c r="B1202" s="92" t="s">
        <v>2906</v>
      </c>
      <c r="C1202" s="93">
        <v>2019</v>
      </c>
      <c r="D1202" s="93">
        <v>5</v>
      </c>
      <c r="E1202" s="93">
        <v>14</v>
      </c>
    </row>
    <row r="1203" spans="2:5" x14ac:dyDescent="0.2">
      <c r="B1203" s="92" t="s">
        <v>2906</v>
      </c>
      <c r="C1203" s="93">
        <v>2019</v>
      </c>
      <c r="D1203" s="93">
        <v>11</v>
      </c>
      <c r="E1203" s="93">
        <v>13</v>
      </c>
    </row>
    <row r="1204" spans="2:5" x14ac:dyDescent="0.2">
      <c r="B1204" s="92" t="s">
        <v>2906</v>
      </c>
      <c r="C1204" s="93">
        <v>2019</v>
      </c>
      <c r="D1204" s="93">
        <v>1</v>
      </c>
      <c r="E1204" s="93">
        <v>8</v>
      </c>
    </row>
    <row r="1205" spans="2:5" x14ac:dyDescent="0.2">
      <c r="B1205" s="92" t="s">
        <v>2906</v>
      </c>
      <c r="C1205" s="93">
        <v>2019</v>
      </c>
      <c r="D1205" s="93">
        <v>4</v>
      </c>
      <c r="E1205" s="93">
        <v>8</v>
      </c>
    </row>
    <row r="1206" spans="2:5" x14ac:dyDescent="0.2">
      <c r="B1206" s="92" t="s">
        <v>2906</v>
      </c>
      <c r="C1206" s="93">
        <v>2019</v>
      </c>
      <c r="D1206" s="93">
        <v>10</v>
      </c>
      <c r="E1206" s="93">
        <v>8</v>
      </c>
    </row>
    <row r="1207" spans="2:5" x14ac:dyDescent="0.2">
      <c r="B1207" s="92" t="s">
        <v>2906</v>
      </c>
      <c r="C1207" s="93">
        <v>2019</v>
      </c>
      <c r="D1207" s="93">
        <v>12</v>
      </c>
      <c r="E1207" s="93">
        <v>4</v>
      </c>
    </row>
    <row r="1208" spans="2:5" x14ac:dyDescent="0.2">
      <c r="B1208" s="92" t="s">
        <v>2906</v>
      </c>
      <c r="C1208" s="93">
        <v>2019</v>
      </c>
      <c r="D1208" s="93">
        <v>2</v>
      </c>
      <c r="E1208" s="93">
        <v>2</v>
      </c>
    </row>
    <row r="1209" spans="2:5" x14ac:dyDescent="0.2">
      <c r="B1209" s="92" t="s">
        <v>2814</v>
      </c>
      <c r="C1209" s="93">
        <v>2019</v>
      </c>
      <c r="D1209" s="93">
        <v>4</v>
      </c>
      <c r="E1209" s="93">
        <v>7</v>
      </c>
    </row>
    <row r="1210" spans="2:5" x14ac:dyDescent="0.2">
      <c r="B1210" s="92" t="s">
        <v>2814</v>
      </c>
      <c r="C1210" s="93">
        <v>2019</v>
      </c>
      <c r="D1210" s="93">
        <v>5</v>
      </c>
      <c r="E1210" s="93">
        <v>7</v>
      </c>
    </row>
    <row r="1211" spans="2:5" x14ac:dyDescent="0.2">
      <c r="B1211" s="92" t="s">
        <v>2814</v>
      </c>
      <c r="C1211" s="93">
        <v>2019</v>
      </c>
      <c r="D1211" s="93">
        <v>3</v>
      </c>
      <c r="E1211" s="93">
        <v>6</v>
      </c>
    </row>
    <row r="1212" spans="2:5" x14ac:dyDescent="0.2">
      <c r="B1212" s="92" t="s">
        <v>2814</v>
      </c>
      <c r="C1212" s="93">
        <v>2019</v>
      </c>
      <c r="D1212" s="93">
        <v>10</v>
      </c>
      <c r="E1212" s="93">
        <v>5</v>
      </c>
    </row>
    <row r="1213" spans="2:5" x14ac:dyDescent="0.2">
      <c r="B1213" s="92" t="s">
        <v>2814</v>
      </c>
      <c r="C1213" s="93">
        <v>2019</v>
      </c>
      <c r="D1213" s="93">
        <v>6</v>
      </c>
      <c r="E1213" s="93">
        <v>4</v>
      </c>
    </row>
    <row r="1214" spans="2:5" x14ac:dyDescent="0.2">
      <c r="B1214" s="92" t="s">
        <v>2814</v>
      </c>
      <c r="C1214" s="93">
        <v>2019</v>
      </c>
      <c r="D1214" s="93">
        <v>8</v>
      </c>
      <c r="E1214" s="93">
        <v>4</v>
      </c>
    </row>
    <row r="1215" spans="2:5" x14ac:dyDescent="0.2">
      <c r="B1215" s="92" t="s">
        <v>2814</v>
      </c>
      <c r="C1215" s="93">
        <v>2019</v>
      </c>
      <c r="D1215" s="93">
        <v>9</v>
      </c>
      <c r="E1215" s="93">
        <v>4</v>
      </c>
    </row>
    <row r="1216" spans="2:5" x14ac:dyDescent="0.2">
      <c r="B1216" s="92" t="s">
        <v>2814</v>
      </c>
      <c r="C1216" s="93">
        <v>2019</v>
      </c>
      <c r="D1216" s="93">
        <v>7</v>
      </c>
      <c r="E1216" s="93">
        <v>3</v>
      </c>
    </row>
    <row r="1217" spans="2:5" x14ac:dyDescent="0.2">
      <c r="B1217" s="92" t="s">
        <v>2814</v>
      </c>
      <c r="C1217" s="93">
        <v>2019</v>
      </c>
      <c r="D1217" s="93">
        <v>1</v>
      </c>
      <c r="E1217" s="93">
        <v>2</v>
      </c>
    </row>
    <row r="1218" spans="2:5" x14ac:dyDescent="0.2">
      <c r="B1218" s="92" t="s">
        <v>2814</v>
      </c>
      <c r="C1218" s="93">
        <v>2019</v>
      </c>
      <c r="D1218" s="93">
        <v>2</v>
      </c>
      <c r="E1218" s="93">
        <v>2</v>
      </c>
    </row>
    <row r="1219" spans="2:5" x14ac:dyDescent="0.2">
      <c r="B1219" s="92" t="s">
        <v>2814</v>
      </c>
      <c r="C1219" s="93">
        <v>2019</v>
      </c>
      <c r="D1219" s="93">
        <v>11</v>
      </c>
      <c r="E1219" s="93">
        <v>2</v>
      </c>
    </row>
    <row r="1220" spans="2:5" x14ac:dyDescent="0.2">
      <c r="B1220" s="92" t="s">
        <v>2814</v>
      </c>
      <c r="C1220" s="93">
        <v>2019</v>
      </c>
      <c r="D1220" s="93">
        <v>12</v>
      </c>
      <c r="E1220" s="93">
        <v>1</v>
      </c>
    </row>
    <row r="1221" spans="2:5" x14ac:dyDescent="0.2">
      <c r="B1221" s="92" t="s">
        <v>2974</v>
      </c>
      <c r="C1221" s="93">
        <v>2019</v>
      </c>
      <c r="D1221" s="93">
        <v>5</v>
      </c>
      <c r="E1221" s="93">
        <v>2</v>
      </c>
    </row>
    <row r="1222" spans="2:5" x14ac:dyDescent="0.2">
      <c r="B1222" s="92" t="s">
        <v>2815</v>
      </c>
      <c r="C1222" s="93">
        <v>2019</v>
      </c>
      <c r="D1222" s="93">
        <v>2</v>
      </c>
      <c r="E1222" s="93">
        <v>13</v>
      </c>
    </row>
    <row r="1223" spans="2:5" x14ac:dyDescent="0.2">
      <c r="B1223" s="92" t="s">
        <v>2815</v>
      </c>
      <c r="C1223" s="93">
        <v>2019</v>
      </c>
      <c r="D1223" s="93">
        <v>9</v>
      </c>
      <c r="E1223" s="93">
        <v>12</v>
      </c>
    </row>
    <row r="1224" spans="2:5" x14ac:dyDescent="0.2">
      <c r="B1224" s="92" t="s">
        <v>2815</v>
      </c>
      <c r="C1224" s="93">
        <v>2019</v>
      </c>
      <c r="D1224" s="93">
        <v>3</v>
      </c>
      <c r="E1224" s="93">
        <v>10</v>
      </c>
    </row>
    <row r="1225" spans="2:5" x14ac:dyDescent="0.2">
      <c r="B1225" s="92" t="s">
        <v>2815</v>
      </c>
      <c r="C1225" s="93">
        <v>2019</v>
      </c>
      <c r="D1225" s="93">
        <v>1</v>
      </c>
      <c r="E1225" s="93">
        <v>9</v>
      </c>
    </row>
    <row r="1226" spans="2:5" x14ac:dyDescent="0.2">
      <c r="B1226" s="92" t="s">
        <v>2815</v>
      </c>
      <c r="C1226" s="93">
        <v>2019</v>
      </c>
      <c r="D1226" s="93">
        <v>7</v>
      </c>
      <c r="E1226" s="93">
        <v>8</v>
      </c>
    </row>
    <row r="1227" spans="2:5" x14ac:dyDescent="0.2">
      <c r="B1227" s="92" t="s">
        <v>2815</v>
      </c>
      <c r="C1227" s="93">
        <v>2019</v>
      </c>
      <c r="D1227" s="93">
        <v>8</v>
      </c>
      <c r="E1227" s="93">
        <v>8</v>
      </c>
    </row>
    <row r="1228" spans="2:5" x14ac:dyDescent="0.2">
      <c r="B1228" s="92" t="s">
        <v>2815</v>
      </c>
      <c r="C1228" s="93">
        <v>2019</v>
      </c>
      <c r="D1228" s="93">
        <v>12</v>
      </c>
      <c r="E1228" s="93">
        <v>8</v>
      </c>
    </row>
    <row r="1229" spans="2:5" x14ac:dyDescent="0.2">
      <c r="B1229" s="92" t="s">
        <v>2815</v>
      </c>
      <c r="C1229" s="93">
        <v>2019</v>
      </c>
      <c r="D1229" s="93">
        <v>10</v>
      </c>
      <c r="E1229" s="93">
        <v>7</v>
      </c>
    </row>
    <row r="1230" spans="2:5" x14ac:dyDescent="0.2">
      <c r="B1230" s="92" t="s">
        <v>2815</v>
      </c>
      <c r="C1230" s="93">
        <v>2019</v>
      </c>
      <c r="D1230" s="93">
        <v>6</v>
      </c>
      <c r="E1230" s="93">
        <v>6</v>
      </c>
    </row>
    <row r="1231" spans="2:5" x14ac:dyDescent="0.2">
      <c r="B1231" s="92" t="s">
        <v>2815</v>
      </c>
      <c r="C1231" s="93">
        <v>2019</v>
      </c>
      <c r="D1231" s="93">
        <v>4</v>
      </c>
      <c r="E1231" s="93">
        <v>5</v>
      </c>
    </row>
    <row r="1232" spans="2:5" x14ac:dyDescent="0.2">
      <c r="B1232" s="92" t="s">
        <v>2815</v>
      </c>
      <c r="C1232" s="93">
        <v>2019</v>
      </c>
      <c r="D1232" s="93">
        <v>5</v>
      </c>
      <c r="E1232" s="93">
        <v>2</v>
      </c>
    </row>
    <row r="1233" spans="2:5" x14ac:dyDescent="0.2">
      <c r="B1233" s="92" t="s">
        <v>2815</v>
      </c>
      <c r="C1233" s="93">
        <v>2019</v>
      </c>
      <c r="D1233" s="93">
        <v>11</v>
      </c>
      <c r="E1233" s="93">
        <v>2</v>
      </c>
    </row>
    <row r="1234" spans="2:5" x14ac:dyDescent="0.2">
      <c r="B1234" s="92" t="s">
        <v>2946</v>
      </c>
      <c r="C1234" s="93">
        <v>2019</v>
      </c>
      <c r="D1234" s="93">
        <v>6</v>
      </c>
      <c r="E1234" s="93">
        <v>4</v>
      </c>
    </row>
    <row r="1235" spans="2:5" x14ac:dyDescent="0.2">
      <c r="B1235" s="92" t="s">
        <v>2946</v>
      </c>
      <c r="C1235" s="93">
        <v>2019</v>
      </c>
      <c r="D1235" s="93">
        <v>10</v>
      </c>
      <c r="E1235" s="93">
        <v>3</v>
      </c>
    </row>
    <row r="1236" spans="2:5" x14ac:dyDescent="0.2">
      <c r="B1236" s="92" t="s">
        <v>2946</v>
      </c>
      <c r="C1236" s="93">
        <v>2019</v>
      </c>
      <c r="D1236" s="93">
        <v>11</v>
      </c>
      <c r="E1236" s="93">
        <v>3</v>
      </c>
    </row>
    <row r="1237" spans="2:5" x14ac:dyDescent="0.2">
      <c r="B1237" s="92" t="s">
        <v>2946</v>
      </c>
      <c r="C1237" s="93">
        <v>2019</v>
      </c>
      <c r="D1237" s="93">
        <v>9</v>
      </c>
      <c r="E1237" s="93">
        <v>2</v>
      </c>
    </row>
    <row r="1238" spans="2:5" x14ac:dyDescent="0.2">
      <c r="B1238" s="92" t="s">
        <v>2953</v>
      </c>
      <c r="C1238" s="93">
        <v>2019</v>
      </c>
      <c r="D1238" s="93">
        <v>6</v>
      </c>
      <c r="E1238" s="93">
        <v>4</v>
      </c>
    </row>
    <row r="1239" spans="2:5" x14ac:dyDescent="0.2">
      <c r="B1239" s="92" t="s">
        <v>2953</v>
      </c>
      <c r="C1239" s="93">
        <v>2019</v>
      </c>
      <c r="D1239" s="93">
        <v>11</v>
      </c>
      <c r="E1239" s="93">
        <v>3</v>
      </c>
    </row>
    <row r="1240" spans="2:5" x14ac:dyDescent="0.2">
      <c r="B1240" s="92" t="s">
        <v>2953</v>
      </c>
      <c r="C1240" s="93">
        <v>2019</v>
      </c>
      <c r="D1240" s="93">
        <v>8</v>
      </c>
      <c r="E1240" s="93">
        <v>2</v>
      </c>
    </row>
    <row r="1241" spans="2:5" x14ac:dyDescent="0.2">
      <c r="B1241" s="92" t="s">
        <v>2953</v>
      </c>
      <c r="C1241" s="93">
        <v>2019</v>
      </c>
      <c r="D1241" s="93">
        <v>9</v>
      </c>
      <c r="E1241" s="93">
        <v>1</v>
      </c>
    </row>
    <row r="1242" spans="2:5" x14ac:dyDescent="0.2">
      <c r="B1242" s="92" t="s">
        <v>2914</v>
      </c>
      <c r="C1242" s="93">
        <v>2019</v>
      </c>
      <c r="D1242" s="93">
        <v>6</v>
      </c>
      <c r="E1242" s="93">
        <v>16</v>
      </c>
    </row>
    <row r="1243" spans="2:5" x14ac:dyDescent="0.2">
      <c r="B1243" s="92" t="s">
        <v>2914</v>
      </c>
      <c r="C1243" s="93">
        <v>2019</v>
      </c>
      <c r="D1243" s="93">
        <v>7</v>
      </c>
      <c r="E1243" s="93">
        <v>11</v>
      </c>
    </row>
    <row r="1244" spans="2:5" x14ac:dyDescent="0.2">
      <c r="B1244" s="92" t="s">
        <v>2914</v>
      </c>
      <c r="C1244" s="93">
        <v>2019</v>
      </c>
      <c r="D1244" s="93">
        <v>5</v>
      </c>
      <c r="E1244" s="93">
        <v>10</v>
      </c>
    </row>
    <row r="1245" spans="2:5" x14ac:dyDescent="0.2">
      <c r="B1245" s="92" t="s">
        <v>2914</v>
      </c>
      <c r="C1245" s="93">
        <v>2019</v>
      </c>
      <c r="D1245" s="93">
        <v>9</v>
      </c>
      <c r="E1245" s="93">
        <v>9</v>
      </c>
    </row>
    <row r="1246" spans="2:5" x14ac:dyDescent="0.2">
      <c r="B1246" s="92" t="s">
        <v>2914</v>
      </c>
      <c r="C1246" s="93">
        <v>2019</v>
      </c>
      <c r="D1246" s="93">
        <v>4</v>
      </c>
      <c r="E1246" s="93">
        <v>8</v>
      </c>
    </row>
    <row r="1247" spans="2:5" x14ac:dyDescent="0.2">
      <c r="B1247" s="92" t="s">
        <v>2914</v>
      </c>
      <c r="C1247" s="93">
        <v>2019</v>
      </c>
      <c r="D1247" s="93">
        <v>1</v>
      </c>
      <c r="E1247" s="93">
        <v>5</v>
      </c>
    </row>
    <row r="1248" spans="2:5" x14ac:dyDescent="0.2">
      <c r="B1248" s="92" t="s">
        <v>2914</v>
      </c>
      <c r="C1248" s="93">
        <v>2019</v>
      </c>
      <c r="D1248" s="93">
        <v>3</v>
      </c>
      <c r="E1248" s="93">
        <v>5</v>
      </c>
    </row>
    <row r="1249" spans="2:5" x14ac:dyDescent="0.2">
      <c r="B1249" s="92" t="s">
        <v>2914</v>
      </c>
      <c r="C1249" s="93">
        <v>2019</v>
      </c>
      <c r="D1249" s="93">
        <v>11</v>
      </c>
      <c r="E1249" s="93">
        <v>5</v>
      </c>
    </row>
    <row r="1250" spans="2:5" x14ac:dyDescent="0.2">
      <c r="B1250" s="92" t="s">
        <v>2914</v>
      </c>
      <c r="C1250" s="93">
        <v>2019</v>
      </c>
      <c r="D1250" s="93">
        <v>10</v>
      </c>
      <c r="E1250" s="93">
        <v>2</v>
      </c>
    </row>
    <row r="1251" spans="2:5" x14ac:dyDescent="0.2">
      <c r="B1251" s="92" t="s">
        <v>2816</v>
      </c>
      <c r="C1251" s="93">
        <v>2019</v>
      </c>
      <c r="D1251" s="93">
        <v>11</v>
      </c>
      <c r="E1251" s="93">
        <v>20</v>
      </c>
    </row>
    <row r="1252" spans="2:5" x14ac:dyDescent="0.2">
      <c r="B1252" s="92" t="s">
        <v>2816</v>
      </c>
      <c r="C1252" s="93">
        <v>2019</v>
      </c>
      <c r="D1252" s="93">
        <v>9</v>
      </c>
      <c r="E1252" s="93">
        <v>16</v>
      </c>
    </row>
    <row r="1253" spans="2:5" x14ac:dyDescent="0.2">
      <c r="B1253" s="92" t="s">
        <v>2816</v>
      </c>
      <c r="C1253" s="93">
        <v>2019</v>
      </c>
      <c r="D1253" s="93">
        <v>7</v>
      </c>
      <c r="E1253" s="93">
        <v>12</v>
      </c>
    </row>
    <row r="1254" spans="2:5" x14ac:dyDescent="0.2">
      <c r="B1254" s="92" t="s">
        <v>2816</v>
      </c>
      <c r="C1254" s="93">
        <v>2019</v>
      </c>
      <c r="D1254" s="93">
        <v>8</v>
      </c>
      <c r="E1254" s="93">
        <v>11</v>
      </c>
    </row>
    <row r="1255" spans="2:5" x14ac:dyDescent="0.2">
      <c r="B1255" s="92" t="s">
        <v>2816</v>
      </c>
      <c r="C1255" s="93">
        <v>2019</v>
      </c>
      <c r="D1255" s="93">
        <v>1</v>
      </c>
      <c r="E1255" s="93">
        <v>8</v>
      </c>
    </row>
    <row r="1256" spans="2:5" x14ac:dyDescent="0.2">
      <c r="B1256" s="92" t="s">
        <v>2816</v>
      </c>
      <c r="C1256" s="93">
        <v>2019</v>
      </c>
      <c r="D1256" s="93">
        <v>6</v>
      </c>
      <c r="E1256" s="93">
        <v>8</v>
      </c>
    </row>
    <row r="1257" spans="2:5" x14ac:dyDescent="0.2">
      <c r="B1257" s="92" t="s">
        <v>2816</v>
      </c>
      <c r="C1257" s="93">
        <v>2019</v>
      </c>
      <c r="D1257" s="93">
        <v>3</v>
      </c>
      <c r="E1257" s="93">
        <v>6</v>
      </c>
    </row>
    <row r="1258" spans="2:5" x14ac:dyDescent="0.2">
      <c r="B1258" s="92" t="s">
        <v>2816</v>
      </c>
      <c r="C1258" s="93">
        <v>2019</v>
      </c>
      <c r="D1258" s="93">
        <v>5</v>
      </c>
      <c r="E1258" s="93">
        <v>6</v>
      </c>
    </row>
    <row r="1259" spans="2:5" x14ac:dyDescent="0.2">
      <c r="B1259" s="92" t="s">
        <v>2816</v>
      </c>
      <c r="C1259" s="93">
        <v>2019</v>
      </c>
      <c r="D1259" s="93">
        <v>2</v>
      </c>
      <c r="E1259" s="93">
        <v>5</v>
      </c>
    </row>
    <row r="1260" spans="2:5" x14ac:dyDescent="0.2">
      <c r="B1260" s="92" t="s">
        <v>2816</v>
      </c>
      <c r="C1260" s="93">
        <v>2019</v>
      </c>
      <c r="D1260" s="93">
        <v>10</v>
      </c>
      <c r="E1260" s="93">
        <v>5</v>
      </c>
    </row>
    <row r="1261" spans="2:5" x14ac:dyDescent="0.2">
      <c r="B1261" s="92" t="s">
        <v>2816</v>
      </c>
      <c r="C1261" s="93">
        <v>2019</v>
      </c>
      <c r="D1261" s="93">
        <v>4</v>
      </c>
      <c r="E1261" s="93">
        <v>1</v>
      </c>
    </row>
    <row r="1262" spans="2:5" x14ac:dyDescent="0.2">
      <c r="B1262" s="92" t="s">
        <v>2816</v>
      </c>
      <c r="C1262" s="93">
        <v>2019</v>
      </c>
      <c r="D1262" s="93">
        <v>12</v>
      </c>
      <c r="E1262" s="93">
        <v>1</v>
      </c>
    </row>
    <row r="1263" spans="2:5" x14ac:dyDescent="0.2">
      <c r="B1263" s="92" t="s">
        <v>2918</v>
      </c>
      <c r="C1263" s="93">
        <v>2019</v>
      </c>
      <c r="D1263" s="93">
        <v>4</v>
      </c>
      <c r="E1263" s="93">
        <v>13</v>
      </c>
    </row>
    <row r="1264" spans="2:5" x14ac:dyDescent="0.2">
      <c r="B1264" s="92" t="s">
        <v>2918</v>
      </c>
      <c r="C1264" s="93">
        <v>2019</v>
      </c>
      <c r="D1264" s="93">
        <v>10</v>
      </c>
      <c r="E1264" s="93">
        <v>11</v>
      </c>
    </row>
    <row r="1265" spans="2:5" x14ac:dyDescent="0.2">
      <c r="B1265" s="92" t="s">
        <v>2918</v>
      </c>
      <c r="C1265" s="93">
        <v>2019</v>
      </c>
      <c r="D1265" s="93">
        <v>1</v>
      </c>
      <c r="E1265" s="93">
        <v>7</v>
      </c>
    </row>
    <row r="1266" spans="2:5" x14ac:dyDescent="0.2">
      <c r="B1266" s="92" t="s">
        <v>2918</v>
      </c>
      <c r="C1266" s="93">
        <v>2019</v>
      </c>
      <c r="D1266" s="93">
        <v>5</v>
      </c>
      <c r="E1266" s="93">
        <v>7</v>
      </c>
    </row>
    <row r="1267" spans="2:5" x14ac:dyDescent="0.2">
      <c r="B1267" s="92" t="s">
        <v>2918</v>
      </c>
      <c r="C1267" s="93">
        <v>2019</v>
      </c>
      <c r="D1267" s="93">
        <v>6</v>
      </c>
      <c r="E1267" s="93">
        <v>5</v>
      </c>
    </row>
    <row r="1268" spans="2:5" x14ac:dyDescent="0.2">
      <c r="B1268" s="92" t="s">
        <v>2918</v>
      </c>
      <c r="C1268" s="93">
        <v>2019</v>
      </c>
      <c r="D1268" s="93">
        <v>2</v>
      </c>
      <c r="E1268" s="93">
        <v>4</v>
      </c>
    </row>
    <row r="1269" spans="2:5" x14ac:dyDescent="0.2">
      <c r="B1269" s="92" t="s">
        <v>2918</v>
      </c>
      <c r="C1269" s="93">
        <v>2019</v>
      </c>
      <c r="D1269" s="93">
        <v>8</v>
      </c>
      <c r="E1269" s="93">
        <v>3</v>
      </c>
    </row>
    <row r="1270" spans="2:5" x14ac:dyDescent="0.2">
      <c r="B1270" s="92" t="s">
        <v>2918</v>
      </c>
      <c r="C1270" s="93">
        <v>2019</v>
      </c>
      <c r="D1270" s="93">
        <v>3</v>
      </c>
      <c r="E1270" s="93">
        <v>2</v>
      </c>
    </row>
    <row r="1271" spans="2:5" x14ac:dyDescent="0.2">
      <c r="B1271" s="92" t="s">
        <v>2918</v>
      </c>
      <c r="C1271" s="93">
        <v>2019</v>
      </c>
      <c r="D1271" s="93">
        <v>11</v>
      </c>
      <c r="E1271" s="93">
        <v>2</v>
      </c>
    </row>
    <row r="1272" spans="2:5" x14ac:dyDescent="0.2">
      <c r="B1272" s="92" t="s">
        <v>2918</v>
      </c>
      <c r="C1272" s="93">
        <v>2019</v>
      </c>
      <c r="D1272" s="93">
        <v>7</v>
      </c>
      <c r="E1272" s="93">
        <v>1</v>
      </c>
    </row>
    <row r="1273" spans="2:5" x14ac:dyDescent="0.2">
      <c r="B1273" s="92" t="s">
        <v>2918</v>
      </c>
      <c r="C1273" s="93">
        <v>2019</v>
      </c>
      <c r="D1273" s="93">
        <v>9</v>
      </c>
      <c r="E1273" s="93">
        <v>1</v>
      </c>
    </row>
    <row r="1274" spans="2:5" x14ac:dyDescent="0.2">
      <c r="B1274" s="92" t="s">
        <v>2918</v>
      </c>
      <c r="C1274" s="93">
        <v>2019</v>
      </c>
      <c r="D1274" s="93">
        <v>12</v>
      </c>
      <c r="E1274" s="93">
        <v>1</v>
      </c>
    </row>
    <row r="1275" spans="2:5" x14ac:dyDescent="0.2">
      <c r="B1275" s="92" t="s">
        <v>2941</v>
      </c>
      <c r="C1275" s="93">
        <v>2019</v>
      </c>
      <c r="D1275" s="93">
        <v>4</v>
      </c>
      <c r="E1275" s="93">
        <v>3</v>
      </c>
    </row>
    <row r="1276" spans="2:5" x14ac:dyDescent="0.2">
      <c r="B1276" s="92" t="s">
        <v>2941</v>
      </c>
      <c r="C1276" s="93">
        <v>2019</v>
      </c>
      <c r="D1276" s="93">
        <v>9</v>
      </c>
      <c r="E1276" s="93">
        <v>3</v>
      </c>
    </row>
    <row r="1277" spans="2:5" x14ac:dyDescent="0.2">
      <c r="B1277" s="92" t="s">
        <v>2941</v>
      </c>
      <c r="C1277" s="93">
        <v>2019</v>
      </c>
      <c r="D1277" s="93">
        <v>7</v>
      </c>
      <c r="E1277" s="93">
        <v>2</v>
      </c>
    </row>
    <row r="1278" spans="2:5" x14ac:dyDescent="0.2">
      <c r="B1278" s="92" t="s">
        <v>2941</v>
      </c>
      <c r="C1278" s="93">
        <v>2019</v>
      </c>
      <c r="D1278" s="93">
        <v>8</v>
      </c>
      <c r="E1278" s="93">
        <v>2</v>
      </c>
    </row>
    <row r="1279" spans="2:5" x14ac:dyDescent="0.2">
      <c r="B1279" s="92" t="s">
        <v>2941</v>
      </c>
      <c r="C1279" s="93">
        <v>2019</v>
      </c>
      <c r="D1279" s="93">
        <v>2</v>
      </c>
      <c r="E1279" s="93">
        <v>1</v>
      </c>
    </row>
    <row r="1280" spans="2:5" x14ac:dyDescent="0.2">
      <c r="B1280" s="92" t="s">
        <v>2941</v>
      </c>
      <c r="C1280" s="93">
        <v>2019</v>
      </c>
      <c r="D1280" s="93">
        <v>5</v>
      </c>
      <c r="E1280" s="93">
        <v>1</v>
      </c>
    </row>
    <row r="1281" spans="2:5" x14ac:dyDescent="0.2">
      <c r="B1281" s="92" t="s">
        <v>2941</v>
      </c>
      <c r="C1281" s="93">
        <v>2019</v>
      </c>
      <c r="D1281" s="93">
        <v>6</v>
      </c>
      <c r="E1281" s="93">
        <v>1</v>
      </c>
    </row>
    <row r="1282" spans="2:5" x14ac:dyDescent="0.2">
      <c r="B1282" s="92" t="s">
        <v>2941</v>
      </c>
      <c r="C1282" s="93">
        <v>2019</v>
      </c>
      <c r="D1282" s="93">
        <v>11</v>
      </c>
      <c r="E1282" s="93">
        <v>1</v>
      </c>
    </row>
    <row r="1283" spans="2:5" x14ac:dyDescent="0.2">
      <c r="B1283" s="92" t="s">
        <v>2941</v>
      </c>
      <c r="C1283" s="93">
        <v>2019</v>
      </c>
      <c r="D1283" s="93">
        <v>12</v>
      </c>
      <c r="E1283" s="93">
        <v>1</v>
      </c>
    </row>
    <row r="1284" spans="2:5" x14ac:dyDescent="0.2">
      <c r="B1284" s="92" t="s">
        <v>2817</v>
      </c>
      <c r="C1284" s="93">
        <v>2019</v>
      </c>
      <c r="D1284" s="93">
        <v>4</v>
      </c>
      <c r="E1284" s="93">
        <v>344</v>
      </c>
    </row>
    <row r="1285" spans="2:5" x14ac:dyDescent="0.2">
      <c r="B1285" s="92" t="s">
        <v>2817</v>
      </c>
      <c r="C1285" s="93">
        <v>2019</v>
      </c>
      <c r="D1285" s="93">
        <v>1</v>
      </c>
      <c r="E1285" s="93">
        <v>261</v>
      </c>
    </row>
    <row r="1286" spans="2:5" x14ac:dyDescent="0.2">
      <c r="B1286" s="92" t="s">
        <v>2817</v>
      </c>
      <c r="C1286" s="93">
        <v>2019</v>
      </c>
      <c r="D1286" s="93">
        <v>9</v>
      </c>
      <c r="E1286" s="93">
        <v>239</v>
      </c>
    </row>
    <row r="1287" spans="2:5" x14ac:dyDescent="0.2">
      <c r="B1287" s="92" t="s">
        <v>2817</v>
      </c>
      <c r="C1287" s="93">
        <v>2019</v>
      </c>
      <c r="D1287" s="93">
        <v>8</v>
      </c>
      <c r="E1287" s="93">
        <v>194</v>
      </c>
    </row>
    <row r="1288" spans="2:5" x14ac:dyDescent="0.2">
      <c r="B1288" s="92" t="s">
        <v>2817</v>
      </c>
      <c r="C1288" s="93">
        <v>2019</v>
      </c>
      <c r="D1288" s="93">
        <v>3</v>
      </c>
      <c r="E1288" s="93">
        <v>186</v>
      </c>
    </row>
    <row r="1289" spans="2:5" x14ac:dyDescent="0.2">
      <c r="B1289" s="92" t="s">
        <v>2817</v>
      </c>
      <c r="C1289" s="93">
        <v>2019</v>
      </c>
      <c r="D1289" s="93">
        <v>10</v>
      </c>
      <c r="E1289" s="93">
        <v>180</v>
      </c>
    </row>
    <row r="1290" spans="2:5" x14ac:dyDescent="0.2">
      <c r="B1290" s="92" t="s">
        <v>2817</v>
      </c>
      <c r="C1290" s="93">
        <v>2019</v>
      </c>
      <c r="D1290" s="93">
        <v>11</v>
      </c>
      <c r="E1290" s="93">
        <v>173</v>
      </c>
    </row>
    <row r="1291" spans="2:5" x14ac:dyDescent="0.2">
      <c r="B1291" s="92" t="s">
        <v>2817</v>
      </c>
      <c r="C1291" s="93">
        <v>2019</v>
      </c>
      <c r="D1291" s="93">
        <v>5</v>
      </c>
      <c r="E1291" s="93">
        <v>168</v>
      </c>
    </row>
    <row r="1292" spans="2:5" x14ac:dyDescent="0.2">
      <c r="B1292" s="92" t="s">
        <v>2817</v>
      </c>
      <c r="C1292" s="93">
        <v>2019</v>
      </c>
      <c r="D1292" s="93">
        <v>2</v>
      </c>
      <c r="E1292" s="93">
        <v>126</v>
      </c>
    </row>
    <row r="1293" spans="2:5" x14ac:dyDescent="0.2">
      <c r="B1293" s="92" t="s">
        <v>2817</v>
      </c>
      <c r="C1293" s="93">
        <v>2019</v>
      </c>
      <c r="D1293" s="93">
        <v>6</v>
      </c>
      <c r="E1293" s="93">
        <v>114</v>
      </c>
    </row>
    <row r="1294" spans="2:5" x14ac:dyDescent="0.2">
      <c r="B1294" s="92" t="s">
        <v>2817</v>
      </c>
      <c r="C1294" s="93">
        <v>2019</v>
      </c>
      <c r="D1294" s="93">
        <v>7</v>
      </c>
      <c r="E1294" s="93">
        <v>108</v>
      </c>
    </row>
    <row r="1295" spans="2:5" x14ac:dyDescent="0.2">
      <c r="B1295" s="92" t="s">
        <v>2817</v>
      </c>
      <c r="C1295" s="93">
        <v>2019</v>
      </c>
      <c r="D1295" s="93">
        <v>12</v>
      </c>
      <c r="E1295" s="93">
        <v>90</v>
      </c>
    </row>
    <row r="1296" spans="2:5" x14ac:dyDescent="0.2">
      <c r="B1296" s="92" t="s">
        <v>2912</v>
      </c>
      <c r="C1296" s="93">
        <v>2019</v>
      </c>
      <c r="D1296" s="93">
        <v>9</v>
      </c>
      <c r="E1296" s="93">
        <v>13</v>
      </c>
    </row>
    <row r="1297" spans="2:5" x14ac:dyDescent="0.2">
      <c r="B1297" s="92" t="s">
        <v>2912</v>
      </c>
      <c r="C1297" s="93">
        <v>2019</v>
      </c>
      <c r="D1297" s="93">
        <v>6</v>
      </c>
      <c r="E1297" s="93">
        <v>12</v>
      </c>
    </row>
    <row r="1298" spans="2:5" x14ac:dyDescent="0.2">
      <c r="B1298" s="92" t="s">
        <v>2912</v>
      </c>
      <c r="C1298" s="93">
        <v>2019</v>
      </c>
      <c r="D1298" s="93">
        <v>7</v>
      </c>
      <c r="E1298" s="93">
        <v>12</v>
      </c>
    </row>
    <row r="1299" spans="2:5" x14ac:dyDescent="0.2">
      <c r="B1299" s="92" t="s">
        <v>2912</v>
      </c>
      <c r="C1299" s="93">
        <v>2019</v>
      </c>
      <c r="D1299" s="93">
        <v>4</v>
      </c>
      <c r="E1299" s="93">
        <v>11</v>
      </c>
    </row>
    <row r="1300" spans="2:5" x14ac:dyDescent="0.2">
      <c r="B1300" s="92" t="s">
        <v>2912</v>
      </c>
      <c r="C1300" s="93">
        <v>2019</v>
      </c>
      <c r="D1300" s="93">
        <v>8</v>
      </c>
      <c r="E1300" s="93">
        <v>10</v>
      </c>
    </row>
    <row r="1301" spans="2:5" x14ac:dyDescent="0.2">
      <c r="B1301" s="92" t="s">
        <v>2912</v>
      </c>
      <c r="C1301" s="93">
        <v>2019</v>
      </c>
      <c r="D1301" s="93">
        <v>12</v>
      </c>
      <c r="E1301" s="93">
        <v>8</v>
      </c>
    </row>
    <row r="1302" spans="2:5" x14ac:dyDescent="0.2">
      <c r="B1302" s="92" t="s">
        <v>2912</v>
      </c>
      <c r="C1302" s="93">
        <v>2019</v>
      </c>
      <c r="D1302" s="93">
        <v>11</v>
      </c>
      <c r="E1302" s="93">
        <v>6</v>
      </c>
    </row>
    <row r="1303" spans="2:5" x14ac:dyDescent="0.2">
      <c r="B1303" s="92" t="s">
        <v>2912</v>
      </c>
      <c r="C1303" s="93">
        <v>2019</v>
      </c>
      <c r="D1303" s="93">
        <v>2</v>
      </c>
      <c r="E1303" s="93">
        <v>4</v>
      </c>
    </row>
    <row r="1304" spans="2:5" x14ac:dyDescent="0.2">
      <c r="B1304" s="92" t="s">
        <v>2912</v>
      </c>
      <c r="C1304" s="93">
        <v>2019</v>
      </c>
      <c r="D1304" s="93">
        <v>10</v>
      </c>
      <c r="E1304" s="93">
        <v>4</v>
      </c>
    </row>
    <row r="1305" spans="2:5" x14ac:dyDescent="0.2">
      <c r="B1305" s="92" t="s">
        <v>2912</v>
      </c>
      <c r="C1305" s="93">
        <v>2019</v>
      </c>
      <c r="D1305" s="93">
        <v>1</v>
      </c>
      <c r="E1305" s="93">
        <v>3</v>
      </c>
    </row>
    <row r="1306" spans="2:5" x14ac:dyDescent="0.2">
      <c r="B1306" s="92" t="s">
        <v>2912</v>
      </c>
      <c r="C1306" s="93">
        <v>2019</v>
      </c>
      <c r="D1306" s="93">
        <v>5</v>
      </c>
      <c r="E1306" s="93">
        <v>3</v>
      </c>
    </row>
    <row r="1307" spans="2:5" x14ac:dyDescent="0.2">
      <c r="B1307" s="92" t="s">
        <v>2912</v>
      </c>
      <c r="C1307" s="93">
        <v>2019</v>
      </c>
      <c r="D1307" s="93">
        <v>3</v>
      </c>
      <c r="E1307" s="93">
        <v>2</v>
      </c>
    </row>
    <row r="1308" spans="2:5" x14ac:dyDescent="0.2">
      <c r="B1308" s="92" t="s">
        <v>2898</v>
      </c>
      <c r="C1308" s="93">
        <v>2019</v>
      </c>
      <c r="D1308" s="93">
        <v>3</v>
      </c>
      <c r="E1308" s="93">
        <v>46</v>
      </c>
    </row>
    <row r="1309" spans="2:5" x14ac:dyDescent="0.2">
      <c r="B1309" s="92" t="s">
        <v>2898</v>
      </c>
      <c r="C1309" s="93">
        <v>2019</v>
      </c>
      <c r="D1309" s="93">
        <v>8</v>
      </c>
      <c r="E1309" s="93">
        <v>30</v>
      </c>
    </row>
    <row r="1310" spans="2:5" x14ac:dyDescent="0.2">
      <c r="B1310" s="92" t="s">
        <v>2898</v>
      </c>
      <c r="C1310" s="93">
        <v>2019</v>
      </c>
      <c r="D1310" s="93">
        <v>10</v>
      </c>
      <c r="E1310" s="93">
        <v>26</v>
      </c>
    </row>
    <row r="1311" spans="2:5" x14ac:dyDescent="0.2">
      <c r="B1311" s="92" t="s">
        <v>2898</v>
      </c>
      <c r="C1311" s="93">
        <v>2019</v>
      </c>
      <c r="D1311" s="93">
        <v>7</v>
      </c>
      <c r="E1311" s="93">
        <v>25</v>
      </c>
    </row>
    <row r="1312" spans="2:5" x14ac:dyDescent="0.2">
      <c r="B1312" s="92" t="s">
        <v>2898</v>
      </c>
      <c r="C1312" s="93">
        <v>2019</v>
      </c>
      <c r="D1312" s="93">
        <v>6</v>
      </c>
      <c r="E1312" s="93">
        <v>23</v>
      </c>
    </row>
    <row r="1313" spans="2:5" x14ac:dyDescent="0.2">
      <c r="B1313" s="92" t="s">
        <v>2898</v>
      </c>
      <c r="C1313" s="93">
        <v>2019</v>
      </c>
      <c r="D1313" s="93">
        <v>9</v>
      </c>
      <c r="E1313" s="93">
        <v>21</v>
      </c>
    </row>
    <row r="1314" spans="2:5" x14ac:dyDescent="0.2">
      <c r="B1314" s="92" t="s">
        <v>2898</v>
      </c>
      <c r="C1314" s="93">
        <v>2019</v>
      </c>
      <c r="D1314" s="93">
        <v>5</v>
      </c>
      <c r="E1314" s="93">
        <v>19</v>
      </c>
    </row>
    <row r="1315" spans="2:5" x14ac:dyDescent="0.2">
      <c r="B1315" s="92" t="s">
        <v>2898</v>
      </c>
      <c r="C1315" s="93">
        <v>2019</v>
      </c>
      <c r="D1315" s="93">
        <v>11</v>
      </c>
      <c r="E1315" s="93">
        <v>14</v>
      </c>
    </row>
    <row r="1316" spans="2:5" x14ac:dyDescent="0.2">
      <c r="B1316" s="92" t="s">
        <v>2898</v>
      </c>
      <c r="C1316" s="93">
        <v>2019</v>
      </c>
      <c r="D1316" s="93">
        <v>1</v>
      </c>
      <c r="E1316" s="93">
        <v>13</v>
      </c>
    </row>
    <row r="1317" spans="2:5" x14ac:dyDescent="0.2">
      <c r="B1317" s="92" t="s">
        <v>2898</v>
      </c>
      <c r="C1317" s="93">
        <v>2019</v>
      </c>
      <c r="D1317" s="93">
        <v>12</v>
      </c>
      <c r="E1317" s="93">
        <v>9</v>
      </c>
    </row>
    <row r="1318" spans="2:5" x14ac:dyDescent="0.2">
      <c r="B1318" s="92" t="s">
        <v>2898</v>
      </c>
      <c r="C1318" s="93">
        <v>2019</v>
      </c>
      <c r="D1318" s="93">
        <v>2</v>
      </c>
      <c r="E1318" s="93">
        <v>5</v>
      </c>
    </row>
    <row r="1319" spans="2:5" x14ac:dyDescent="0.2">
      <c r="B1319" s="92" t="s">
        <v>2898</v>
      </c>
      <c r="C1319" s="93">
        <v>2019</v>
      </c>
      <c r="D1319" s="93">
        <v>4</v>
      </c>
      <c r="E1319" s="93">
        <v>5</v>
      </c>
    </row>
    <row r="1320" spans="2:5" x14ac:dyDescent="0.2">
      <c r="B1320" s="92" t="s">
        <v>2927</v>
      </c>
      <c r="C1320" s="93">
        <v>2019</v>
      </c>
      <c r="D1320" s="93">
        <v>3</v>
      </c>
      <c r="E1320" s="93">
        <v>10</v>
      </c>
    </row>
    <row r="1321" spans="2:5" x14ac:dyDescent="0.2">
      <c r="B1321" s="92" t="s">
        <v>2927</v>
      </c>
      <c r="C1321" s="93">
        <v>2019</v>
      </c>
      <c r="D1321" s="93">
        <v>5</v>
      </c>
      <c r="E1321" s="93">
        <v>7</v>
      </c>
    </row>
    <row r="1322" spans="2:5" x14ac:dyDescent="0.2">
      <c r="B1322" s="92" t="s">
        <v>2927</v>
      </c>
      <c r="C1322" s="93">
        <v>2019</v>
      </c>
      <c r="D1322" s="93">
        <v>9</v>
      </c>
      <c r="E1322" s="93">
        <v>5</v>
      </c>
    </row>
    <row r="1323" spans="2:5" x14ac:dyDescent="0.2">
      <c r="B1323" s="92" t="s">
        <v>2927</v>
      </c>
      <c r="C1323" s="93">
        <v>2019</v>
      </c>
      <c r="D1323" s="93">
        <v>6</v>
      </c>
      <c r="E1323" s="93">
        <v>4</v>
      </c>
    </row>
    <row r="1324" spans="2:5" x14ac:dyDescent="0.2">
      <c r="B1324" s="92" t="s">
        <v>2927</v>
      </c>
      <c r="C1324" s="93">
        <v>2019</v>
      </c>
      <c r="D1324" s="93">
        <v>7</v>
      </c>
      <c r="E1324" s="93">
        <v>4</v>
      </c>
    </row>
    <row r="1325" spans="2:5" x14ac:dyDescent="0.2">
      <c r="B1325" s="92" t="s">
        <v>2927</v>
      </c>
      <c r="C1325" s="93">
        <v>2019</v>
      </c>
      <c r="D1325" s="93">
        <v>8</v>
      </c>
      <c r="E1325" s="93">
        <v>4</v>
      </c>
    </row>
    <row r="1326" spans="2:5" x14ac:dyDescent="0.2">
      <c r="B1326" s="92" t="s">
        <v>2927</v>
      </c>
      <c r="C1326" s="93">
        <v>2019</v>
      </c>
      <c r="D1326" s="93">
        <v>2</v>
      </c>
      <c r="E1326" s="93">
        <v>3</v>
      </c>
    </row>
    <row r="1327" spans="2:5" x14ac:dyDescent="0.2">
      <c r="B1327" s="92" t="s">
        <v>2927</v>
      </c>
      <c r="C1327" s="93">
        <v>2019</v>
      </c>
      <c r="D1327" s="93">
        <v>10</v>
      </c>
      <c r="E1327" s="93">
        <v>3</v>
      </c>
    </row>
    <row r="1328" spans="2:5" x14ac:dyDescent="0.2">
      <c r="B1328" s="92" t="s">
        <v>2927</v>
      </c>
      <c r="C1328" s="93">
        <v>2019</v>
      </c>
      <c r="D1328" s="93">
        <v>11</v>
      </c>
      <c r="E1328" s="93">
        <v>3</v>
      </c>
    </row>
    <row r="1329" spans="2:5" x14ac:dyDescent="0.2">
      <c r="B1329" s="92" t="s">
        <v>2818</v>
      </c>
      <c r="C1329" s="93">
        <v>2019</v>
      </c>
      <c r="D1329" s="93">
        <v>5</v>
      </c>
      <c r="E1329" s="93">
        <v>30</v>
      </c>
    </row>
    <row r="1330" spans="2:5" x14ac:dyDescent="0.2">
      <c r="B1330" s="92" t="s">
        <v>2818</v>
      </c>
      <c r="C1330" s="93">
        <v>2019</v>
      </c>
      <c r="D1330" s="93">
        <v>11</v>
      </c>
      <c r="E1330" s="93">
        <v>23</v>
      </c>
    </row>
    <row r="1331" spans="2:5" x14ac:dyDescent="0.2">
      <c r="B1331" s="92" t="s">
        <v>2818</v>
      </c>
      <c r="C1331" s="93">
        <v>2019</v>
      </c>
      <c r="D1331" s="93">
        <v>10</v>
      </c>
      <c r="E1331" s="93">
        <v>19</v>
      </c>
    </row>
    <row r="1332" spans="2:5" x14ac:dyDescent="0.2">
      <c r="B1332" s="92" t="s">
        <v>2818</v>
      </c>
      <c r="C1332" s="93">
        <v>2019</v>
      </c>
      <c r="D1332" s="93">
        <v>3</v>
      </c>
      <c r="E1332" s="93">
        <v>15</v>
      </c>
    </row>
    <row r="1333" spans="2:5" x14ac:dyDescent="0.2">
      <c r="B1333" s="92" t="s">
        <v>2818</v>
      </c>
      <c r="C1333" s="93">
        <v>2019</v>
      </c>
      <c r="D1333" s="93">
        <v>9</v>
      </c>
      <c r="E1333" s="93">
        <v>15</v>
      </c>
    </row>
    <row r="1334" spans="2:5" x14ac:dyDescent="0.2">
      <c r="B1334" s="92" t="s">
        <v>2818</v>
      </c>
      <c r="C1334" s="93">
        <v>2019</v>
      </c>
      <c r="D1334" s="93">
        <v>7</v>
      </c>
      <c r="E1334" s="93">
        <v>14</v>
      </c>
    </row>
    <row r="1335" spans="2:5" x14ac:dyDescent="0.2">
      <c r="B1335" s="92" t="s">
        <v>2818</v>
      </c>
      <c r="C1335" s="93">
        <v>2019</v>
      </c>
      <c r="D1335" s="93">
        <v>8</v>
      </c>
      <c r="E1335" s="93">
        <v>14</v>
      </c>
    </row>
    <row r="1336" spans="2:5" x14ac:dyDescent="0.2">
      <c r="B1336" s="92" t="s">
        <v>2818</v>
      </c>
      <c r="C1336" s="93">
        <v>2019</v>
      </c>
      <c r="D1336" s="93">
        <v>6</v>
      </c>
      <c r="E1336" s="93">
        <v>11</v>
      </c>
    </row>
    <row r="1337" spans="2:5" x14ac:dyDescent="0.2">
      <c r="B1337" s="92" t="s">
        <v>2818</v>
      </c>
      <c r="C1337" s="93">
        <v>2019</v>
      </c>
      <c r="D1337" s="93">
        <v>4</v>
      </c>
      <c r="E1337" s="93">
        <v>10</v>
      </c>
    </row>
    <row r="1338" spans="2:5" x14ac:dyDescent="0.2">
      <c r="B1338" s="92" t="s">
        <v>2818</v>
      </c>
      <c r="C1338" s="93">
        <v>2019</v>
      </c>
      <c r="D1338" s="93">
        <v>1</v>
      </c>
      <c r="E1338" s="93">
        <v>8</v>
      </c>
    </row>
    <row r="1339" spans="2:5" x14ac:dyDescent="0.2">
      <c r="B1339" s="92" t="s">
        <v>2818</v>
      </c>
      <c r="C1339" s="93">
        <v>2019</v>
      </c>
      <c r="D1339" s="93">
        <v>2</v>
      </c>
      <c r="E1339" s="93">
        <v>3</v>
      </c>
    </row>
    <row r="1340" spans="2:5" x14ac:dyDescent="0.2">
      <c r="B1340" s="92" t="s">
        <v>2818</v>
      </c>
      <c r="C1340" s="93">
        <v>2019</v>
      </c>
      <c r="D1340" s="93">
        <v>12</v>
      </c>
      <c r="E1340" s="93">
        <v>1</v>
      </c>
    </row>
    <row r="1341" spans="2:5" x14ac:dyDescent="0.2">
      <c r="B1341" s="92" t="s">
        <v>2958</v>
      </c>
      <c r="C1341" s="93">
        <v>2019</v>
      </c>
      <c r="D1341" s="93">
        <v>11</v>
      </c>
      <c r="E1341" s="93">
        <v>3</v>
      </c>
    </row>
    <row r="1342" spans="2:5" x14ac:dyDescent="0.2">
      <c r="B1342" s="92" t="s">
        <v>2958</v>
      </c>
      <c r="C1342" s="93">
        <v>2019</v>
      </c>
      <c r="D1342" s="93">
        <v>1</v>
      </c>
      <c r="E1342" s="93">
        <v>1</v>
      </c>
    </row>
    <row r="1343" spans="2:5" x14ac:dyDescent="0.2">
      <c r="B1343" s="92" t="s">
        <v>2958</v>
      </c>
      <c r="C1343" s="93">
        <v>2019</v>
      </c>
      <c r="D1343" s="93">
        <v>8</v>
      </c>
      <c r="E1343" s="93">
        <v>1</v>
      </c>
    </row>
    <row r="1344" spans="2:5" x14ac:dyDescent="0.2">
      <c r="B1344" s="92" t="s">
        <v>2958</v>
      </c>
      <c r="C1344" s="93">
        <v>2019</v>
      </c>
      <c r="D1344" s="93">
        <v>9</v>
      </c>
      <c r="E1344" s="93">
        <v>1</v>
      </c>
    </row>
    <row r="1345" spans="2:5" x14ac:dyDescent="0.2">
      <c r="B1345" s="92" t="s">
        <v>2958</v>
      </c>
      <c r="C1345" s="93">
        <v>2019</v>
      </c>
      <c r="D1345" s="93">
        <v>12</v>
      </c>
      <c r="E1345" s="93">
        <v>1</v>
      </c>
    </row>
    <row r="1346" spans="2:5" x14ac:dyDescent="0.2">
      <c r="B1346" s="92" t="s">
        <v>2819</v>
      </c>
      <c r="C1346" s="93">
        <v>2019</v>
      </c>
      <c r="D1346" s="93">
        <v>5</v>
      </c>
      <c r="E1346" s="93">
        <v>27</v>
      </c>
    </row>
    <row r="1347" spans="2:5" x14ac:dyDescent="0.2">
      <c r="B1347" s="92" t="s">
        <v>2819</v>
      </c>
      <c r="C1347" s="93">
        <v>2019</v>
      </c>
      <c r="D1347" s="93">
        <v>3</v>
      </c>
      <c r="E1347" s="93">
        <v>16</v>
      </c>
    </row>
    <row r="1348" spans="2:5" x14ac:dyDescent="0.2">
      <c r="B1348" s="92" t="s">
        <v>2819</v>
      </c>
      <c r="C1348" s="93">
        <v>2019</v>
      </c>
      <c r="D1348" s="93">
        <v>8</v>
      </c>
      <c r="E1348" s="93">
        <v>16</v>
      </c>
    </row>
    <row r="1349" spans="2:5" x14ac:dyDescent="0.2">
      <c r="B1349" s="92" t="s">
        <v>2819</v>
      </c>
      <c r="C1349" s="93">
        <v>2019</v>
      </c>
      <c r="D1349" s="93">
        <v>10</v>
      </c>
      <c r="E1349" s="93">
        <v>14</v>
      </c>
    </row>
    <row r="1350" spans="2:5" x14ac:dyDescent="0.2">
      <c r="B1350" s="92" t="s">
        <v>2819</v>
      </c>
      <c r="C1350" s="93">
        <v>2019</v>
      </c>
      <c r="D1350" s="93">
        <v>6</v>
      </c>
      <c r="E1350" s="93">
        <v>13</v>
      </c>
    </row>
    <row r="1351" spans="2:5" x14ac:dyDescent="0.2">
      <c r="B1351" s="92" t="s">
        <v>2819</v>
      </c>
      <c r="C1351" s="93">
        <v>2019</v>
      </c>
      <c r="D1351" s="93">
        <v>11</v>
      </c>
      <c r="E1351" s="93">
        <v>12</v>
      </c>
    </row>
    <row r="1352" spans="2:5" x14ac:dyDescent="0.2">
      <c r="B1352" s="92" t="s">
        <v>2819</v>
      </c>
      <c r="C1352" s="93">
        <v>2019</v>
      </c>
      <c r="D1352" s="93">
        <v>7</v>
      </c>
      <c r="E1352" s="93">
        <v>10</v>
      </c>
    </row>
    <row r="1353" spans="2:5" x14ac:dyDescent="0.2">
      <c r="B1353" s="92" t="s">
        <v>2819</v>
      </c>
      <c r="C1353" s="93">
        <v>2019</v>
      </c>
      <c r="D1353" s="93">
        <v>2</v>
      </c>
      <c r="E1353" s="93">
        <v>8</v>
      </c>
    </row>
    <row r="1354" spans="2:5" x14ac:dyDescent="0.2">
      <c r="B1354" s="92" t="s">
        <v>2819</v>
      </c>
      <c r="C1354" s="93">
        <v>2019</v>
      </c>
      <c r="D1354" s="93">
        <v>12</v>
      </c>
      <c r="E1354" s="93">
        <v>4</v>
      </c>
    </row>
    <row r="1355" spans="2:5" x14ac:dyDescent="0.2">
      <c r="B1355" s="92" t="s">
        <v>2819</v>
      </c>
      <c r="C1355" s="93">
        <v>2019</v>
      </c>
      <c r="D1355" s="93">
        <v>9</v>
      </c>
      <c r="E1355" s="93">
        <v>3</v>
      </c>
    </row>
    <row r="1356" spans="2:5" x14ac:dyDescent="0.2">
      <c r="B1356" s="92" t="s">
        <v>2963</v>
      </c>
      <c r="C1356" s="93">
        <v>2019</v>
      </c>
      <c r="D1356" s="93">
        <v>6</v>
      </c>
      <c r="E1356" s="93">
        <v>2</v>
      </c>
    </row>
    <row r="1357" spans="2:5" x14ac:dyDescent="0.2">
      <c r="B1357" s="92" t="s">
        <v>2963</v>
      </c>
      <c r="C1357" s="93">
        <v>2019</v>
      </c>
      <c r="D1357" s="93">
        <v>2</v>
      </c>
      <c r="E1357" s="93">
        <v>1</v>
      </c>
    </row>
    <row r="1358" spans="2:5" x14ac:dyDescent="0.2">
      <c r="B1358" s="92" t="s">
        <v>2963</v>
      </c>
      <c r="C1358" s="93">
        <v>2019</v>
      </c>
      <c r="D1358" s="93">
        <v>3</v>
      </c>
      <c r="E1358" s="93">
        <v>1</v>
      </c>
    </row>
    <row r="1359" spans="2:5" x14ac:dyDescent="0.2">
      <c r="B1359" s="92" t="s">
        <v>2963</v>
      </c>
      <c r="C1359" s="93">
        <v>2019</v>
      </c>
      <c r="D1359" s="93">
        <v>5</v>
      </c>
      <c r="E1359" s="93">
        <v>1</v>
      </c>
    </row>
    <row r="1360" spans="2:5" x14ac:dyDescent="0.2">
      <c r="B1360" s="92" t="s">
        <v>2963</v>
      </c>
      <c r="C1360" s="93">
        <v>2019</v>
      </c>
      <c r="D1360" s="93">
        <v>7</v>
      </c>
      <c r="E1360" s="93">
        <v>1</v>
      </c>
    </row>
    <row r="1361" spans="2:5" x14ac:dyDescent="0.2">
      <c r="B1361" s="92" t="s">
        <v>2820</v>
      </c>
      <c r="C1361" s="93">
        <v>2019</v>
      </c>
      <c r="D1361" s="93">
        <v>4</v>
      </c>
      <c r="E1361" s="93">
        <v>36</v>
      </c>
    </row>
    <row r="1362" spans="2:5" x14ac:dyDescent="0.2">
      <c r="B1362" s="92" t="s">
        <v>2820</v>
      </c>
      <c r="C1362" s="93">
        <v>2019</v>
      </c>
      <c r="D1362" s="93">
        <v>7</v>
      </c>
      <c r="E1362" s="93">
        <v>29</v>
      </c>
    </row>
    <row r="1363" spans="2:5" x14ac:dyDescent="0.2">
      <c r="B1363" s="92" t="s">
        <v>2820</v>
      </c>
      <c r="C1363" s="93">
        <v>2019</v>
      </c>
      <c r="D1363" s="93">
        <v>5</v>
      </c>
      <c r="E1363" s="93">
        <v>26</v>
      </c>
    </row>
    <row r="1364" spans="2:5" x14ac:dyDescent="0.2">
      <c r="B1364" s="92" t="s">
        <v>2820</v>
      </c>
      <c r="C1364" s="93">
        <v>2019</v>
      </c>
      <c r="D1364" s="93">
        <v>9</v>
      </c>
      <c r="E1364" s="93">
        <v>22</v>
      </c>
    </row>
    <row r="1365" spans="2:5" x14ac:dyDescent="0.2">
      <c r="B1365" s="92" t="s">
        <v>2820</v>
      </c>
      <c r="C1365" s="93">
        <v>2019</v>
      </c>
      <c r="D1365" s="93">
        <v>10</v>
      </c>
      <c r="E1365" s="93">
        <v>19</v>
      </c>
    </row>
    <row r="1366" spans="2:5" x14ac:dyDescent="0.2">
      <c r="B1366" s="92" t="s">
        <v>2820</v>
      </c>
      <c r="C1366" s="93">
        <v>2019</v>
      </c>
      <c r="D1366" s="93">
        <v>6</v>
      </c>
      <c r="E1366" s="93">
        <v>13</v>
      </c>
    </row>
    <row r="1367" spans="2:5" x14ac:dyDescent="0.2">
      <c r="B1367" s="92" t="s">
        <v>2820</v>
      </c>
      <c r="C1367" s="93">
        <v>2019</v>
      </c>
      <c r="D1367" s="93">
        <v>12</v>
      </c>
      <c r="E1367" s="93">
        <v>12</v>
      </c>
    </row>
    <row r="1368" spans="2:5" x14ac:dyDescent="0.2">
      <c r="B1368" s="92" t="s">
        <v>2820</v>
      </c>
      <c r="C1368" s="93">
        <v>2019</v>
      </c>
      <c r="D1368" s="93">
        <v>11</v>
      </c>
      <c r="E1368" s="93">
        <v>11</v>
      </c>
    </row>
    <row r="1369" spans="2:5" x14ac:dyDescent="0.2">
      <c r="B1369" s="92" t="s">
        <v>2820</v>
      </c>
      <c r="C1369" s="93">
        <v>2019</v>
      </c>
      <c r="D1369" s="93">
        <v>8</v>
      </c>
      <c r="E1369" s="93">
        <v>10</v>
      </c>
    </row>
    <row r="1370" spans="2:5" x14ac:dyDescent="0.2">
      <c r="B1370" s="92" t="s">
        <v>2820</v>
      </c>
      <c r="C1370" s="93">
        <v>2019</v>
      </c>
      <c r="D1370" s="93">
        <v>1</v>
      </c>
      <c r="E1370" s="93">
        <v>6</v>
      </c>
    </row>
    <row r="1371" spans="2:5" x14ac:dyDescent="0.2">
      <c r="B1371" s="92" t="s">
        <v>2820</v>
      </c>
      <c r="C1371" s="93">
        <v>2019</v>
      </c>
      <c r="D1371" s="93">
        <v>2</v>
      </c>
      <c r="E1371" s="93">
        <v>4</v>
      </c>
    </row>
    <row r="1372" spans="2:5" x14ac:dyDescent="0.2">
      <c r="B1372" s="92" t="s">
        <v>2904</v>
      </c>
      <c r="C1372" s="93">
        <v>2019</v>
      </c>
      <c r="D1372" s="93">
        <v>8</v>
      </c>
      <c r="E1372" s="93">
        <v>37</v>
      </c>
    </row>
    <row r="1373" spans="2:5" x14ac:dyDescent="0.2">
      <c r="B1373" s="92" t="s">
        <v>2904</v>
      </c>
      <c r="C1373" s="93">
        <v>2019</v>
      </c>
      <c r="D1373" s="93">
        <v>5</v>
      </c>
      <c r="E1373" s="93">
        <v>28</v>
      </c>
    </row>
    <row r="1374" spans="2:5" x14ac:dyDescent="0.2">
      <c r="B1374" s="92" t="s">
        <v>2904</v>
      </c>
      <c r="C1374" s="93">
        <v>2019</v>
      </c>
      <c r="D1374" s="93">
        <v>11</v>
      </c>
      <c r="E1374" s="93">
        <v>25</v>
      </c>
    </row>
    <row r="1375" spans="2:5" x14ac:dyDescent="0.2">
      <c r="B1375" s="92" t="s">
        <v>2904</v>
      </c>
      <c r="C1375" s="93">
        <v>2019</v>
      </c>
      <c r="D1375" s="93">
        <v>3</v>
      </c>
      <c r="E1375" s="93">
        <v>15</v>
      </c>
    </row>
    <row r="1376" spans="2:5" x14ac:dyDescent="0.2">
      <c r="B1376" s="92" t="s">
        <v>2904</v>
      </c>
      <c r="C1376" s="93">
        <v>2019</v>
      </c>
      <c r="D1376" s="93">
        <v>6</v>
      </c>
      <c r="E1376" s="93">
        <v>15</v>
      </c>
    </row>
    <row r="1377" spans="2:5" x14ac:dyDescent="0.2">
      <c r="B1377" s="92" t="s">
        <v>2904</v>
      </c>
      <c r="C1377" s="93">
        <v>2019</v>
      </c>
      <c r="D1377" s="93">
        <v>10</v>
      </c>
      <c r="E1377" s="93">
        <v>14</v>
      </c>
    </row>
    <row r="1378" spans="2:5" x14ac:dyDescent="0.2">
      <c r="B1378" s="92" t="s">
        <v>2904</v>
      </c>
      <c r="C1378" s="93">
        <v>2019</v>
      </c>
      <c r="D1378" s="93">
        <v>9</v>
      </c>
      <c r="E1378" s="93">
        <v>12</v>
      </c>
    </row>
    <row r="1379" spans="2:5" x14ac:dyDescent="0.2">
      <c r="B1379" s="92" t="s">
        <v>2904</v>
      </c>
      <c r="C1379" s="93">
        <v>2019</v>
      </c>
      <c r="D1379" s="93">
        <v>7</v>
      </c>
      <c r="E1379" s="93">
        <v>11</v>
      </c>
    </row>
    <row r="1380" spans="2:5" x14ac:dyDescent="0.2">
      <c r="B1380" s="92" t="s">
        <v>2904</v>
      </c>
      <c r="C1380" s="93">
        <v>2019</v>
      </c>
      <c r="D1380" s="93">
        <v>1</v>
      </c>
      <c r="E1380" s="93">
        <v>10</v>
      </c>
    </row>
    <row r="1381" spans="2:5" x14ac:dyDescent="0.2">
      <c r="B1381" s="92" t="s">
        <v>2904</v>
      </c>
      <c r="C1381" s="93">
        <v>2019</v>
      </c>
      <c r="D1381" s="93">
        <v>4</v>
      </c>
      <c r="E1381" s="93">
        <v>6</v>
      </c>
    </row>
    <row r="1382" spans="2:5" x14ac:dyDescent="0.2">
      <c r="B1382" s="92" t="s">
        <v>2904</v>
      </c>
      <c r="C1382" s="93">
        <v>2019</v>
      </c>
      <c r="D1382" s="93">
        <v>12</v>
      </c>
      <c r="E1382" s="93">
        <v>6</v>
      </c>
    </row>
    <row r="1383" spans="2:5" x14ac:dyDescent="0.2">
      <c r="B1383" s="92" t="s">
        <v>2904</v>
      </c>
      <c r="C1383" s="93">
        <v>2019</v>
      </c>
      <c r="D1383" s="93">
        <v>2</v>
      </c>
      <c r="E1383" s="93">
        <v>2</v>
      </c>
    </row>
    <row r="1384" spans="2:5" x14ac:dyDescent="0.2">
      <c r="B1384" s="92" t="s">
        <v>2964</v>
      </c>
      <c r="C1384" s="93">
        <v>2019</v>
      </c>
      <c r="D1384" s="93">
        <v>1</v>
      </c>
      <c r="E1384" s="93">
        <v>2</v>
      </c>
    </row>
    <row r="1385" spans="2:5" x14ac:dyDescent="0.2">
      <c r="B1385" s="92" t="s">
        <v>2964</v>
      </c>
      <c r="C1385" s="93">
        <v>2019</v>
      </c>
      <c r="D1385" s="93">
        <v>4</v>
      </c>
      <c r="E1385" s="93">
        <v>2</v>
      </c>
    </row>
    <row r="1386" spans="2:5" x14ac:dyDescent="0.2">
      <c r="B1386" s="92" t="s">
        <v>2964</v>
      </c>
      <c r="C1386" s="93">
        <v>2019</v>
      </c>
      <c r="D1386" s="93">
        <v>5</v>
      </c>
      <c r="E1386" s="93">
        <v>1</v>
      </c>
    </row>
    <row r="1387" spans="2:5" x14ac:dyDescent="0.2">
      <c r="B1387" s="92" t="s">
        <v>2964</v>
      </c>
      <c r="C1387" s="93">
        <v>2019</v>
      </c>
      <c r="D1387" s="93">
        <v>6</v>
      </c>
      <c r="E1387" s="93">
        <v>1</v>
      </c>
    </row>
    <row r="1388" spans="2:5" x14ac:dyDescent="0.2">
      <c r="B1388" s="92" t="s">
        <v>2965</v>
      </c>
      <c r="C1388" s="93">
        <v>2019</v>
      </c>
      <c r="D1388" s="93">
        <v>8</v>
      </c>
      <c r="E1388" s="93">
        <v>2</v>
      </c>
    </row>
    <row r="1389" spans="2:5" x14ac:dyDescent="0.2">
      <c r="B1389" s="92" t="s">
        <v>2965</v>
      </c>
      <c r="C1389" s="93">
        <v>2019</v>
      </c>
      <c r="D1389" s="93">
        <v>9</v>
      </c>
      <c r="E1389" s="93">
        <v>1</v>
      </c>
    </row>
    <row r="1390" spans="2:5" x14ac:dyDescent="0.2">
      <c r="B1390" s="92" t="s">
        <v>2965</v>
      </c>
      <c r="C1390" s="93">
        <v>2019</v>
      </c>
      <c r="D1390" s="93">
        <v>10</v>
      </c>
      <c r="E1390" s="93">
        <v>1</v>
      </c>
    </row>
    <row r="1391" spans="2:5" x14ac:dyDescent="0.2">
      <c r="B1391" s="92" t="s">
        <v>2965</v>
      </c>
      <c r="C1391" s="93">
        <v>2019</v>
      </c>
      <c r="D1391" s="93">
        <v>11</v>
      </c>
      <c r="E1391" s="93">
        <v>1</v>
      </c>
    </row>
    <row r="1392" spans="2:5" x14ac:dyDescent="0.2">
      <c r="B1392" s="92" t="s">
        <v>2965</v>
      </c>
      <c r="C1392" s="93">
        <v>2019</v>
      </c>
      <c r="D1392" s="93">
        <v>12</v>
      </c>
      <c r="E1392" s="93">
        <v>1</v>
      </c>
    </row>
    <row r="1393" spans="2:5" x14ac:dyDescent="0.2">
      <c r="B1393" s="92" t="s">
        <v>2821</v>
      </c>
      <c r="C1393" s="93">
        <v>2019</v>
      </c>
      <c r="D1393" s="93">
        <v>5</v>
      </c>
      <c r="E1393" s="93">
        <v>40</v>
      </c>
    </row>
    <row r="1394" spans="2:5" x14ac:dyDescent="0.2">
      <c r="B1394" s="92" t="s">
        <v>2821</v>
      </c>
      <c r="C1394" s="93">
        <v>2019</v>
      </c>
      <c r="D1394" s="93">
        <v>4</v>
      </c>
      <c r="E1394" s="93">
        <v>25</v>
      </c>
    </row>
    <row r="1395" spans="2:5" x14ac:dyDescent="0.2">
      <c r="B1395" s="92" t="s">
        <v>2821</v>
      </c>
      <c r="C1395" s="93">
        <v>2019</v>
      </c>
      <c r="D1395" s="93">
        <v>6</v>
      </c>
      <c r="E1395" s="93">
        <v>23</v>
      </c>
    </row>
    <row r="1396" spans="2:5" x14ac:dyDescent="0.2">
      <c r="B1396" s="92" t="s">
        <v>2821</v>
      </c>
      <c r="C1396" s="93">
        <v>2019</v>
      </c>
      <c r="D1396" s="93">
        <v>7</v>
      </c>
      <c r="E1396" s="93">
        <v>15</v>
      </c>
    </row>
    <row r="1397" spans="2:5" x14ac:dyDescent="0.2">
      <c r="B1397" s="92" t="s">
        <v>2821</v>
      </c>
      <c r="C1397" s="93">
        <v>2019</v>
      </c>
      <c r="D1397" s="93">
        <v>2</v>
      </c>
      <c r="E1397" s="93">
        <v>12</v>
      </c>
    </row>
    <row r="1398" spans="2:5" x14ac:dyDescent="0.2">
      <c r="B1398" s="92" t="s">
        <v>2821</v>
      </c>
      <c r="C1398" s="93">
        <v>2019</v>
      </c>
      <c r="D1398" s="93">
        <v>1</v>
      </c>
      <c r="E1398" s="93">
        <v>7</v>
      </c>
    </row>
    <row r="1399" spans="2:5" x14ac:dyDescent="0.2">
      <c r="B1399" s="92" t="s">
        <v>2821</v>
      </c>
      <c r="C1399" s="93">
        <v>2019</v>
      </c>
      <c r="D1399" s="93">
        <v>8</v>
      </c>
      <c r="E1399" s="93">
        <v>7</v>
      </c>
    </row>
    <row r="1400" spans="2:5" x14ac:dyDescent="0.2">
      <c r="B1400" s="92" t="s">
        <v>2821</v>
      </c>
      <c r="C1400" s="93">
        <v>2019</v>
      </c>
      <c r="D1400" s="93">
        <v>12</v>
      </c>
      <c r="E1400" s="93">
        <v>5</v>
      </c>
    </row>
    <row r="1401" spans="2:5" x14ac:dyDescent="0.2">
      <c r="B1401" s="92" t="s">
        <v>2821</v>
      </c>
      <c r="C1401" s="93">
        <v>2019</v>
      </c>
      <c r="D1401" s="93">
        <v>10</v>
      </c>
      <c r="E1401" s="93">
        <v>3</v>
      </c>
    </row>
    <row r="1402" spans="2:5" x14ac:dyDescent="0.2">
      <c r="B1402" s="92" t="s">
        <v>2821</v>
      </c>
      <c r="C1402" s="93">
        <v>2019</v>
      </c>
      <c r="D1402" s="93">
        <v>9</v>
      </c>
      <c r="E1402" s="93">
        <v>2</v>
      </c>
    </row>
    <row r="1403" spans="2:5" x14ac:dyDescent="0.2">
      <c r="B1403" s="92" t="s">
        <v>2821</v>
      </c>
      <c r="C1403" s="93">
        <v>2019</v>
      </c>
      <c r="D1403" s="93">
        <v>11</v>
      </c>
      <c r="E1403" s="93">
        <v>1</v>
      </c>
    </row>
    <row r="1404" spans="2:5" x14ac:dyDescent="0.2">
      <c r="B1404" s="92" t="s">
        <v>2822</v>
      </c>
      <c r="C1404" s="93">
        <v>2019</v>
      </c>
      <c r="D1404" s="93">
        <v>4</v>
      </c>
      <c r="E1404" s="93">
        <v>74</v>
      </c>
    </row>
    <row r="1405" spans="2:5" x14ac:dyDescent="0.2">
      <c r="B1405" s="92" t="s">
        <v>2822</v>
      </c>
      <c r="C1405" s="93">
        <v>2019</v>
      </c>
      <c r="D1405" s="93">
        <v>3</v>
      </c>
      <c r="E1405" s="93">
        <v>69</v>
      </c>
    </row>
    <row r="1406" spans="2:5" x14ac:dyDescent="0.2">
      <c r="B1406" s="92" t="s">
        <v>2822</v>
      </c>
      <c r="C1406" s="93">
        <v>2019</v>
      </c>
      <c r="D1406" s="93">
        <v>5</v>
      </c>
      <c r="E1406" s="93">
        <v>66</v>
      </c>
    </row>
    <row r="1407" spans="2:5" x14ac:dyDescent="0.2">
      <c r="B1407" s="92" t="s">
        <v>2822</v>
      </c>
      <c r="C1407" s="93">
        <v>2019</v>
      </c>
      <c r="D1407" s="93">
        <v>10</v>
      </c>
      <c r="E1407" s="93">
        <v>62</v>
      </c>
    </row>
    <row r="1408" spans="2:5" x14ac:dyDescent="0.2">
      <c r="B1408" s="92" t="s">
        <v>2822</v>
      </c>
      <c r="C1408" s="93">
        <v>2019</v>
      </c>
      <c r="D1408" s="93">
        <v>9</v>
      </c>
      <c r="E1408" s="93">
        <v>56</v>
      </c>
    </row>
    <row r="1409" spans="2:5" x14ac:dyDescent="0.2">
      <c r="B1409" s="92" t="s">
        <v>2822</v>
      </c>
      <c r="C1409" s="93">
        <v>2019</v>
      </c>
      <c r="D1409" s="93">
        <v>8</v>
      </c>
      <c r="E1409" s="93">
        <v>50</v>
      </c>
    </row>
    <row r="1410" spans="2:5" x14ac:dyDescent="0.2">
      <c r="B1410" s="92" t="s">
        <v>2822</v>
      </c>
      <c r="C1410" s="93">
        <v>2019</v>
      </c>
      <c r="D1410" s="93">
        <v>1</v>
      </c>
      <c r="E1410" s="93">
        <v>47</v>
      </c>
    </row>
    <row r="1411" spans="2:5" x14ac:dyDescent="0.2">
      <c r="B1411" s="92" t="s">
        <v>2822</v>
      </c>
      <c r="C1411" s="93">
        <v>2019</v>
      </c>
      <c r="D1411" s="93">
        <v>2</v>
      </c>
      <c r="E1411" s="93">
        <v>47</v>
      </c>
    </row>
    <row r="1412" spans="2:5" x14ac:dyDescent="0.2">
      <c r="B1412" s="92" t="s">
        <v>2822</v>
      </c>
      <c r="C1412" s="93">
        <v>2019</v>
      </c>
      <c r="D1412" s="93">
        <v>6</v>
      </c>
      <c r="E1412" s="93">
        <v>28</v>
      </c>
    </row>
    <row r="1413" spans="2:5" x14ac:dyDescent="0.2">
      <c r="B1413" s="92" t="s">
        <v>2822</v>
      </c>
      <c r="C1413" s="93">
        <v>2019</v>
      </c>
      <c r="D1413" s="93">
        <v>7</v>
      </c>
      <c r="E1413" s="93">
        <v>26</v>
      </c>
    </row>
    <row r="1414" spans="2:5" x14ac:dyDescent="0.2">
      <c r="B1414" s="92" t="s">
        <v>2822</v>
      </c>
      <c r="C1414" s="93">
        <v>2019</v>
      </c>
      <c r="D1414" s="93">
        <v>11</v>
      </c>
      <c r="E1414" s="93">
        <v>17</v>
      </c>
    </row>
    <row r="1415" spans="2:5" x14ac:dyDescent="0.2">
      <c r="B1415" s="92" t="s">
        <v>2822</v>
      </c>
      <c r="C1415" s="93">
        <v>2019</v>
      </c>
      <c r="D1415" s="93">
        <v>12</v>
      </c>
      <c r="E1415" s="93">
        <v>3</v>
      </c>
    </row>
    <row r="1416" spans="2:5" x14ac:dyDescent="0.2">
      <c r="B1416" s="92" t="s">
        <v>2901</v>
      </c>
      <c r="C1416" s="93">
        <v>2019</v>
      </c>
      <c r="D1416" s="93">
        <v>2</v>
      </c>
      <c r="E1416" s="93">
        <v>30</v>
      </c>
    </row>
    <row r="1417" spans="2:5" x14ac:dyDescent="0.2">
      <c r="B1417" s="92" t="s">
        <v>2901</v>
      </c>
      <c r="C1417" s="93">
        <v>2019</v>
      </c>
      <c r="D1417" s="93">
        <v>3</v>
      </c>
      <c r="E1417" s="93">
        <v>29</v>
      </c>
    </row>
    <row r="1418" spans="2:5" x14ac:dyDescent="0.2">
      <c r="B1418" s="92" t="s">
        <v>2901</v>
      </c>
      <c r="C1418" s="93">
        <v>2019</v>
      </c>
      <c r="D1418" s="93">
        <v>1</v>
      </c>
      <c r="E1418" s="93">
        <v>28</v>
      </c>
    </row>
    <row r="1419" spans="2:5" x14ac:dyDescent="0.2">
      <c r="B1419" s="92" t="s">
        <v>2901</v>
      </c>
      <c r="C1419" s="93">
        <v>2019</v>
      </c>
      <c r="D1419" s="93">
        <v>9</v>
      </c>
      <c r="E1419" s="93">
        <v>24</v>
      </c>
    </row>
    <row r="1420" spans="2:5" x14ac:dyDescent="0.2">
      <c r="B1420" s="92" t="s">
        <v>2901</v>
      </c>
      <c r="C1420" s="93">
        <v>2019</v>
      </c>
      <c r="D1420" s="93">
        <v>4</v>
      </c>
      <c r="E1420" s="93">
        <v>21</v>
      </c>
    </row>
    <row r="1421" spans="2:5" x14ac:dyDescent="0.2">
      <c r="B1421" s="92" t="s">
        <v>2901</v>
      </c>
      <c r="C1421" s="93">
        <v>2019</v>
      </c>
      <c r="D1421" s="93">
        <v>11</v>
      </c>
      <c r="E1421" s="93">
        <v>17</v>
      </c>
    </row>
    <row r="1422" spans="2:5" x14ac:dyDescent="0.2">
      <c r="B1422" s="92" t="s">
        <v>2901</v>
      </c>
      <c r="C1422" s="93">
        <v>2019</v>
      </c>
      <c r="D1422" s="93">
        <v>6</v>
      </c>
      <c r="E1422" s="93">
        <v>16</v>
      </c>
    </row>
    <row r="1423" spans="2:5" x14ac:dyDescent="0.2">
      <c r="B1423" s="92" t="s">
        <v>2901</v>
      </c>
      <c r="C1423" s="93">
        <v>2019</v>
      </c>
      <c r="D1423" s="93">
        <v>8</v>
      </c>
      <c r="E1423" s="93">
        <v>12</v>
      </c>
    </row>
    <row r="1424" spans="2:5" x14ac:dyDescent="0.2">
      <c r="B1424" s="92" t="s">
        <v>2901</v>
      </c>
      <c r="C1424" s="93">
        <v>2019</v>
      </c>
      <c r="D1424" s="93">
        <v>10</v>
      </c>
      <c r="E1424" s="93">
        <v>11</v>
      </c>
    </row>
    <row r="1425" spans="2:5" x14ac:dyDescent="0.2">
      <c r="B1425" s="92" t="s">
        <v>2901</v>
      </c>
      <c r="C1425" s="93">
        <v>2019</v>
      </c>
      <c r="D1425" s="93">
        <v>7</v>
      </c>
      <c r="E1425" s="93">
        <v>10</v>
      </c>
    </row>
    <row r="1426" spans="2:5" x14ac:dyDescent="0.2">
      <c r="B1426" s="92" t="s">
        <v>2901</v>
      </c>
      <c r="C1426" s="93">
        <v>2019</v>
      </c>
      <c r="D1426" s="93">
        <v>12</v>
      </c>
      <c r="E1426" s="93">
        <v>10</v>
      </c>
    </row>
    <row r="1427" spans="2:5" x14ac:dyDescent="0.2">
      <c r="B1427" s="92" t="s">
        <v>2901</v>
      </c>
      <c r="C1427" s="93">
        <v>2019</v>
      </c>
      <c r="D1427" s="93">
        <v>5</v>
      </c>
      <c r="E1427" s="93">
        <v>7</v>
      </c>
    </row>
    <row r="1428" spans="2:5" x14ac:dyDescent="0.2">
      <c r="B1428" s="92" t="s">
        <v>2935</v>
      </c>
      <c r="C1428" s="93">
        <v>2019</v>
      </c>
      <c r="D1428" s="93">
        <v>1</v>
      </c>
      <c r="E1428" s="93">
        <v>4</v>
      </c>
    </row>
    <row r="1429" spans="2:5" x14ac:dyDescent="0.2">
      <c r="B1429" s="92" t="s">
        <v>2935</v>
      </c>
      <c r="C1429" s="93">
        <v>2019</v>
      </c>
      <c r="D1429" s="93">
        <v>9</v>
      </c>
      <c r="E1429" s="93">
        <v>4</v>
      </c>
    </row>
    <row r="1430" spans="2:5" x14ac:dyDescent="0.2">
      <c r="B1430" s="92" t="s">
        <v>2935</v>
      </c>
      <c r="C1430" s="93">
        <v>2019</v>
      </c>
      <c r="D1430" s="93">
        <v>7</v>
      </c>
      <c r="E1430" s="93">
        <v>3</v>
      </c>
    </row>
    <row r="1431" spans="2:5" x14ac:dyDescent="0.2">
      <c r="B1431" s="92" t="s">
        <v>2935</v>
      </c>
      <c r="C1431" s="93">
        <v>2019</v>
      </c>
      <c r="D1431" s="93">
        <v>10</v>
      </c>
      <c r="E1431" s="93">
        <v>3</v>
      </c>
    </row>
    <row r="1432" spans="2:5" x14ac:dyDescent="0.2">
      <c r="B1432" s="92" t="s">
        <v>2935</v>
      </c>
      <c r="C1432" s="93">
        <v>2019</v>
      </c>
      <c r="D1432" s="93">
        <v>3</v>
      </c>
      <c r="E1432" s="93">
        <v>2</v>
      </c>
    </row>
    <row r="1433" spans="2:5" x14ac:dyDescent="0.2">
      <c r="B1433" s="92" t="s">
        <v>2935</v>
      </c>
      <c r="C1433" s="93">
        <v>2019</v>
      </c>
      <c r="D1433" s="93">
        <v>6</v>
      </c>
      <c r="E1433" s="93">
        <v>2</v>
      </c>
    </row>
    <row r="1434" spans="2:5" x14ac:dyDescent="0.2">
      <c r="B1434" s="92" t="s">
        <v>2935</v>
      </c>
      <c r="C1434" s="93">
        <v>2019</v>
      </c>
      <c r="D1434" s="93">
        <v>12</v>
      </c>
      <c r="E1434" s="93">
        <v>2</v>
      </c>
    </row>
    <row r="1435" spans="2:5" x14ac:dyDescent="0.2">
      <c r="B1435" s="92" t="s">
        <v>2935</v>
      </c>
      <c r="C1435" s="93">
        <v>2019</v>
      </c>
      <c r="D1435" s="93">
        <v>5</v>
      </c>
      <c r="E1435" s="93">
        <v>1</v>
      </c>
    </row>
    <row r="1436" spans="2:5" x14ac:dyDescent="0.2">
      <c r="B1436" s="92" t="s">
        <v>2935</v>
      </c>
      <c r="C1436" s="93">
        <v>2019</v>
      </c>
      <c r="D1436" s="93">
        <v>8</v>
      </c>
      <c r="E1436" s="93">
        <v>1</v>
      </c>
    </row>
    <row r="1437" spans="2:5" x14ac:dyDescent="0.2">
      <c r="B1437" s="92" t="s">
        <v>2935</v>
      </c>
      <c r="C1437" s="93">
        <v>2019</v>
      </c>
      <c r="D1437" s="93">
        <v>11</v>
      </c>
      <c r="E1437" s="93">
        <v>1</v>
      </c>
    </row>
    <row r="1438" spans="2:5" x14ac:dyDescent="0.2">
      <c r="B1438" s="92" t="s">
        <v>2823</v>
      </c>
      <c r="C1438" s="93">
        <v>2019</v>
      </c>
      <c r="D1438" s="93">
        <v>9</v>
      </c>
      <c r="E1438" s="93">
        <v>14</v>
      </c>
    </row>
    <row r="1439" spans="2:5" x14ac:dyDescent="0.2">
      <c r="B1439" s="92" t="s">
        <v>2823</v>
      </c>
      <c r="C1439" s="93">
        <v>2019</v>
      </c>
      <c r="D1439" s="93">
        <v>8</v>
      </c>
      <c r="E1439" s="93">
        <v>8</v>
      </c>
    </row>
    <row r="1440" spans="2:5" x14ac:dyDescent="0.2">
      <c r="B1440" s="92" t="s">
        <v>2823</v>
      </c>
      <c r="C1440" s="93">
        <v>2019</v>
      </c>
      <c r="D1440" s="93">
        <v>5</v>
      </c>
      <c r="E1440" s="93">
        <v>5</v>
      </c>
    </row>
    <row r="1441" spans="2:5" x14ac:dyDescent="0.2">
      <c r="B1441" s="92" t="s">
        <v>2823</v>
      </c>
      <c r="C1441" s="93">
        <v>2019</v>
      </c>
      <c r="D1441" s="93">
        <v>7</v>
      </c>
      <c r="E1441" s="93">
        <v>5</v>
      </c>
    </row>
    <row r="1442" spans="2:5" x14ac:dyDescent="0.2">
      <c r="B1442" s="92" t="s">
        <v>2823</v>
      </c>
      <c r="C1442" s="93">
        <v>2019</v>
      </c>
      <c r="D1442" s="93">
        <v>3</v>
      </c>
      <c r="E1442" s="93">
        <v>4</v>
      </c>
    </row>
    <row r="1443" spans="2:5" x14ac:dyDescent="0.2">
      <c r="B1443" s="92" t="s">
        <v>2823</v>
      </c>
      <c r="C1443" s="93">
        <v>2019</v>
      </c>
      <c r="D1443" s="93">
        <v>6</v>
      </c>
      <c r="E1443" s="93">
        <v>4</v>
      </c>
    </row>
    <row r="1444" spans="2:5" x14ac:dyDescent="0.2">
      <c r="B1444" s="92" t="s">
        <v>2823</v>
      </c>
      <c r="C1444" s="93">
        <v>2019</v>
      </c>
      <c r="D1444" s="93">
        <v>10</v>
      </c>
      <c r="E1444" s="93">
        <v>4</v>
      </c>
    </row>
    <row r="1445" spans="2:5" x14ac:dyDescent="0.2">
      <c r="B1445" s="92" t="s">
        <v>2823</v>
      </c>
      <c r="C1445" s="93">
        <v>2019</v>
      </c>
      <c r="D1445" s="93">
        <v>1</v>
      </c>
      <c r="E1445" s="93">
        <v>3</v>
      </c>
    </row>
    <row r="1446" spans="2:5" x14ac:dyDescent="0.2">
      <c r="B1446" s="92" t="s">
        <v>2823</v>
      </c>
      <c r="C1446" s="93">
        <v>2019</v>
      </c>
      <c r="D1446" s="93">
        <v>11</v>
      </c>
      <c r="E1446" s="93">
        <v>2</v>
      </c>
    </row>
    <row r="1447" spans="2:5" x14ac:dyDescent="0.2">
      <c r="B1447" s="92" t="s">
        <v>2823</v>
      </c>
      <c r="C1447" s="93">
        <v>2019</v>
      </c>
      <c r="D1447" s="93">
        <v>2</v>
      </c>
      <c r="E1447" s="93">
        <v>1</v>
      </c>
    </row>
    <row r="1448" spans="2:5" x14ac:dyDescent="0.2">
      <c r="B1448" s="92" t="s">
        <v>2823</v>
      </c>
      <c r="C1448" s="93">
        <v>2019</v>
      </c>
      <c r="D1448" s="93">
        <v>12</v>
      </c>
      <c r="E1448" s="93">
        <v>1</v>
      </c>
    </row>
    <row r="1449" spans="2:5" x14ac:dyDescent="0.2">
      <c r="B1449" s="92" t="s">
        <v>2824</v>
      </c>
      <c r="C1449" s="93">
        <v>2019</v>
      </c>
      <c r="D1449" s="93">
        <v>5</v>
      </c>
      <c r="E1449" s="93">
        <v>5</v>
      </c>
    </row>
    <row r="1450" spans="2:5" x14ac:dyDescent="0.2">
      <c r="B1450" s="92" t="s">
        <v>2824</v>
      </c>
      <c r="C1450" s="93">
        <v>2019</v>
      </c>
      <c r="D1450" s="93">
        <v>7</v>
      </c>
      <c r="E1450" s="93">
        <v>5</v>
      </c>
    </row>
    <row r="1451" spans="2:5" x14ac:dyDescent="0.2">
      <c r="B1451" s="92" t="s">
        <v>2824</v>
      </c>
      <c r="C1451" s="93">
        <v>2019</v>
      </c>
      <c r="D1451" s="93">
        <v>9</v>
      </c>
      <c r="E1451" s="93">
        <v>2</v>
      </c>
    </row>
    <row r="1452" spans="2:5" x14ac:dyDescent="0.2">
      <c r="B1452" s="92" t="s">
        <v>2824</v>
      </c>
      <c r="C1452" s="93">
        <v>2019</v>
      </c>
      <c r="D1452" s="93">
        <v>10</v>
      </c>
      <c r="E1452" s="93">
        <v>2</v>
      </c>
    </row>
    <row r="1453" spans="2:5" x14ac:dyDescent="0.2">
      <c r="B1453" s="92" t="s">
        <v>2824</v>
      </c>
      <c r="C1453" s="93">
        <v>2019</v>
      </c>
      <c r="D1453" s="93">
        <v>1</v>
      </c>
      <c r="E1453" s="93">
        <v>1</v>
      </c>
    </row>
    <row r="1454" spans="2:5" x14ac:dyDescent="0.2">
      <c r="B1454" s="92" t="s">
        <v>2824</v>
      </c>
      <c r="C1454" s="93">
        <v>2019</v>
      </c>
      <c r="D1454" s="93">
        <v>2</v>
      </c>
      <c r="E1454" s="93">
        <v>1</v>
      </c>
    </row>
    <row r="1455" spans="2:5" x14ac:dyDescent="0.2">
      <c r="B1455" s="92" t="s">
        <v>2824</v>
      </c>
      <c r="C1455" s="93">
        <v>2019</v>
      </c>
      <c r="D1455" s="93">
        <v>3</v>
      </c>
      <c r="E1455" s="93">
        <v>1</v>
      </c>
    </row>
    <row r="1456" spans="2:5" x14ac:dyDescent="0.2">
      <c r="B1456" s="92" t="s">
        <v>2824</v>
      </c>
      <c r="C1456" s="93">
        <v>2019</v>
      </c>
      <c r="D1456" s="93">
        <v>6</v>
      </c>
      <c r="E1456" s="93">
        <v>1</v>
      </c>
    </row>
    <row r="1457" spans="2:5" x14ac:dyDescent="0.2">
      <c r="B1457" s="92" t="s">
        <v>2824</v>
      </c>
      <c r="C1457" s="93">
        <v>2019</v>
      </c>
      <c r="D1457" s="93">
        <v>8</v>
      </c>
      <c r="E1457" s="93">
        <v>1</v>
      </c>
    </row>
    <row r="1458" spans="2:5" x14ac:dyDescent="0.2">
      <c r="B1458" s="92" t="s">
        <v>2942</v>
      </c>
      <c r="C1458" s="93">
        <v>2019</v>
      </c>
      <c r="D1458" s="93">
        <v>7</v>
      </c>
      <c r="E1458" s="93">
        <v>5</v>
      </c>
    </row>
    <row r="1459" spans="2:5" x14ac:dyDescent="0.2">
      <c r="B1459" s="92" t="s">
        <v>2942</v>
      </c>
      <c r="C1459" s="93">
        <v>2019</v>
      </c>
      <c r="D1459" s="93">
        <v>1</v>
      </c>
      <c r="E1459" s="93">
        <v>2</v>
      </c>
    </row>
    <row r="1460" spans="2:5" x14ac:dyDescent="0.2">
      <c r="B1460" s="92" t="s">
        <v>2942</v>
      </c>
      <c r="C1460" s="93">
        <v>2019</v>
      </c>
      <c r="D1460" s="93">
        <v>3</v>
      </c>
      <c r="E1460" s="93">
        <v>2</v>
      </c>
    </row>
    <row r="1461" spans="2:5" x14ac:dyDescent="0.2">
      <c r="B1461" s="92" t="s">
        <v>2942</v>
      </c>
      <c r="C1461" s="93">
        <v>2019</v>
      </c>
      <c r="D1461" s="93">
        <v>5</v>
      </c>
      <c r="E1461" s="93">
        <v>2</v>
      </c>
    </row>
    <row r="1462" spans="2:5" x14ac:dyDescent="0.2">
      <c r="B1462" s="92" t="s">
        <v>2942</v>
      </c>
      <c r="C1462" s="93">
        <v>2019</v>
      </c>
      <c r="D1462" s="93">
        <v>2</v>
      </c>
      <c r="E1462" s="93">
        <v>1</v>
      </c>
    </row>
    <row r="1463" spans="2:5" x14ac:dyDescent="0.2">
      <c r="B1463" s="92" t="s">
        <v>2942</v>
      </c>
      <c r="C1463" s="93">
        <v>2019</v>
      </c>
      <c r="D1463" s="93">
        <v>4</v>
      </c>
      <c r="E1463" s="93">
        <v>1</v>
      </c>
    </row>
    <row r="1464" spans="2:5" x14ac:dyDescent="0.2">
      <c r="B1464" s="92" t="s">
        <v>2942</v>
      </c>
      <c r="C1464" s="93">
        <v>2019</v>
      </c>
      <c r="D1464" s="93">
        <v>8</v>
      </c>
      <c r="E1464" s="93">
        <v>1</v>
      </c>
    </row>
    <row r="1465" spans="2:5" x14ac:dyDescent="0.2">
      <c r="B1465" s="92" t="s">
        <v>2942</v>
      </c>
      <c r="C1465" s="93">
        <v>2019</v>
      </c>
      <c r="D1465" s="93">
        <v>10</v>
      </c>
      <c r="E1465" s="93">
        <v>1</v>
      </c>
    </row>
    <row r="1466" spans="2:5" x14ac:dyDescent="0.2">
      <c r="B1466" s="92" t="s">
        <v>2825</v>
      </c>
      <c r="C1466" s="93">
        <v>2019</v>
      </c>
      <c r="D1466" s="93">
        <v>11</v>
      </c>
      <c r="E1466" s="93">
        <v>27</v>
      </c>
    </row>
    <row r="1467" spans="2:5" x14ac:dyDescent="0.2">
      <c r="B1467" s="92" t="s">
        <v>2825</v>
      </c>
      <c r="C1467" s="93">
        <v>2019</v>
      </c>
      <c r="D1467" s="93">
        <v>3</v>
      </c>
      <c r="E1467" s="93">
        <v>22</v>
      </c>
    </row>
    <row r="1468" spans="2:5" x14ac:dyDescent="0.2">
      <c r="B1468" s="92" t="s">
        <v>2825</v>
      </c>
      <c r="C1468" s="93">
        <v>2019</v>
      </c>
      <c r="D1468" s="93">
        <v>7</v>
      </c>
      <c r="E1468" s="93">
        <v>18</v>
      </c>
    </row>
    <row r="1469" spans="2:5" x14ac:dyDescent="0.2">
      <c r="B1469" s="92" t="s">
        <v>2825</v>
      </c>
      <c r="C1469" s="93">
        <v>2019</v>
      </c>
      <c r="D1469" s="93">
        <v>9</v>
      </c>
      <c r="E1469" s="93">
        <v>17</v>
      </c>
    </row>
    <row r="1470" spans="2:5" x14ac:dyDescent="0.2">
      <c r="B1470" s="92" t="s">
        <v>2825</v>
      </c>
      <c r="C1470" s="93">
        <v>2019</v>
      </c>
      <c r="D1470" s="93">
        <v>10</v>
      </c>
      <c r="E1470" s="93">
        <v>16</v>
      </c>
    </row>
    <row r="1471" spans="2:5" x14ac:dyDescent="0.2">
      <c r="B1471" s="92" t="s">
        <v>2825</v>
      </c>
      <c r="C1471" s="93">
        <v>2019</v>
      </c>
      <c r="D1471" s="93">
        <v>5</v>
      </c>
      <c r="E1471" s="93">
        <v>15</v>
      </c>
    </row>
    <row r="1472" spans="2:5" x14ac:dyDescent="0.2">
      <c r="B1472" s="92" t="s">
        <v>2825</v>
      </c>
      <c r="C1472" s="93">
        <v>2019</v>
      </c>
      <c r="D1472" s="93">
        <v>6</v>
      </c>
      <c r="E1472" s="93">
        <v>11</v>
      </c>
    </row>
    <row r="1473" spans="2:5" x14ac:dyDescent="0.2">
      <c r="B1473" s="92" t="s">
        <v>2825</v>
      </c>
      <c r="C1473" s="93">
        <v>2019</v>
      </c>
      <c r="D1473" s="93">
        <v>12</v>
      </c>
      <c r="E1473" s="93">
        <v>11</v>
      </c>
    </row>
    <row r="1474" spans="2:5" x14ac:dyDescent="0.2">
      <c r="B1474" s="92" t="s">
        <v>2825</v>
      </c>
      <c r="C1474" s="93">
        <v>2019</v>
      </c>
      <c r="D1474" s="93">
        <v>8</v>
      </c>
      <c r="E1474" s="93">
        <v>10</v>
      </c>
    </row>
    <row r="1475" spans="2:5" x14ac:dyDescent="0.2">
      <c r="B1475" s="92" t="s">
        <v>2825</v>
      </c>
      <c r="C1475" s="93">
        <v>2019</v>
      </c>
      <c r="D1475" s="93">
        <v>1</v>
      </c>
      <c r="E1475" s="93">
        <v>3</v>
      </c>
    </row>
    <row r="1476" spans="2:5" x14ac:dyDescent="0.2">
      <c r="B1476" s="92" t="s">
        <v>2825</v>
      </c>
      <c r="C1476" s="93">
        <v>2019</v>
      </c>
      <c r="D1476" s="93">
        <v>2</v>
      </c>
      <c r="E1476" s="93">
        <v>1</v>
      </c>
    </row>
    <row r="1477" spans="2:5" x14ac:dyDescent="0.2">
      <c r="B1477" s="92" t="s">
        <v>2826</v>
      </c>
      <c r="C1477" s="93">
        <v>2019</v>
      </c>
      <c r="D1477" s="93">
        <v>8</v>
      </c>
      <c r="E1477" s="93">
        <v>14</v>
      </c>
    </row>
    <row r="1478" spans="2:5" x14ac:dyDescent="0.2">
      <c r="B1478" s="92" t="s">
        <v>2826</v>
      </c>
      <c r="C1478" s="93">
        <v>2019</v>
      </c>
      <c r="D1478" s="93">
        <v>1</v>
      </c>
      <c r="E1478" s="93">
        <v>7</v>
      </c>
    </row>
    <row r="1479" spans="2:5" x14ac:dyDescent="0.2">
      <c r="B1479" s="92" t="s">
        <v>2826</v>
      </c>
      <c r="C1479" s="93">
        <v>2019</v>
      </c>
      <c r="D1479" s="93">
        <v>6</v>
      </c>
      <c r="E1479" s="93">
        <v>7</v>
      </c>
    </row>
    <row r="1480" spans="2:5" x14ac:dyDescent="0.2">
      <c r="B1480" s="92" t="s">
        <v>2826</v>
      </c>
      <c r="C1480" s="93">
        <v>2019</v>
      </c>
      <c r="D1480" s="93">
        <v>7</v>
      </c>
      <c r="E1480" s="93">
        <v>7</v>
      </c>
    </row>
    <row r="1481" spans="2:5" x14ac:dyDescent="0.2">
      <c r="B1481" s="92" t="s">
        <v>2826</v>
      </c>
      <c r="C1481" s="93">
        <v>2019</v>
      </c>
      <c r="D1481" s="93">
        <v>9</v>
      </c>
      <c r="E1481" s="93">
        <v>7</v>
      </c>
    </row>
    <row r="1482" spans="2:5" x14ac:dyDescent="0.2">
      <c r="B1482" s="92" t="s">
        <v>2826</v>
      </c>
      <c r="C1482" s="93">
        <v>2019</v>
      </c>
      <c r="D1482" s="93">
        <v>5</v>
      </c>
      <c r="E1482" s="93">
        <v>5</v>
      </c>
    </row>
    <row r="1483" spans="2:5" x14ac:dyDescent="0.2">
      <c r="B1483" s="92" t="s">
        <v>2826</v>
      </c>
      <c r="C1483" s="93">
        <v>2019</v>
      </c>
      <c r="D1483" s="93">
        <v>11</v>
      </c>
      <c r="E1483" s="93">
        <v>3</v>
      </c>
    </row>
    <row r="1484" spans="2:5" x14ac:dyDescent="0.2">
      <c r="B1484" s="92" t="s">
        <v>2826</v>
      </c>
      <c r="C1484" s="93">
        <v>2019</v>
      </c>
      <c r="D1484" s="93">
        <v>2</v>
      </c>
      <c r="E1484" s="93">
        <v>2</v>
      </c>
    </row>
    <row r="1485" spans="2:5" x14ac:dyDescent="0.2">
      <c r="B1485" s="92" t="s">
        <v>2826</v>
      </c>
      <c r="C1485" s="93">
        <v>2019</v>
      </c>
      <c r="D1485" s="93">
        <v>4</v>
      </c>
      <c r="E1485" s="93">
        <v>2</v>
      </c>
    </row>
    <row r="1486" spans="2:5" x14ac:dyDescent="0.2">
      <c r="B1486" s="92" t="s">
        <v>2826</v>
      </c>
      <c r="C1486" s="93">
        <v>2019</v>
      </c>
      <c r="D1486" s="93">
        <v>3</v>
      </c>
      <c r="E1486" s="93">
        <v>1</v>
      </c>
    </row>
    <row r="1487" spans="2:5" x14ac:dyDescent="0.2">
      <c r="B1487" s="92" t="s">
        <v>2826</v>
      </c>
      <c r="C1487" s="93">
        <v>2019</v>
      </c>
      <c r="D1487" s="93">
        <v>10</v>
      </c>
      <c r="E1487" s="93">
        <v>1</v>
      </c>
    </row>
    <row r="1488" spans="2:5" x14ac:dyDescent="0.2">
      <c r="B1488" s="92" t="s">
        <v>2827</v>
      </c>
      <c r="C1488" s="93">
        <v>2019</v>
      </c>
      <c r="D1488" s="93">
        <v>12</v>
      </c>
      <c r="E1488" s="93">
        <v>23</v>
      </c>
    </row>
    <row r="1489" spans="2:5" x14ac:dyDescent="0.2">
      <c r="B1489" s="92" t="s">
        <v>2827</v>
      </c>
      <c r="C1489" s="93">
        <v>2019</v>
      </c>
      <c r="D1489" s="93">
        <v>9</v>
      </c>
      <c r="E1489" s="93">
        <v>22</v>
      </c>
    </row>
    <row r="1490" spans="2:5" x14ac:dyDescent="0.2">
      <c r="B1490" s="92" t="s">
        <v>2827</v>
      </c>
      <c r="C1490" s="93">
        <v>2019</v>
      </c>
      <c r="D1490" s="93">
        <v>5</v>
      </c>
      <c r="E1490" s="93">
        <v>19</v>
      </c>
    </row>
    <row r="1491" spans="2:5" x14ac:dyDescent="0.2">
      <c r="B1491" s="92" t="s">
        <v>2827</v>
      </c>
      <c r="C1491" s="93">
        <v>2019</v>
      </c>
      <c r="D1491" s="93">
        <v>8</v>
      </c>
      <c r="E1491" s="93">
        <v>18</v>
      </c>
    </row>
    <row r="1492" spans="2:5" x14ac:dyDescent="0.2">
      <c r="B1492" s="92" t="s">
        <v>2827</v>
      </c>
      <c r="C1492" s="93">
        <v>2019</v>
      </c>
      <c r="D1492" s="93">
        <v>2</v>
      </c>
      <c r="E1492" s="93">
        <v>15</v>
      </c>
    </row>
    <row r="1493" spans="2:5" x14ac:dyDescent="0.2">
      <c r="B1493" s="92" t="s">
        <v>2827</v>
      </c>
      <c r="C1493" s="93">
        <v>2019</v>
      </c>
      <c r="D1493" s="93">
        <v>4</v>
      </c>
      <c r="E1493" s="93">
        <v>11</v>
      </c>
    </row>
    <row r="1494" spans="2:5" x14ac:dyDescent="0.2">
      <c r="B1494" s="92" t="s">
        <v>2827</v>
      </c>
      <c r="C1494" s="93">
        <v>2019</v>
      </c>
      <c r="D1494" s="93">
        <v>3</v>
      </c>
      <c r="E1494" s="93">
        <v>10</v>
      </c>
    </row>
    <row r="1495" spans="2:5" x14ac:dyDescent="0.2">
      <c r="B1495" s="92" t="s">
        <v>2827</v>
      </c>
      <c r="C1495" s="93">
        <v>2019</v>
      </c>
      <c r="D1495" s="93">
        <v>6</v>
      </c>
      <c r="E1495" s="93">
        <v>9</v>
      </c>
    </row>
    <row r="1496" spans="2:5" x14ac:dyDescent="0.2">
      <c r="B1496" s="92" t="s">
        <v>2827</v>
      </c>
      <c r="C1496" s="93">
        <v>2019</v>
      </c>
      <c r="D1496" s="93">
        <v>7</v>
      </c>
      <c r="E1496" s="93">
        <v>9</v>
      </c>
    </row>
    <row r="1497" spans="2:5" x14ac:dyDescent="0.2">
      <c r="B1497" s="92" t="s">
        <v>2827</v>
      </c>
      <c r="C1497" s="93">
        <v>2019</v>
      </c>
      <c r="D1497" s="93">
        <v>1</v>
      </c>
      <c r="E1497" s="93">
        <v>6</v>
      </c>
    </row>
    <row r="1498" spans="2:5" x14ac:dyDescent="0.2">
      <c r="B1498" s="92" t="s">
        <v>2827</v>
      </c>
      <c r="C1498" s="93">
        <v>2019</v>
      </c>
      <c r="D1498" s="93">
        <v>10</v>
      </c>
      <c r="E1498" s="93">
        <v>5</v>
      </c>
    </row>
    <row r="1499" spans="2:5" x14ac:dyDescent="0.2">
      <c r="B1499" s="92" t="s">
        <v>2828</v>
      </c>
      <c r="C1499" s="93">
        <v>2019</v>
      </c>
      <c r="D1499" s="93">
        <v>6</v>
      </c>
      <c r="E1499" s="93">
        <v>70</v>
      </c>
    </row>
    <row r="1500" spans="2:5" x14ac:dyDescent="0.2">
      <c r="B1500" s="92" t="s">
        <v>2828</v>
      </c>
      <c r="C1500" s="93">
        <v>2019</v>
      </c>
      <c r="D1500" s="93">
        <v>10</v>
      </c>
      <c r="E1500" s="93">
        <v>41</v>
      </c>
    </row>
    <row r="1501" spans="2:5" x14ac:dyDescent="0.2">
      <c r="B1501" s="92" t="s">
        <v>2828</v>
      </c>
      <c r="C1501" s="93">
        <v>2019</v>
      </c>
      <c r="D1501" s="93">
        <v>7</v>
      </c>
      <c r="E1501" s="93">
        <v>36</v>
      </c>
    </row>
    <row r="1502" spans="2:5" x14ac:dyDescent="0.2">
      <c r="B1502" s="92" t="s">
        <v>2828</v>
      </c>
      <c r="C1502" s="93">
        <v>2019</v>
      </c>
      <c r="D1502" s="93">
        <v>4</v>
      </c>
      <c r="E1502" s="93">
        <v>24</v>
      </c>
    </row>
    <row r="1503" spans="2:5" x14ac:dyDescent="0.2">
      <c r="B1503" s="92" t="s">
        <v>2828</v>
      </c>
      <c r="C1503" s="93">
        <v>2019</v>
      </c>
      <c r="D1503" s="93">
        <v>1</v>
      </c>
      <c r="E1503" s="93">
        <v>22</v>
      </c>
    </row>
    <row r="1504" spans="2:5" x14ac:dyDescent="0.2">
      <c r="B1504" s="92" t="s">
        <v>2828</v>
      </c>
      <c r="C1504" s="93">
        <v>2019</v>
      </c>
      <c r="D1504" s="93">
        <v>9</v>
      </c>
      <c r="E1504" s="93">
        <v>14</v>
      </c>
    </row>
    <row r="1505" spans="2:5" x14ac:dyDescent="0.2">
      <c r="B1505" s="92" t="s">
        <v>2828</v>
      </c>
      <c r="C1505" s="93">
        <v>2019</v>
      </c>
      <c r="D1505" s="93">
        <v>11</v>
      </c>
      <c r="E1505" s="93">
        <v>14</v>
      </c>
    </row>
    <row r="1506" spans="2:5" x14ac:dyDescent="0.2">
      <c r="B1506" s="92" t="s">
        <v>2828</v>
      </c>
      <c r="C1506" s="93">
        <v>2019</v>
      </c>
      <c r="D1506" s="93">
        <v>3</v>
      </c>
      <c r="E1506" s="93">
        <v>12</v>
      </c>
    </row>
    <row r="1507" spans="2:5" x14ac:dyDescent="0.2">
      <c r="B1507" s="92" t="s">
        <v>2828</v>
      </c>
      <c r="C1507" s="93">
        <v>2019</v>
      </c>
      <c r="D1507" s="93">
        <v>12</v>
      </c>
      <c r="E1507" s="93">
        <v>6</v>
      </c>
    </row>
    <row r="1508" spans="2:5" x14ac:dyDescent="0.2">
      <c r="B1508" s="92" t="s">
        <v>2828</v>
      </c>
      <c r="C1508" s="93">
        <v>2019</v>
      </c>
      <c r="D1508" s="93">
        <v>5</v>
      </c>
      <c r="E1508" s="93">
        <v>4</v>
      </c>
    </row>
    <row r="1509" spans="2:5" x14ac:dyDescent="0.2">
      <c r="B1509" s="92" t="s">
        <v>2828</v>
      </c>
      <c r="C1509" s="93">
        <v>2019</v>
      </c>
      <c r="D1509" s="93">
        <v>8</v>
      </c>
      <c r="E1509" s="93">
        <v>4</v>
      </c>
    </row>
    <row r="1510" spans="2:5" x14ac:dyDescent="0.2">
      <c r="B1510" s="92" t="s">
        <v>2828</v>
      </c>
      <c r="C1510" s="93">
        <v>2019</v>
      </c>
      <c r="D1510" s="93">
        <v>2</v>
      </c>
      <c r="E1510" s="93">
        <v>2</v>
      </c>
    </row>
    <row r="1511" spans="2:5" x14ac:dyDescent="0.2">
      <c r="B1511" s="92" t="s">
        <v>2915</v>
      </c>
      <c r="C1511" s="93">
        <v>2019</v>
      </c>
      <c r="D1511" s="93">
        <v>4</v>
      </c>
      <c r="E1511" s="93">
        <v>10</v>
      </c>
    </row>
    <row r="1512" spans="2:5" x14ac:dyDescent="0.2">
      <c r="B1512" s="92" t="s">
        <v>2915</v>
      </c>
      <c r="C1512" s="93">
        <v>2019</v>
      </c>
      <c r="D1512" s="93">
        <v>5</v>
      </c>
      <c r="E1512" s="93">
        <v>10</v>
      </c>
    </row>
    <row r="1513" spans="2:5" x14ac:dyDescent="0.2">
      <c r="B1513" s="92" t="s">
        <v>2915</v>
      </c>
      <c r="C1513" s="93">
        <v>2019</v>
      </c>
      <c r="D1513" s="93">
        <v>3</v>
      </c>
      <c r="E1513" s="93">
        <v>7</v>
      </c>
    </row>
    <row r="1514" spans="2:5" x14ac:dyDescent="0.2">
      <c r="B1514" s="92" t="s">
        <v>2915</v>
      </c>
      <c r="C1514" s="93">
        <v>2019</v>
      </c>
      <c r="D1514" s="93">
        <v>7</v>
      </c>
      <c r="E1514" s="93">
        <v>7</v>
      </c>
    </row>
    <row r="1515" spans="2:5" x14ac:dyDescent="0.2">
      <c r="B1515" s="92" t="s">
        <v>2915</v>
      </c>
      <c r="C1515" s="93">
        <v>2019</v>
      </c>
      <c r="D1515" s="93">
        <v>8</v>
      </c>
      <c r="E1515" s="93">
        <v>7</v>
      </c>
    </row>
    <row r="1516" spans="2:5" x14ac:dyDescent="0.2">
      <c r="B1516" s="92" t="s">
        <v>2915</v>
      </c>
      <c r="C1516" s="93">
        <v>2019</v>
      </c>
      <c r="D1516" s="93">
        <v>12</v>
      </c>
      <c r="E1516" s="93">
        <v>6</v>
      </c>
    </row>
    <row r="1517" spans="2:5" x14ac:dyDescent="0.2">
      <c r="B1517" s="92" t="s">
        <v>2915</v>
      </c>
      <c r="C1517" s="93">
        <v>2019</v>
      </c>
      <c r="D1517" s="93">
        <v>9</v>
      </c>
      <c r="E1517" s="93">
        <v>5</v>
      </c>
    </row>
    <row r="1518" spans="2:5" x14ac:dyDescent="0.2">
      <c r="B1518" s="92" t="s">
        <v>2915</v>
      </c>
      <c r="C1518" s="93">
        <v>2019</v>
      </c>
      <c r="D1518" s="93">
        <v>10</v>
      </c>
      <c r="E1518" s="93">
        <v>5</v>
      </c>
    </row>
    <row r="1519" spans="2:5" x14ac:dyDescent="0.2">
      <c r="B1519" s="92" t="s">
        <v>2915</v>
      </c>
      <c r="C1519" s="93">
        <v>2019</v>
      </c>
      <c r="D1519" s="93">
        <v>11</v>
      </c>
      <c r="E1519" s="93">
        <v>5</v>
      </c>
    </row>
    <row r="1520" spans="2:5" x14ac:dyDescent="0.2">
      <c r="B1520" s="92" t="s">
        <v>2915</v>
      </c>
      <c r="C1520" s="93">
        <v>2019</v>
      </c>
      <c r="D1520" s="93">
        <v>1</v>
      </c>
      <c r="E1520" s="93">
        <v>3</v>
      </c>
    </row>
    <row r="1521" spans="2:5" x14ac:dyDescent="0.2">
      <c r="B1521" s="92" t="s">
        <v>2915</v>
      </c>
      <c r="C1521" s="93">
        <v>2019</v>
      </c>
      <c r="D1521" s="93">
        <v>2</v>
      </c>
      <c r="E1521" s="93">
        <v>3</v>
      </c>
    </row>
    <row r="1522" spans="2:5" x14ac:dyDescent="0.2">
      <c r="B1522" s="92" t="s">
        <v>2915</v>
      </c>
      <c r="C1522" s="93">
        <v>2019</v>
      </c>
      <c r="D1522" s="93">
        <v>6</v>
      </c>
      <c r="E1522" s="93">
        <v>3</v>
      </c>
    </row>
    <row r="1523" spans="2:5" x14ac:dyDescent="0.2">
      <c r="B1523" s="92" t="s">
        <v>2947</v>
      </c>
      <c r="C1523" s="93">
        <v>2019</v>
      </c>
      <c r="D1523" s="93">
        <v>5</v>
      </c>
      <c r="E1523" s="93">
        <v>5</v>
      </c>
    </row>
    <row r="1524" spans="2:5" x14ac:dyDescent="0.2">
      <c r="B1524" s="92" t="s">
        <v>2947</v>
      </c>
      <c r="C1524" s="93">
        <v>2019</v>
      </c>
      <c r="D1524" s="93">
        <v>9</v>
      </c>
      <c r="E1524" s="93">
        <v>3</v>
      </c>
    </row>
    <row r="1525" spans="2:5" x14ac:dyDescent="0.2">
      <c r="B1525" s="92" t="s">
        <v>2947</v>
      </c>
      <c r="C1525" s="93">
        <v>2019</v>
      </c>
      <c r="D1525" s="93">
        <v>4</v>
      </c>
      <c r="E1525" s="93">
        <v>2</v>
      </c>
    </row>
    <row r="1526" spans="2:5" x14ac:dyDescent="0.2">
      <c r="B1526" s="92" t="s">
        <v>2947</v>
      </c>
      <c r="C1526" s="93">
        <v>2019</v>
      </c>
      <c r="D1526" s="93">
        <v>3</v>
      </c>
      <c r="E1526" s="93">
        <v>1</v>
      </c>
    </row>
    <row r="1527" spans="2:5" x14ac:dyDescent="0.2">
      <c r="B1527" s="92" t="s">
        <v>2947</v>
      </c>
      <c r="C1527" s="93">
        <v>2019</v>
      </c>
      <c r="D1527" s="93">
        <v>6</v>
      </c>
      <c r="E1527" s="93">
        <v>1</v>
      </c>
    </row>
    <row r="1528" spans="2:5" x14ac:dyDescent="0.2">
      <c r="B1528" s="92" t="s">
        <v>2829</v>
      </c>
      <c r="C1528" s="93">
        <v>2019</v>
      </c>
      <c r="D1528" s="93">
        <v>6</v>
      </c>
      <c r="E1528" s="93">
        <v>9</v>
      </c>
    </row>
    <row r="1529" spans="2:5" x14ac:dyDescent="0.2">
      <c r="B1529" s="92" t="s">
        <v>2829</v>
      </c>
      <c r="C1529" s="93">
        <v>2019</v>
      </c>
      <c r="D1529" s="93">
        <v>3</v>
      </c>
      <c r="E1529" s="93">
        <v>5</v>
      </c>
    </row>
    <row r="1530" spans="2:5" x14ac:dyDescent="0.2">
      <c r="B1530" s="92" t="s">
        <v>2829</v>
      </c>
      <c r="C1530" s="93">
        <v>2019</v>
      </c>
      <c r="D1530" s="93">
        <v>5</v>
      </c>
      <c r="E1530" s="93">
        <v>5</v>
      </c>
    </row>
    <row r="1531" spans="2:5" x14ac:dyDescent="0.2">
      <c r="B1531" s="92" t="s">
        <v>2829</v>
      </c>
      <c r="C1531" s="93">
        <v>2019</v>
      </c>
      <c r="D1531" s="93">
        <v>10</v>
      </c>
      <c r="E1531" s="93">
        <v>4</v>
      </c>
    </row>
    <row r="1532" spans="2:5" x14ac:dyDescent="0.2">
      <c r="B1532" s="92" t="s">
        <v>2829</v>
      </c>
      <c r="C1532" s="93">
        <v>2019</v>
      </c>
      <c r="D1532" s="93">
        <v>4</v>
      </c>
      <c r="E1532" s="93">
        <v>3</v>
      </c>
    </row>
    <row r="1533" spans="2:5" x14ac:dyDescent="0.2">
      <c r="B1533" s="92" t="s">
        <v>2829</v>
      </c>
      <c r="C1533" s="93">
        <v>2019</v>
      </c>
      <c r="D1533" s="93">
        <v>1</v>
      </c>
      <c r="E1533" s="93">
        <v>2</v>
      </c>
    </row>
    <row r="1534" spans="2:5" x14ac:dyDescent="0.2">
      <c r="B1534" s="92" t="s">
        <v>2829</v>
      </c>
      <c r="C1534" s="93">
        <v>2019</v>
      </c>
      <c r="D1534" s="93">
        <v>9</v>
      </c>
      <c r="E1534" s="93">
        <v>2</v>
      </c>
    </row>
    <row r="1535" spans="2:5" x14ac:dyDescent="0.2">
      <c r="B1535" s="92" t="s">
        <v>2829</v>
      </c>
      <c r="C1535" s="93">
        <v>2019</v>
      </c>
      <c r="D1535" s="93">
        <v>7</v>
      </c>
      <c r="E1535" s="93">
        <v>1</v>
      </c>
    </row>
    <row r="1536" spans="2:5" x14ac:dyDescent="0.2">
      <c r="B1536" s="92" t="s">
        <v>2829</v>
      </c>
      <c r="C1536" s="93">
        <v>2019</v>
      </c>
      <c r="D1536" s="93">
        <v>8</v>
      </c>
      <c r="E1536" s="93">
        <v>1</v>
      </c>
    </row>
    <row r="1537" spans="2:5" x14ac:dyDescent="0.2">
      <c r="B1537" s="92" t="s">
        <v>2959</v>
      </c>
      <c r="C1537" s="93">
        <v>2019</v>
      </c>
      <c r="D1537" s="93">
        <v>3</v>
      </c>
      <c r="E1537" s="93">
        <v>2</v>
      </c>
    </row>
    <row r="1538" spans="2:5" x14ac:dyDescent="0.2">
      <c r="B1538" s="92" t="s">
        <v>2959</v>
      </c>
      <c r="C1538" s="93">
        <v>2019</v>
      </c>
      <c r="D1538" s="93">
        <v>7</v>
      </c>
      <c r="E1538" s="93">
        <v>2</v>
      </c>
    </row>
    <row r="1539" spans="2:5" x14ac:dyDescent="0.2">
      <c r="B1539" s="92" t="s">
        <v>2959</v>
      </c>
      <c r="C1539" s="93">
        <v>2019</v>
      </c>
      <c r="D1539" s="93">
        <v>1</v>
      </c>
      <c r="E1539" s="93">
        <v>1</v>
      </c>
    </row>
    <row r="1540" spans="2:5" x14ac:dyDescent="0.2">
      <c r="B1540" s="92" t="s">
        <v>2959</v>
      </c>
      <c r="C1540" s="93">
        <v>2019</v>
      </c>
      <c r="D1540" s="93">
        <v>5</v>
      </c>
      <c r="E1540" s="93">
        <v>1</v>
      </c>
    </row>
    <row r="1541" spans="2:5" x14ac:dyDescent="0.2">
      <c r="B1541" s="92" t="s">
        <v>2959</v>
      </c>
      <c r="C1541" s="93">
        <v>2019</v>
      </c>
      <c r="D1541" s="93">
        <v>6</v>
      </c>
      <c r="E1541" s="93">
        <v>1</v>
      </c>
    </row>
    <row r="1542" spans="2:5" x14ac:dyDescent="0.2">
      <c r="B1542" s="92" t="s">
        <v>2830</v>
      </c>
      <c r="C1542" s="93">
        <v>2019</v>
      </c>
      <c r="D1542" s="93">
        <v>9</v>
      </c>
      <c r="E1542" s="93">
        <v>39</v>
      </c>
    </row>
    <row r="1543" spans="2:5" x14ac:dyDescent="0.2">
      <c r="B1543" s="92" t="s">
        <v>2830</v>
      </c>
      <c r="C1543" s="93">
        <v>2019</v>
      </c>
      <c r="D1543" s="93">
        <v>3</v>
      </c>
      <c r="E1543" s="93">
        <v>35</v>
      </c>
    </row>
    <row r="1544" spans="2:5" x14ac:dyDescent="0.2">
      <c r="B1544" s="92" t="s">
        <v>2830</v>
      </c>
      <c r="C1544" s="93">
        <v>2019</v>
      </c>
      <c r="D1544" s="93">
        <v>7</v>
      </c>
      <c r="E1544" s="93">
        <v>31</v>
      </c>
    </row>
    <row r="1545" spans="2:5" x14ac:dyDescent="0.2">
      <c r="B1545" s="92" t="s">
        <v>2830</v>
      </c>
      <c r="C1545" s="93">
        <v>2019</v>
      </c>
      <c r="D1545" s="93">
        <v>10</v>
      </c>
      <c r="E1545" s="93">
        <v>28</v>
      </c>
    </row>
    <row r="1546" spans="2:5" x14ac:dyDescent="0.2">
      <c r="B1546" s="92" t="s">
        <v>2830</v>
      </c>
      <c r="C1546" s="93">
        <v>2019</v>
      </c>
      <c r="D1546" s="93">
        <v>8</v>
      </c>
      <c r="E1546" s="93">
        <v>27</v>
      </c>
    </row>
    <row r="1547" spans="2:5" x14ac:dyDescent="0.2">
      <c r="B1547" s="92" t="s">
        <v>2830</v>
      </c>
      <c r="C1547" s="93">
        <v>2019</v>
      </c>
      <c r="D1547" s="93">
        <v>6</v>
      </c>
      <c r="E1547" s="93">
        <v>26</v>
      </c>
    </row>
    <row r="1548" spans="2:5" x14ac:dyDescent="0.2">
      <c r="B1548" s="92" t="s">
        <v>2830</v>
      </c>
      <c r="C1548" s="93">
        <v>2019</v>
      </c>
      <c r="D1548" s="93">
        <v>4</v>
      </c>
      <c r="E1548" s="93">
        <v>25</v>
      </c>
    </row>
    <row r="1549" spans="2:5" x14ac:dyDescent="0.2">
      <c r="B1549" s="92" t="s">
        <v>2830</v>
      </c>
      <c r="C1549" s="93">
        <v>2019</v>
      </c>
      <c r="D1549" s="93">
        <v>5</v>
      </c>
      <c r="E1549" s="93">
        <v>20</v>
      </c>
    </row>
    <row r="1550" spans="2:5" x14ac:dyDescent="0.2">
      <c r="B1550" s="92" t="s">
        <v>2830</v>
      </c>
      <c r="C1550" s="93">
        <v>2019</v>
      </c>
      <c r="D1550" s="93">
        <v>11</v>
      </c>
      <c r="E1550" s="93">
        <v>19</v>
      </c>
    </row>
    <row r="1551" spans="2:5" x14ac:dyDescent="0.2">
      <c r="B1551" s="92" t="s">
        <v>2830</v>
      </c>
      <c r="C1551" s="93">
        <v>2019</v>
      </c>
      <c r="D1551" s="93">
        <v>12</v>
      </c>
      <c r="E1551" s="93">
        <v>19</v>
      </c>
    </row>
    <row r="1552" spans="2:5" x14ac:dyDescent="0.2">
      <c r="B1552" s="92" t="s">
        <v>2830</v>
      </c>
      <c r="C1552" s="93">
        <v>2019</v>
      </c>
      <c r="D1552" s="93">
        <v>2</v>
      </c>
      <c r="E1552" s="93">
        <v>13</v>
      </c>
    </row>
    <row r="1553" spans="2:5" x14ac:dyDescent="0.2">
      <c r="B1553" s="92" t="s">
        <v>2830</v>
      </c>
      <c r="C1553" s="93">
        <v>2019</v>
      </c>
      <c r="D1553" s="93">
        <v>1</v>
      </c>
      <c r="E1553" s="93">
        <v>3</v>
      </c>
    </row>
    <row r="1554" spans="2:5" x14ac:dyDescent="0.2">
      <c r="B1554" s="92" t="s">
        <v>2925</v>
      </c>
      <c r="C1554" s="93">
        <v>2019</v>
      </c>
      <c r="D1554" s="93">
        <v>3</v>
      </c>
      <c r="E1554" s="93">
        <v>17</v>
      </c>
    </row>
    <row r="1555" spans="2:5" x14ac:dyDescent="0.2">
      <c r="B1555" s="92" t="s">
        <v>2925</v>
      </c>
      <c r="C1555" s="93">
        <v>2019</v>
      </c>
      <c r="D1555" s="93">
        <v>6</v>
      </c>
      <c r="E1555" s="93">
        <v>9</v>
      </c>
    </row>
    <row r="1556" spans="2:5" x14ac:dyDescent="0.2">
      <c r="B1556" s="92" t="s">
        <v>2925</v>
      </c>
      <c r="C1556" s="93">
        <v>2019</v>
      </c>
      <c r="D1556" s="93">
        <v>11</v>
      </c>
      <c r="E1556" s="93">
        <v>6</v>
      </c>
    </row>
    <row r="1557" spans="2:5" x14ac:dyDescent="0.2">
      <c r="B1557" s="92" t="s">
        <v>2925</v>
      </c>
      <c r="C1557" s="93">
        <v>2019</v>
      </c>
      <c r="D1557" s="93">
        <v>5</v>
      </c>
      <c r="E1557" s="93">
        <v>4</v>
      </c>
    </row>
    <row r="1558" spans="2:5" x14ac:dyDescent="0.2">
      <c r="B1558" s="92" t="s">
        <v>2925</v>
      </c>
      <c r="C1558" s="93">
        <v>2019</v>
      </c>
      <c r="D1558" s="93">
        <v>7</v>
      </c>
      <c r="E1558" s="93">
        <v>3</v>
      </c>
    </row>
    <row r="1559" spans="2:5" x14ac:dyDescent="0.2">
      <c r="B1559" s="92" t="s">
        <v>2925</v>
      </c>
      <c r="C1559" s="93">
        <v>2019</v>
      </c>
      <c r="D1559" s="93">
        <v>8</v>
      </c>
      <c r="E1559" s="93">
        <v>3</v>
      </c>
    </row>
    <row r="1560" spans="2:5" x14ac:dyDescent="0.2">
      <c r="B1560" s="92" t="s">
        <v>2925</v>
      </c>
      <c r="C1560" s="93">
        <v>2019</v>
      </c>
      <c r="D1560" s="93">
        <v>2</v>
      </c>
      <c r="E1560" s="93">
        <v>2</v>
      </c>
    </row>
    <row r="1561" spans="2:5" x14ac:dyDescent="0.2">
      <c r="B1561" s="92" t="s">
        <v>2925</v>
      </c>
      <c r="C1561" s="93">
        <v>2019</v>
      </c>
      <c r="D1561" s="93">
        <v>9</v>
      </c>
      <c r="E1561" s="93">
        <v>1</v>
      </c>
    </row>
    <row r="1562" spans="2:5" x14ac:dyDescent="0.2">
      <c r="B1562" s="92" t="s">
        <v>2967</v>
      </c>
      <c r="C1562" s="93">
        <v>2019</v>
      </c>
      <c r="D1562" s="93">
        <v>1</v>
      </c>
      <c r="E1562" s="93">
        <v>1</v>
      </c>
    </row>
    <row r="1563" spans="2:5" x14ac:dyDescent="0.2">
      <c r="B1563" s="92" t="s">
        <v>2967</v>
      </c>
      <c r="C1563" s="93">
        <v>2019</v>
      </c>
      <c r="D1563" s="93">
        <v>2</v>
      </c>
      <c r="E1563" s="93">
        <v>1</v>
      </c>
    </row>
    <row r="1564" spans="2:5" x14ac:dyDescent="0.2">
      <c r="B1564" s="92" t="s">
        <v>2967</v>
      </c>
      <c r="C1564" s="93">
        <v>2019</v>
      </c>
      <c r="D1564" s="93">
        <v>7</v>
      </c>
      <c r="E1564" s="93">
        <v>1</v>
      </c>
    </row>
    <row r="1565" spans="2:5" x14ac:dyDescent="0.2">
      <c r="B1565" s="92" t="s">
        <v>2967</v>
      </c>
      <c r="C1565" s="93">
        <v>2019</v>
      </c>
      <c r="D1565" s="93">
        <v>8</v>
      </c>
      <c r="E1565" s="93">
        <v>1</v>
      </c>
    </row>
    <row r="1566" spans="2:5" x14ac:dyDescent="0.2">
      <c r="B1566" s="92" t="s">
        <v>2967</v>
      </c>
      <c r="C1566" s="93">
        <v>2019</v>
      </c>
      <c r="D1566" s="93">
        <v>9</v>
      </c>
      <c r="E1566" s="93">
        <v>1</v>
      </c>
    </row>
    <row r="1567" spans="2:5" x14ac:dyDescent="0.2">
      <c r="B1567" s="92" t="s">
        <v>2960</v>
      </c>
      <c r="C1567" s="93">
        <v>2019</v>
      </c>
      <c r="D1567" s="93">
        <v>2</v>
      </c>
      <c r="E1567" s="93">
        <v>2</v>
      </c>
    </row>
    <row r="1568" spans="2:5" x14ac:dyDescent="0.2">
      <c r="B1568" s="92" t="s">
        <v>2960</v>
      </c>
      <c r="C1568" s="93">
        <v>2019</v>
      </c>
      <c r="D1568" s="93">
        <v>3</v>
      </c>
      <c r="E1568" s="93">
        <v>1</v>
      </c>
    </row>
    <row r="1569" spans="2:5" x14ac:dyDescent="0.2">
      <c r="B1569" s="92" t="s">
        <v>2960</v>
      </c>
      <c r="C1569" s="93">
        <v>2019</v>
      </c>
      <c r="D1569" s="93">
        <v>4</v>
      </c>
      <c r="E1569" s="93">
        <v>1</v>
      </c>
    </row>
    <row r="1570" spans="2:5" x14ac:dyDescent="0.2">
      <c r="B1570" s="92" t="s">
        <v>2960</v>
      </c>
      <c r="C1570" s="93">
        <v>2019</v>
      </c>
      <c r="D1570" s="93">
        <v>7</v>
      </c>
      <c r="E1570" s="93">
        <v>1</v>
      </c>
    </row>
    <row r="1571" spans="2:5" x14ac:dyDescent="0.2">
      <c r="B1571" s="92" t="s">
        <v>2960</v>
      </c>
      <c r="C1571" s="93">
        <v>2019</v>
      </c>
      <c r="D1571" s="93">
        <v>10</v>
      </c>
      <c r="E1571" s="93">
        <v>1</v>
      </c>
    </row>
    <row r="1572" spans="2:5" x14ac:dyDescent="0.2">
      <c r="B1572" s="92" t="s">
        <v>2960</v>
      </c>
      <c r="C1572" s="93">
        <v>2019</v>
      </c>
      <c r="D1572" s="93">
        <v>11</v>
      </c>
      <c r="E1572" s="93">
        <v>1</v>
      </c>
    </row>
    <row r="1573" spans="2:5" x14ac:dyDescent="0.2">
      <c r="B1573" s="92" t="s">
        <v>2831</v>
      </c>
      <c r="C1573" s="93">
        <v>2019</v>
      </c>
      <c r="D1573" s="93">
        <v>3</v>
      </c>
      <c r="E1573" s="93">
        <v>61</v>
      </c>
    </row>
    <row r="1574" spans="2:5" x14ac:dyDescent="0.2">
      <c r="B1574" s="92" t="s">
        <v>2831</v>
      </c>
      <c r="C1574" s="93">
        <v>2019</v>
      </c>
      <c r="D1574" s="93">
        <v>4</v>
      </c>
      <c r="E1574" s="93">
        <v>50</v>
      </c>
    </row>
    <row r="1575" spans="2:5" x14ac:dyDescent="0.2">
      <c r="B1575" s="92" t="s">
        <v>2831</v>
      </c>
      <c r="C1575" s="93">
        <v>2019</v>
      </c>
      <c r="D1575" s="93">
        <v>10</v>
      </c>
      <c r="E1575" s="93">
        <v>46</v>
      </c>
    </row>
    <row r="1576" spans="2:5" x14ac:dyDescent="0.2">
      <c r="B1576" s="92" t="s">
        <v>2831</v>
      </c>
      <c r="C1576" s="93">
        <v>2019</v>
      </c>
      <c r="D1576" s="93">
        <v>9</v>
      </c>
      <c r="E1576" s="93">
        <v>39</v>
      </c>
    </row>
    <row r="1577" spans="2:5" x14ac:dyDescent="0.2">
      <c r="B1577" s="92" t="s">
        <v>2831</v>
      </c>
      <c r="C1577" s="93">
        <v>2019</v>
      </c>
      <c r="D1577" s="93">
        <v>1</v>
      </c>
      <c r="E1577" s="93">
        <v>36</v>
      </c>
    </row>
    <row r="1578" spans="2:5" x14ac:dyDescent="0.2">
      <c r="B1578" s="92" t="s">
        <v>2831</v>
      </c>
      <c r="C1578" s="93">
        <v>2019</v>
      </c>
      <c r="D1578" s="93">
        <v>5</v>
      </c>
      <c r="E1578" s="93">
        <v>27</v>
      </c>
    </row>
    <row r="1579" spans="2:5" x14ac:dyDescent="0.2">
      <c r="B1579" s="92" t="s">
        <v>2831</v>
      </c>
      <c r="C1579" s="93">
        <v>2019</v>
      </c>
      <c r="D1579" s="93">
        <v>8</v>
      </c>
      <c r="E1579" s="93">
        <v>27</v>
      </c>
    </row>
    <row r="1580" spans="2:5" x14ac:dyDescent="0.2">
      <c r="B1580" s="92" t="s">
        <v>2831</v>
      </c>
      <c r="C1580" s="93">
        <v>2019</v>
      </c>
      <c r="D1580" s="93">
        <v>11</v>
      </c>
      <c r="E1580" s="93">
        <v>22</v>
      </c>
    </row>
    <row r="1581" spans="2:5" x14ac:dyDescent="0.2">
      <c r="B1581" s="92" t="s">
        <v>2831</v>
      </c>
      <c r="C1581" s="93">
        <v>2019</v>
      </c>
      <c r="D1581" s="93">
        <v>7</v>
      </c>
      <c r="E1581" s="93">
        <v>19</v>
      </c>
    </row>
    <row r="1582" spans="2:5" x14ac:dyDescent="0.2">
      <c r="B1582" s="92" t="s">
        <v>2831</v>
      </c>
      <c r="C1582" s="93">
        <v>2019</v>
      </c>
      <c r="D1582" s="93">
        <v>6</v>
      </c>
      <c r="E1582" s="93">
        <v>17</v>
      </c>
    </row>
    <row r="1583" spans="2:5" x14ac:dyDescent="0.2">
      <c r="B1583" s="92" t="s">
        <v>2831</v>
      </c>
      <c r="C1583" s="93">
        <v>2019</v>
      </c>
      <c r="D1583" s="93">
        <v>2</v>
      </c>
      <c r="E1583" s="93">
        <v>16</v>
      </c>
    </row>
    <row r="1584" spans="2:5" x14ac:dyDescent="0.2">
      <c r="B1584" s="92" t="s">
        <v>2831</v>
      </c>
      <c r="C1584" s="93">
        <v>2019</v>
      </c>
      <c r="D1584" s="93">
        <v>12</v>
      </c>
      <c r="E1584" s="93">
        <v>10</v>
      </c>
    </row>
    <row r="1585" spans="2:5" x14ac:dyDescent="0.2">
      <c r="B1585" s="92" t="s">
        <v>2933</v>
      </c>
      <c r="C1585" s="93">
        <v>2019</v>
      </c>
      <c r="D1585" s="93">
        <v>6</v>
      </c>
      <c r="E1585" s="93">
        <v>6</v>
      </c>
    </row>
    <row r="1586" spans="2:5" x14ac:dyDescent="0.2">
      <c r="B1586" s="92" t="s">
        <v>2933</v>
      </c>
      <c r="C1586" s="93">
        <v>2019</v>
      </c>
      <c r="D1586" s="93">
        <v>4</v>
      </c>
      <c r="E1586" s="93">
        <v>5</v>
      </c>
    </row>
    <row r="1587" spans="2:5" x14ac:dyDescent="0.2">
      <c r="B1587" s="92" t="s">
        <v>2933</v>
      </c>
      <c r="C1587" s="93">
        <v>2019</v>
      </c>
      <c r="D1587" s="93">
        <v>5</v>
      </c>
      <c r="E1587" s="93">
        <v>4</v>
      </c>
    </row>
    <row r="1588" spans="2:5" x14ac:dyDescent="0.2">
      <c r="B1588" s="92" t="s">
        <v>2933</v>
      </c>
      <c r="C1588" s="93">
        <v>2019</v>
      </c>
      <c r="D1588" s="93">
        <v>2</v>
      </c>
      <c r="E1588" s="93">
        <v>3</v>
      </c>
    </row>
    <row r="1589" spans="2:5" x14ac:dyDescent="0.2">
      <c r="B1589" s="92" t="s">
        <v>2933</v>
      </c>
      <c r="C1589" s="93">
        <v>2019</v>
      </c>
      <c r="D1589" s="93">
        <v>8</v>
      </c>
      <c r="E1589" s="93">
        <v>2</v>
      </c>
    </row>
    <row r="1590" spans="2:5" x14ac:dyDescent="0.2">
      <c r="B1590" s="92" t="s">
        <v>2933</v>
      </c>
      <c r="C1590" s="93">
        <v>2019</v>
      </c>
      <c r="D1590" s="93">
        <v>1</v>
      </c>
      <c r="E1590" s="93">
        <v>1</v>
      </c>
    </row>
    <row r="1591" spans="2:5" x14ac:dyDescent="0.2">
      <c r="B1591" s="92" t="s">
        <v>2933</v>
      </c>
      <c r="C1591" s="93">
        <v>2019</v>
      </c>
      <c r="D1591" s="93">
        <v>3</v>
      </c>
      <c r="E1591" s="93">
        <v>1</v>
      </c>
    </row>
    <row r="1592" spans="2:5" x14ac:dyDescent="0.2">
      <c r="B1592" s="92" t="s">
        <v>2933</v>
      </c>
      <c r="C1592" s="93">
        <v>2019</v>
      </c>
      <c r="D1592" s="93">
        <v>11</v>
      </c>
      <c r="E1592" s="93">
        <v>1</v>
      </c>
    </row>
    <row r="1593" spans="2:5" x14ac:dyDescent="0.2">
      <c r="B1593" s="92" t="s">
        <v>2933</v>
      </c>
      <c r="C1593" s="93">
        <v>2019</v>
      </c>
      <c r="D1593" s="93">
        <v>12</v>
      </c>
      <c r="E1593" s="93">
        <v>1</v>
      </c>
    </row>
    <row r="1594" spans="2:5" x14ac:dyDescent="0.2">
      <c r="B1594" s="92" t="s">
        <v>2832</v>
      </c>
      <c r="C1594" s="93">
        <v>2019</v>
      </c>
      <c r="D1594" s="93">
        <v>5</v>
      </c>
      <c r="E1594" s="93">
        <v>9</v>
      </c>
    </row>
    <row r="1595" spans="2:5" x14ac:dyDescent="0.2">
      <c r="B1595" s="92" t="s">
        <v>2832</v>
      </c>
      <c r="C1595" s="93">
        <v>2019</v>
      </c>
      <c r="D1595" s="93">
        <v>6</v>
      </c>
      <c r="E1595" s="93">
        <v>5</v>
      </c>
    </row>
    <row r="1596" spans="2:5" x14ac:dyDescent="0.2">
      <c r="B1596" s="92" t="s">
        <v>2832</v>
      </c>
      <c r="C1596" s="93">
        <v>2019</v>
      </c>
      <c r="D1596" s="93">
        <v>8</v>
      </c>
      <c r="E1596" s="93">
        <v>4</v>
      </c>
    </row>
    <row r="1597" spans="2:5" x14ac:dyDescent="0.2">
      <c r="B1597" s="92" t="s">
        <v>2832</v>
      </c>
      <c r="C1597" s="93">
        <v>2019</v>
      </c>
      <c r="D1597" s="93">
        <v>7</v>
      </c>
      <c r="E1597" s="93">
        <v>3</v>
      </c>
    </row>
    <row r="1598" spans="2:5" x14ac:dyDescent="0.2">
      <c r="B1598" s="92" t="s">
        <v>2832</v>
      </c>
      <c r="C1598" s="93">
        <v>2019</v>
      </c>
      <c r="D1598" s="93">
        <v>2</v>
      </c>
      <c r="E1598" s="93">
        <v>1</v>
      </c>
    </row>
    <row r="1599" spans="2:5" x14ac:dyDescent="0.2">
      <c r="B1599" s="92" t="s">
        <v>2832</v>
      </c>
      <c r="C1599" s="93">
        <v>2019</v>
      </c>
      <c r="D1599" s="93">
        <v>3</v>
      </c>
      <c r="E1599" s="93">
        <v>1</v>
      </c>
    </row>
    <row r="1600" spans="2:5" x14ac:dyDescent="0.2">
      <c r="B1600" s="92" t="s">
        <v>2832</v>
      </c>
      <c r="C1600" s="93">
        <v>2019</v>
      </c>
      <c r="D1600" s="93">
        <v>4</v>
      </c>
      <c r="E1600" s="93">
        <v>1</v>
      </c>
    </row>
    <row r="1601" spans="2:5" x14ac:dyDescent="0.2">
      <c r="B1601" s="92" t="s">
        <v>2832</v>
      </c>
      <c r="C1601" s="93">
        <v>2019</v>
      </c>
      <c r="D1601" s="93">
        <v>9</v>
      </c>
      <c r="E1601" s="93">
        <v>1</v>
      </c>
    </row>
    <row r="1602" spans="2:5" x14ac:dyDescent="0.2">
      <c r="B1602" s="92" t="s">
        <v>2832</v>
      </c>
      <c r="C1602" s="93">
        <v>2019</v>
      </c>
      <c r="D1602" s="93">
        <v>12</v>
      </c>
      <c r="E1602" s="93">
        <v>1</v>
      </c>
    </row>
    <row r="1603" spans="2:5" x14ac:dyDescent="0.2">
      <c r="B1603" s="92" t="s">
        <v>2833</v>
      </c>
      <c r="C1603" s="93">
        <v>2019</v>
      </c>
      <c r="D1603" s="93">
        <v>2</v>
      </c>
      <c r="E1603" s="93">
        <v>7</v>
      </c>
    </row>
    <row r="1604" spans="2:5" x14ac:dyDescent="0.2">
      <c r="B1604" s="92" t="s">
        <v>2833</v>
      </c>
      <c r="C1604" s="93">
        <v>2019</v>
      </c>
      <c r="D1604" s="93">
        <v>3</v>
      </c>
      <c r="E1604" s="93">
        <v>5</v>
      </c>
    </row>
    <row r="1605" spans="2:5" x14ac:dyDescent="0.2">
      <c r="B1605" s="92" t="s">
        <v>2833</v>
      </c>
      <c r="C1605" s="93">
        <v>2019</v>
      </c>
      <c r="D1605" s="93">
        <v>5</v>
      </c>
      <c r="E1605" s="93">
        <v>4</v>
      </c>
    </row>
    <row r="1606" spans="2:5" x14ac:dyDescent="0.2">
      <c r="B1606" s="92" t="s">
        <v>2833</v>
      </c>
      <c r="C1606" s="93">
        <v>2019</v>
      </c>
      <c r="D1606" s="93">
        <v>6</v>
      </c>
      <c r="E1606" s="93">
        <v>4</v>
      </c>
    </row>
    <row r="1607" spans="2:5" x14ac:dyDescent="0.2">
      <c r="B1607" s="92" t="s">
        <v>2833</v>
      </c>
      <c r="C1607" s="93">
        <v>2019</v>
      </c>
      <c r="D1607" s="93">
        <v>7</v>
      </c>
      <c r="E1607" s="93">
        <v>4</v>
      </c>
    </row>
    <row r="1608" spans="2:5" x14ac:dyDescent="0.2">
      <c r="B1608" s="92" t="s">
        <v>2833</v>
      </c>
      <c r="C1608" s="93">
        <v>2019</v>
      </c>
      <c r="D1608" s="93">
        <v>8</v>
      </c>
      <c r="E1608" s="93">
        <v>4</v>
      </c>
    </row>
    <row r="1609" spans="2:5" x14ac:dyDescent="0.2">
      <c r="B1609" s="92" t="s">
        <v>2833</v>
      </c>
      <c r="C1609" s="93">
        <v>2019</v>
      </c>
      <c r="D1609" s="93">
        <v>9</v>
      </c>
      <c r="E1609" s="93">
        <v>4</v>
      </c>
    </row>
    <row r="1610" spans="2:5" x14ac:dyDescent="0.2">
      <c r="B1610" s="92" t="s">
        <v>2833</v>
      </c>
      <c r="C1610" s="93">
        <v>2019</v>
      </c>
      <c r="D1610" s="93">
        <v>12</v>
      </c>
      <c r="E1610" s="93">
        <v>4</v>
      </c>
    </row>
    <row r="1611" spans="2:5" x14ac:dyDescent="0.2">
      <c r="B1611" s="92" t="s">
        <v>2833</v>
      </c>
      <c r="C1611" s="93">
        <v>2019</v>
      </c>
      <c r="D1611" s="93">
        <v>1</v>
      </c>
      <c r="E1611" s="93">
        <v>3</v>
      </c>
    </row>
    <row r="1612" spans="2:5" x14ac:dyDescent="0.2">
      <c r="B1612" s="92" t="s">
        <v>2833</v>
      </c>
      <c r="C1612" s="93">
        <v>2019</v>
      </c>
      <c r="D1612" s="93">
        <v>4</v>
      </c>
      <c r="E1612" s="93">
        <v>3</v>
      </c>
    </row>
    <row r="1613" spans="2:5" x14ac:dyDescent="0.2">
      <c r="B1613" s="92" t="s">
        <v>2833</v>
      </c>
      <c r="C1613" s="93">
        <v>2019</v>
      </c>
      <c r="D1613" s="93">
        <v>10</v>
      </c>
      <c r="E1613" s="93">
        <v>2</v>
      </c>
    </row>
    <row r="1614" spans="2:5" x14ac:dyDescent="0.2">
      <c r="B1614" s="92" t="s">
        <v>2833</v>
      </c>
      <c r="C1614" s="93">
        <v>2019</v>
      </c>
      <c r="D1614" s="93">
        <v>11</v>
      </c>
      <c r="E1614" s="93">
        <v>1</v>
      </c>
    </row>
    <row r="1615" spans="2:5" x14ac:dyDescent="0.2">
      <c r="B1615" s="92" t="s">
        <v>2834</v>
      </c>
      <c r="C1615" s="93">
        <v>2019</v>
      </c>
      <c r="D1615" s="93">
        <v>3</v>
      </c>
      <c r="E1615" s="93">
        <v>6</v>
      </c>
    </row>
    <row r="1616" spans="2:5" x14ac:dyDescent="0.2">
      <c r="B1616" s="92" t="s">
        <v>2834</v>
      </c>
      <c r="C1616" s="93">
        <v>2019</v>
      </c>
      <c r="D1616" s="93">
        <v>8</v>
      </c>
      <c r="E1616" s="93">
        <v>6</v>
      </c>
    </row>
    <row r="1617" spans="2:5" x14ac:dyDescent="0.2">
      <c r="B1617" s="92" t="s">
        <v>2834</v>
      </c>
      <c r="C1617" s="93">
        <v>2019</v>
      </c>
      <c r="D1617" s="93">
        <v>1</v>
      </c>
      <c r="E1617" s="93">
        <v>5</v>
      </c>
    </row>
    <row r="1618" spans="2:5" x14ac:dyDescent="0.2">
      <c r="B1618" s="92" t="s">
        <v>2834</v>
      </c>
      <c r="C1618" s="93">
        <v>2019</v>
      </c>
      <c r="D1618" s="93">
        <v>10</v>
      </c>
      <c r="E1618" s="93">
        <v>5</v>
      </c>
    </row>
    <row r="1619" spans="2:5" x14ac:dyDescent="0.2">
      <c r="B1619" s="92" t="s">
        <v>2834</v>
      </c>
      <c r="C1619" s="93">
        <v>2019</v>
      </c>
      <c r="D1619" s="93">
        <v>6</v>
      </c>
      <c r="E1619" s="93">
        <v>3</v>
      </c>
    </row>
    <row r="1620" spans="2:5" x14ac:dyDescent="0.2">
      <c r="B1620" s="92" t="s">
        <v>2834</v>
      </c>
      <c r="C1620" s="93">
        <v>2019</v>
      </c>
      <c r="D1620" s="93">
        <v>9</v>
      </c>
      <c r="E1620" s="93">
        <v>3</v>
      </c>
    </row>
    <row r="1621" spans="2:5" x14ac:dyDescent="0.2">
      <c r="B1621" s="92" t="s">
        <v>2834</v>
      </c>
      <c r="C1621" s="93">
        <v>2019</v>
      </c>
      <c r="D1621" s="93">
        <v>11</v>
      </c>
      <c r="E1621" s="93">
        <v>3</v>
      </c>
    </row>
    <row r="1622" spans="2:5" x14ac:dyDescent="0.2">
      <c r="B1622" s="92" t="s">
        <v>2834</v>
      </c>
      <c r="C1622" s="93">
        <v>2019</v>
      </c>
      <c r="D1622" s="93">
        <v>2</v>
      </c>
      <c r="E1622" s="93">
        <v>2</v>
      </c>
    </row>
    <row r="1623" spans="2:5" x14ac:dyDescent="0.2">
      <c r="B1623" s="92" t="s">
        <v>2834</v>
      </c>
      <c r="C1623" s="93">
        <v>2019</v>
      </c>
      <c r="D1623" s="93">
        <v>4</v>
      </c>
      <c r="E1623" s="93">
        <v>2</v>
      </c>
    </row>
    <row r="1624" spans="2:5" x14ac:dyDescent="0.2">
      <c r="B1624" s="92" t="s">
        <v>2834</v>
      </c>
      <c r="C1624" s="93">
        <v>2019</v>
      </c>
      <c r="D1624" s="93">
        <v>5</v>
      </c>
      <c r="E1624" s="93">
        <v>1</v>
      </c>
    </row>
    <row r="1625" spans="2:5" x14ac:dyDescent="0.2">
      <c r="B1625" s="92" t="s">
        <v>2834</v>
      </c>
      <c r="C1625" s="93">
        <v>2019</v>
      </c>
      <c r="D1625" s="93">
        <v>7</v>
      </c>
      <c r="E1625" s="93">
        <v>1</v>
      </c>
    </row>
    <row r="1626" spans="2:5" x14ac:dyDescent="0.2">
      <c r="B1626" s="92" t="s">
        <v>2834</v>
      </c>
      <c r="C1626" s="93">
        <v>2019</v>
      </c>
      <c r="D1626" s="93">
        <v>12</v>
      </c>
      <c r="E1626" s="93">
        <v>1</v>
      </c>
    </row>
    <row r="1627" spans="2:5" x14ac:dyDescent="0.2">
      <c r="B1627" s="92" t="s">
        <v>2900</v>
      </c>
      <c r="C1627" s="93">
        <v>2019</v>
      </c>
      <c r="D1627" s="93">
        <v>9</v>
      </c>
      <c r="E1627" s="93">
        <v>36</v>
      </c>
    </row>
    <row r="1628" spans="2:5" x14ac:dyDescent="0.2">
      <c r="B1628" s="92" t="s">
        <v>2900</v>
      </c>
      <c r="C1628" s="93">
        <v>2019</v>
      </c>
      <c r="D1628" s="93">
        <v>1</v>
      </c>
      <c r="E1628" s="93">
        <v>25</v>
      </c>
    </row>
    <row r="1629" spans="2:5" x14ac:dyDescent="0.2">
      <c r="B1629" s="92" t="s">
        <v>2900</v>
      </c>
      <c r="C1629" s="93">
        <v>2019</v>
      </c>
      <c r="D1629" s="93">
        <v>2</v>
      </c>
      <c r="E1629" s="93">
        <v>24</v>
      </c>
    </row>
    <row r="1630" spans="2:5" x14ac:dyDescent="0.2">
      <c r="B1630" s="92" t="s">
        <v>2900</v>
      </c>
      <c r="C1630" s="93">
        <v>2019</v>
      </c>
      <c r="D1630" s="93">
        <v>3</v>
      </c>
      <c r="E1630" s="93">
        <v>24</v>
      </c>
    </row>
    <row r="1631" spans="2:5" x14ac:dyDescent="0.2">
      <c r="B1631" s="92" t="s">
        <v>2900</v>
      </c>
      <c r="C1631" s="93">
        <v>2019</v>
      </c>
      <c r="D1631" s="93">
        <v>4</v>
      </c>
      <c r="E1631" s="93">
        <v>24</v>
      </c>
    </row>
    <row r="1632" spans="2:5" x14ac:dyDescent="0.2">
      <c r="B1632" s="92" t="s">
        <v>2900</v>
      </c>
      <c r="C1632" s="93">
        <v>2019</v>
      </c>
      <c r="D1632" s="93">
        <v>8</v>
      </c>
      <c r="E1632" s="93">
        <v>16</v>
      </c>
    </row>
    <row r="1633" spans="2:5" x14ac:dyDescent="0.2">
      <c r="B1633" s="92" t="s">
        <v>2900</v>
      </c>
      <c r="C1633" s="93">
        <v>2019</v>
      </c>
      <c r="D1633" s="93">
        <v>12</v>
      </c>
      <c r="E1633" s="93">
        <v>15</v>
      </c>
    </row>
    <row r="1634" spans="2:5" x14ac:dyDescent="0.2">
      <c r="B1634" s="92" t="s">
        <v>2900</v>
      </c>
      <c r="C1634" s="93">
        <v>2019</v>
      </c>
      <c r="D1634" s="93">
        <v>10</v>
      </c>
      <c r="E1634" s="93">
        <v>14</v>
      </c>
    </row>
    <row r="1635" spans="2:5" x14ac:dyDescent="0.2">
      <c r="B1635" s="92" t="s">
        <v>2900</v>
      </c>
      <c r="C1635" s="93">
        <v>2019</v>
      </c>
      <c r="D1635" s="93">
        <v>11</v>
      </c>
      <c r="E1635" s="93">
        <v>13</v>
      </c>
    </row>
    <row r="1636" spans="2:5" x14ac:dyDescent="0.2">
      <c r="B1636" s="92" t="s">
        <v>2900</v>
      </c>
      <c r="C1636" s="93">
        <v>2019</v>
      </c>
      <c r="D1636" s="93">
        <v>6</v>
      </c>
      <c r="E1636" s="93">
        <v>10</v>
      </c>
    </row>
    <row r="1637" spans="2:5" x14ac:dyDescent="0.2">
      <c r="B1637" s="92" t="s">
        <v>2900</v>
      </c>
      <c r="C1637" s="93">
        <v>2019</v>
      </c>
      <c r="D1637" s="93">
        <v>5</v>
      </c>
      <c r="E1637" s="93">
        <v>9</v>
      </c>
    </row>
    <row r="1638" spans="2:5" x14ac:dyDescent="0.2">
      <c r="B1638" s="92" t="s">
        <v>2900</v>
      </c>
      <c r="C1638" s="93">
        <v>2019</v>
      </c>
      <c r="D1638" s="93">
        <v>7</v>
      </c>
      <c r="E1638" s="93">
        <v>9</v>
      </c>
    </row>
    <row r="1639" spans="2:5" x14ac:dyDescent="0.2">
      <c r="B1639" s="92" t="s">
        <v>2835</v>
      </c>
      <c r="C1639" s="93">
        <v>2019</v>
      </c>
      <c r="D1639" s="93">
        <v>10</v>
      </c>
      <c r="E1639" s="93">
        <v>6</v>
      </c>
    </row>
    <row r="1640" spans="2:5" x14ac:dyDescent="0.2">
      <c r="B1640" s="92" t="s">
        <v>2835</v>
      </c>
      <c r="C1640" s="93">
        <v>2019</v>
      </c>
      <c r="D1640" s="93">
        <v>1</v>
      </c>
      <c r="E1640" s="93">
        <v>3</v>
      </c>
    </row>
    <row r="1641" spans="2:5" x14ac:dyDescent="0.2">
      <c r="B1641" s="92" t="s">
        <v>2835</v>
      </c>
      <c r="C1641" s="93">
        <v>2019</v>
      </c>
      <c r="D1641" s="93">
        <v>5</v>
      </c>
      <c r="E1641" s="93">
        <v>3</v>
      </c>
    </row>
    <row r="1642" spans="2:5" x14ac:dyDescent="0.2">
      <c r="B1642" s="92" t="s">
        <v>2835</v>
      </c>
      <c r="C1642" s="93">
        <v>2019</v>
      </c>
      <c r="D1642" s="93">
        <v>4</v>
      </c>
      <c r="E1642" s="93">
        <v>2</v>
      </c>
    </row>
    <row r="1643" spans="2:5" x14ac:dyDescent="0.2">
      <c r="B1643" s="92" t="s">
        <v>2835</v>
      </c>
      <c r="C1643" s="93">
        <v>2019</v>
      </c>
      <c r="D1643" s="93">
        <v>6</v>
      </c>
      <c r="E1643" s="93">
        <v>2</v>
      </c>
    </row>
    <row r="1644" spans="2:5" x14ac:dyDescent="0.2">
      <c r="B1644" s="92" t="s">
        <v>2835</v>
      </c>
      <c r="C1644" s="93">
        <v>2019</v>
      </c>
      <c r="D1644" s="93">
        <v>3</v>
      </c>
      <c r="E1644" s="93">
        <v>1</v>
      </c>
    </row>
    <row r="1645" spans="2:5" x14ac:dyDescent="0.2">
      <c r="B1645" s="92" t="s">
        <v>2835</v>
      </c>
      <c r="C1645" s="93">
        <v>2019</v>
      </c>
      <c r="D1645" s="93">
        <v>7</v>
      </c>
      <c r="E1645" s="93">
        <v>1</v>
      </c>
    </row>
    <row r="1646" spans="2:5" x14ac:dyDescent="0.2">
      <c r="B1646" s="92" t="s">
        <v>2835</v>
      </c>
      <c r="C1646" s="93">
        <v>2019</v>
      </c>
      <c r="D1646" s="93">
        <v>12</v>
      </c>
      <c r="E1646" s="93">
        <v>1</v>
      </c>
    </row>
    <row r="1647" spans="2:5" x14ac:dyDescent="0.2">
      <c r="B1647" s="92" t="s">
        <v>2836</v>
      </c>
      <c r="C1647" s="93">
        <v>2019</v>
      </c>
      <c r="D1647" s="93">
        <v>3</v>
      </c>
      <c r="E1647" s="93">
        <v>62</v>
      </c>
    </row>
    <row r="1648" spans="2:5" x14ac:dyDescent="0.2">
      <c r="B1648" s="92" t="s">
        <v>2836</v>
      </c>
      <c r="C1648" s="93">
        <v>2019</v>
      </c>
      <c r="D1648" s="93">
        <v>5</v>
      </c>
      <c r="E1648" s="93">
        <v>55</v>
      </c>
    </row>
    <row r="1649" spans="2:5" x14ac:dyDescent="0.2">
      <c r="B1649" s="92" t="s">
        <v>2836</v>
      </c>
      <c r="C1649" s="93">
        <v>2019</v>
      </c>
      <c r="D1649" s="93">
        <v>9</v>
      </c>
      <c r="E1649" s="93">
        <v>54</v>
      </c>
    </row>
    <row r="1650" spans="2:5" x14ac:dyDescent="0.2">
      <c r="B1650" s="92" t="s">
        <v>2836</v>
      </c>
      <c r="C1650" s="93">
        <v>2019</v>
      </c>
      <c r="D1650" s="93">
        <v>10</v>
      </c>
      <c r="E1650" s="93">
        <v>47</v>
      </c>
    </row>
    <row r="1651" spans="2:5" x14ac:dyDescent="0.2">
      <c r="B1651" s="92" t="s">
        <v>2836</v>
      </c>
      <c r="C1651" s="93">
        <v>2019</v>
      </c>
      <c r="D1651" s="93">
        <v>11</v>
      </c>
      <c r="E1651" s="93">
        <v>47</v>
      </c>
    </row>
    <row r="1652" spans="2:5" x14ac:dyDescent="0.2">
      <c r="B1652" s="92" t="s">
        <v>2836</v>
      </c>
      <c r="C1652" s="93">
        <v>2019</v>
      </c>
      <c r="D1652" s="93">
        <v>8</v>
      </c>
      <c r="E1652" s="93">
        <v>44</v>
      </c>
    </row>
    <row r="1653" spans="2:5" x14ac:dyDescent="0.2">
      <c r="B1653" s="92" t="s">
        <v>2836</v>
      </c>
      <c r="C1653" s="93">
        <v>2019</v>
      </c>
      <c r="D1653" s="93">
        <v>4</v>
      </c>
      <c r="E1653" s="93">
        <v>42</v>
      </c>
    </row>
    <row r="1654" spans="2:5" x14ac:dyDescent="0.2">
      <c r="B1654" s="92" t="s">
        <v>2836</v>
      </c>
      <c r="C1654" s="93">
        <v>2019</v>
      </c>
      <c r="D1654" s="93">
        <v>12</v>
      </c>
      <c r="E1654" s="93">
        <v>34</v>
      </c>
    </row>
    <row r="1655" spans="2:5" x14ac:dyDescent="0.2">
      <c r="B1655" s="92" t="s">
        <v>2836</v>
      </c>
      <c r="C1655" s="93">
        <v>2019</v>
      </c>
      <c r="D1655" s="93">
        <v>6</v>
      </c>
      <c r="E1655" s="93">
        <v>28</v>
      </c>
    </row>
    <row r="1656" spans="2:5" x14ac:dyDescent="0.2">
      <c r="B1656" s="92" t="s">
        <v>2836</v>
      </c>
      <c r="C1656" s="93">
        <v>2019</v>
      </c>
      <c r="D1656" s="93">
        <v>7</v>
      </c>
      <c r="E1656" s="93">
        <v>26</v>
      </c>
    </row>
    <row r="1657" spans="2:5" x14ac:dyDescent="0.2">
      <c r="B1657" s="92" t="s">
        <v>2836</v>
      </c>
      <c r="C1657" s="93">
        <v>2019</v>
      </c>
      <c r="D1657" s="93">
        <v>1</v>
      </c>
      <c r="E1657" s="93">
        <v>10</v>
      </c>
    </row>
    <row r="1658" spans="2:5" x14ac:dyDescent="0.2">
      <c r="B1658" s="92" t="s">
        <v>2836</v>
      </c>
      <c r="C1658" s="93">
        <v>2019</v>
      </c>
      <c r="D1658" s="93">
        <v>2</v>
      </c>
      <c r="E1658" s="93">
        <v>3</v>
      </c>
    </row>
    <row r="1659" spans="2:5" x14ac:dyDescent="0.2">
      <c r="B1659" s="92" t="s">
        <v>2837</v>
      </c>
      <c r="C1659" s="93">
        <v>2019</v>
      </c>
      <c r="D1659" s="93">
        <v>4</v>
      </c>
      <c r="E1659" s="93">
        <v>12</v>
      </c>
    </row>
    <row r="1660" spans="2:5" x14ac:dyDescent="0.2">
      <c r="B1660" s="92" t="s">
        <v>2837</v>
      </c>
      <c r="C1660" s="93">
        <v>2019</v>
      </c>
      <c r="D1660" s="93">
        <v>10</v>
      </c>
      <c r="E1660" s="93">
        <v>10</v>
      </c>
    </row>
    <row r="1661" spans="2:5" x14ac:dyDescent="0.2">
      <c r="B1661" s="92" t="s">
        <v>2837</v>
      </c>
      <c r="C1661" s="93">
        <v>2019</v>
      </c>
      <c r="D1661" s="93">
        <v>3</v>
      </c>
      <c r="E1661" s="93">
        <v>8</v>
      </c>
    </row>
    <row r="1662" spans="2:5" x14ac:dyDescent="0.2">
      <c r="B1662" s="92" t="s">
        <v>2837</v>
      </c>
      <c r="C1662" s="93">
        <v>2019</v>
      </c>
      <c r="D1662" s="93">
        <v>1</v>
      </c>
      <c r="E1662" s="93">
        <v>6</v>
      </c>
    </row>
    <row r="1663" spans="2:5" x14ac:dyDescent="0.2">
      <c r="B1663" s="92" t="s">
        <v>2837</v>
      </c>
      <c r="C1663" s="93">
        <v>2019</v>
      </c>
      <c r="D1663" s="93">
        <v>5</v>
      </c>
      <c r="E1663" s="93">
        <v>6</v>
      </c>
    </row>
    <row r="1664" spans="2:5" x14ac:dyDescent="0.2">
      <c r="B1664" s="92" t="s">
        <v>2837</v>
      </c>
      <c r="C1664" s="93">
        <v>2019</v>
      </c>
      <c r="D1664" s="93">
        <v>6</v>
      </c>
      <c r="E1664" s="93">
        <v>5</v>
      </c>
    </row>
    <row r="1665" spans="2:5" x14ac:dyDescent="0.2">
      <c r="B1665" s="92" t="s">
        <v>2837</v>
      </c>
      <c r="C1665" s="93">
        <v>2019</v>
      </c>
      <c r="D1665" s="93">
        <v>9</v>
      </c>
      <c r="E1665" s="93">
        <v>5</v>
      </c>
    </row>
    <row r="1666" spans="2:5" x14ac:dyDescent="0.2">
      <c r="B1666" s="92" t="s">
        <v>2837</v>
      </c>
      <c r="C1666" s="93">
        <v>2019</v>
      </c>
      <c r="D1666" s="93">
        <v>8</v>
      </c>
      <c r="E1666" s="93">
        <v>2</v>
      </c>
    </row>
    <row r="1667" spans="2:5" x14ac:dyDescent="0.2">
      <c r="B1667" s="92" t="s">
        <v>2837</v>
      </c>
      <c r="C1667" s="93">
        <v>2019</v>
      </c>
      <c r="D1667" s="93">
        <v>11</v>
      </c>
      <c r="E1667" s="93">
        <v>2</v>
      </c>
    </row>
    <row r="1668" spans="2:5" x14ac:dyDescent="0.2">
      <c r="B1668" s="92" t="s">
        <v>2837</v>
      </c>
      <c r="C1668" s="93">
        <v>2019</v>
      </c>
      <c r="D1668" s="93">
        <v>12</v>
      </c>
      <c r="E1668" s="93">
        <v>2</v>
      </c>
    </row>
    <row r="1669" spans="2:5" x14ac:dyDescent="0.2">
      <c r="B1669" s="92" t="s">
        <v>2837</v>
      </c>
      <c r="C1669" s="93">
        <v>2019</v>
      </c>
      <c r="D1669" s="93">
        <v>2</v>
      </c>
      <c r="E1669" s="93">
        <v>1</v>
      </c>
    </row>
    <row r="1670" spans="2:5" x14ac:dyDescent="0.2">
      <c r="B1670" s="92" t="s">
        <v>2838</v>
      </c>
      <c r="C1670" s="93">
        <v>2019</v>
      </c>
      <c r="D1670" s="93">
        <v>5</v>
      </c>
      <c r="E1670" s="93">
        <v>8</v>
      </c>
    </row>
    <row r="1671" spans="2:5" x14ac:dyDescent="0.2">
      <c r="B1671" s="92" t="s">
        <v>2838</v>
      </c>
      <c r="C1671" s="93">
        <v>2019</v>
      </c>
      <c r="D1671" s="93">
        <v>8</v>
      </c>
      <c r="E1671" s="93">
        <v>8</v>
      </c>
    </row>
    <row r="1672" spans="2:5" x14ac:dyDescent="0.2">
      <c r="B1672" s="92" t="s">
        <v>2838</v>
      </c>
      <c r="C1672" s="93">
        <v>2019</v>
      </c>
      <c r="D1672" s="93">
        <v>3</v>
      </c>
      <c r="E1672" s="93">
        <v>5</v>
      </c>
    </row>
    <row r="1673" spans="2:5" x14ac:dyDescent="0.2">
      <c r="B1673" s="92" t="s">
        <v>2838</v>
      </c>
      <c r="C1673" s="93">
        <v>2019</v>
      </c>
      <c r="D1673" s="93">
        <v>10</v>
      </c>
      <c r="E1673" s="93">
        <v>4</v>
      </c>
    </row>
    <row r="1674" spans="2:5" x14ac:dyDescent="0.2">
      <c r="B1674" s="92" t="s">
        <v>2838</v>
      </c>
      <c r="C1674" s="93">
        <v>2019</v>
      </c>
      <c r="D1674" s="93">
        <v>7</v>
      </c>
      <c r="E1674" s="93">
        <v>3</v>
      </c>
    </row>
    <row r="1675" spans="2:5" x14ac:dyDescent="0.2">
      <c r="B1675" s="92" t="s">
        <v>2838</v>
      </c>
      <c r="C1675" s="93">
        <v>2019</v>
      </c>
      <c r="D1675" s="93">
        <v>1</v>
      </c>
      <c r="E1675" s="93">
        <v>2</v>
      </c>
    </row>
    <row r="1676" spans="2:5" x14ac:dyDescent="0.2">
      <c r="B1676" s="92" t="s">
        <v>2838</v>
      </c>
      <c r="C1676" s="93">
        <v>2019</v>
      </c>
      <c r="D1676" s="93">
        <v>9</v>
      </c>
      <c r="E1676" s="93">
        <v>2</v>
      </c>
    </row>
    <row r="1677" spans="2:5" x14ac:dyDescent="0.2">
      <c r="B1677" s="92" t="s">
        <v>2838</v>
      </c>
      <c r="C1677" s="93">
        <v>2019</v>
      </c>
      <c r="D1677" s="93">
        <v>2</v>
      </c>
      <c r="E1677" s="93">
        <v>1</v>
      </c>
    </row>
    <row r="1678" spans="2:5" x14ac:dyDescent="0.2">
      <c r="B1678" s="92" t="s">
        <v>2838</v>
      </c>
      <c r="C1678" s="93">
        <v>2019</v>
      </c>
      <c r="D1678" s="93">
        <v>4</v>
      </c>
      <c r="E1678" s="93">
        <v>1</v>
      </c>
    </row>
    <row r="1679" spans="2:5" x14ac:dyDescent="0.2">
      <c r="B1679" s="92" t="s">
        <v>2838</v>
      </c>
      <c r="C1679" s="93">
        <v>2019</v>
      </c>
      <c r="D1679" s="93">
        <v>6</v>
      </c>
      <c r="E1679" s="93">
        <v>1</v>
      </c>
    </row>
    <row r="1680" spans="2:5" x14ac:dyDescent="0.2">
      <c r="B1680" s="92" t="s">
        <v>2838</v>
      </c>
      <c r="C1680" s="93">
        <v>2019</v>
      </c>
      <c r="D1680" s="93">
        <v>11</v>
      </c>
      <c r="E1680" s="93">
        <v>1</v>
      </c>
    </row>
    <row r="1681" spans="2:5" x14ac:dyDescent="0.2">
      <c r="B1681" s="92" t="s">
        <v>2839</v>
      </c>
      <c r="C1681" s="93">
        <v>2019</v>
      </c>
      <c r="D1681" s="93">
        <v>4</v>
      </c>
      <c r="E1681" s="93">
        <v>44</v>
      </c>
    </row>
    <row r="1682" spans="2:5" x14ac:dyDescent="0.2">
      <c r="B1682" s="92" t="s">
        <v>2839</v>
      </c>
      <c r="C1682" s="93">
        <v>2019</v>
      </c>
      <c r="D1682" s="93">
        <v>9</v>
      </c>
      <c r="E1682" s="93">
        <v>18</v>
      </c>
    </row>
    <row r="1683" spans="2:5" x14ac:dyDescent="0.2">
      <c r="B1683" s="92" t="s">
        <v>2839</v>
      </c>
      <c r="C1683" s="93">
        <v>2019</v>
      </c>
      <c r="D1683" s="93">
        <v>8</v>
      </c>
      <c r="E1683" s="93">
        <v>16</v>
      </c>
    </row>
    <row r="1684" spans="2:5" x14ac:dyDescent="0.2">
      <c r="B1684" s="92" t="s">
        <v>2839</v>
      </c>
      <c r="C1684" s="93">
        <v>2019</v>
      </c>
      <c r="D1684" s="93">
        <v>12</v>
      </c>
      <c r="E1684" s="93">
        <v>16</v>
      </c>
    </row>
    <row r="1685" spans="2:5" x14ac:dyDescent="0.2">
      <c r="B1685" s="92" t="s">
        <v>2839</v>
      </c>
      <c r="C1685" s="93">
        <v>2019</v>
      </c>
      <c r="D1685" s="93">
        <v>7</v>
      </c>
      <c r="E1685" s="93">
        <v>14</v>
      </c>
    </row>
    <row r="1686" spans="2:5" x14ac:dyDescent="0.2">
      <c r="B1686" s="92" t="s">
        <v>2839</v>
      </c>
      <c r="C1686" s="93">
        <v>2019</v>
      </c>
      <c r="D1686" s="93">
        <v>5</v>
      </c>
      <c r="E1686" s="93">
        <v>12</v>
      </c>
    </row>
    <row r="1687" spans="2:5" x14ac:dyDescent="0.2">
      <c r="B1687" s="92" t="s">
        <v>2839</v>
      </c>
      <c r="C1687" s="93">
        <v>2019</v>
      </c>
      <c r="D1687" s="93">
        <v>6</v>
      </c>
      <c r="E1687" s="93">
        <v>12</v>
      </c>
    </row>
    <row r="1688" spans="2:5" x14ac:dyDescent="0.2">
      <c r="B1688" s="92" t="s">
        <v>2839</v>
      </c>
      <c r="C1688" s="93">
        <v>2019</v>
      </c>
      <c r="D1688" s="93">
        <v>3</v>
      </c>
      <c r="E1688" s="93">
        <v>11</v>
      </c>
    </row>
    <row r="1689" spans="2:5" x14ac:dyDescent="0.2">
      <c r="B1689" s="92" t="s">
        <v>2839</v>
      </c>
      <c r="C1689" s="93">
        <v>2019</v>
      </c>
      <c r="D1689" s="93">
        <v>11</v>
      </c>
      <c r="E1689" s="93">
        <v>11</v>
      </c>
    </row>
    <row r="1690" spans="2:5" x14ac:dyDescent="0.2">
      <c r="B1690" s="92" t="s">
        <v>2839</v>
      </c>
      <c r="C1690" s="93">
        <v>2019</v>
      </c>
      <c r="D1690" s="93">
        <v>10</v>
      </c>
      <c r="E1690" s="93">
        <v>9</v>
      </c>
    </row>
    <row r="1691" spans="2:5" x14ac:dyDescent="0.2">
      <c r="B1691" s="92" t="s">
        <v>2839</v>
      </c>
      <c r="C1691" s="93">
        <v>2019</v>
      </c>
      <c r="D1691" s="93">
        <v>1</v>
      </c>
      <c r="E1691" s="93">
        <v>7</v>
      </c>
    </row>
    <row r="1692" spans="2:5" x14ac:dyDescent="0.2">
      <c r="B1692" s="92" t="s">
        <v>2840</v>
      </c>
      <c r="C1692" s="93">
        <v>2019</v>
      </c>
      <c r="D1692" s="93">
        <v>8</v>
      </c>
      <c r="E1692" s="93">
        <v>24</v>
      </c>
    </row>
    <row r="1693" spans="2:5" x14ac:dyDescent="0.2">
      <c r="B1693" s="92" t="s">
        <v>2840</v>
      </c>
      <c r="C1693" s="93">
        <v>2019</v>
      </c>
      <c r="D1693" s="93">
        <v>5</v>
      </c>
      <c r="E1693" s="93">
        <v>14</v>
      </c>
    </row>
    <row r="1694" spans="2:5" x14ac:dyDescent="0.2">
      <c r="B1694" s="92" t="s">
        <v>2840</v>
      </c>
      <c r="C1694" s="93">
        <v>2019</v>
      </c>
      <c r="D1694" s="93">
        <v>4</v>
      </c>
      <c r="E1694" s="93">
        <v>13</v>
      </c>
    </row>
    <row r="1695" spans="2:5" x14ac:dyDescent="0.2">
      <c r="B1695" s="92" t="s">
        <v>2840</v>
      </c>
      <c r="C1695" s="93">
        <v>2019</v>
      </c>
      <c r="D1695" s="93">
        <v>7</v>
      </c>
      <c r="E1695" s="93">
        <v>11</v>
      </c>
    </row>
    <row r="1696" spans="2:5" x14ac:dyDescent="0.2">
      <c r="B1696" s="92" t="s">
        <v>2840</v>
      </c>
      <c r="C1696" s="93">
        <v>2019</v>
      </c>
      <c r="D1696" s="93">
        <v>11</v>
      </c>
      <c r="E1696" s="93">
        <v>8</v>
      </c>
    </row>
    <row r="1697" spans="2:5" x14ac:dyDescent="0.2">
      <c r="B1697" s="92" t="s">
        <v>2840</v>
      </c>
      <c r="C1697" s="93">
        <v>2019</v>
      </c>
      <c r="D1697" s="93">
        <v>6</v>
      </c>
      <c r="E1697" s="93">
        <v>6</v>
      </c>
    </row>
    <row r="1698" spans="2:5" x14ac:dyDescent="0.2">
      <c r="B1698" s="92" t="s">
        <v>2840</v>
      </c>
      <c r="C1698" s="93">
        <v>2019</v>
      </c>
      <c r="D1698" s="93">
        <v>1</v>
      </c>
      <c r="E1698" s="93">
        <v>5</v>
      </c>
    </row>
    <row r="1699" spans="2:5" x14ac:dyDescent="0.2">
      <c r="B1699" s="92" t="s">
        <v>2840</v>
      </c>
      <c r="C1699" s="93">
        <v>2019</v>
      </c>
      <c r="D1699" s="93">
        <v>3</v>
      </c>
      <c r="E1699" s="93">
        <v>5</v>
      </c>
    </row>
    <row r="1700" spans="2:5" x14ac:dyDescent="0.2">
      <c r="B1700" s="92" t="s">
        <v>2840</v>
      </c>
      <c r="C1700" s="93">
        <v>2019</v>
      </c>
      <c r="D1700" s="93">
        <v>9</v>
      </c>
      <c r="E1700" s="93">
        <v>5</v>
      </c>
    </row>
    <row r="1701" spans="2:5" x14ac:dyDescent="0.2">
      <c r="B1701" s="92" t="s">
        <v>2840</v>
      </c>
      <c r="C1701" s="93">
        <v>2019</v>
      </c>
      <c r="D1701" s="93">
        <v>10</v>
      </c>
      <c r="E1701" s="93">
        <v>5</v>
      </c>
    </row>
    <row r="1702" spans="2:5" x14ac:dyDescent="0.2">
      <c r="B1702" s="92" t="s">
        <v>2840</v>
      </c>
      <c r="C1702" s="93">
        <v>2019</v>
      </c>
      <c r="D1702" s="93">
        <v>2</v>
      </c>
      <c r="E1702" s="93">
        <v>3</v>
      </c>
    </row>
    <row r="1703" spans="2:5" x14ac:dyDescent="0.2">
      <c r="B1703" s="92" t="s">
        <v>2840</v>
      </c>
      <c r="C1703" s="93">
        <v>2019</v>
      </c>
      <c r="D1703" s="93">
        <v>12</v>
      </c>
      <c r="E1703" s="93">
        <v>1</v>
      </c>
    </row>
    <row r="1704" spans="2:5" x14ac:dyDescent="0.2">
      <c r="B1704" s="92" t="s">
        <v>2926</v>
      </c>
      <c r="C1704" s="93">
        <v>2019</v>
      </c>
      <c r="D1704" s="93">
        <v>11</v>
      </c>
      <c r="E1704" s="93">
        <v>11</v>
      </c>
    </row>
    <row r="1705" spans="2:5" x14ac:dyDescent="0.2">
      <c r="B1705" s="92" t="s">
        <v>2926</v>
      </c>
      <c r="C1705" s="93">
        <v>2019</v>
      </c>
      <c r="D1705" s="93">
        <v>6</v>
      </c>
      <c r="E1705" s="93">
        <v>7</v>
      </c>
    </row>
    <row r="1706" spans="2:5" x14ac:dyDescent="0.2">
      <c r="B1706" s="92" t="s">
        <v>2926</v>
      </c>
      <c r="C1706" s="93">
        <v>2019</v>
      </c>
      <c r="D1706" s="93">
        <v>10</v>
      </c>
      <c r="E1706" s="93">
        <v>5</v>
      </c>
    </row>
    <row r="1707" spans="2:5" x14ac:dyDescent="0.2">
      <c r="B1707" s="92" t="s">
        <v>2926</v>
      </c>
      <c r="C1707" s="93">
        <v>2019</v>
      </c>
      <c r="D1707" s="93">
        <v>5</v>
      </c>
      <c r="E1707" s="93">
        <v>4</v>
      </c>
    </row>
    <row r="1708" spans="2:5" x14ac:dyDescent="0.2">
      <c r="B1708" s="92" t="s">
        <v>2926</v>
      </c>
      <c r="C1708" s="93">
        <v>2019</v>
      </c>
      <c r="D1708" s="93">
        <v>7</v>
      </c>
      <c r="E1708" s="93">
        <v>4</v>
      </c>
    </row>
    <row r="1709" spans="2:5" x14ac:dyDescent="0.2">
      <c r="B1709" s="92" t="s">
        <v>2926</v>
      </c>
      <c r="C1709" s="93">
        <v>2019</v>
      </c>
      <c r="D1709" s="93">
        <v>8</v>
      </c>
      <c r="E1709" s="93">
        <v>4</v>
      </c>
    </row>
    <row r="1710" spans="2:5" x14ac:dyDescent="0.2">
      <c r="B1710" s="92" t="s">
        <v>2926</v>
      </c>
      <c r="C1710" s="93">
        <v>2019</v>
      </c>
      <c r="D1710" s="93">
        <v>9</v>
      </c>
      <c r="E1710" s="93">
        <v>3</v>
      </c>
    </row>
    <row r="1711" spans="2:5" x14ac:dyDescent="0.2">
      <c r="B1711" s="92" t="s">
        <v>2926</v>
      </c>
      <c r="C1711" s="93">
        <v>2019</v>
      </c>
      <c r="D1711" s="93">
        <v>12</v>
      </c>
      <c r="E1711" s="93">
        <v>3</v>
      </c>
    </row>
    <row r="1712" spans="2:5" x14ac:dyDescent="0.2">
      <c r="B1712" s="92" t="s">
        <v>2926</v>
      </c>
      <c r="C1712" s="93">
        <v>2019</v>
      </c>
      <c r="D1712" s="93">
        <v>3</v>
      </c>
      <c r="E1712" s="93">
        <v>2</v>
      </c>
    </row>
    <row r="1713" spans="2:5" x14ac:dyDescent="0.2">
      <c r="B1713" s="92" t="s">
        <v>2926</v>
      </c>
      <c r="C1713" s="93">
        <v>2019</v>
      </c>
      <c r="D1713" s="93">
        <v>1</v>
      </c>
      <c r="E1713" s="93">
        <v>1</v>
      </c>
    </row>
    <row r="1714" spans="2:5" x14ac:dyDescent="0.2">
      <c r="B1714" s="92" t="s">
        <v>2939</v>
      </c>
      <c r="C1714" s="93">
        <v>2019</v>
      </c>
      <c r="D1714" s="93">
        <v>2</v>
      </c>
      <c r="E1714" s="93">
        <v>4</v>
      </c>
    </row>
    <row r="1715" spans="2:5" x14ac:dyDescent="0.2">
      <c r="B1715" s="92" t="s">
        <v>2939</v>
      </c>
      <c r="C1715" s="93">
        <v>2019</v>
      </c>
      <c r="D1715" s="93">
        <v>10</v>
      </c>
      <c r="E1715" s="93">
        <v>4</v>
      </c>
    </row>
    <row r="1716" spans="2:5" x14ac:dyDescent="0.2">
      <c r="B1716" s="92" t="s">
        <v>2939</v>
      </c>
      <c r="C1716" s="93">
        <v>2019</v>
      </c>
      <c r="D1716" s="93">
        <v>1</v>
      </c>
      <c r="E1716" s="93">
        <v>2</v>
      </c>
    </row>
    <row r="1717" spans="2:5" x14ac:dyDescent="0.2">
      <c r="B1717" s="92" t="s">
        <v>2939</v>
      </c>
      <c r="C1717" s="93">
        <v>2019</v>
      </c>
      <c r="D1717" s="93">
        <v>6</v>
      </c>
      <c r="E1717" s="93">
        <v>2</v>
      </c>
    </row>
    <row r="1718" spans="2:5" x14ac:dyDescent="0.2">
      <c r="B1718" s="92" t="s">
        <v>2939</v>
      </c>
      <c r="C1718" s="93">
        <v>2019</v>
      </c>
      <c r="D1718" s="93">
        <v>12</v>
      </c>
      <c r="E1718" s="93">
        <v>2</v>
      </c>
    </row>
    <row r="1719" spans="2:5" x14ac:dyDescent="0.2">
      <c r="B1719" s="92" t="s">
        <v>2939</v>
      </c>
      <c r="C1719" s="93">
        <v>2019</v>
      </c>
      <c r="D1719" s="93">
        <v>3</v>
      </c>
      <c r="E1719" s="93">
        <v>1</v>
      </c>
    </row>
    <row r="1720" spans="2:5" x14ac:dyDescent="0.2">
      <c r="B1720" s="92" t="s">
        <v>2939</v>
      </c>
      <c r="C1720" s="93">
        <v>2019</v>
      </c>
      <c r="D1720" s="93">
        <v>4</v>
      </c>
      <c r="E1720" s="93">
        <v>1</v>
      </c>
    </row>
    <row r="1721" spans="2:5" x14ac:dyDescent="0.2">
      <c r="B1721" s="92" t="s">
        <v>2939</v>
      </c>
      <c r="C1721" s="93">
        <v>2019</v>
      </c>
      <c r="D1721" s="93">
        <v>7</v>
      </c>
      <c r="E1721" s="93">
        <v>1</v>
      </c>
    </row>
    <row r="1722" spans="2:5" x14ac:dyDescent="0.2">
      <c r="B1722" s="92" t="s">
        <v>2939</v>
      </c>
      <c r="C1722" s="93">
        <v>2019</v>
      </c>
      <c r="D1722" s="93">
        <v>8</v>
      </c>
      <c r="E1722" s="93">
        <v>1</v>
      </c>
    </row>
    <row r="1723" spans="2:5" x14ac:dyDescent="0.2">
      <c r="B1723" s="92" t="s">
        <v>2939</v>
      </c>
      <c r="C1723" s="93">
        <v>2019</v>
      </c>
      <c r="D1723" s="93">
        <v>9</v>
      </c>
      <c r="E1723" s="93">
        <v>1</v>
      </c>
    </row>
    <row r="1724" spans="2:5" x14ac:dyDescent="0.2">
      <c r="B1724" s="92" t="s">
        <v>2939</v>
      </c>
      <c r="C1724" s="93">
        <v>2019</v>
      </c>
      <c r="D1724" s="93">
        <v>11</v>
      </c>
      <c r="E1724" s="93">
        <v>1</v>
      </c>
    </row>
    <row r="1725" spans="2:5" x14ac:dyDescent="0.2">
      <c r="B1725" s="92" t="s">
        <v>2945</v>
      </c>
      <c r="C1725" s="93">
        <v>2019</v>
      </c>
      <c r="D1725" s="93">
        <v>3</v>
      </c>
      <c r="E1725" s="93">
        <v>6</v>
      </c>
    </row>
    <row r="1726" spans="2:5" x14ac:dyDescent="0.2">
      <c r="B1726" s="92" t="s">
        <v>2945</v>
      </c>
      <c r="C1726" s="93">
        <v>2019</v>
      </c>
      <c r="D1726" s="93">
        <v>8</v>
      </c>
      <c r="E1726" s="93">
        <v>2</v>
      </c>
    </row>
    <row r="1727" spans="2:5" x14ac:dyDescent="0.2">
      <c r="B1727" s="92" t="s">
        <v>2945</v>
      </c>
      <c r="C1727" s="93">
        <v>2019</v>
      </c>
      <c r="D1727" s="93">
        <v>11</v>
      </c>
      <c r="E1727" s="93">
        <v>2</v>
      </c>
    </row>
    <row r="1728" spans="2:5" x14ac:dyDescent="0.2">
      <c r="B1728" s="92" t="s">
        <v>2945</v>
      </c>
      <c r="C1728" s="93">
        <v>2019</v>
      </c>
      <c r="D1728" s="93">
        <v>4</v>
      </c>
      <c r="E1728" s="93">
        <v>1</v>
      </c>
    </row>
    <row r="1729" spans="2:5" x14ac:dyDescent="0.2">
      <c r="B1729" s="92" t="s">
        <v>2945</v>
      </c>
      <c r="C1729" s="93">
        <v>2019</v>
      </c>
      <c r="D1729" s="93">
        <v>6</v>
      </c>
      <c r="E1729" s="93">
        <v>1</v>
      </c>
    </row>
    <row r="1730" spans="2:5" x14ac:dyDescent="0.2">
      <c r="B1730" s="92" t="s">
        <v>2945</v>
      </c>
      <c r="C1730" s="93">
        <v>2019</v>
      </c>
      <c r="D1730" s="93">
        <v>7</v>
      </c>
      <c r="E1730" s="93">
        <v>1</v>
      </c>
    </row>
    <row r="1731" spans="2:5" x14ac:dyDescent="0.2">
      <c r="B1731" s="92" t="s">
        <v>2841</v>
      </c>
      <c r="C1731" s="93">
        <v>2019</v>
      </c>
      <c r="D1731" s="93">
        <v>10</v>
      </c>
      <c r="E1731" s="93">
        <v>91</v>
      </c>
    </row>
    <row r="1732" spans="2:5" x14ac:dyDescent="0.2">
      <c r="B1732" s="92" t="s">
        <v>2841</v>
      </c>
      <c r="C1732" s="93">
        <v>2019</v>
      </c>
      <c r="D1732" s="93">
        <v>2</v>
      </c>
      <c r="E1732" s="93">
        <v>63</v>
      </c>
    </row>
    <row r="1733" spans="2:5" x14ac:dyDescent="0.2">
      <c r="B1733" s="92" t="s">
        <v>2841</v>
      </c>
      <c r="C1733" s="93">
        <v>2019</v>
      </c>
      <c r="D1733" s="93">
        <v>8</v>
      </c>
      <c r="E1733" s="93">
        <v>55</v>
      </c>
    </row>
    <row r="1734" spans="2:5" x14ac:dyDescent="0.2">
      <c r="B1734" s="92" t="s">
        <v>2841</v>
      </c>
      <c r="C1734" s="93">
        <v>2019</v>
      </c>
      <c r="D1734" s="93">
        <v>4</v>
      </c>
      <c r="E1734" s="93">
        <v>52</v>
      </c>
    </row>
    <row r="1735" spans="2:5" x14ac:dyDescent="0.2">
      <c r="B1735" s="92" t="s">
        <v>2841</v>
      </c>
      <c r="C1735" s="93">
        <v>2019</v>
      </c>
      <c r="D1735" s="93">
        <v>3</v>
      </c>
      <c r="E1735" s="93">
        <v>51</v>
      </c>
    </row>
    <row r="1736" spans="2:5" x14ac:dyDescent="0.2">
      <c r="B1736" s="92" t="s">
        <v>2841</v>
      </c>
      <c r="C1736" s="93">
        <v>2019</v>
      </c>
      <c r="D1736" s="93">
        <v>11</v>
      </c>
      <c r="E1736" s="93">
        <v>30</v>
      </c>
    </row>
    <row r="1737" spans="2:5" x14ac:dyDescent="0.2">
      <c r="B1737" s="92" t="s">
        <v>2841</v>
      </c>
      <c r="C1737" s="93">
        <v>2019</v>
      </c>
      <c r="D1737" s="93">
        <v>7</v>
      </c>
      <c r="E1737" s="93">
        <v>27</v>
      </c>
    </row>
    <row r="1738" spans="2:5" x14ac:dyDescent="0.2">
      <c r="B1738" s="92" t="s">
        <v>2841</v>
      </c>
      <c r="C1738" s="93">
        <v>2019</v>
      </c>
      <c r="D1738" s="93">
        <v>1</v>
      </c>
      <c r="E1738" s="93">
        <v>24</v>
      </c>
    </row>
    <row r="1739" spans="2:5" x14ac:dyDescent="0.2">
      <c r="B1739" s="92" t="s">
        <v>2841</v>
      </c>
      <c r="C1739" s="93">
        <v>2019</v>
      </c>
      <c r="D1739" s="93">
        <v>5</v>
      </c>
      <c r="E1739" s="93">
        <v>22</v>
      </c>
    </row>
    <row r="1740" spans="2:5" x14ac:dyDescent="0.2">
      <c r="B1740" s="92" t="s">
        <v>2841</v>
      </c>
      <c r="C1740" s="93">
        <v>2019</v>
      </c>
      <c r="D1740" s="93">
        <v>9</v>
      </c>
      <c r="E1740" s="93">
        <v>22</v>
      </c>
    </row>
    <row r="1741" spans="2:5" x14ac:dyDescent="0.2">
      <c r="B1741" s="92" t="s">
        <v>2841</v>
      </c>
      <c r="C1741" s="93">
        <v>2019</v>
      </c>
      <c r="D1741" s="93">
        <v>6</v>
      </c>
      <c r="E1741" s="93">
        <v>18</v>
      </c>
    </row>
    <row r="1742" spans="2:5" x14ac:dyDescent="0.2">
      <c r="B1742" s="92" t="s">
        <v>2841</v>
      </c>
      <c r="C1742" s="93">
        <v>2019</v>
      </c>
      <c r="D1742" s="93">
        <v>12</v>
      </c>
      <c r="E1742" s="93">
        <v>4</v>
      </c>
    </row>
    <row r="1743" spans="2:5" x14ac:dyDescent="0.2">
      <c r="B1743" s="92" t="s">
        <v>2842</v>
      </c>
      <c r="C1743" s="93">
        <v>2019</v>
      </c>
      <c r="D1743" s="93">
        <v>10</v>
      </c>
      <c r="E1743" s="93">
        <v>55</v>
      </c>
    </row>
    <row r="1744" spans="2:5" x14ac:dyDescent="0.2">
      <c r="B1744" s="92" t="s">
        <v>2842</v>
      </c>
      <c r="C1744" s="93">
        <v>2019</v>
      </c>
      <c r="D1744" s="93">
        <v>12</v>
      </c>
      <c r="E1744" s="93">
        <v>43</v>
      </c>
    </row>
    <row r="1745" spans="2:5" x14ac:dyDescent="0.2">
      <c r="B1745" s="92" t="s">
        <v>2842</v>
      </c>
      <c r="C1745" s="93">
        <v>2019</v>
      </c>
      <c r="D1745" s="93">
        <v>6</v>
      </c>
      <c r="E1745" s="93">
        <v>20</v>
      </c>
    </row>
    <row r="1746" spans="2:5" x14ac:dyDescent="0.2">
      <c r="B1746" s="92" t="s">
        <v>2842</v>
      </c>
      <c r="C1746" s="93">
        <v>2019</v>
      </c>
      <c r="D1746" s="93">
        <v>5</v>
      </c>
      <c r="E1746" s="93">
        <v>19</v>
      </c>
    </row>
    <row r="1747" spans="2:5" x14ac:dyDescent="0.2">
      <c r="B1747" s="92" t="s">
        <v>2842</v>
      </c>
      <c r="C1747" s="93">
        <v>2019</v>
      </c>
      <c r="D1747" s="93">
        <v>2</v>
      </c>
      <c r="E1747" s="93">
        <v>18</v>
      </c>
    </row>
    <row r="1748" spans="2:5" x14ac:dyDescent="0.2">
      <c r="B1748" s="92" t="s">
        <v>2842</v>
      </c>
      <c r="C1748" s="93">
        <v>2019</v>
      </c>
      <c r="D1748" s="93">
        <v>8</v>
      </c>
      <c r="E1748" s="93">
        <v>17</v>
      </c>
    </row>
    <row r="1749" spans="2:5" x14ac:dyDescent="0.2">
      <c r="B1749" s="92" t="s">
        <v>2842</v>
      </c>
      <c r="C1749" s="93">
        <v>2019</v>
      </c>
      <c r="D1749" s="93">
        <v>7</v>
      </c>
      <c r="E1749" s="93">
        <v>14</v>
      </c>
    </row>
    <row r="1750" spans="2:5" x14ac:dyDescent="0.2">
      <c r="B1750" s="92" t="s">
        <v>2842</v>
      </c>
      <c r="C1750" s="93">
        <v>2019</v>
      </c>
      <c r="D1750" s="93">
        <v>4</v>
      </c>
      <c r="E1750" s="93">
        <v>11</v>
      </c>
    </row>
    <row r="1751" spans="2:5" x14ac:dyDescent="0.2">
      <c r="B1751" s="92" t="s">
        <v>2842</v>
      </c>
      <c r="C1751" s="93">
        <v>2019</v>
      </c>
      <c r="D1751" s="93">
        <v>9</v>
      </c>
      <c r="E1751" s="93">
        <v>10</v>
      </c>
    </row>
    <row r="1752" spans="2:5" x14ac:dyDescent="0.2">
      <c r="B1752" s="92" t="s">
        <v>2842</v>
      </c>
      <c r="C1752" s="93">
        <v>2019</v>
      </c>
      <c r="D1752" s="93">
        <v>1</v>
      </c>
      <c r="E1752" s="93">
        <v>8</v>
      </c>
    </row>
    <row r="1753" spans="2:5" x14ac:dyDescent="0.2">
      <c r="B1753" s="92" t="s">
        <v>2842</v>
      </c>
      <c r="C1753" s="93">
        <v>2019</v>
      </c>
      <c r="D1753" s="93">
        <v>11</v>
      </c>
      <c r="E1753" s="93">
        <v>8</v>
      </c>
    </row>
    <row r="1754" spans="2:5" x14ac:dyDescent="0.2">
      <c r="B1754" s="92" t="s">
        <v>2842</v>
      </c>
      <c r="C1754" s="93">
        <v>2019</v>
      </c>
      <c r="D1754" s="93">
        <v>3</v>
      </c>
      <c r="E1754" s="93">
        <v>2</v>
      </c>
    </row>
    <row r="1755" spans="2:5" x14ac:dyDescent="0.2">
      <c r="B1755" s="92" t="s">
        <v>2843</v>
      </c>
      <c r="C1755" s="93">
        <v>2019</v>
      </c>
      <c r="D1755" s="93">
        <v>3</v>
      </c>
      <c r="E1755" s="93">
        <v>98</v>
      </c>
    </row>
    <row r="1756" spans="2:5" x14ac:dyDescent="0.2">
      <c r="B1756" s="92" t="s">
        <v>2843</v>
      </c>
      <c r="C1756" s="93">
        <v>2019</v>
      </c>
      <c r="D1756" s="93">
        <v>9</v>
      </c>
      <c r="E1756" s="93">
        <v>71</v>
      </c>
    </row>
    <row r="1757" spans="2:5" x14ac:dyDescent="0.2">
      <c r="B1757" s="92" t="s">
        <v>2843</v>
      </c>
      <c r="C1757" s="93">
        <v>2019</v>
      </c>
      <c r="D1757" s="93">
        <v>2</v>
      </c>
      <c r="E1757" s="93">
        <v>67</v>
      </c>
    </row>
    <row r="1758" spans="2:5" x14ac:dyDescent="0.2">
      <c r="B1758" s="92" t="s">
        <v>2843</v>
      </c>
      <c r="C1758" s="93">
        <v>2019</v>
      </c>
      <c r="D1758" s="93">
        <v>8</v>
      </c>
      <c r="E1758" s="93">
        <v>63</v>
      </c>
    </row>
    <row r="1759" spans="2:5" x14ac:dyDescent="0.2">
      <c r="B1759" s="92" t="s">
        <v>2843</v>
      </c>
      <c r="C1759" s="93">
        <v>2019</v>
      </c>
      <c r="D1759" s="93">
        <v>4</v>
      </c>
      <c r="E1759" s="93">
        <v>59</v>
      </c>
    </row>
    <row r="1760" spans="2:5" x14ac:dyDescent="0.2">
      <c r="B1760" s="92" t="s">
        <v>2843</v>
      </c>
      <c r="C1760" s="93">
        <v>2019</v>
      </c>
      <c r="D1760" s="93">
        <v>10</v>
      </c>
      <c r="E1760" s="93">
        <v>59</v>
      </c>
    </row>
    <row r="1761" spans="2:5" x14ac:dyDescent="0.2">
      <c r="B1761" s="92" t="s">
        <v>2843</v>
      </c>
      <c r="C1761" s="93">
        <v>2019</v>
      </c>
      <c r="D1761" s="93">
        <v>11</v>
      </c>
      <c r="E1761" s="93">
        <v>50</v>
      </c>
    </row>
    <row r="1762" spans="2:5" x14ac:dyDescent="0.2">
      <c r="B1762" s="92" t="s">
        <v>2843</v>
      </c>
      <c r="C1762" s="93">
        <v>2019</v>
      </c>
      <c r="D1762" s="93">
        <v>12</v>
      </c>
      <c r="E1762" s="93">
        <v>50</v>
      </c>
    </row>
    <row r="1763" spans="2:5" x14ac:dyDescent="0.2">
      <c r="B1763" s="92" t="s">
        <v>2843</v>
      </c>
      <c r="C1763" s="93">
        <v>2019</v>
      </c>
      <c r="D1763" s="93">
        <v>1</v>
      </c>
      <c r="E1763" s="93">
        <v>47</v>
      </c>
    </row>
    <row r="1764" spans="2:5" x14ac:dyDescent="0.2">
      <c r="B1764" s="92" t="s">
        <v>2843</v>
      </c>
      <c r="C1764" s="93">
        <v>2019</v>
      </c>
      <c r="D1764" s="93">
        <v>6</v>
      </c>
      <c r="E1764" s="93">
        <v>45</v>
      </c>
    </row>
    <row r="1765" spans="2:5" x14ac:dyDescent="0.2">
      <c r="B1765" s="92" t="s">
        <v>2843</v>
      </c>
      <c r="C1765" s="93">
        <v>2019</v>
      </c>
      <c r="D1765" s="93">
        <v>7</v>
      </c>
      <c r="E1765" s="93">
        <v>37</v>
      </c>
    </row>
    <row r="1766" spans="2:5" x14ac:dyDescent="0.2">
      <c r="B1766" s="92" t="s">
        <v>2843</v>
      </c>
      <c r="C1766" s="93">
        <v>2019</v>
      </c>
      <c r="D1766" s="93">
        <v>5</v>
      </c>
      <c r="E1766" s="93">
        <v>27</v>
      </c>
    </row>
    <row r="1767" spans="2:5" x14ac:dyDescent="0.2">
      <c r="B1767" s="92" t="s">
        <v>2844</v>
      </c>
      <c r="C1767" s="93">
        <v>2019</v>
      </c>
      <c r="D1767" s="93">
        <v>6</v>
      </c>
      <c r="E1767" s="93">
        <v>1</v>
      </c>
    </row>
    <row r="1768" spans="2:5" x14ac:dyDescent="0.2">
      <c r="B1768" s="92" t="s">
        <v>2902</v>
      </c>
      <c r="C1768" s="93">
        <v>2019</v>
      </c>
      <c r="D1768" s="93">
        <v>4</v>
      </c>
      <c r="E1768" s="93">
        <v>45</v>
      </c>
    </row>
    <row r="1769" spans="2:5" x14ac:dyDescent="0.2">
      <c r="B1769" s="92" t="s">
        <v>2902</v>
      </c>
      <c r="C1769" s="93">
        <v>2019</v>
      </c>
      <c r="D1769" s="93">
        <v>5</v>
      </c>
      <c r="E1769" s="93">
        <v>43</v>
      </c>
    </row>
    <row r="1770" spans="2:5" x14ac:dyDescent="0.2">
      <c r="B1770" s="92" t="s">
        <v>2902</v>
      </c>
      <c r="C1770" s="93">
        <v>2019</v>
      </c>
      <c r="D1770" s="93">
        <v>7</v>
      </c>
      <c r="E1770" s="93">
        <v>32</v>
      </c>
    </row>
    <row r="1771" spans="2:5" x14ac:dyDescent="0.2">
      <c r="B1771" s="92" t="s">
        <v>2902</v>
      </c>
      <c r="C1771" s="93">
        <v>2019</v>
      </c>
      <c r="D1771" s="93">
        <v>6</v>
      </c>
      <c r="E1771" s="93">
        <v>21</v>
      </c>
    </row>
    <row r="1772" spans="2:5" x14ac:dyDescent="0.2">
      <c r="B1772" s="92" t="s">
        <v>2902</v>
      </c>
      <c r="C1772" s="93">
        <v>2019</v>
      </c>
      <c r="D1772" s="93">
        <v>11</v>
      </c>
      <c r="E1772" s="93">
        <v>20</v>
      </c>
    </row>
    <row r="1773" spans="2:5" x14ac:dyDescent="0.2">
      <c r="B1773" s="92" t="s">
        <v>2902</v>
      </c>
      <c r="C1773" s="93">
        <v>2019</v>
      </c>
      <c r="D1773" s="93">
        <v>8</v>
      </c>
      <c r="E1773" s="93">
        <v>18</v>
      </c>
    </row>
    <row r="1774" spans="2:5" x14ac:dyDescent="0.2">
      <c r="B1774" s="92" t="s">
        <v>2902</v>
      </c>
      <c r="C1774" s="93">
        <v>2019</v>
      </c>
      <c r="D1774" s="93">
        <v>2</v>
      </c>
      <c r="E1774" s="93">
        <v>7</v>
      </c>
    </row>
    <row r="1775" spans="2:5" x14ac:dyDescent="0.2">
      <c r="B1775" s="92" t="s">
        <v>2902</v>
      </c>
      <c r="C1775" s="93">
        <v>2019</v>
      </c>
      <c r="D1775" s="93">
        <v>9</v>
      </c>
      <c r="E1775" s="93">
        <v>7</v>
      </c>
    </row>
    <row r="1776" spans="2:5" x14ac:dyDescent="0.2">
      <c r="B1776" s="92" t="s">
        <v>2902</v>
      </c>
      <c r="C1776" s="93">
        <v>2019</v>
      </c>
      <c r="D1776" s="93">
        <v>10</v>
      </c>
      <c r="E1776" s="93">
        <v>3</v>
      </c>
    </row>
    <row r="1777" spans="2:5" x14ac:dyDescent="0.2">
      <c r="B1777" s="92" t="s">
        <v>2902</v>
      </c>
      <c r="C1777" s="93">
        <v>2019</v>
      </c>
      <c r="D1777" s="93">
        <v>12</v>
      </c>
      <c r="E1777" s="93">
        <v>3</v>
      </c>
    </row>
    <row r="1778" spans="2:5" x14ac:dyDescent="0.2">
      <c r="B1778" s="92" t="s">
        <v>2902</v>
      </c>
      <c r="C1778" s="93">
        <v>2019</v>
      </c>
      <c r="D1778" s="93">
        <v>1</v>
      </c>
      <c r="E1778" s="93">
        <v>2</v>
      </c>
    </row>
    <row r="1779" spans="2:5" x14ac:dyDescent="0.2">
      <c r="B1779" s="92" t="s">
        <v>2902</v>
      </c>
      <c r="C1779" s="93">
        <v>2019</v>
      </c>
      <c r="D1779" s="93">
        <v>3</v>
      </c>
      <c r="E1779" s="93">
        <v>1</v>
      </c>
    </row>
    <row r="1780" spans="2:5" x14ac:dyDescent="0.2">
      <c r="B1780" s="92" t="s">
        <v>988</v>
      </c>
      <c r="C1780" s="93">
        <v>2019</v>
      </c>
      <c r="D1780" s="93">
        <v>10</v>
      </c>
      <c r="E1780" s="93">
        <v>419</v>
      </c>
    </row>
    <row r="1781" spans="2:5" x14ac:dyDescent="0.2">
      <c r="B1781" s="92" t="s">
        <v>988</v>
      </c>
      <c r="C1781" s="93">
        <v>2019</v>
      </c>
      <c r="D1781" s="93">
        <v>4</v>
      </c>
      <c r="E1781" s="93">
        <v>414</v>
      </c>
    </row>
    <row r="1782" spans="2:5" x14ac:dyDescent="0.2">
      <c r="B1782" s="92" t="s">
        <v>988</v>
      </c>
      <c r="C1782" s="93">
        <v>2019</v>
      </c>
      <c r="D1782" s="93">
        <v>5</v>
      </c>
      <c r="E1782" s="93">
        <v>362</v>
      </c>
    </row>
    <row r="1783" spans="2:5" x14ac:dyDescent="0.2">
      <c r="B1783" s="92" t="s">
        <v>988</v>
      </c>
      <c r="C1783" s="93">
        <v>2019</v>
      </c>
      <c r="D1783" s="93">
        <v>8</v>
      </c>
      <c r="E1783" s="93">
        <v>308</v>
      </c>
    </row>
    <row r="1784" spans="2:5" x14ac:dyDescent="0.2">
      <c r="B1784" s="92" t="s">
        <v>988</v>
      </c>
      <c r="C1784" s="93">
        <v>2019</v>
      </c>
      <c r="D1784" s="93">
        <v>1</v>
      </c>
      <c r="E1784" s="93">
        <v>303</v>
      </c>
    </row>
    <row r="1785" spans="2:5" x14ac:dyDescent="0.2">
      <c r="B1785" s="92" t="s">
        <v>988</v>
      </c>
      <c r="C1785" s="93">
        <v>2019</v>
      </c>
      <c r="D1785" s="93">
        <v>9</v>
      </c>
      <c r="E1785" s="93">
        <v>300</v>
      </c>
    </row>
    <row r="1786" spans="2:5" x14ac:dyDescent="0.2">
      <c r="B1786" s="92" t="s">
        <v>988</v>
      </c>
      <c r="C1786" s="93">
        <v>2019</v>
      </c>
      <c r="D1786" s="93">
        <v>3</v>
      </c>
      <c r="E1786" s="93">
        <v>289</v>
      </c>
    </row>
    <row r="1787" spans="2:5" x14ac:dyDescent="0.2">
      <c r="B1787" s="92" t="s">
        <v>988</v>
      </c>
      <c r="C1787" s="93">
        <v>2019</v>
      </c>
      <c r="D1787" s="93">
        <v>11</v>
      </c>
      <c r="E1787" s="93">
        <v>280</v>
      </c>
    </row>
    <row r="1788" spans="2:5" x14ac:dyDescent="0.2">
      <c r="B1788" s="92" t="s">
        <v>988</v>
      </c>
      <c r="C1788" s="93">
        <v>2019</v>
      </c>
      <c r="D1788" s="93">
        <v>2</v>
      </c>
      <c r="E1788" s="93">
        <v>259</v>
      </c>
    </row>
    <row r="1789" spans="2:5" x14ac:dyDescent="0.2">
      <c r="B1789" s="92" t="s">
        <v>988</v>
      </c>
      <c r="C1789" s="93">
        <v>2019</v>
      </c>
      <c r="D1789" s="93">
        <v>7</v>
      </c>
      <c r="E1789" s="93">
        <v>250</v>
      </c>
    </row>
    <row r="1790" spans="2:5" x14ac:dyDescent="0.2">
      <c r="B1790" s="92" t="s">
        <v>988</v>
      </c>
      <c r="C1790" s="93">
        <v>2019</v>
      </c>
      <c r="D1790" s="93">
        <v>6</v>
      </c>
      <c r="E1790" s="93">
        <v>225</v>
      </c>
    </row>
    <row r="1791" spans="2:5" x14ac:dyDescent="0.2">
      <c r="B1791" s="92" t="s">
        <v>988</v>
      </c>
      <c r="C1791" s="93">
        <v>2019</v>
      </c>
      <c r="D1791" s="93">
        <v>12</v>
      </c>
      <c r="E1791" s="93">
        <v>194</v>
      </c>
    </row>
    <row r="1792" spans="2:5" x14ac:dyDescent="0.2">
      <c r="B1792" s="92" t="s">
        <v>2846</v>
      </c>
      <c r="C1792" s="93">
        <v>2019</v>
      </c>
      <c r="D1792" s="93">
        <v>6</v>
      </c>
      <c r="E1792" s="93">
        <v>15</v>
      </c>
    </row>
    <row r="1793" spans="2:5" x14ac:dyDescent="0.2">
      <c r="B1793" s="92" t="s">
        <v>2846</v>
      </c>
      <c r="C1793" s="93">
        <v>2019</v>
      </c>
      <c r="D1793" s="93">
        <v>1</v>
      </c>
      <c r="E1793" s="93">
        <v>14</v>
      </c>
    </row>
    <row r="1794" spans="2:5" x14ac:dyDescent="0.2">
      <c r="B1794" s="92" t="s">
        <v>2846</v>
      </c>
      <c r="C1794" s="93">
        <v>2019</v>
      </c>
      <c r="D1794" s="93">
        <v>3</v>
      </c>
      <c r="E1794" s="93">
        <v>10</v>
      </c>
    </row>
    <row r="1795" spans="2:5" x14ac:dyDescent="0.2">
      <c r="B1795" s="92" t="s">
        <v>2846</v>
      </c>
      <c r="C1795" s="93">
        <v>2019</v>
      </c>
      <c r="D1795" s="93">
        <v>9</v>
      </c>
      <c r="E1795" s="93">
        <v>5</v>
      </c>
    </row>
    <row r="1796" spans="2:5" x14ac:dyDescent="0.2">
      <c r="B1796" s="92" t="s">
        <v>2846</v>
      </c>
      <c r="C1796" s="93">
        <v>2019</v>
      </c>
      <c r="D1796" s="93">
        <v>2</v>
      </c>
      <c r="E1796" s="93">
        <v>4</v>
      </c>
    </row>
    <row r="1797" spans="2:5" x14ac:dyDescent="0.2">
      <c r="B1797" s="92" t="s">
        <v>2846</v>
      </c>
      <c r="C1797" s="93">
        <v>2019</v>
      </c>
      <c r="D1797" s="93">
        <v>11</v>
      </c>
      <c r="E1797" s="93">
        <v>4</v>
      </c>
    </row>
    <row r="1798" spans="2:5" x14ac:dyDescent="0.2">
      <c r="B1798" s="92" t="s">
        <v>2846</v>
      </c>
      <c r="C1798" s="93">
        <v>2019</v>
      </c>
      <c r="D1798" s="93">
        <v>4</v>
      </c>
      <c r="E1798" s="93">
        <v>2</v>
      </c>
    </row>
    <row r="1799" spans="2:5" x14ac:dyDescent="0.2">
      <c r="B1799" s="92" t="s">
        <v>2846</v>
      </c>
      <c r="C1799" s="93">
        <v>2019</v>
      </c>
      <c r="D1799" s="93">
        <v>10</v>
      </c>
      <c r="E1799" s="93">
        <v>2</v>
      </c>
    </row>
    <row r="1800" spans="2:5" x14ac:dyDescent="0.2">
      <c r="B1800" s="92" t="s">
        <v>2846</v>
      </c>
      <c r="C1800" s="93">
        <v>2019</v>
      </c>
      <c r="D1800" s="93">
        <v>7</v>
      </c>
      <c r="E1800" s="93">
        <v>1</v>
      </c>
    </row>
    <row r="1801" spans="2:5" x14ac:dyDescent="0.2">
      <c r="B1801" s="92" t="s">
        <v>2846</v>
      </c>
      <c r="C1801" s="93">
        <v>2019</v>
      </c>
      <c r="D1801" s="93">
        <v>8</v>
      </c>
      <c r="E1801" s="93">
        <v>1</v>
      </c>
    </row>
    <row r="1802" spans="2:5" x14ac:dyDescent="0.2">
      <c r="B1802" s="92" t="s">
        <v>2847</v>
      </c>
      <c r="C1802" s="93">
        <v>2019</v>
      </c>
      <c r="D1802" s="93">
        <v>3</v>
      </c>
      <c r="E1802" s="93">
        <v>9</v>
      </c>
    </row>
    <row r="1803" spans="2:5" x14ac:dyDescent="0.2">
      <c r="B1803" s="92" t="s">
        <v>2847</v>
      </c>
      <c r="C1803" s="93">
        <v>2019</v>
      </c>
      <c r="D1803" s="93">
        <v>8</v>
      </c>
      <c r="E1803" s="93">
        <v>8</v>
      </c>
    </row>
    <row r="1804" spans="2:5" x14ac:dyDescent="0.2">
      <c r="B1804" s="92" t="s">
        <v>2847</v>
      </c>
      <c r="C1804" s="93">
        <v>2019</v>
      </c>
      <c r="D1804" s="93">
        <v>6</v>
      </c>
      <c r="E1804" s="93">
        <v>6</v>
      </c>
    </row>
    <row r="1805" spans="2:5" x14ac:dyDescent="0.2">
      <c r="B1805" s="92" t="s">
        <v>2847</v>
      </c>
      <c r="C1805" s="93">
        <v>2019</v>
      </c>
      <c r="D1805" s="93">
        <v>9</v>
      </c>
      <c r="E1805" s="93">
        <v>6</v>
      </c>
    </row>
    <row r="1806" spans="2:5" x14ac:dyDescent="0.2">
      <c r="B1806" s="92" t="s">
        <v>2847</v>
      </c>
      <c r="C1806" s="93">
        <v>2019</v>
      </c>
      <c r="D1806" s="93">
        <v>1</v>
      </c>
      <c r="E1806" s="93">
        <v>5</v>
      </c>
    </row>
    <row r="1807" spans="2:5" x14ac:dyDescent="0.2">
      <c r="B1807" s="92" t="s">
        <v>2847</v>
      </c>
      <c r="C1807" s="93">
        <v>2019</v>
      </c>
      <c r="D1807" s="93">
        <v>4</v>
      </c>
      <c r="E1807" s="93">
        <v>5</v>
      </c>
    </row>
    <row r="1808" spans="2:5" x14ac:dyDescent="0.2">
      <c r="B1808" s="92" t="s">
        <v>2847</v>
      </c>
      <c r="C1808" s="93">
        <v>2019</v>
      </c>
      <c r="D1808" s="93">
        <v>5</v>
      </c>
      <c r="E1808" s="93">
        <v>5</v>
      </c>
    </row>
    <row r="1809" spans="2:5" x14ac:dyDescent="0.2">
      <c r="B1809" s="92" t="s">
        <v>2847</v>
      </c>
      <c r="C1809" s="93">
        <v>2019</v>
      </c>
      <c r="D1809" s="93">
        <v>10</v>
      </c>
      <c r="E1809" s="93">
        <v>5</v>
      </c>
    </row>
    <row r="1810" spans="2:5" x14ac:dyDescent="0.2">
      <c r="B1810" s="92" t="s">
        <v>2847</v>
      </c>
      <c r="C1810" s="93">
        <v>2019</v>
      </c>
      <c r="D1810" s="93">
        <v>11</v>
      </c>
      <c r="E1810" s="93">
        <v>5</v>
      </c>
    </row>
    <row r="1811" spans="2:5" x14ac:dyDescent="0.2">
      <c r="B1811" s="92" t="s">
        <v>2847</v>
      </c>
      <c r="C1811" s="93">
        <v>2019</v>
      </c>
      <c r="D1811" s="93">
        <v>7</v>
      </c>
      <c r="E1811" s="93">
        <v>4</v>
      </c>
    </row>
    <row r="1812" spans="2:5" x14ac:dyDescent="0.2">
      <c r="B1812" s="92" t="s">
        <v>2847</v>
      </c>
      <c r="C1812" s="93">
        <v>2019</v>
      </c>
      <c r="D1812" s="93">
        <v>12</v>
      </c>
      <c r="E1812" s="93">
        <v>4</v>
      </c>
    </row>
    <row r="1813" spans="2:5" x14ac:dyDescent="0.2">
      <c r="B1813" s="92" t="s">
        <v>2847</v>
      </c>
      <c r="C1813" s="93">
        <v>2019</v>
      </c>
      <c r="D1813" s="93">
        <v>2</v>
      </c>
      <c r="E1813" s="93">
        <v>2</v>
      </c>
    </row>
    <row r="1814" spans="2:5" x14ac:dyDescent="0.2">
      <c r="B1814" s="92" t="s">
        <v>2899</v>
      </c>
      <c r="C1814" s="93">
        <v>2019</v>
      </c>
      <c r="D1814" s="93">
        <v>3</v>
      </c>
      <c r="E1814" s="93">
        <v>95</v>
      </c>
    </row>
    <row r="1815" spans="2:5" x14ac:dyDescent="0.2">
      <c r="B1815" s="92" t="s">
        <v>2899</v>
      </c>
      <c r="C1815" s="93">
        <v>2019</v>
      </c>
      <c r="D1815" s="93">
        <v>4</v>
      </c>
      <c r="E1815" s="93">
        <v>31</v>
      </c>
    </row>
    <row r="1816" spans="2:5" x14ac:dyDescent="0.2">
      <c r="B1816" s="92" t="s">
        <v>2899</v>
      </c>
      <c r="C1816" s="93">
        <v>2019</v>
      </c>
      <c r="D1816" s="93">
        <v>5</v>
      </c>
      <c r="E1816" s="93">
        <v>20</v>
      </c>
    </row>
    <row r="1817" spans="2:5" x14ac:dyDescent="0.2">
      <c r="B1817" s="92" t="s">
        <v>2899</v>
      </c>
      <c r="C1817" s="93">
        <v>2019</v>
      </c>
      <c r="D1817" s="93">
        <v>11</v>
      </c>
      <c r="E1817" s="93">
        <v>19</v>
      </c>
    </row>
    <row r="1818" spans="2:5" x14ac:dyDescent="0.2">
      <c r="B1818" s="92" t="s">
        <v>2899</v>
      </c>
      <c r="C1818" s="93">
        <v>2019</v>
      </c>
      <c r="D1818" s="93">
        <v>6</v>
      </c>
      <c r="E1818" s="93">
        <v>17</v>
      </c>
    </row>
    <row r="1819" spans="2:5" x14ac:dyDescent="0.2">
      <c r="B1819" s="92" t="s">
        <v>2899</v>
      </c>
      <c r="C1819" s="93">
        <v>2019</v>
      </c>
      <c r="D1819" s="93">
        <v>1</v>
      </c>
      <c r="E1819" s="93">
        <v>15</v>
      </c>
    </row>
    <row r="1820" spans="2:5" x14ac:dyDescent="0.2">
      <c r="B1820" s="92" t="s">
        <v>2899</v>
      </c>
      <c r="C1820" s="93">
        <v>2019</v>
      </c>
      <c r="D1820" s="93">
        <v>8</v>
      </c>
      <c r="E1820" s="93">
        <v>14</v>
      </c>
    </row>
    <row r="1821" spans="2:5" x14ac:dyDescent="0.2">
      <c r="B1821" s="92" t="s">
        <v>2899</v>
      </c>
      <c r="C1821" s="93">
        <v>2019</v>
      </c>
      <c r="D1821" s="93">
        <v>7</v>
      </c>
      <c r="E1821" s="93">
        <v>8</v>
      </c>
    </row>
    <row r="1822" spans="2:5" x14ac:dyDescent="0.2">
      <c r="B1822" s="92" t="s">
        <v>2899</v>
      </c>
      <c r="C1822" s="93">
        <v>2019</v>
      </c>
      <c r="D1822" s="93">
        <v>2</v>
      </c>
      <c r="E1822" s="93">
        <v>1</v>
      </c>
    </row>
    <row r="1823" spans="2:5" x14ac:dyDescent="0.2">
      <c r="B1823" s="92" t="s">
        <v>2899</v>
      </c>
      <c r="C1823" s="93">
        <v>2019</v>
      </c>
      <c r="D1823" s="93">
        <v>10</v>
      </c>
      <c r="E1823" s="93">
        <v>1</v>
      </c>
    </row>
    <row r="1824" spans="2:5" x14ac:dyDescent="0.2">
      <c r="B1824" s="92" t="s">
        <v>2899</v>
      </c>
      <c r="C1824" s="93">
        <v>2019</v>
      </c>
      <c r="D1824" s="93">
        <v>12</v>
      </c>
      <c r="E1824" s="93">
        <v>1</v>
      </c>
    </row>
    <row r="1825" spans="2:5" x14ac:dyDescent="0.2">
      <c r="B1825" s="92" t="s">
        <v>2848</v>
      </c>
      <c r="C1825" s="93">
        <v>2019</v>
      </c>
      <c r="D1825" s="93">
        <v>10</v>
      </c>
      <c r="E1825" s="93">
        <v>19</v>
      </c>
    </row>
    <row r="1826" spans="2:5" x14ac:dyDescent="0.2">
      <c r="B1826" s="92" t="s">
        <v>2848</v>
      </c>
      <c r="C1826" s="93">
        <v>2019</v>
      </c>
      <c r="D1826" s="93">
        <v>6</v>
      </c>
      <c r="E1826" s="93">
        <v>14</v>
      </c>
    </row>
    <row r="1827" spans="2:5" x14ac:dyDescent="0.2">
      <c r="B1827" s="92" t="s">
        <v>2848</v>
      </c>
      <c r="C1827" s="93">
        <v>2019</v>
      </c>
      <c r="D1827" s="93">
        <v>7</v>
      </c>
      <c r="E1827" s="93">
        <v>12</v>
      </c>
    </row>
    <row r="1828" spans="2:5" x14ac:dyDescent="0.2">
      <c r="B1828" s="92" t="s">
        <v>2848</v>
      </c>
      <c r="C1828" s="93">
        <v>2019</v>
      </c>
      <c r="D1828" s="93">
        <v>4</v>
      </c>
      <c r="E1828" s="93">
        <v>11</v>
      </c>
    </row>
    <row r="1829" spans="2:5" x14ac:dyDescent="0.2">
      <c r="B1829" s="92" t="s">
        <v>2848</v>
      </c>
      <c r="C1829" s="93">
        <v>2019</v>
      </c>
      <c r="D1829" s="93">
        <v>8</v>
      </c>
      <c r="E1829" s="93">
        <v>11</v>
      </c>
    </row>
    <row r="1830" spans="2:5" x14ac:dyDescent="0.2">
      <c r="B1830" s="92" t="s">
        <v>2848</v>
      </c>
      <c r="C1830" s="93">
        <v>2019</v>
      </c>
      <c r="D1830" s="93">
        <v>5</v>
      </c>
      <c r="E1830" s="93">
        <v>9</v>
      </c>
    </row>
    <row r="1831" spans="2:5" x14ac:dyDescent="0.2">
      <c r="B1831" s="92" t="s">
        <v>2848</v>
      </c>
      <c r="C1831" s="93">
        <v>2019</v>
      </c>
      <c r="D1831" s="93">
        <v>11</v>
      </c>
      <c r="E1831" s="93">
        <v>7</v>
      </c>
    </row>
    <row r="1832" spans="2:5" x14ac:dyDescent="0.2">
      <c r="B1832" s="92" t="s">
        <v>2848</v>
      </c>
      <c r="C1832" s="93">
        <v>2019</v>
      </c>
      <c r="D1832" s="93">
        <v>2</v>
      </c>
      <c r="E1832" s="93">
        <v>6</v>
      </c>
    </row>
    <row r="1833" spans="2:5" x14ac:dyDescent="0.2">
      <c r="B1833" s="92" t="s">
        <v>2848</v>
      </c>
      <c r="C1833" s="93">
        <v>2019</v>
      </c>
      <c r="D1833" s="93">
        <v>9</v>
      </c>
      <c r="E1833" s="93">
        <v>4</v>
      </c>
    </row>
    <row r="1834" spans="2:5" x14ac:dyDescent="0.2">
      <c r="B1834" s="92" t="s">
        <v>2848</v>
      </c>
      <c r="C1834" s="93">
        <v>2019</v>
      </c>
      <c r="D1834" s="93">
        <v>1</v>
      </c>
      <c r="E1834" s="93">
        <v>3</v>
      </c>
    </row>
    <row r="1835" spans="2:5" x14ac:dyDescent="0.2">
      <c r="B1835" s="92" t="s">
        <v>2848</v>
      </c>
      <c r="C1835" s="93">
        <v>2019</v>
      </c>
      <c r="D1835" s="93">
        <v>12</v>
      </c>
      <c r="E1835" s="93">
        <v>2</v>
      </c>
    </row>
    <row r="1836" spans="2:5" x14ac:dyDescent="0.2">
      <c r="B1836" s="92" t="s">
        <v>2848</v>
      </c>
      <c r="C1836" s="93">
        <v>2019</v>
      </c>
      <c r="D1836" s="93">
        <v>3</v>
      </c>
      <c r="E1836" s="93">
        <v>1</v>
      </c>
    </row>
    <row r="1837" spans="2:5" x14ac:dyDescent="0.2">
      <c r="B1837" s="92" t="s">
        <v>2978</v>
      </c>
      <c r="C1837" s="93">
        <v>2019</v>
      </c>
      <c r="D1837" s="93">
        <v>5</v>
      </c>
      <c r="E1837" s="93">
        <v>1</v>
      </c>
    </row>
    <row r="1838" spans="2:5" x14ac:dyDescent="0.2">
      <c r="B1838" s="92" t="s">
        <v>2928</v>
      </c>
      <c r="C1838" s="93">
        <v>2019</v>
      </c>
      <c r="D1838" s="93">
        <v>4</v>
      </c>
      <c r="E1838" s="93">
        <v>10</v>
      </c>
    </row>
    <row r="1839" spans="2:5" x14ac:dyDescent="0.2">
      <c r="B1839" s="92" t="s">
        <v>2928</v>
      </c>
      <c r="C1839" s="93">
        <v>2019</v>
      </c>
      <c r="D1839" s="93">
        <v>8</v>
      </c>
      <c r="E1839" s="93">
        <v>6</v>
      </c>
    </row>
    <row r="1840" spans="2:5" x14ac:dyDescent="0.2">
      <c r="B1840" s="92" t="s">
        <v>2928</v>
      </c>
      <c r="C1840" s="93">
        <v>2019</v>
      </c>
      <c r="D1840" s="93">
        <v>1</v>
      </c>
      <c r="E1840" s="93">
        <v>5</v>
      </c>
    </row>
    <row r="1841" spans="2:5" x14ac:dyDescent="0.2">
      <c r="B1841" s="92" t="s">
        <v>2928</v>
      </c>
      <c r="C1841" s="93">
        <v>2019</v>
      </c>
      <c r="D1841" s="93">
        <v>7</v>
      </c>
      <c r="E1841" s="93">
        <v>4</v>
      </c>
    </row>
    <row r="1842" spans="2:5" x14ac:dyDescent="0.2">
      <c r="B1842" s="92" t="s">
        <v>2928</v>
      </c>
      <c r="C1842" s="93">
        <v>2019</v>
      </c>
      <c r="D1842" s="93">
        <v>9</v>
      </c>
      <c r="E1842" s="93">
        <v>4</v>
      </c>
    </row>
    <row r="1843" spans="2:5" x14ac:dyDescent="0.2">
      <c r="B1843" s="92" t="s">
        <v>2928</v>
      </c>
      <c r="C1843" s="93">
        <v>2019</v>
      </c>
      <c r="D1843" s="93">
        <v>10</v>
      </c>
      <c r="E1843" s="93">
        <v>3</v>
      </c>
    </row>
    <row r="1844" spans="2:5" x14ac:dyDescent="0.2">
      <c r="B1844" s="92" t="s">
        <v>2928</v>
      </c>
      <c r="C1844" s="93">
        <v>2019</v>
      </c>
      <c r="D1844" s="93">
        <v>12</v>
      </c>
      <c r="E1844" s="93">
        <v>3</v>
      </c>
    </row>
    <row r="1845" spans="2:5" x14ac:dyDescent="0.2">
      <c r="B1845" s="92" t="s">
        <v>2928</v>
      </c>
      <c r="C1845" s="93">
        <v>2019</v>
      </c>
      <c r="D1845" s="93">
        <v>3</v>
      </c>
      <c r="E1845" s="93">
        <v>2</v>
      </c>
    </row>
    <row r="1846" spans="2:5" x14ac:dyDescent="0.2">
      <c r="B1846" s="92" t="s">
        <v>2928</v>
      </c>
      <c r="C1846" s="93">
        <v>2019</v>
      </c>
      <c r="D1846" s="93">
        <v>11</v>
      </c>
      <c r="E1846" s="93">
        <v>2</v>
      </c>
    </row>
    <row r="1847" spans="2:5" x14ac:dyDescent="0.2">
      <c r="B1847" s="92" t="s">
        <v>2928</v>
      </c>
      <c r="C1847" s="93">
        <v>2019</v>
      </c>
      <c r="D1847" s="93">
        <v>6</v>
      </c>
      <c r="E1847" s="93">
        <v>1</v>
      </c>
    </row>
    <row r="1848" spans="2:5" x14ac:dyDescent="0.2">
      <c r="B1848" s="92" t="s">
        <v>2895</v>
      </c>
      <c r="C1848" s="93">
        <v>2019</v>
      </c>
      <c r="D1848" s="93">
        <v>11</v>
      </c>
      <c r="E1848" s="93">
        <v>38</v>
      </c>
    </row>
    <row r="1849" spans="2:5" x14ac:dyDescent="0.2">
      <c r="B1849" s="92" t="s">
        <v>2895</v>
      </c>
      <c r="C1849" s="93">
        <v>2019</v>
      </c>
      <c r="D1849" s="93">
        <v>1</v>
      </c>
      <c r="E1849" s="93">
        <v>35</v>
      </c>
    </row>
    <row r="1850" spans="2:5" x14ac:dyDescent="0.2">
      <c r="B1850" s="92" t="s">
        <v>2895</v>
      </c>
      <c r="C1850" s="93">
        <v>2019</v>
      </c>
      <c r="D1850" s="93">
        <v>6</v>
      </c>
      <c r="E1850" s="93">
        <v>35</v>
      </c>
    </row>
    <row r="1851" spans="2:5" x14ac:dyDescent="0.2">
      <c r="B1851" s="92" t="s">
        <v>2895</v>
      </c>
      <c r="C1851" s="93">
        <v>2019</v>
      </c>
      <c r="D1851" s="93">
        <v>8</v>
      </c>
      <c r="E1851" s="93">
        <v>30</v>
      </c>
    </row>
    <row r="1852" spans="2:5" x14ac:dyDescent="0.2">
      <c r="B1852" s="92" t="s">
        <v>2895</v>
      </c>
      <c r="C1852" s="93">
        <v>2019</v>
      </c>
      <c r="D1852" s="93">
        <v>4</v>
      </c>
      <c r="E1852" s="93">
        <v>28</v>
      </c>
    </row>
    <row r="1853" spans="2:5" x14ac:dyDescent="0.2">
      <c r="B1853" s="92" t="s">
        <v>2895</v>
      </c>
      <c r="C1853" s="93">
        <v>2019</v>
      </c>
      <c r="D1853" s="93">
        <v>2</v>
      </c>
      <c r="E1853" s="93">
        <v>26</v>
      </c>
    </row>
    <row r="1854" spans="2:5" x14ac:dyDescent="0.2">
      <c r="B1854" s="92" t="s">
        <v>2895</v>
      </c>
      <c r="C1854" s="93">
        <v>2019</v>
      </c>
      <c r="D1854" s="93">
        <v>5</v>
      </c>
      <c r="E1854" s="93">
        <v>17</v>
      </c>
    </row>
    <row r="1855" spans="2:5" x14ac:dyDescent="0.2">
      <c r="B1855" s="92" t="s">
        <v>2895</v>
      </c>
      <c r="C1855" s="93">
        <v>2019</v>
      </c>
      <c r="D1855" s="93">
        <v>9</v>
      </c>
      <c r="E1855" s="93">
        <v>17</v>
      </c>
    </row>
    <row r="1856" spans="2:5" x14ac:dyDescent="0.2">
      <c r="B1856" s="92" t="s">
        <v>2895</v>
      </c>
      <c r="C1856" s="93">
        <v>2019</v>
      </c>
      <c r="D1856" s="93">
        <v>7</v>
      </c>
      <c r="E1856" s="93">
        <v>16</v>
      </c>
    </row>
    <row r="1857" spans="2:5" x14ac:dyDescent="0.2">
      <c r="B1857" s="92" t="s">
        <v>2895</v>
      </c>
      <c r="C1857" s="93">
        <v>2019</v>
      </c>
      <c r="D1857" s="93">
        <v>10</v>
      </c>
      <c r="E1857" s="93">
        <v>11</v>
      </c>
    </row>
    <row r="1858" spans="2:5" x14ac:dyDescent="0.2">
      <c r="B1858" s="92" t="s">
        <v>2895</v>
      </c>
      <c r="C1858" s="93">
        <v>2019</v>
      </c>
      <c r="D1858" s="93">
        <v>12</v>
      </c>
      <c r="E1858" s="93">
        <v>11</v>
      </c>
    </row>
    <row r="1859" spans="2:5" x14ac:dyDescent="0.2">
      <c r="B1859" s="92" t="s">
        <v>2895</v>
      </c>
      <c r="C1859" s="93">
        <v>2019</v>
      </c>
      <c r="D1859" s="93">
        <v>3</v>
      </c>
      <c r="E1859" s="93">
        <v>1</v>
      </c>
    </row>
    <row r="1860" spans="2:5" x14ac:dyDescent="0.2">
      <c r="B1860" s="92" t="s">
        <v>2849</v>
      </c>
      <c r="C1860" s="93">
        <v>2019</v>
      </c>
      <c r="D1860" s="93">
        <v>11</v>
      </c>
      <c r="E1860" s="93">
        <v>30</v>
      </c>
    </row>
    <row r="1861" spans="2:5" x14ac:dyDescent="0.2">
      <c r="B1861" s="92" t="s">
        <v>2849</v>
      </c>
      <c r="C1861" s="93">
        <v>2019</v>
      </c>
      <c r="D1861" s="93">
        <v>9</v>
      </c>
      <c r="E1861" s="93">
        <v>27</v>
      </c>
    </row>
    <row r="1862" spans="2:5" x14ac:dyDescent="0.2">
      <c r="B1862" s="92" t="s">
        <v>2849</v>
      </c>
      <c r="C1862" s="93">
        <v>2019</v>
      </c>
      <c r="D1862" s="93">
        <v>6</v>
      </c>
      <c r="E1862" s="93">
        <v>26</v>
      </c>
    </row>
    <row r="1863" spans="2:5" x14ac:dyDescent="0.2">
      <c r="B1863" s="92" t="s">
        <v>2849</v>
      </c>
      <c r="C1863" s="93">
        <v>2019</v>
      </c>
      <c r="D1863" s="93">
        <v>5</v>
      </c>
      <c r="E1863" s="93">
        <v>20</v>
      </c>
    </row>
    <row r="1864" spans="2:5" x14ac:dyDescent="0.2">
      <c r="B1864" s="92" t="s">
        <v>2849</v>
      </c>
      <c r="C1864" s="93">
        <v>2019</v>
      </c>
      <c r="D1864" s="93">
        <v>3</v>
      </c>
      <c r="E1864" s="93">
        <v>19</v>
      </c>
    </row>
    <row r="1865" spans="2:5" x14ac:dyDescent="0.2">
      <c r="B1865" s="92" t="s">
        <v>2849</v>
      </c>
      <c r="C1865" s="93">
        <v>2019</v>
      </c>
      <c r="D1865" s="93">
        <v>8</v>
      </c>
      <c r="E1865" s="93">
        <v>17</v>
      </c>
    </row>
    <row r="1866" spans="2:5" x14ac:dyDescent="0.2">
      <c r="B1866" s="92" t="s">
        <v>2849</v>
      </c>
      <c r="C1866" s="93">
        <v>2019</v>
      </c>
      <c r="D1866" s="93">
        <v>7</v>
      </c>
      <c r="E1866" s="93">
        <v>11</v>
      </c>
    </row>
    <row r="1867" spans="2:5" x14ac:dyDescent="0.2">
      <c r="B1867" s="92" t="s">
        <v>2849</v>
      </c>
      <c r="C1867" s="93">
        <v>2019</v>
      </c>
      <c r="D1867" s="93">
        <v>10</v>
      </c>
      <c r="E1867" s="93">
        <v>8</v>
      </c>
    </row>
    <row r="1868" spans="2:5" x14ac:dyDescent="0.2">
      <c r="B1868" s="92" t="s">
        <v>2849</v>
      </c>
      <c r="C1868" s="93">
        <v>2019</v>
      </c>
      <c r="D1868" s="93">
        <v>2</v>
      </c>
      <c r="E1868" s="93">
        <v>7</v>
      </c>
    </row>
    <row r="1869" spans="2:5" x14ac:dyDescent="0.2">
      <c r="B1869" s="92" t="s">
        <v>2849</v>
      </c>
      <c r="C1869" s="93">
        <v>2019</v>
      </c>
      <c r="D1869" s="93">
        <v>12</v>
      </c>
      <c r="E1869" s="93">
        <v>6</v>
      </c>
    </row>
    <row r="1870" spans="2:5" x14ac:dyDescent="0.2">
      <c r="B1870" s="92" t="s">
        <v>2849</v>
      </c>
      <c r="C1870" s="93">
        <v>2019</v>
      </c>
      <c r="D1870" s="93">
        <v>1</v>
      </c>
      <c r="E1870" s="93">
        <v>4</v>
      </c>
    </row>
    <row r="1871" spans="2:5" x14ac:dyDescent="0.2">
      <c r="B1871" s="92" t="s">
        <v>2849</v>
      </c>
      <c r="C1871" s="93">
        <v>2019</v>
      </c>
      <c r="D1871" s="93">
        <v>4</v>
      </c>
      <c r="E1871" s="93">
        <v>3</v>
      </c>
    </row>
    <row r="1872" spans="2:5" x14ac:dyDescent="0.2">
      <c r="B1872" s="92" t="s">
        <v>2850</v>
      </c>
      <c r="C1872" s="93">
        <v>2019</v>
      </c>
      <c r="D1872" s="93">
        <v>10</v>
      </c>
      <c r="E1872" s="93">
        <v>21</v>
      </c>
    </row>
    <row r="1873" spans="2:5" x14ac:dyDescent="0.2">
      <c r="B1873" s="92" t="s">
        <v>2850</v>
      </c>
      <c r="C1873" s="93">
        <v>2019</v>
      </c>
      <c r="D1873" s="93">
        <v>5</v>
      </c>
      <c r="E1873" s="93">
        <v>15</v>
      </c>
    </row>
    <row r="1874" spans="2:5" x14ac:dyDescent="0.2">
      <c r="B1874" s="92" t="s">
        <v>2850</v>
      </c>
      <c r="C1874" s="93">
        <v>2019</v>
      </c>
      <c r="D1874" s="93">
        <v>7</v>
      </c>
      <c r="E1874" s="93">
        <v>14</v>
      </c>
    </row>
    <row r="1875" spans="2:5" x14ac:dyDescent="0.2">
      <c r="B1875" s="92" t="s">
        <v>2850</v>
      </c>
      <c r="C1875" s="93">
        <v>2019</v>
      </c>
      <c r="D1875" s="93">
        <v>6</v>
      </c>
      <c r="E1875" s="93">
        <v>12</v>
      </c>
    </row>
    <row r="1876" spans="2:5" x14ac:dyDescent="0.2">
      <c r="B1876" s="92" t="s">
        <v>2850</v>
      </c>
      <c r="C1876" s="93">
        <v>2019</v>
      </c>
      <c r="D1876" s="93">
        <v>4</v>
      </c>
      <c r="E1876" s="93">
        <v>10</v>
      </c>
    </row>
    <row r="1877" spans="2:5" x14ac:dyDescent="0.2">
      <c r="B1877" s="92" t="s">
        <v>2850</v>
      </c>
      <c r="C1877" s="93">
        <v>2019</v>
      </c>
      <c r="D1877" s="93">
        <v>1</v>
      </c>
      <c r="E1877" s="93">
        <v>5</v>
      </c>
    </row>
    <row r="1878" spans="2:5" x14ac:dyDescent="0.2">
      <c r="B1878" s="92" t="s">
        <v>2850</v>
      </c>
      <c r="C1878" s="93">
        <v>2019</v>
      </c>
      <c r="D1878" s="93">
        <v>8</v>
      </c>
      <c r="E1878" s="93">
        <v>4</v>
      </c>
    </row>
    <row r="1879" spans="2:5" x14ac:dyDescent="0.2">
      <c r="B1879" s="92" t="s">
        <v>2850</v>
      </c>
      <c r="C1879" s="93">
        <v>2019</v>
      </c>
      <c r="D1879" s="93">
        <v>3</v>
      </c>
      <c r="E1879" s="93">
        <v>3</v>
      </c>
    </row>
    <row r="1880" spans="2:5" x14ac:dyDescent="0.2">
      <c r="B1880" s="92" t="s">
        <v>2850</v>
      </c>
      <c r="C1880" s="93">
        <v>2019</v>
      </c>
      <c r="D1880" s="93">
        <v>2</v>
      </c>
      <c r="E1880" s="93">
        <v>2</v>
      </c>
    </row>
    <row r="1881" spans="2:5" x14ac:dyDescent="0.2">
      <c r="B1881" s="92" t="s">
        <v>2850</v>
      </c>
      <c r="C1881" s="93">
        <v>2019</v>
      </c>
      <c r="D1881" s="93">
        <v>9</v>
      </c>
      <c r="E1881" s="93">
        <v>1</v>
      </c>
    </row>
    <row r="1882" spans="2:5" x14ac:dyDescent="0.2">
      <c r="B1882" s="92" t="s">
        <v>2850</v>
      </c>
      <c r="C1882" s="93">
        <v>2019</v>
      </c>
      <c r="D1882" s="93">
        <v>11</v>
      </c>
      <c r="E1882" s="93">
        <v>1</v>
      </c>
    </row>
    <row r="1883" spans="2:5" x14ac:dyDescent="0.2">
      <c r="B1883" s="92" t="s">
        <v>2851</v>
      </c>
      <c r="C1883" s="93">
        <v>2019</v>
      </c>
      <c r="D1883" s="93">
        <v>10</v>
      </c>
      <c r="E1883" s="93">
        <v>26</v>
      </c>
    </row>
    <row r="1884" spans="2:5" x14ac:dyDescent="0.2">
      <c r="B1884" s="92" t="s">
        <v>2851</v>
      </c>
      <c r="C1884" s="93">
        <v>2019</v>
      </c>
      <c r="D1884" s="93">
        <v>6</v>
      </c>
      <c r="E1884" s="93">
        <v>21</v>
      </c>
    </row>
    <row r="1885" spans="2:5" x14ac:dyDescent="0.2">
      <c r="B1885" s="92" t="s">
        <v>2851</v>
      </c>
      <c r="C1885" s="93">
        <v>2019</v>
      </c>
      <c r="D1885" s="93">
        <v>7</v>
      </c>
      <c r="E1885" s="93">
        <v>18</v>
      </c>
    </row>
    <row r="1886" spans="2:5" x14ac:dyDescent="0.2">
      <c r="B1886" s="92" t="s">
        <v>2851</v>
      </c>
      <c r="C1886" s="93">
        <v>2019</v>
      </c>
      <c r="D1886" s="93">
        <v>8</v>
      </c>
      <c r="E1886" s="93">
        <v>18</v>
      </c>
    </row>
    <row r="1887" spans="2:5" x14ac:dyDescent="0.2">
      <c r="B1887" s="92" t="s">
        <v>2851</v>
      </c>
      <c r="C1887" s="93">
        <v>2019</v>
      </c>
      <c r="D1887" s="93">
        <v>9</v>
      </c>
      <c r="E1887" s="93">
        <v>18</v>
      </c>
    </row>
    <row r="1888" spans="2:5" x14ac:dyDescent="0.2">
      <c r="B1888" s="92" t="s">
        <v>2851</v>
      </c>
      <c r="C1888" s="93">
        <v>2019</v>
      </c>
      <c r="D1888" s="93">
        <v>5</v>
      </c>
      <c r="E1888" s="93">
        <v>15</v>
      </c>
    </row>
    <row r="1889" spans="2:5" x14ac:dyDescent="0.2">
      <c r="B1889" s="92" t="s">
        <v>2851</v>
      </c>
      <c r="C1889" s="93">
        <v>2019</v>
      </c>
      <c r="D1889" s="93">
        <v>2</v>
      </c>
      <c r="E1889" s="93">
        <v>11</v>
      </c>
    </row>
    <row r="1890" spans="2:5" x14ac:dyDescent="0.2">
      <c r="B1890" s="92" t="s">
        <v>2851</v>
      </c>
      <c r="C1890" s="93">
        <v>2019</v>
      </c>
      <c r="D1890" s="93">
        <v>11</v>
      </c>
      <c r="E1890" s="93">
        <v>11</v>
      </c>
    </row>
    <row r="1891" spans="2:5" x14ac:dyDescent="0.2">
      <c r="B1891" s="92" t="s">
        <v>2851</v>
      </c>
      <c r="C1891" s="93">
        <v>2019</v>
      </c>
      <c r="D1891" s="93">
        <v>1</v>
      </c>
      <c r="E1891" s="93">
        <v>9</v>
      </c>
    </row>
    <row r="1892" spans="2:5" x14ac:dyDescent="0.2">
      <c r="B1892" s="92" t="s">
        <v>2851</v>
      </c>
      <c r="C1892" s="93">
        <v>2019</v>
      </c>
      <c r="D1892" s="93">
        <v>3</v>
      </c>
      <c r="E1892" s="93">
        <v>7</v>
      </c>
    </row>
    <row r="1893" spans="2:5" x14ac:dyDescent="0.2">
      <c r="B1893" s="92" t="s">
        <v>2851</v>
      </c>
      <c r="C1893" s="93">
        <v>2019</v>
      </c>
      <c r="D1893" s="93">
        <v>12</v>
      </c>
      <c r="E1893" s="93">
        <v>6</v>
      </c>
    </row>
    <row r="1894" spans="2:5" x14ac:dyDescent="0.2">
      <c r="B1894" s="92" t="s">
        <v>2851</v>
      </c>
      <c r="C1894" s="93">
        <v>2019</v>
      </c>
      <c r="D1894" s="93">
        <v>4</v>
      </c>
      <c r="E1894" s="93">
        <v>3</v>
      </c>
    </row>
    <row r="1895" spans="2:5" x14ac:dyDescent="0.2">
      <c r="B1895" s="92" t="s">
        <v>2852</v>
      </c>
      <c r="C1895" s="93">
        <v>2019</v>
      </c>
      <c r="D1895" s="93">
        <v>9</v>
      </c>
      <c r="E1895" s="93">
        <v>183</v>
      </c>
    </row>
    <row r="1896" spans="2:5" x14ac:dyDescent="0.2">
      <c r="B1896" s="92" t="s">
        <v>2852</v>
      </c>
      <c r="C1896" s="93">
        <v>2019</v>
      </c>
      <c r="D1896" s="93">
        <v>3</v>
      </c>
      <c r="E1896" s="93">
        <v>180</v>
      </c>
    </row>
    <row r="1897" spans="2:5" x14ac:dyDescent="0.2">
      <c r="B1897" s="92" t="s">
        <v>2852</v>
      </c>
      <c r="C1897" s="93">
        <v>2019</v>
      </c>
      <c r="D1897" s="93">
        <v>5</v>
      </c>
      <c r="E1897" s="93">
        <v>173</v>
      </c>
    </row>
    <row r="1898" spans="2:5" x14ac:dyDescent="0.2">
      <c r="B1898" s="92" t="s">
        <v>2852</v>
      </c>
      <c r="C1898" s="93">
        <v>2019</v>
      </c>
      <c r="D1898" s="93">
        <v>8</v>
      </c>
      <c r="E1898" s="93">
        <v>145</v>
      </c>
    </row>
    <row r="1899" spans="2:5" x14ac:dyDescent="0.2">
      <c r="B1899" s="92" t="s">
        <v>2852</v>
      </c>
      <c r="C1899" s="93">
        <v>2019</v>
      </c>
      <c r="D1899" s="93">
        <v>10</v>
      </c>
      <c r="E1899" s="93">
        <v>120</v>
      </c>
    </row>
    <row r="1900" spans="2:5" x14ac:dyDescent="0.2">
      <c r="B1900" s="92" t="s">
        <v>2852</v>
      </c>
      <c r="C1900" s="93">
        <v>2019</v>
      </c>
      <c r="D1900" s="93">
        <v>6</v>
      </c>
      <c r="E1900" s="93">
        <v>105</v>
      </c>
    </row>
    <row r="1901" spans="2:5" x14ac:dyDescent="0.2">
      <c r="B1901" s="92" t="s">
        <v>2852</v>
      </c>
      <c r="C1901" s="93">
        <v>2019</v>
      </c>
      <c r="D1901" s="93">
        <v>11</v>
      </c>
      <c r="E1901" s="93">
        <v>77</v>
      </c>
    </row>
    <row r="1902" spans="2:5" x14ac:dyDescent="0.2">
      <c r="B1902" s="92" t="s">
        <v>2852</v>
      </c>
      <c r="C1902" s="93">
        <v>2019</v>
      </c>
      <c r="D1902" s="93">
        <v>7</v>
      </c>
      <c r="E1902" s="93">
        <v>72</v>
      </c>
    </row>
    <row r="1903" spans="2:5" x14ac:dyDescent="0.2">
      <c r="B1903" s="92" t="s">
        <v>2852</v>
      </c>
      <c r="C1903" s="93">
        <v>2019</v>
      </c>
      <c r="D1903" s="93">
        <v>1</v>
      </c>
      <c r="E1903" s="93">
        <v>69</v>
      </c>
    </row>
    <row r="1904" spans="2:5" x14ac:dyDescent="0.2">
      <c r="B1904" s="92" t="s">
        <v>2852</v>
      </c>
      <c r="C1904" s="93">
        <v>2019</v>
      </c>
      <c r="D1904" s="93">
        <v>4</v>
      </c>
      <c r="E1904" s="93">
        <v>69</v>
      </c>
    </row>
    <row r="1905" spans="2:5" x14ac:dyDescent="0.2">
      <c r="B1905" s="92" t="s">
        <v>2852</v>
      </c>
      <c r="C1905" s="93">
        <v>2019</v>
      </c>
      <c r="D1905" s="93">
        <v>12</v>
      </c>
      <c r="E1905" s="93">
        <v>42</v>
      </c>
    </row>
    <row r="1906" spans="2:5" x14ac:dyDescent="0.2">
      <c r="B1906" s="92" t="s">
        <v>2852</v>
      </c>
      <c r="C1906" s="93">
        <v>2019</v>
      </c>
      <c r="D1906" s="93">
        <v>2</v>
      </c>
      <c r="E1906" s="93">
        <v>21</v>
      </c>
    </row>
    <row r="1907" spans="2:5" x14ac:dyDescent="0.2">
      <c r="B1907" s="92" t="s">
        <v>2903</v>
      </c>
      <c r="C1907" s="93">
        <v>2019</v>
      </c>
      <c r="D1907" s="93">
        <v>4</v>
      </c>
      <c r="E1907" s="93">
        <v>29</v>
      </c>
    </row>
    <row r="1908" spans="2:5" x14ac:dyDescent="0.2">
      <c r="B1908" s="92" t="s">
        <v>2903</v>
      </c>
      <c r="C1908" s="93">
        <v>2019</v>
      </c>
      <c r="D1908" s="93">
        <v>6</v>
      </c>
      <c r="E1908" s="93">
        <v>28</v>
      </c>
    </row>
    <row r="1909" spans="2:5" x14ac:dyDescent="0.2">
      <c r="B1909" s="92" t="s">
        <v>2903</v>
      </c>
      <c r="C1909" s="93">
        <v>2019</v>
      </c>
      <c r="D1909" s="93">
        <v>7</v>
      </c>
      <c r="E1909" s="93">
        <v>24</v>
      </c>
    </row>
    <row r="1910" spans="2:5" x14ac:dyDescent="0.2">
      <c r="B1910" s="92" t="s">
        <v>2903</v>
      </c>
      <c r="C1910" s="93">
        <v>2019</v>
      </c>
      <c r="D1910" s="93">
        <v>11</v>
      </c>
      <c r="E1910" s="93">
        <v>16</v>
      </c>
    </row>
    <row r="1911" spans="2:5" x14ac:dyDescent="0.2">
      <c r="B1911" s="92" t="s">
        <v>2903</v>
      </c>
      <c r="C1911" s="93">
        <v>2019</v>
      </c>
      <c r="D1911" s="93">
        <v>1</v>
      </c>
      <c r="E1911" s="93">
        <v>15</v>
      </c>
    </row>
    <row r="1912" spans="2:5" x14ac:dyDescent="0.2">
      <c r="B1912" s="92" t="s">
        <v>2903</v>
      </c>
      <c r="C1912" s="93">
        <v>2019</v>
      </c>
      <c r="D1912" s="93">
        <v>5</v>
      </c>
      <c r="E1912" s="93">
        <v>15</v>
      </c>
    </row>
    <row r="1913" spans="2:5" x14ac:dyDescent="0.2">
      <c r="B1913" s="92" t="s">
        <v>2903</v>
      </c>
      <c r="C1913" s="93">
        <v>2019</v>
      </c>
      <c r="D1913" s="93">
        <v>12</v>
      </c>
      <c r="E1913" s="93">
        <v>14</v>
      </c>
    </row>
    <row r="1914" spans="2:5" x14ac:dyDescent="0.2">
      <c r="B1914" s="92" t="s">
        <v>2903</v>
      </c>
      <c r="C1914" s="93">
        <v>2019</v>
      </c>
      <c r="D1914" s="93">
        <v>8</v>
      </c>
      <c r="E1914" s="93">
        <v>13</v>
      </c>
    </row>
    <row r="1915" spans="2:5" x14ac:dyDescent="0.2">
      <c r="B1915" s="92" t="s">
        <v>2903</v>
      </c>
      <c r="C1915" s="93">
        <v>2019</v>
      </c>
      <c r="D1915" s="93">
        <v>9</v>
      </c>
      <c r="E1915" s="93">
        <v>13</v>
      </c>
    </row>
    <row r="1916" spans="2:5" x14ac:dyDescent="0.2">
      <c r="B1916" s="92" t="s">
        <v>2903</v>
      </c>
      <c r="C1916" s="93">
        <v>2019</v>
      </c>
      <c r="D1916" s="93">
        <v>10</v>
      </c>
      <c r="E1916" s="93">
        <v>13</v>
      </c>
    </row>
    <row r="1917" spans="2:5" x14ac:dyDescent="0.2">
      <c r="B1917" s="92" t="s">
        <v>2903</v>
      </c>
      <c r="C1917" s="93">
        <v>2019</v>
      </c>
      <c r="D1917" s="93">
        <v>2</v>
      </c>
      <c r="E1917" s="93">
        <v>12</v>
      </c>
    </row>
    <row r="1918" spans="2:5" x14ac:dyDescent="0.2">
      <c r="B1918" s="92" t="s">
        <v>2903</v>
      </c>
      <c r="C1918" s="93">
        <v>2019</v>
      </c>
      <c r="D1918" s="93">
        <v>3</v>
      </c>
      <c r="E1918" s="93">
        <v>9</v>
      </c>
    </row>
    <row r="1919" spans="2:5" x14ac:dyDescent="0.2">
      <c r="B1919" s="92" t="s">
        <v>2853</v>
      </c>
      <c r="C1919" s="93">
        <v>2019</v>
      </c>
      <c r="D1919" s="93">
        <v>3</v>
      </c>
      <c r="E1919" s="93">
        <v>1</v>
      </c>
    </row>
    <row r="1920" spans="2:5" x14ac:dyDescent="0.2">
      <c r="B1920" s="92" t="s">
        <v>2853</v>
      </c>
      <c r="C1920" s="93">
        <v>2019</v>
      </c>
      <c r="D1920" s="93">
        <v>4</v>
      </c>
      <c r="E1920" s="93">
        <v>1</v>
      </c>
    </row>
    <row r="1921" spans="2:5" x14ac:dyDescent="0.2">
      <c r="B1921" s="92" t="s">
        <v>2853</v>
      </c>
      <c r="C1921" s="93">
        <v>2019</v>
      </c>
      <c r="D1921" s="93">
        <v>7</v>
      </c>
      <c r="E1921" s="93">
        <v>1</v>
      </c>
    </row>
    <row r="1922" spans="2:5" x14ac:dyDescent="0.2">
      <c r="B1922" s="92" t="s">
        <v>2916</v>
      </c>
      <c r="C1922" s="93">
        <v>2019</v>
      </c>
      <c r="D1922" s="93">
        <v>12</v>
      </c>
      <c r="E1922" s="93">
        <v>15</v>
      </c>
    </row>
    <row r="1923" spans="2:5" x14ac:dyDescent="0.2">
      <c r="B1923" s="92" t="s">
        <v>2916</v>
      </c>
      <c r="C1923" s="93">
        <v>2019</v>
      </c>
      <c r="D1923" s="93">
        <v>5</v>
      </c>
      <c r="E1923" s="93">
        <v>12</v>
      </c>
    </row>
    <row r="1924" spans="2:5" x14ac:dyDescent="0.2">
      <c r="B1924" s="92" t="s">
        <v>2916</v>
      </c>
      <c r="C1924" s="93">
        <v>2019</v>
      </c>
      <c r="D1924" s="93">
        <v>4</v>
      </c>
      <c r="E1924" s="93">
        <v>10</v>
      </c>
    </row>
    <row r="1925" spans="2:5" x14ac:dyDescent="0.2">
      <c r="B1925" s="92" t="s">
        <v>2916</v>
      </c>
      <c r="C1925" s="93">
        <v>2019</v>
      </c>
      <c r="D1925" s="93">
        <v>10</v>
      </c>
      <c r="E1925" s="93">
        <v>7</v>
      </c>
    </row>
    <row r="1926" spans="2:5" x14ac:dyDescent="0.2">
      <c r="B1926" s="92" t="s">
        <v>2916</v>
      </c>
      <c r="C1926" s="93">
        <v>2019</v>
      </c>
      <c r="D1926" s="93">
        <v>3</v>
      </c>
      <c r="E1926" s="93">
        <v>6</v>
      </c>
    </row>
    <row r="1927" spans="2:5" x14ac:dyDescent="0.2">
      <c r="B1927" s="92" t="s">
        <v>2916</v>
      </c>
      <c r="C1927" s="93">
        <v>2019</v>
      </c>
      <c r="D1927" s="93">
        <v>6</v>
      </c>
      <c r="E1927" s="93">
        <v>6</v>
      </c>
    </row>
    <row r="1928" spans="2:5" x14ac:dyDescent="0.2">
      <c r="B1928" s="92" t="s">
        <v>2916</v>
      </c>
      <c r="C1928" s="93">
        <v>2019</v>
      </c>
      <c r="D1928" s="93">
        <v>8</v>
      </c>
      <c r="E1928" s="93">
        <v>5</v>
      </c>
    </row>
    <row r="1929" spans="2:5" x14ac:dyDescent="0.2">
      <c r="B1929" s="92" t="s">
        <v>2916</v>
      </c>
      <c r="C1929" s="93">
        <v>2019</v>
      </c>
      <c r="D1929" s="93">
        <v>1</v>
      </c>
      <c r="E1929" s="93">
        <v>3</v>
      </c>
    </row>
    <row r="1930" spans="2:5" x14ac:dyDescent="0.2">
      <c r="B1930" s="92" t="s">
        <v>2916</v>
      </c>
      <c r="C1930" s="93">
        <v>2019</v>
      </c>
      <c r="D1930" s="93">
        <v>9</v>
      </c>
      <c r="E1930" s="93">
        <v>2</v>
      </c>
    </row>
    <row r="1931" spans="2:5" x14ac:dyDescent="0.2">
      <c r="B1931" s="92" t="s">
        <v>2916</v>
      </c>
      <c r="C1931" s="93">
        <v>2019</v>
      </c>
      <c r="D1931" s="93">
        <v>7</v>
      </c>
      <c r="E1931" s="93">
        <v>1</v>
      </c>
    </row>
    <row r="1932" spans="2:5" x14ac:dyDescent="0.2">
      <c r="B1932" s="92" t="s">
        <v>2854</v>
      </c>
      <c r="C1932" s="93">
        <v>2019</v>
      </c>
      <c r="D1932" s="93">
        <v>3</v>
      </c>
      <c r="E1932" s="93">
        <v>128</v>
      </c>
    </row>
    <row r="1933" spans="2:5" x14ac:dyDescent="0.2">
      <c r="B1933" s="92" t="s">
        <v>2854</v>
      </c>
      <c r="C1933" s="93">
        <v>2019</v>
      </c>
      <c r="D1933" s="93">
        <v>9</v>
      </c>
      <c r="E1933" s="93">
        <v>107</v>
      </c>
    </row>
    <row r="1934" spans="2:5" x14ac:dyDescent="0.2">
      <c r="B1934" s="92" t="s">
        <v>2854</v>
      </c>
      <c r="C1934" s="93">
        <v>2019</v>
      </c>
      <c r="D1934" s="93">
        <v>5</v>
      </c>
      <c r="E1934" s="93">
        <v>105</v>
      </c>
    </row>
    <row r="1935" spans="2:5" x14ac:dyDescent="0.2">
      <c r="B1935" s="92" t="s">
        <v>2854</v>
      </c>
      <c r="C1935" s="93">
        <v>2019</v>
      </c>
      <c r="D1935" s="93">
        <v>1</v>
      </c>
      <c r="E1935" s="93">
        <v>79</v>
      </c>
    </row>
    <row r="1936" spans="2:5" x14ac:dyDescent="0.2">
      <c r="B1936" s="92" t="s">
        <v>2854</v>
      </c>
      <c r="C1936" s="93">
        <v>2019</v>
      </c>
      <c r="D1936" s="93">
        <v>8</v>
      </c>
      <c r="E1936" s="93">
        <v>77</v>
      </c>
    </row>
    <row r="1937" spans="2:5" x14ac:dyDescent="0.2">
      <c r="B1937" s="92" t="s">
        <v>2854</v>
      </c>
      <c r="C1937" s="93">
        <v>2019</v>
      </c>
      <c r="D1937" s="93">
        <v>10</v>
      </c>
      <c r="E1937" s="93">
        <v>67</v>
      </c>
    </row>
    <row r="1938" spans="2:5" x14ac:dyDescent="0.2">
      <c r="B1938" s="92" t="s">
        <v>2854</v>
      </c>
      <c r="C1938" s="93">
        <v>2019</v>
      </c>
      <c r="D1938" s="93">
        <v>6</v>
      </c>
      <c r="E1938" s="93">
        <v>65</v>
      </c>
    </row>
    <row r="1939" spans="2:5" x14ac:dyDescent="0.2">
      <c r="B1939" s="92" t="s">
        <v>2854</v>
      </c>
      <c r="C1939" s="93">
        <v>2019</v>
      </c>
      <c r="D1939" s="93">
        <v>7</v>
      </c>
      <c r="E1939" s="93">
        <v>56</v>
      </c>
    </row>
    <row r="1940" spans="2:5" x14ac:dyDescent="0.2">
      <c r="B1940" s="92" t="s">
        <v>2854</v>
      </c>
      <c r="C1940" s="93">
        <v>2019</v>
      </c>
      <c r="D1940" s="93">
        <v>4</v>
      </c>
      <c r="E1940" s="93">
        <v>50</v>
      </c>
    </row>
    <row r="1941" spans="2:5" x14ac:dyDescent="0.2">
      <c r="B1941" s="92" t="s">
        <v>2854</v>
      </c>
      <c r="C1941" s="93">
        <v>2019</v>
      </c>
      <c r="D1941" s="93">
        <v>12</v>
      </c>
      <c r="E1941" s="93">
        <v>40</v>
      </c>
    </row>
    <row r="1942" spans="2:5" x14ac:dyDescent="0.2">
      <c r="B1942" s="92" t="s">
        <v>2854</v>
      </c>
      <c r="C1942" s="93">
        <v>2019</v>
      </c>
      <c r="D1942" s="93">
        <v>11</v>
      </c>
      <c r="E1942" s="93">
        <v>30</v>
      </c>
    </row>
    <row r="1943" spans="2:5" x14ac:dyDescent="0.2">
      <c r="B1943" s="92" t="s">
        <v>2854</v>
      </c>
      <c r="C1943" s="93">
        <v>2019</v>
      </c>
      <c r="D1943" s="93">
        <v>2</v>
      </c>
      <c r="E1943" s="93">
        <v>10</v>
      </c>
    </row>
    <row r="1944" spans="2:5" x14ac:dyDescent="0.2">
      <c r="B1944" s="92" t="s">
        <v>2969</v>
      </c>
      <c r="C1944" s="93">
        <v>2019</v>
      </c>
      <c r="D1944" s="93">
        <v>3</v>
      </c>
      <c r="E1944" s="93">
        <v>2</v>
      </c>
    </row>
    <row r="1945" spans="2:5" x14ac:dyDescent="0.2">
      <c r="B1945" s="92" t="s">
        <v>2969</v>
      </c>
      <c r="C1945" s="93">
        <v>2019</v>
      </c>
      <c r="D1945" s="93">
        <v>10</v>
      </c>
      <c r="E1945" s="93">
        <v>2</v>
      </c>
    </row>
    <row r="1946" spans="2:5" x14ac:dyDescent="0.2">
      <c r="B1946" s="92" t="s">
        <v>2855</v>
      </c>
      <c r="C1946" s="93">
        <v>2019</v>
      </c>
      <c r="D1946" s="93">
        <v>3</v>
      </c>
      <c r="E1946" s="93">
        <v>7</v>
      </c>
    </row>
    <row r="1947" spans="2:5" x14ac:dyDescent="0.2">
      <c r="B1947" s="92" t="s">
        <v>2855</v>
      </c>
      <c r="C1947" s="93">
        <v>2019</v>
      </c>
      <c r="D1947" s="93">
        <v>1</v>
      </c>
      <c r="E1947" s="93">
        <v>6</v>
      </c>
    </row>
    <row r="1948" spans="2:5" x14ac:dyDescent="0.2">
      <c r="B1948" s="92" t="s">
        <v>2855</v>
      </c>
      <c r="C1948" s="93">
        <v>2019</v>
      </c>
      <c r="D1948" s="93">
        <v>4</v>
      </c>
      <c r="E1948" s="93">
        <v>4</v>
      </c>
    </row>
    <row r="1949" spans="2:5" x14ac:dyDescent="0.2">
      <c r="B1949" s="92" t="s">
        <v>2855</v>
      </c>
      <c r="C1949" s="93">
        <v>2019</v>
      </c>
      <c r="D1949" s="93">
        <v>7</v>
      </c>
      <c r="E1949" s="93">
        <v>3</v>
      </c>
    </row>
    <row r="1950" spans="2:5" x14ac:dyDescent="0.2">
      <c r="B1950" s="92" t="s">
        <v>2855</v>
      </c>
      <c r="C1950" s="93">
        <v>2019</v>
      </c>
      <c r="D1950" s="93">
        <v>10</v>
      </c>
      <c r="E1950" s="93">
        <v>3</v>
      </c>
    </row>
    <row r="1951" spans="2:5" x14ac:dyDescent="0.2">
      <c r="B1951" s="92" t="s">
        <v>2855</v>
      </c>
      <c r="C1951" s="93">
        <v>2019</v>
      </c>
      <c r="D1951" s="93">
        <v>2</v>
      </c>
      <c r="E1951" s="93">
        <v>2</v>
      </c>
    </row>
    <row r="1952" spans="2:5" x14ac:dyDescent="0.2">
      <c r="B1952" s="92" t="s">
        <v>2855</v>
      </c>
      <c r="C1952" s="93">
        <v>2019</v>
      </c>
      <c r="D1952" s="93">
        <v>5</v>
      </c>
      <c r="E1952" s="93">
        <v>2</v>
      </c>
    </row>
    <row r="1953" spans="2:5" x14ac:dyDescent="0.2">
      <c r="B1953" s="92" t="s">
        <v>2855</v>
      </c>
      <c r="C1953" s="93">
        <v>2019</v>
      </c>
      <c r="D1953" s="93">
        <v>6</v>
      </c>
      <c r="E1953" s="93">
        <v>2</v>
      </c>
    </row>
    <row r="1954" spans="2:5" x14ac:dyDescent="0.2">
      <c r="B1954" s="92" t="s">
        <v>2855</v>
      </c>
      <c r="C1954" s="93">
        <v>2019</v>
      </c>
      <c r="D1954" s="93">
        <v>8</v>
      </c>
      <c r="E1954" s="93">
        <v>2</v>
      </c>
    </row>
    <row r="1955" spans="2:5" x14ac:dyDescent="0.2">
      <c r="B1955" s="92" t="s">
        <v>2855</v>
      </c>
      <c r="C1955" s="93">
        <v>2019</v>
      </c>
      <c r="D1955" s="93">
        <v>11</v>
      </c>
      <c r="E1955" s="93">
        <v>1</v>
      </c>
    </row>
    <row r="1956" spans="2:5" x14ac:dyDescent="0.2">
      <c r="B1956" s="92" t="s">
        <v>2855</v>
      </c>
      <c r="C1956" s="93">
        <v>2019</v>
      </c>
      <c r="D1956" s="93">
        <v>12</v>
      </c>
      <c r="E1956" s="93">
        <v>1</v>
      </c>
    </row>
    <row r="1957" spans="2:5" x14ac:dyDescent="0.2">
      <c r="B1957" s="92" t="s">
        <v>2856</v>
      </c>
      <c r="C1957" s="93">
        <v>2019</v>
      </c>
      <c r="D1957" s="93">
        <v>11</v>
      </c>
      <c r="E1957" s="93">
        <v>3</v>
      </c>
    </row>
    <row r="1958" spans="2:5" x14ac:dyDescent="0.2">
      <c r="B1958" s="92" t="s">
        <v>2856</v>
      </c>
      <c r="C1958" s="93">
        <v>2019</v>
      </c>
      <c r="D1958" s="93">
        <v>3</v>
      </c>
      <c r="E1958" s="93">
        <v>2</v>
      </c>
    </row>
    <row r="1959" spans="2:5" x14ac:dyDescent="0.2">
      <c r="B1959" s="92" t="s">
        <v>2856</v>
      </c>
      <c r="C1959" s="93">
        <v>2019</v>
      </c>
      <c r="D1959" s="93">
        <v>7</v>
      </c>
      <c r="E1959" s="93">
        <v>2</v>
      </c>
    </row>
    <row r="1960" spans="2:5" x14ac:dyDescent="0.2">
      <c r="B1960" s="92" t="s">
        <v>2856</v>
      </c>
      <c r="C1960" s="93">
        <v>2019</v>
      </c>
      <c r="D1960" s="93">
        <v>8</v>
      </c>
      <c r="E1960" s="93">
        <v>1</v>
      </c>
    </row>
    <row r="1961" spans="2:5" x14ac:dyDescent="0.2">
      <c r="B1961" s="92" t="s">
        <v>2856</v>
      </c>
      <c r="C1961" s="93">
        <v>2019</v>
      </c>
      <c r="D1961" s="93">
        <v>9</v>
      </c>
      <c r="E1961" s="93">
        <v>1</v>
      </c>
    </row>
    <row r="1962" spans="2:5" x14ac:dyDescent="0.2">
      <c r="B1962" s="92" t="s">
        <v>2857</v>
      </c>
      <c r="C1962" s="93">
        <v>2019</v>
      </c>
      <c r="D1962" s="93">
        <v>9</v>
      </c>
      <c r="E1962" s="93">
        <v>1</v>
      </c>
    </row>
    <row r="1963" spans="2:5" x14ac:dyDescent="0.2">
      <c r="B1963" s="92" t="s">
        <v>2922</v>
      </c>
      <c r="C1963" s="93">
        <v>2019</v>
      </c>
      <c r="D1963" s="93">
        <v>5</v>
      </c>
      <c r="E1963" s="93">
        <v>7</v>
      </c>
    </row>
    <row r="1964" spans="2:5" x14ac:dyDescent="0.2">
      <c r="B1964" s="92" t="s">
        <v>2922</v>
      </c>
      <c r="C1964" s="93">
        <v>2019</v>
      </c>
      <c r="D1964" s="93">
        <v>6</v>
      </c>
      <c r="E1964" s="93">
        <v>7</v>
      </c>
    </row>
    <row r="1965" spans="2:5" x14ac:dyDescent="0.2">
      <c r="B1965" s="92" t="s">
        <v>2922</v>
      </c>
      <c r="C1965" s="93">
        <v>2019</v>
      </c>
      <c r="D1965" s="93">
        <v>9</v>
      </c>
      <c r="E1965" s="93">
        <v>7</v>
      </c>
    </row>
    <row r="1966" spans="2:5" x14ac:dyDescent="0.2">
      <c r="B1966" s="92" t="s">
        <v>2922</v>
      </c>
      <c r="C1966" s="93">
        <v>2019</v>
      </c>
      <c r="D1966" s="93">
        <v>4</v>
      </c>
      <c r="E1966" s="93">
        <v>6</v>
      </c>
    </row>
    <row r="1967" spans="2:5" x14ac:dyDescent="0.2">
      <c r="B1967" s="92" t="s">
        <v>2922</v>
      </c>
      <c r="C1967" s="93">
        <v>2019</v>
      </c>
      <c r="D1967" s="93">
        <v>7</v>
      </c>
      <c r="E1967" s="93">
        <v>6</v>
      </c>
    </row>
    <row r="1968" spans="2:5" x14ac:dyDescent="0.2">
      <c r="B1968" s="92" t="s">
        <v>2922</v>
      </c>
      <c r="C1968" s="93">
        <v>2019</v>
      </c>
      <c r="D1968" s="93">
        <v>11</v>
      </c>
      <c r="E1968" s="93">
        <v>4</v>
      </c>
    </row>
    <row r="1969" spans="2:5" x14ac:dyDescent="0.2">
      <c r="B1969" s="92" t="s">
        <v>2922</v>
      </c>
      <c r="C1969" s="93">
        <v>2019</v>
      </c>
      <c r="D1969" s="93">
        <v>2</v>
      </c>
      <c r="E1969" s="93">
        <v>3</v>
      </c>
    </row>
    <row r="1970" spans="2:5" x14ac:dyDescent="0.2">
      <c r="B1970" s="92" t="s">
        <v>2922</v>
      </c>
      <c r="C1970" s="93">
        <v>2019</v>
      </c>
      <c r="D1970" s="93">
        <v>3</v>
      </c>
      <c r="E1970" s="93">
        <v>3</v>
      </c>
    </row>
    <row r="1971" spans="2:5" x14ac:dyDescent="0.2">
      <c r="B1971" s="92" t="s">
        <v>2922</v>
      </c>
      <c r="C1971" s="93">
        <v>2019</v>
      </c>
      <c r="D1971" s="93">
        <v>8</v>
      </c>
      <c r="E1971" s="93">
        <v>3</v>
      </c>
    </row>
    <row r="1972" spans="2:5" x14ac:dyDescent="0.2">
      <c r="B1972" s="92" t="s">
        <v>2922</v>
      </c>
      <c r="C1972" s="93">
        <v>2019</v>
      </c>
      <c r="D1972" s="93">
        <v>1</v>
      </c>
      <c r="E1972" s="93">
        <v>2</v>
      </c>
    </row>
    <row r="1973" spans="2:5" x14ac:dyDescent="0.2">
      <c r="B1973" s="92" t="s">
        <v>2922</v>
      </c>
      <c r="C1973" s="93">
        <v>2019</v>
      </c>
      <c r="D1973" s="93">
        <v>10</v>
      </c>
      <c r="E1973" s="93">
        <v>2</v>
      </c>
    </row>
    <row r="1974" spans="2:5" x14ac:dyDescent="0.2">
      <c r="B1974" s="92" t="s">
        <v>2922</v>
      </c>
      <c r="C1974" s="93">
        <v>2019</v>
      </c>
      <c r="D1974" s="93">
        <v>12</v>
      </c>
      <c r="E1974" s="93">
        <v>1</v>
      </c>
    </row>
    <row r="1975" spans="2:5" x14ac:dyDescent="0.2">
      <c r="B1975" s="92" t="s">
        <v>982</v>
      </c>
      <c r="C1975" s="93">
        <v>2019</v>
      </c>
      <c r="D1975" s="93">
        <v>4</v>
      </c>
      <c r="E1975" s="93">
        <v>931</v>
      </c>
    </row>
    <row r="1976" spans="2:5" x14ac:dyDescent="0.2">
      <c r="B1976" s="92" t="s">
        <v>982</v>
      </c>
      <c r="C1976" s="93">
        <v>2019</v>
      </c>
      <c r="D1976" s="93">
        <v>9</v>
      </c>
      <c r="E1976" s="93">
        <v>916</v>
      </c>
    </row>
    <row r="1977" spans="2:5" x14ac:dyDescent="0.2">
      <c r="B1977" s="92" t="s">
        <v>982</v>
      </c>
      <c r="C1977" s="93">
        <v>2019</v>
      </c>
      <c r="D1977" s="93">
        <v>1</v>
      </c>
      <c r="E1977" s="93">
        <v>887</v>
      </c>
    </row>
    <row r="1978" spans="2:5" x14ac:dyDescent="0.2">
      <c r="B1978" s="92" t="s">
        <v>982</v>
      </c>
      <c r="C1978" s="93">
        <v>2019</v>
      </c>
      <c r="D1978" s="93">
        <v>6</v>
      </c>
      <c r="E1978" s="93">
        <v>806</v>
      </c>
    </row>
    <row r="1979" spans="2:5" x14ac:dyDescent="0.2">
      <c r="B1979" s="92" t="s">
        <v>982</v>
      </c>
      <c r="C1979" s="93">
        <v>2019</v>
      </c>
      <c r="D1979" s="93">
        <v>10</v>
      </c>
      <c r="E1979" s="93">
        <v>679</v>
      </c>
    </row>
    <row r="1980" spans="2:5" x14ac:dyDescent="0.2">
      <c r="B1980" s="92" t="s">
        <v>982</v>
      </c>
      <c r="C1980" s="93">
        <v>2019</v>
      </c>
      <c r="D1980" s="93">
        <v>2</v>
      </c>
      <c r="E1980" s="93">
        <v>671</v>
      </c>
    </row>
    <row r="1981" spans="2:5" x14ac:dyDescent="0.2">
      <c r="B1981" s="92" t="s">
        <v>982</v>
      </c>
      <c r="C1981" s="93">
        <v>2019</v>
      </c>
      <c r="D1981" s="93">
        <v>3</v>
      </c>
      <c r="E1981" s="93">
        <v>637</v>
      </c>
    </row>
    <row r="1982" spans="2:5" x14ac:dyDescent="0.2">
      <c r="B1982" s="92" t="s">
        <v>982</v>
      </c>
      <c r="C1982" s="93">
        <v>2019</v>
      </c>
      <c r="D1982" s="93">
        <v>8</v>
      </c>
      <c r="E1982" s="93">
        <v>626</v>
      </c>
    </row>
    <row r="1983" spans="2:5" x14ac:dyDescent="0.2">
      <c r="B1983" s="92" t="s">
        <v>982</v>
      </c>
      <c r="C1983" s="93">
        <v>2019</v>
      </c>
      <c r="D1983" s="93">
        <v>5</v>
      </c>
      <c r="E1983" s="93">
        <v>607</v>
      </c>
    </row>
    <row r="1984" spans="2:5" x14ac:dyDescent="0.2">
      <c r="B1984" s="92" t="s">
        <v>982</v>
      </c>
      <c r="C1984" s="93">
        <v>2019</v>
      </c>
      <c r="D1984" s="93">
        <v>12</v>
      </c>
      <c r="E1984" s="93">
        <v>554</v>
      </c>
    </row>
    <row r="1985" spans="2:5" x14ac:dyDescent="0.2">
      <c r="B1985" s="92" t="s">
        <v>982</v>
      </c>
      <c r="C1985" s="93">
        <v>2019</v>
      </c>
      <c r="D1985" s="93">
        <v>7</v>
      </c>
      <c r="E1985" s="93">
        <v>470</v>
      </c>
    </row>
    <row r="1986" spans="2:5" x14ac:dyDescent="0.2">
      <c r="B1986" s="92" t="s">
        <v>982</v>
      </c>
      <c r="C1986" s="93">
        <v>2019</v>
      </c>
      <c r="D1986" s="93">
        <v>11</v>
      </c>
      <c r="E1986" s="93">
        <v>435</v>
      </c>
    </row>
    <row r="1987" spans="2:5" x14ac:dyDescent="0.2">
      <c r="B1987" s="92" t="s">
        <v>2858</v>
      </c>
      <c r="C1987" s="93">
        <v>2019</v>
      </c>
      <c r="D1987" s="93">
        <v>7</v>
      </c>
      <c r="E1987" s="93">
        <v>54</v>
      </c>
    </row>
    <row r="1988" spans="2:5" x14ac:dyDescent="0.2">
      <c r="B1988" s="92" t="s">
        <v>2858</v>
      </c>
      <c r="C1988" s="93">
        <v>2019</v>
      </c>
      <c r="D1988" s="93">
        <v>5</v>
      </c>
      <c r="E1988" s="93">
        <v>47</v>
      </c>
    </row>
    <row r="1989" spans="2:5" x14ac:dyDescent="0.2">
      <c r="B1989" s="92" t="s">
        <v>2858</v>
      </c>
      <c r="C1989" s="93">
        <v>2019</v>
      </c>
      <c r="D1989" s="93">
        <v>10</v>
      </c>
      <c r="E1989" s="93">
        <v>43</v>
      </c>
    </row>
    <row r="1990" spans="2:5" x14ac:dyDescent="0.2">
      <c r="B1990" s="92" t="s">
        <v>2858</v>
      </c>
      <c r="C1990" s="93">
        <v>2019</v>
      </c>
      <c r="D1990" s="93">
        <v>8</v>
      </c>
      <c r="E1990" s="93">
        <v>33</v>
      </c>
    </row>
    <row r="1991" spans="2:5" x14ac:dyDescent="0.2">
      <c r="B1991" s="92" t="s">
        <v>2858</v>
      </c>
      <c r="C1991" s="93">
        <v>2019</v>
      </c>
      <c r="D1991" s="93">
        <v>4</v>
      </c>
      <c r="E1991" s="93">
        <v>28</v>
      </c>
    </row>
    <row r="1992" spans="2:5" x14ac:dyDescent="0.2">
      <c r="B1992" s="92" t="s">
        <v>2858</v>
      </c>
      <c r="C1992" s="93">
        <v>2019</v>
      </c>
      <c r="D1992" s="93">
        <v>3</v>
      </c>
      <c r="E1992" s="93">
        <v>23</v>
      </c>
    </row>
    <row r="1993" spans="2:5" x14ac:dyDescent="0.2">
      <c r="B1993" s="92" t="s">
        <v>2858</v>
      </c>
      <c r="C1993" s="93">
        <v>2019</v>
      </c>
      <c r="D1993" s="93">
        <v>6</v>
      </c>
      <c r="E1993" s="93">
        <v>22</v>
      </c>
    </row>
    <row r="1994" spans="2:5" x14ac:dyDescent="0.2">
      <c r="B1994" s="92" t="s">
        <v>2858</v>
      </c>
      <c r="C1994" s="93">
        <v>2019</v>
      </c>
      <c r="D1994" s="93">
        <v>11</v>
      </c>
      <c r="E1994" s="93">
        <v>20</v>
      </c>
    </row>
    <row r="1995" spans="2:5" x14ac:dyDescent="0.2">
      <c r="B1995" s="92" t="s">
        <v>2858</v>
      </c>
      <c r="C1995" s="93">
        <v>2019</v>
      </c>
      <c r="D1995" s="93">
        <v>9</v>
      </c>
      <c r="E1995" s="93">
        <v>19</v>
      </c>
    </row>
    <row r="1996" spans="2:5" x14ac:dyDescent="0.2">
      <c r="B1996" s="92" t="s">
        <v>2858</v>
      </c>
      <c r="C1996" s="93">
        <v>2019</v>
      </c>
      <c r="D1996" s="93">
        <v>1</v>
      </c>
      <c r="E1996" s="93">
        <v>17</v>
      </c>
    </row>
    <row r="1997" spans="2:5" x14ac:dyDescent="0.2">
      <c r="B1997" s="92" t="s">
        <v>2858</v>
      </c>
      <c r="C1997" s="93">
        <v>2019</v>
      </c>
      <c r="D1997" s="93">
        <v>12</v>
      </c>
      <c r="E1997" s="93">
        <v>7</v>
      </c>
    </row>
    <row r="1998" spans="2:5" x14ac:dyDescent="0.2">
      <c r="B1998" s="92" t="s">
        <v>2858</v>
      </c>
      <c r="C1998" s="93">
        <v>2019</v>
      </c>
      <c r="D1998" s="93">
        <v>2</v>
      </c>
      <c r="E1998" s="93">
        <v>4</v>
      </c>
    </row>
    <row r="1999" spans="2:5" x14ac:dyDescent="0.2">
      <c r="B1999" s="92" t="s">
        <v>2859</v>
      </c>
      <c r="C1999" s="93">
        <v>2019</v>
      </c>
      <c r="D1999" s="93">
        <v>9</v>
      </c>
      <c r="E1999" s="93">
        <v>49</v>
      </c>
    </row>
    <row r="2000" spans="2:5" x14ac:dyDescent="0.2">
      <c r="B2000" s="92" t="s">
        <v>2859</v>
      </c>
      <c r="C2000" s="93">
        <v>2019</v>
      </c>
      <c r="D2000" s="93">
        <v>2</v>
      </c>
      <c r="E2000" s="93">
        <v>40</v>
      </c>
    </row>
    <row r="2001" spans="2:5" x14ac:dyDescent="0.2">
      <c r="B2001" s="92" t="s">
        <v>2859</v>
      </c>
      <c r="C2001" s="93">
        <v>2019</v>
      </c>
      <c r="D2001" s="93">
        <v>5</v>
      </c>
      <c r="E2001" s="93">
        <v>27</v>
      </c>
    </row>
    <row r="2002" spans="2:5" x14ac:dyDescent="0.2">
      <c r="B2002" s="92" t="s">
        <v>2859</v>
      </c>
      <c r="C2002" s="93">
        <v>2019</v>
      </c>
      <c r="D2002" s="93">
        <v>8</v>
      </c>
      <c r="E2002" s="93">
        <v>27</v>
      </c>
    </row>
    <row r="2003" spans="2:5" x14ac:dyDescent="0.2">
      <c r="B2003" s="92" t="s">
        <v>2859</v>
      </c>
      <c r="C2003" s="93">
        <v>2019</v>
      </c>
      <c r="D2003" s="93">
        <v>3</v>
      </c>
      <c r="E2003" s="93">
        <v>26</v>
      </c>
    </row>
    <row r="2004" spans="2:5" x14ac:dyDescent="0.2">
      <c r="B2004" s="92" t="s">
        <v>2859</v>
      </c>
      <c r="C2004" s="93">
        <v>2019</v>
      </c>
      <c r="D2004" s="93">
        <v>10</v>
      </c>
      <c r="E2004" s="93">
        <v>25</v>
      </c>
    </row>
    <row r="2005" spans="2:5" x14ac:dyDescent="0.2">
      <c r="B2005" s="92" t="s">
        <v>2859</v>
      </c>
      <c r="C2005" s="93">
        <v>2019</v>
      </c>
      <c r="D2005" s="93">
        <v>7</v>
      </c>
      <c r="E2005" s="93">
        <v>24</v>
      </c>
    </row>
    <row r="2006" spans="2:5" x14ac:dyDescent="0.2">
      <c r="B2006" s="92" t="s">
        <v>2859</v>
      </c>
      <c r="C2006" s="93">
        <v>2019</v>
      </c>
      <c r="D2006" s="93">
        <v>6</v>
      </c>
      <c r="E2006" s="93">
        <v>23</v>
      </c>
    </row>
    <row r="2007" spans="2:5" x14ac:dyDescent="0.2">
      <c r="B2007" s="92" t="s">
        <v>2859</v>
      </c>
      <c r="C2007" s="93">
        <v>2019</v>
      </c>
      <c r="D2007" s="93">
        <v>11</v>
      </c>
      <c r="E2007" s="93">
        <v>13</v>
      </c>
    </row>
    <row r="2008" spans="2:5" x14ac:dyDescent="0.2">
      <c r="B2008" s="92" t="s">
        <v>2859</v>
      </c>
      <c r="C2008" s="93">
        <v>2019</v>
      </c>
      <c r="D2008" s="93">
        <v>12</v>
      </c>
      <c r="E2008" s="93">
        <v>12</v>
      </c>
    </row>
    <row r="2009" spans="2:5" x14ac:dyDescent="0.2">
      <c r="B2009" s="92" t="s">
        <v>2859</v>
      </c>
      <c r="C2009" s="93">
        <v>2019</v>
      </c>
      <c r="D2009" s="93">
        <v>1</v>
      </c>
      <c r="E2009" s="93">
        <v>10</v>
      </c>
    </row>
    <row r="2010" spans="2:5" x14ac:dyDescent="0.2">
      <c r="B2010" s="92" t="s">
        <v>2859</v>
      </c>
      <c r="C2010" s="93">
        <v>2019</v>
      </c>
      <c r="D2010" s="93">
        <v>4</v>
      </c>
      <c r="E2010" s="93">
        <v>2</v>
      </c>
    </row>
    <row r="2011" spans="2:5" x14ac:dyDescent="0.2">
      <c r="B2011" s="92" t="s">
        <v>2929</v>
      </c>
      <c r="C2011" s="93">
        <v>2019</v>
      </c>
      <c r="D2011" s="93">
        <v>5</v>
      </c>
      <c r="E2011" s="93">
        <v>8</v>
      </c>
    </row>
    <row r="2012" spans="2:5" x14ac:dyDescent="0.2">
      <c r="B2012" s="92" t="s">
        <v>2929</v>
      </c>
      <c r="C2012" s="93">
        <v>2019</v>
      </c>
      <c r="D2012" s="93">
        <v>2</v>
      </c>
      <c r="E2012" s="93">
        <v>6</v>
      </c>
    </row>
    <row r="2013" spans="2:5" x14ac:dyDescent="0.2">
      <c r="B2013" s="92" t="s">
        <v>2929</v>
      </c>
      <c r="C2013" s="93">
        <v>2019</v>
      </c>
      <c r="D2013" s="93">
        <v>4</v>
      </c>
      <c r="E2013" s="93">
        <v>6</v>
      </c>
    </row>
    <row r="2014" spans="2:5" x14ac:dyDescent="0.2">
      <c r="B2014" s="92" t="s">
        <v>2929</v>
      </c>
      <c r="C2014" s="93">
        <v>2019</v>
      </c>
      <c r="D2014" s="93">
        <v>6</v>
      </c>
      <c r="E2014" s="93">
        <v>6</v>
      </c>
    </row>
    <row r="2015" spans="2:5" x14ac:dyDescent="0.2">
      <c r="B2015" s="92" t="s">
        <v>2929</v>
      </c>
      <c r="C2015" s="93">
        <v>2019</v>
      </c>
      <c r="D2015" s="93">
        <v>7</v>
      </c>
      <c r="E2015" s="93">
        <v>4</v>
      </c>
    </row>
    <row r="2016" spans="2:5" x14ac:dyDescent="0.2">
      <c r="B2016" s="92" t="s">
        <v>2929</v>
      </c>
      <c r="C2016" s="93">
        <v>2019</v>
      </c>
      <c r="D2016" s="93">
        <v>3</v>
      </c>
      <c r="E2016" s="93">
        <v>3</v>
      </c>
    </row>
    <row r="2017" spans="2:5" x14ac:dyDescent="0.2">
      <c r="B2017" s="92" t="s">
        <v>2929</v>
      </c>
      <c r="C2017" s="93">
        <v>2019</v>
      </c>
      <c r="D2017" s="93">
        <v>10</v>
      </c>
      <c r="E2017" s="93">
        <v>3</v>
      </c>
    </row>
    <row r="2018" spans="2:5" x14ac:dyDescent="0.2">
      <c r="B2018" s="92" t="s">
        <v>2929</v>
      </c>
      <c r="C2018" s="93">
        <v>2019</v>
      </c>
      <c r="D2018" s="93">
        <v>12</v>
      </c>
      <c r="E2018" s="93">
        <v>3</v>
      </c>
    </row>
    <row r="2019" spans="2:5" x14ac:dyDescent="0.2">
      <c r="B2019" s="92" t="s">
        <v>2929</v>
      </c>
      <c r="C2019" s="93">
        <v>2019</v>
      </c>
      <c r="D2019" s="93">
        <v>8</v>
      </c>
      <c r="E2019" s="93">
        <v>1</v>
      </c>
    </row>
    <row r="2020" spans="2:5" x14ac:dyDescent="0.2">
      <c r="B2020" s="92" t="s">
        <v>2923</v>
      </c>
      <c r="C2020" s="93">
        <v>2019</v>
      </c>
      <c r="D2020" s="93">
        <v>4</v>
      </c>
      <c r="E2020" s="93">
        <v>11</v>
      </c>
    </row>
    <row r="2021" spans="2:5" x14ac:dyDescent="0.2">
      <c r="B2021" s="92" t="s">
        <v>2923</v>
      </c>
      <c r="C2021" s="93">
        <v>2019</v>
      </c>
      <c r="D2021" s="93">
        <v>1</v>
      </c>
      <c r="E2021" s="93">
        <v>10</v>
      </c>
    </row>
    <row r="2022" spans="2:5" x14ac:dyDescent="0.2">
      <c r="B2022" s="92" t="s">
        <v>2923</v>
      </c>
      <c r="C2022" s="93">
        <v>2019</v>
      </c>
      <c r="D2022" s="93">
        <v>3</v>
      </c>
      <c r="E2022" s="93">
        <v>6</v>
      </c>
    </row>
    <row r="2023" spans="2:5" x14ac:dyDescent="0.2">
      <c r="B2023" s="92" t="s">
        <v>2923</v>
      </c>
      <c r="C2023" s="93">
        <v>2019</v>
      </c>
      <c r="D2023" s="93">
        <v>8</v>
      </c>
      <c r="E2023" s="93">
        <v>6</v>
      </c>
    </row>
    <row r="2024" spans="2:5" x14ac:dyDescent="0.2">
      <c r="B2024" s="92" t="s">
        <v>2923</v>
      </c>
      <c r="C2024" s="93">
        <v>2019</v>
      </c>
      <c r="D2024" s="93">
        <v>9</v>
      </c>
      <c r="E2024" s="93">
        <v>5</v>
      </c>
    </row>
    <row r="2025" spans="2:5" x14ac:dyDescent="0.2">
      <c r="B2025" s="92" t="s">
        <v>2923</v>
      </c>
      <c r="C2025" s="93">
        <v>2019</v>
      </c>
      <c r="D2025" s="93">
        <v>12</v>
      </c>
      <c r="E2025" s="93">
        <v>4</v>
      </c>
    </row>
    <row r="2026" spans="2:5" x14ac:dyDescent="0.2">
      <c r="B2026" s="92" t="s">
        <v>2923</v>
      </c>
      <c r="C2026" s="93">
        <v>2019</v>
      </c>
      <c r="D2026" s="93">
        <v>7</v>
      </c>
      <c r="E2026" s="93">
        <v>3</v>
      </c>
    </row>
    <row r="2027" spans="2:5" x14ac:dyDescent="0.2">
      <c r="B2027" s="92" t="s">
        <v>2923</v>
      </c>
      <c r="C2027" s="93">
        <v>2019</v>
      </c>
      <c r="D2027" s="93">
        <v>5</v>
      </c>
      <c r="E2027" s="93">
        <v>2</v>
      </c>
    </row>
    <row r="2028" spans="2:5" x14ac:dyDescent="0.2">
      <c r="B2028" s="92" t="s">
        <v>2923</v>
      </c>
      <c r="C2028" s="93">
        <v>2019</v>
      </c>
      <c r="D2028" s="93">
        <v>10</v>
      </c>
      <c r="E2028" s="93">
        <v>2</v>
      </c>
    </row>
    <row r="2029" spans="2:5" x14ac:dyDescent="0.2">
      <c r="B2029" s="92" t="s">
        <v>2923</v>
      </c>
      <c r="C2029" s="93">
        <v>2019</v>
      </c>
      <c r="D2029" s="93">
        <v>11</v>
      </c>
      <c r="E2029" s="93">
        <v>2</v>
      </c>
    </row>
    <row r="2030" spans="2:5" x14ac:dyDescent="0.2">
      <c r="B2030" s="92" t="s">
        <v>2949</v>
      </c>
      <c r="C2030" s="93">
        <v>2019</v>
      </c>
      <c r="D2030" s="93">
        <v>1</v>
      </c>
      <c r="E2030" s="93">
        <v>2</v>
      </c>
    </row>
    <row r="2031" spans="2:5" x14ac:dyDescent="0.2">
      <c r="B2031" s="92" t="s">
        <v>2949</v>
      </c>
      <c r="C2031" s="93">
        <v>2019</v>
      </c>
      <c r="D2031" s="93">
        <v>6</v>
      </c>
      <c r="E2031" s="93">
        <v>2</v>
      </c>
    </row>
    <row r="2032" spans="2:5" x14ac:dyDescent="0.2">
      <c r="B2032" s="92" t="s">
        <v>2949</v>
      </c>
      <c r="C2032" s="93">
        <v>2019</v>
      </c>
      <c r="D2032" s="93">
        <v>8</v>
      </c>
      <c r="E2032" s="93">
        <v>2</v>
      </c>
    </row>
    <row r="2033" spans="2:5" x14ac:dyDescent="0.2">
      <c r="B2033" s="92" t="s">
        <v>2949</v>
      </c>
      <c r="C2033" s="93">
        <v>2019</v>
      </c>
      <c r="D2033" s="93">
        <v>9</v>
      </c>
      <c r="E2033" s="93">
        <v>2</v>
      </c>
    </row>
    <row r="2034" spans="2:5" x14ac:dyDescent="0.2">
      <c r="B2034" s="92" t="s">
        <v>2949</v>
      </c>
      <c r="C2034" s="93">
        <v>2019</v>
      </c>
      <c r="D2034" s="93">
        <v>5</v>
      </c>
      <c r="E2034" s="93">
        <v>1</v>
      </c>
    </row>
    <row r="2035" spans="2:5" x14ac:dyDescent="0.2">
      <c r="B2035" s="92" t="s">
        <v>2949</v>
      </c>
      <c r="C2035" s="93">
        <v>2019</v>
      </c>
      <c r="D2035" s="93">
        <v>10</v>
      </c>
      <c r="E2035" s="93">
        <v>1</v>
      </c>
    </row>
    <row r="2036" spans="2:5" x14ac:dyDescent="0.2">
      <c r="B2036" s="92" t="s">
        <v>2949</v>
      </c>
      <c r="C2036" s="93">
        <v>2019</v>
      </c>
      <c r="D2036" s="93">
        <v>11</v>
      </c>
      <c r="E2036" s="93">
        <v>1</v>
      </c>
    </row>
    <row r="2037" spans="2:5" x14ac:dyDescent="0.2">
      <c r="B2037" s="92" t="s">
        <v>2954</v>
      </c>
      <c r="C2037" s="93">
        <v>2019</v>
      </c>
      <c r="D2037" s="93">
        <v>8</v>
      </c>
      <c r="E2037" s="93">
        <v>3</v>
      </c>
    </row>
    <row r="2038" spans="2:5" x14ac:dyDescent="0.2">
      <c r="B2038" s="92" t="s">
        <v>2954</v>
      </c>
      <c r="C2038" s="93">
        <v>2019</v>
      </c>
      <c r="D2038" s="93">
        <v>5</v>
      </c>
      <c r="E2038" s="93">
        <v>2</v>
      </c>
    </row>
    <row r="2039" spans="2:5" x14ac:dyDescent="0.2">
      <c r="B2039" s="92" t="s">
        <v>2954</v>
      </c>
      <c r="C2039" s="93">
        <v>2019</v>
      </c>
      <c r="D2039" s="93">
        <v>7</v>
      </c>
      <c r="E2039" s="93">
        <v>2</v>
      </c>
    </row>
    <row r="2040" spans="2:5" x14ac:dyDescent="0.2">
      <c r="B2040" s="92" t="s">
        <v>2954</v>
      </c>
      <c r="C2040" s="93">
        <v>2019</v>
      </c>
      <c r="D2040" s="93">
        <v>10</v>
      </c>
      <c r="E2040" s="93">
        <v>2</v>
      </c>
    </row>
    <row r="2041" spans="2:5" x14ac:dyDescent="0.2">
      <c r="B2041" s="92" t="s">
        <v>2954</v>
      </c>
      <c r="C2041" s="93">
        <v>2019</v>
      </c>
      <c r="D2041" s="93">
        <v>6</v>
      </c>
      <c r="E2041" s="93">
        <v>1</v>
      </c>
    </row>
    <row r="2042" spans="2:5" x14ac:dyDescent="0.2">
      <c r="B2042" s="92" t="s">
        <v>2860</v>
      </c>
      <c r="C2042" s="93">
        <v>2019</v>
      </c>
      <c r="D2042" s="93">
        <v>10</v>
      </c>
      <c r="E2042" s="93">
        <v>190</v>
      </c>
    </row>
    <row r="2043" spans="2:5" x14ac:dyDescent="0.2">
      <c r="B2043" s="92" t="s">
        <v>2860</v>
      </c>
      <c r="C2043" s="93">
        <v>2019</v>
      </c>
      <c r="D2043" s="93">
        <v>4</v>
      </c>
      <c r="E2043" s="93">
        <v>183</v>
      </c>
    </row>
    <row r="2044" spans="2:5" x14ac:dyDescent="0.2">
      <c r="B2044" s="92" t="s">
        <v>2860</v>
      </c>
      <c r="C2044" s="93">
        <v>2019</v>
      </c>
      <c r="D2044" s="93">
        <v>2</v>
      </c>
      <c r="E2044" s="93">
        <v>149</v>
      </c>
    </row>
    <row r="2045" spans="2:5" x14ac:dyDescent="0.2">
      <c r="B2045" s="92" t="s">
        <v>2860</v>
      </c>
      <c r="C2045" s="93">
        <v>2019</v>
      </c>
      <c r="D2045" s="93">
        <v>1</v>
      </c>
      <c r="E2045" s="93">
        <v>123</v>
      </c>
    </row>
    <row r="2046" spans="2:5" x14ac:dyDescent="0.2">
      <c r="B2046" s="92" t="s">
        <v>2860</v>
      </c>
      <c r="C2046" s="93">
        <v>2019</v>
      </c>
      <c r="D2046" s="93">
        <v>3</v>
      </c>
      <c r="E2046" s="93">
        <v>114</v>
      </c>
    </row>
    <row r="2047" spans="2:5" x14ac:dyDescent="0.2">
      <c r="B2047" s="92" t="s">
        <v>2860</v>
      </c>
      <c r="C2047" s="93">
        <v>2019</v>
      </c>
      <c r="D2047" s="93">
        <v>8</v>
      </c>
      <c r="E2047" s="93">
        <v>114</v>
      </c>
    </row>
    <row r="2048" spans="2:5" x14ac:dyDescent="0.2">
      <c r="B2048" s="92" t="s">
        <v>2860</v>
      </c>
      <c r="C2048" s="93">
        <v>2019</v>
      </c>
      <c r="D2048" s="93">
        <v>11</v>
      </c>
      <c r="E2048" s="93">
        <v>95</v>
      </c>
    </row>
    <row r="2049" spans="2:5" x14ac:dyDescent="0.2">
      <c r="B2049" s="92" t="s">
        <v>2860</v>
      </c>
      <c r="C2049" s="93">
        <v>2019</v>
      </c>
      <c r="D2049" s="93">
        <v>9</v>
      </c>
      <c r="E2049" s="93">
        <v>94</v>
      </c>
    </row>
    <row r="2050" spans="2:5" x14ac:dyDescent="0.2">
      <c r="B2050" s="92" t="s">
        <v>2860</v>
      </c>
      <c r="C2050" s="93">
        <v>2019</v>
      </c>
      <c r="D2050" s="93">
        <v>5</v>
      </c>
      <c r="E2050" s="93">
        <v>91</v>
      </c>
    </row>
    <row r="2051" spans="2:5" x14ac:dyDescent="0.2">
      <c r="B2051" s="92" t="s">
        <v>2860</v>
      </c>
      <c r="C2051" s="93">
        <v>2019</v>
      </c>
      <c r="D2051" s="93">
        <v>7</v>
      </c>
      <c r="E2051" s="93">
        <v>83</v>
      </c>
    </row>
    <row r="2052" spans="2:5" x14ac:dyDescent="0.2">
      <c r="B2052" s="92" t="s">
        <v>2860</v>
      </c>
      <c r="C2052" s="93">
        <v>2019</v>
      </c>
      <c r="D2052" s="93">
        <v>12</v>
      </c>
      <c r="E2052" s="93">
        <v>75</v>
      </c>
    </row>
    <row r="2053" spans="2:5" x14ac:dyDescent="0.2">
      <c r="B2053" s="92" t="s">
        <v>2860</v>
      </c>
      <c r="C2053" s="93">
        <v>2019</v>
      </c>
      <c r="D2053" s="93">
        <v>6</v>
      </c>
      <c r="E2053" s="93">
        <v>51</v>
      </c>
    </row>
    <row r="2054" spans="2:5" x14ac:dyDescent="0.2">
      <c r="B2054" s="92" t="s">
        <v>2970</v>
      </c>
      <c r="C2054" s="93">
        <v>2019</v>
      </c>
      <c r="D2054" s="93">
        <v>2</v>
      </c>
      <c r="E2054" s="93">
        <v>1</v>
      </c>
    </row>
    <row r="2055" spans="2:5" x14ac:dyDescent="0.2">
      <c r="B2055" s="92" t="s">
        <v>2970</v>
      </c>
      <c r="C2055" s="93">
        <v>2019</v>
      </c>
      <c r="D2055" s="93">
        <v>5</v>
      </c>
      <c r="E2055" s="93">
        <v>1</v>
      </c>
    </row>
    <row r="2056" spans="2:5" x14ac:dyDescent="0.2">
      <c r="B2056" s="92" t="s">
        <v>2970</v>
      </c>
      <c r="C2056" s="93">
        <v>2019</v>
      </c>
      <c r="D2056" s="93">
        <v>9</v>
      </c>
      <c r="E2056" s="93">
        <v>1</v>
      </c>
    </row>
    <row r="2057" spans="2:5" x14ac:dyDescent="0.2">
      <c r="B2057" s="92" t="s">
        <v>2970</v>
      </c>
      <c r="C2057" s="93">
        <v>2019</v>
      </c>
      <c r="D2057" s="93">
        <v>12</v>
      </c>
      <c r="E2057" s="93">
        <v>1</v>
      </c>
    </row>
    <row r="2058" spans="2:5" x14ac:dyDescent="0.2">
      <c r="B2058" s="92" t="s">
        <v>2924</v>
      </c>
      <c r="C2058" s="93">
        <v>2019</v>
      </c>
      <c r="D2058" s="93">
        <v>3</v>
      </c>
      <c r="E2058" s="93">
        <v>14</v>
      </c>
    </row>
    <row r="2059" spans="2:5" x14ac:dyDescent="0.2">
      <c r="B2059" s="92" t="s">
        <v>2924</v>
      </c>
      <c r="C2059" s="93">
        <v>2019</v>
      </c>
      <c r="D2059" s="93">
        <v>5</v>
      </c>
      <c r="E2059" s="93">
        <v>12</v>
      </c>
    </row>
    <row r="2060" spans="2:5" x14ac:dyDescent="0.2">
      <c r="B2060" s="92" t="s">
        <v>2924</v>
      </c>
      <c r="C2060" s="93">
        <v>2019</v>
      </c>
      <c r="D2060" s="93">
        <v>10</v>
      </c>
      <c r="E2060" s="93">
        <v>7</v>
      </c>
    </row>
    <row r="2061" spans="2:5" x14ac:dyDescent="0.2">
      <c r="B2061" s="92" t="s">
        <v>2924</v>
      </c>
      <c r="C2061" s="93">
        <v>2019</v>
      </c>
      <c r="D2061" s="93">
        <v>7</v>
      </c>
      <c r="E2061" s="93">
        <v>6</v>
      </c>
    </row>
    <row r="2062" spans="2:5" x14ac:dyDescent="0.2">
      <c r="B2062" s="92" t="s">
        <v>2924</v>
      </c>
      <c r="C2062" s="93">
        <v>2019</v>
      </c>
      <c r="D2062" s="93">
        <v>4</v>
      </c>
      <c r="E2062" s="93">
        <v>3</v>
      </c>
    </row>
    <row r="2063" spans="2:5" x14ac:dyDescent="0.2">
      <c r="B2063" s="92" t="s">
        <v>2924</v>
      </c>
      <c r="C2063" s="93">
        <v>2019</v>
      </c>
      <c r="D2063" s="93">
        <v>6</v>
      </c>
      <c r="E2063" s="93">
        <v>2</v>
      </c>
    </row>
    <row r="2064" spans="2:5" x14ac:dyDescent="0.2">
      <c r="B2064" s="92" t="s">
        <v>2924</v>
      </c>
      <c r="C2064" s="93">
        <v>2019</v>
      </c>
      <c r="D2064" s="93">
        <v>1</v>
      </c>
      <c r="E2064" s="93">
        <v>1</v>
      </c>
    </row>
    <row r="2065" spans="2:5" x14ac:dyDescent="0.2">
      <c r="B2065" s="92" t="s">
        <v>2924</v>
      </c>
      <c r="C2065" s="93">
        <v>2019</v>
      </c>
      <c r="D2065" s="93">
        <v>8</v>
      </c>
      <c r="E2065" s="93">
        <v>1</v>
      </c>
    </row>
    <row r="2066" spans="2:5" x14ac:dyDescent="0.2">
      <c r="B2066" s="92" t="s">
        <v>2936</v>
      </c>
      <c r="C2066" s="93">
        <v>2019</v>
      </c>
      <c r="D2066" s="93">
        <v>4</v>
      </c>
      <c r="E2066" s="93">
        <v>6</v>
      </c>
    </row>
    <row r="2067" spans="2:5" x14ac:dyDescent="0.2">
      <c r="B2067" s="92" t="s">
        <v>2936</v>
      </c>
      <c r="C2067" s="93">
        <v>2019</v>
      </c>
      <c r="D2067" s="93">
        <v>3</v>
      </c>
      <c r="E2067" s="93">
        <v>3</v>
      </c>
    </row>
    <row r="2068" spans="2:5" x14ac:dyDescent="0.2">
      <c r="B2068" s="92" t="s">
        <v>2936</v>
      </c>
      <c r="C2068" s="93">
        <v>2019</v>
      </c>
      <c r="D2068" s="93">
        <v>6</v>
      </c>
      <c r="E2068" s="93">
        <v>3</v>
      </c>
    </row>
    <row r="2069" spans="2:5" x14ac:dyDescent="0.2">
      <c r="B2069" s="92" t="s">
        <v>2936</v>
      </c>
      <c r="C2069" s="93">
        <v>2019</v>
      </c>
      <c r="D2069" s="93">
        <v>9</v>
      </c>
      <c r="E2069" s="93">
        <v>3</v>
      </c>
    </row>
    <row r="2070" spans="2:5" x14ac:dyDescent="0.2">
      <c r="B2070" s="92" t="s">
        <v>2936</v>
      </c>
      <c r="C2070" s="93">
        <v>2019</v>
      </c>
      <c r="D2070" s="93">
        <v>5</v>
      </c>
      <c r="E2070" s="93">
        <v>2</v>
      </c>
    </row>
    <row r="2071" spans="2:5" x14ac:dyDescent="0.2">
      <c r="B2071" s="92" t="s">
        <v>2936</v>
      </c>
      <c r="C2071" s="93">
        <v>2019</v>
      </c>
      <c r="D2071" s="93">
        <v>7</v>
      </c>
      <c r="E2071" s="93">
        <v>2</v>
      </c>
    </row>
    <row r="2072" spans="2:5" x14ac:dyDescent="0.2">
      <c r="B2072" s="92" t="s">
        <v>2936</v>
      </c>
      <c r="C2072" s="93">
        <v>2019</v>
      </c>
      <c r="D2072" s="93">
        <v>8</v>
      </c>
      <c r="E2072" s="93">
        <v>2</v>
      </c>
    </row>
    <row r="2073" spans="2:5" x14ac:dyDescent="0.2">
      <c r="B2073" s="92" t="s">
        <v>2936</v>
      </c>
      <c r="C2073" s="93">
        <v>2019</v>
      </c>
      <c r="D2073" s="93">
        <v>10</v>
      </c>
      <c r="E2073" s="93">
        <v>2</v>
      </c>
    </row>
    <row r="2074" spans="2:5" x14ac:dyDescent="0.2">
      <c r="B2074" s="92" t="s">
        <v>2934</v>
      </c>
      <c r="C2074" s="93">
        <v>2019</v>
      </c>
      <c r="D2074" s="93">
        <v>6</v>
      </c>
      <c r="E2074" s="93">
        <v>6</v>
      </c>
    </row>
    <row r="2075" spans="2:5" x14ac:dyDescent="0.2">
      <c r="B2075" s="92" t="s">
        <v>2934</v>
      </c>
      <c r="C2075" s="93">
        <v>2019</v>
      </c>
      <c r="D2075" s="93">
        <v>1</v>
      </c>
      <c r="E2075" s="93">
        <v>4</v>
      </c>
    </row>
    <row r="2076" spans="2:5" x14ac:dyDescent="0.2">
      <c r="B2076" s="92" t="s">
        <v>2934</v>
      </c>
      <c r="C2076" s="93">
        <v>2019</v>
      </c>
      <c r="D2076" s="93">
        <v>5</v>
      </c>
      <c r="E2076" s="93">
        <v>4</v>
      </c>
    </row>
    <row r="2077" spans="2:5" x14ac:dyDescent="0.2">
      <c r="B2077" s="92" t="s">
        <v>2934</v>
      </c>
      <c r="C2077" s="93">
        <v>2019</v>
      </c>
      <c r="D2077" s="93">
        <v>8</v>
      </c>
      <c r="E2077" s="93">
        <v>4</v>
      </c>
    </row>
    <row r="2078" spans="2:5" x14ac:dyDescent="0.2">
      <c r="B2078" s="92" t="s">
        <v>2934</v>
      </c>
      <c r="C2078" s="93">
        <v>2019</v>
      </c>
      <c r="D2078" s="93">
        <v>7</v>
      </c>
      <c r="E2078" s="93">
        <v>2</v>
      </c>
    </row>
    <row r="2079" spans="2:5" x14ac:dyDescent="0.2">
      <c r="B2079" s="92" t="s">
        <v>2934</v>
      </c>
      <c r="C2079" s="93">
        <v>2019</v>
      </c>
      <c r="D2079" s="93">
        <v>4</v>
      </c>
      <c r="E2079" s="93">
        <v>1</v>
      </c>
    </row>
    <row r="2080" spans="2:5" x14ac:dyDescent="0.2">
      <c r="B2080" s="92" t="s">
        <v>2934</v>
      </c>
      <c r="C2080" s="93">
        <v>2019</v>
      </c>
      <c r="D2080" s="93">
        <v>9</v>
      </c>
      <c r="E2080" s="93">
        <v>1</v>
      </c>
    </row>
    <row r="2081" spans="2:5" x14ac:dyDescent="0.2">
      <c r="B2081" s="92" t="s">
        <v>2934</v>
      </c>
      <c r="C2081" s="93">
        <v>2019</v>
      </c>
      <c r="D2081" s="93">
        <v>10</v>
      </c>
      <c r="E2081" s="93">
        <v>1</v>
      </c>
    </row>
    <row r="2082" spans="2:5" x14ac:dyDescent="0.2">
      <c r="B2082" s="92" t="s">
        <v>2934</v>
      </c>
      <c r="C2082" s="93">
        <v>2019</v>
      </c>
      <c r="D2082" s="93">
        <v>11</v>
      </c>
      <c r="E2082" s="93">
        <v>1</v>
      </c>
    </row>
    <row r="2083" spans="2:5" x14ac:dyDescent="0.2">
      <c r="B2083" s="92" t="s">
        <v>2861</v>
      </c>
      <c r="C2083" s="93">
        <v>2019</v>
      </c>
      <c r="D2083" s="93">
        <v>5</v>
      </c>
      <c r="E2083" s="93">
        <v>29</v>
      </c>
    </row>
    <row r="2084" spans="2:5" x14ac:dyDescent="0.2">
      <c r="B2084" s="92" t="s">
        <v>2861</v>
      </c>
      <c r="C2084" s="93">
        <v>2019</v>
      </c>
      <c r="D2084" s="93">
        <v>11</v>
      </c>
      <c r="E2084" s="93">
        <v>24</v>
      </c>
    </row>
    <row r="2085" spans="2:5" x14ac:dyDescent="0.2">
      <c r="B2085" s="92" t="s">
        <v>2861</v>
      </c>
      <c r="C2085" s="93">
        <v>2019</v>
      </c>
      <c r="D2085" s="93">
        <v>3</v>
      </c>
      <c r="E2085" s="93">
        <v>16</v>
      </c>
    </row>
    <row r="2086" spans="2:5" x14ac:dyDescent="0.2">
      <c r="B2086" s="92" t="s">
        <v>2861</v>
      </c>
      <c r="C2086" s="93">
        <v>2019</v>
      </c>
      <c r="D2086" s="93">
        <v>8</v>
      </c>
      <c r="E2086" s="93">
        <v>16</v>
      </c>
    </row>
    <row r="2087" spans="2:5" x14ac:dyDescent="0.2">
      <c r="B2087" s="92" t="s">
        <v>2861</v>
      </c>
      <c r="C2087" s="93">
        <v>2019</v>
      </c>
      <c r="D2087" s="93">
        <v>10</v>
      </c>
      <c r="E2087" s="93">
        <v>13</v>
      </c>
    </row>
    <row r="2088" spans="2:5" x14ac:dyDescent="0.2">
      <c r="B2088" s="92" t="s">
        <v>2861</v>
      </c>
      <c r="C2088" s="93">
        <v>2019</v>
      </c>
      <c r="D2088" s="93">
        <v>4</v>
      </c>
      <c r="E2088" s="93">
        <v>7</v>
      </c>
    </row>
    <row r="2089" spans="2:5" x14ac:dyDescent="0.2">
      <c r="B2089" s="92" t="s">
        <v>2861</v>
      </c>
      <c r="C2089" s="93">
        <v>2019</v>
      </c>
      <c r="D2089" s="93">
        <v>6</v>
      </c>
      <c r="E2089" s="93">
        <v>5</v>
      </c>
    </row>
    <row r="2090" spans="2:5" x14ac:dyDescent="0.2">
      <c r="B2090" s="92" t="s">
        <v>2861</v>
      </c>
      <c r="C2090" s="93">
        <v>2019</v>
      </c>
      <c r="D2090" s="93">
        <v>12</v>
      </c>
      <c r="E2090" s="93">
        <v>4</v>
      </c>
    </row>
    <row r="2091" spans="2:5" x14ac:dyDescent="0.2">
      <c r="B2091" s="92" t="s">
        <v>2861</v>
      </c>
      <c r="C2091" s="93">
        <v>2019</v>
      </c>
      <c r="D2091" s="93">
        <v>2</v>
      </c>
      <c r="E2091" s="93">
        <v>3</v>
      </c>
    </row>
    <row r="2092" spans="2:5" x14ac:dyDescent="0.2">
      <c r="B2092" s="92" t="s">
        <v>2861</v>
      </c>
      <c r="C2092" s="93">
        <v>2019</v>
      </c>
      <c r="D2092" s="93">
        <v>9</v>
      </c>
      <c r="E2092" s="93">
        <v>2</v>
      </c>
    </row>
    <row r="2093" spans="2:5" x14ac:dyDescent="0.2">
      <c r="B2093" s="92" t="s">
        <v>2861</v>
      </c>
      <c r="C2093" s="93">
        <v>2019</v>
      </c>
      <c r="D2093" s="93">
        <v>7</v>
      </c>
      <c r="E2093" s="93">
        <v>1</v>
      </c>
    </row>
    <row r="2094" spans="2:5" x14ac:dyDescent="0.2">
      <c r="B2094" s="92" t="s">
        <v>2862</v>
      </c>
      <c r="C2094" s="93">
        <v>2019</v>
      </c>
      <c r="D2094" s="93">
        <v>5</v>
      </c>
      <c r="E2094" s="93">
        <v>31</v>
      </c>
    </row>
    <row r="2095" spans="2:5" x14ac:dyDescent="0.2">
      <c r="B2095" s="92" t="s">
        <v>2862</v>
      </c>
      <c r="C2095" s="93">
        <v>2019</v>
      </c>
      <c r="D2095" s="93">
        <v>4</v>
      </c>
      <c r="E2095" s="93">
        <v>25</v>
      </c>
    </row>
    <row r="2096" spans="2:5" x14ac:dyDescent="0.2">
      <c r="B2096" s="92" t="s">
        <v>2862</v>
      </c>
      <c r="C2096" s="93">
        <v>2019</v>
      </c>
      <c r="D2096" s="93">
        <v>10</v>
      </c>
      <c r="E2096" s="93">
        <v>21</v>
      </c>
    </row>
    <row r="2097" spans="2:5" x14ac:dyDescent="0.2">
      <c r="B2097" s="92" t="s">
        <v>2862</v>
      </c>
      <c r="C2097" s="93">
        <v>2019</v>
      </c>
      <c r="D2097" s="93">
        <v>1</v>
      </c>
      <c r="E2097" s="93">
        <v>6</v>
      </c>
    </row>
    <row r="2098" spans="2:5" x14ac:dyDescent="0.2">
      <c r="B2098" s="92" t="s">
        <v>2862</v>
      </c>
      <c r="C2098" s="93">
        <v>2019</v>
      </c>
      <c r="D2098" s="93">
        <v>11</v>
      </c>
      <c r="E2098" s="93">
        <v>6</v>
      </c>
    </row>
    <row r="2099" spans="2:5" x14ac:dyDescent="0.2">
      <c r="B2099" s="92" t="s">
        <v>2862</v>
      </c>
      <c r="C2099" s="93">
        <v>2019</v>
      </c>
      <c r="D2099" s="93">
        <v>6</v>
      </c>
      <c r="E2099" s="93">
        <v>5</v>
      </c>
    </row>
    <row r="2100" spans="2:5" x14ac:dyDescent="0.2">
      <c r="B2100" s="92" t="s">
        <v>2862</v>
      </c>
      <c r="C2100" s="93">
        <v>2019</v>
      </c>
      <c r="D2100" s="93">
        <v>9</v>
      </c>
      <c r="E2100" s="93">
        <v>5</v>
      </c>
    </row>
    <row r="2101" spans="2:5" x14ac:dyDescent="0.2">
      <c r="B2101" s="92" t="s">
        <v>2862</v>
      </c>
      <c r="C2101" s="93">
        <v>2019</v>
      </c>
      <c r="D2101" s="93">
        <v>12</v>
      </c>
      <c r="E2101" s="93">
        <v>5</v>
      </c>
    </row>
    <row r="2102" spans="2:5" x14ac:dyDescent="0.2">
      <c r="B2102" s="92" t="s">
        <v>2862</v>
      </c>
      <c r="C2102" s="93">
        <v>2019</v>
      </c>
      <c r="D2102" s="93">
        <v>8</v>
      </c>
      <c r="E2102" s="93">
        <v>3</v>
      </c>
    </row>
    <row r="2103" spans="2:5" x14ac:dyDescent="0.2">
      <c r="B2103" s="92" t="s">
        <v>2862</v>
      </c>
      <c r="C2103" s="93">
        <v>2019</v>
      </c>
      <c r="D2103" s="93">
        <v>7</v>
      </c>
      <c r="E2103" s="93">
        <v>2</v>
      </c>
    </row>
    <row r="2104" spans="2:5" x14ac:dyDescent="0.2">
      <c r="B2104" s="92" t="s">
        <v>2863</v>
      </c>
      <c r="C2104" s="93">
        <v>2019</v>
      </c>
      <c r="D2104" s="93">
        <v>4</v>
      </c>
      <c r="E2104" s="93">
        <v>65</v>
      </c>
    </row>
    <row r="2105" spans="2:5" x14ac:dyDescent="0.2">
      <c r="B2105" s="92" t="s">
        <v>2863</v>
      </c>
      <c r="C2105" s="93">
        <v>2019</v>
      </c>
      <c r="D2105" s="93">
        <v>1</v>
      </c>
      <c r="E2105" s="93">
        <v>50</v>
      </c>
    </row>
    <row r="2106" spans="2:5" x14ac:dyDescent="0.2">
      <c r="B2106" s="92" t="s">
        <v>2863</v>
      </c>
      <c r="C2106" s="93">
        <v>2019</v>
      </c>
      <c r="D2106" s="93">
        <v>10</v>
      </c>
      <c r="E2106" s="93">
        <v>37</v>
      </c>
    </row>
    <row r="2107" spans="2:5" x14ac:dyDescent="0.2">
      <c r="B2107" s="92" t="s">
        <v>2863</v>
      </c>
      <c r="C2107" s="93">
        <v>2019</v>
      </c>
      <c r="D2107" s="93">
        <v>5</v>
      </c>
      <c r="E2107" s="93">
        <v>34</v>
      </c>
    </row>
    <row r="2108" spans="2:5" x14ac:dyDescent="0.2">
      <c r="B2108" s="92" t="s">
        <v>2863</v>
      </c>
      <c r="C2108" s="93">
        <v>2019</v>
      </c>
      <c r="D2108" s="93">
        <v>12</v>
      </c>
      <c r="E2108" s="93">
        <v>34</v>
      </c>
    </row>
    <row r="2109" spans="2:5" x14ac:dyDescent="0.2">
      <c r="B2109" s="92" t="s">
        <v>2863</v>
      </c>
      <c r="C2109" s="93">
        <v>2019</v>
      </c>
      <c r="D2109" s="93">
        <v>2</v>
      </c>
      <c r="E2109" s="93">
        <v>28</v>
      </c>
    </row>
    <row r="2110" spans="2:5" x14ac:dyDescent="0.2">
      <c r="B2110" s="92" t="s">
        <v>2863</v>
      </c>
      <c r="C2110" s="93">
        <v>2019</v>
      </c>
      <c r="D2110" s="93">
        <v>6</v>
      </c>
      <c r="E2110" s="93">
        <v>28</v>
      </c>
    </row>
    <row r="2111" spans="2:5" x14ac:dyDescent="0.2">
      <c r="B2111" s="92" t="s">
        <v>2863</v>
      </c>
      <c r="C2111" s="93">
        <v>2019</v>
      </c>
      <c r="D2111" s="93">
        <v>7</v>
      </c>
      <c r="E2111" s="93">
        <v>28</v>
      </c>
    </row>
    <row r="2112" spans="2:5" x14ac:dyDescent="0.2">
      <c r="B2112" s="92" t="s">
        <v>2863</v>
      </c>
      <c r="C2112" s="93">
        <v>2019</v>
      </c>
      <c r="D2112" s="93">
        <v>3</v>
      </c>
      <c r="E2112" s="93">
        <v>24</v>
      </c>
    </row>
    <row r="2113" spans="2:5" x14ac:dyDescent="0.2">
      <c r="B2113" s="92" t="s">
        <v>2863</v>
      </c>
      <c r="C2113" s="93">
        <v>2019</v>
      </c>
      <c r="D2113" s="93">
        <v>11</v>
      </c>
      <c r="E2113" s="93">
        <v>22</v>
      </c>
    </row>
    <row r="2114" spans="2:5" x14ac:dyDescent="0.2">
      <c r="B2114" s="92" t="s">
        <v>2863</v>
      </c>
      <c r="C2114" s="93">
        <v>2019</v>
      </c>
      <c r="D2114" s="93">
        <v>8</v>
      </c>
      <c r="E2114" s="93">
        <v>19</v>
      </c>
    </row>
    <row r="2115" spans="2:5" x14ac:dyDescent="0.2">
      <c r="B2115" s="92" t="s">
        <v>2863</v>
      </c>
      <c r="C2115" s="93">
        <v>2019</v>
      </c>
      <c r="D2115" s="93">
        <v>9</v>
      </c>
      <c r="E2115" s="93">
        <v>16</v>
      </c>
    </row>
    <row r="2116" spans="2:5" x14ac:dyDescent="0.2">
      <c r="B2116" s="92" t="s">
        <v>2864</v>
      </c>
      <c r="C2116" s="93">
        <v>2019</v>
      </c>
      <c r="D2116" s="93">
        <v>3</v>
      </c>
      <c r="E2116" s="93">
        <v>74</v>
      </c>
    </row>
    <row r="2117" spans="2:5" x14ac:dyDescent="0.2">
      <c r="B2117" s="92" t="s">
        <v>2864</v>
      </c>
      <c r="C2117" s="93">
        <v>2019</v>
      </c>
      <c r="D2117" s="93">
        <v>4</v>
      </c>
      <c r="E2117" s="93">
        <v>64</v>
      </c>
    </row>
    <row r="2118" spans="2:5" x14ac:dyDescent="0.2">
      <c r="B2118" s="92" t="s">
        <v>2864</v>
      </c>
      <c r="C2118" s="93">
        <v>2019</v>
      </c>
      <c r="D2118" s="93">
        <v>1</v>
      </c>
      <c r="E2118" s="93">
        <v>63</v>
      </c>
    </row>
    <row r="2119" spans="2:5" x14ac:dyDescent="0.2">
      <c r="B2119" s="92" t="s">
        <v>2864</v>
      </c>
      <c r="C2119" s="93">
        <v>2019</v>
      </c>
      <c r="D2119" s="93">
        <v>8</v>
      </c>
      <c r="E2119" s="93">
        <v>60</v>
      </c>
    </row>
    <row r="2120" spans="2:5" x14ac:dyDescent="0.2">
      <c r="B2120" s="92" t="s">
        <v>2864</v>
      </c>
      <c r="C2120" s="93">
        <v>2019</v>
      </c>
      <c r="D2120" s="93">
        <v>9</v>
      </c>
      <c r="E2120" s="93">
        <v>55</v>
      </c>
    </row>
    <row r="2121" spans="2:5" x14ac:dyDescent="0.2">
      <c r="B2121" s="92" t="s">
        <v>2864</v>
      </c>
      <c r="C2121" s="93">
        <v>2019</v>
      </c>
      <c r="D2121" s="93">
        <v>10</v>
      </c>
      <c r="E2121" s="93">
        <v>51</v>
      </c>
    </row>
    <row r="2122" spans="2:5" x14ac:dyDescent="0.2">
      <c r="B2122" s="92" t="s">
        <v>2864</v>
      </c>
      <c r="C2122" s="93">
        <v>2019</v>
      </c>
      <c r="D2122" s="93">
        <v>7</v>
      </c>
      <c r="E2122" s="93">
        <v>34</v>
      </c>
    </row>
    <row r="2123" spans="2:5" x14ac:dyDescent="0.2">
      <c r="B2123" s="92" t="s">
        <v>2864</v>
      </c>
      <c r="C2123" s="93">
        <v>2019</v>
      </c>
      <c r="D2123" s="93">
        <v>2</v>
      </c>
      <c r="E2123" s="93">
        <v>24</v>
      </c>
    </row>
    <row r="2124" spans="2:5" x14ac:dyDescent="0.2">
      <c r="B2124" s="92" t="s">
        <v>2864</v>
      </c>
      <c r="C2124" s="93">
        <v>2019</v>
      </c>
      <c r="D2124" s="93">
        <v>6</v>
      </c>
      <c r="E2124" s="93">
        <v>23</v>
      </c>
    </row>
    <row r="2125" spans="2:5" x14ac:dyDescent="0.2">
      <c r="B2125" s="92" t="s">
        <v>2864</v>
      </c>
      <c r="C2125" s="93">
        <v>2019</v>
      </c>
      <c r="D2125" s="93">
        <v>12</v>
      </c>
      <c r="E2125" s="93">
        <v>21</v>
      </c>
    </row>
    <row r="2126" spans="2:5" x14ac:dyDescent="0.2">
      <c r="B2126" s="92" t="s">
        <v>2864</v>
      </c>
      <c r="C2126" s="93">
        <v>2019</v>
      </c>
      <c r="D2126" s="93">
        <v>5</v>
      </c>
      <c r="E2126" s="93">
        <v>19</v>
      </c>
    </row>
    <row r="2127" spans="2:5" x14ac:dyDescent="0.2">
      <c r="B2127" s="92" t="s">
        <v>2864</v>
      </c>
      <c r="C2127" s="93">
        <v>2019</v>
      </c>
      <c r="D2127" s="93">
        <v>11</v>
      </c>
      <c r="E2127" s="93">
        <v>16</v>
      </c>
    </row>
    <row r="2128" spans="2:5" x14ac:dyDescent="0.2">
      <c r="B2128" s="92" t="s">
        <v>2891</v>
      </c>
      <c r="C2128" s="93">
        <v>2019</v>
      </c>
      <c r="D2128" s="93">
        <v>5</v>
      </c>
      <c r="E2128" s="93">
        <v>122</v>
      </c>
    </row>
    <row r="2129" spans="2:5" x14ac:dyDescent="0.2">
      <c r="B2129" s="92" t="s">
        <v>2891</v>
      </c>
      <c r="C2129" s="93">
        <v>2019</v>
      </c>
      <c r="D2129" s="93">
        <v>10</v>
      </c>
      <c r="E2129" s="93">
        <v>117</v>
      </c>
    </row>
    <row r="2130" spans="2:5" x14ac:dyDescent="0.2">
      <c r="B2130" s="92" t="s">
        <v>2891</v>
      </c>
      <c r="C2130" s="93">
        <v>2019</v>
      </c>
      <c r="D2130" s="93">
        <v>3</v>
      </c>
      <c r="E2130" s="93">
        <v>77</v>
      </c>
    </row>
    <row r="2131" spans="2:5" x14ac:dyDescent="0.2">
      <c r="B2131" s="92" t="s">
        <v>2891</v>
      </c>
      <c r="C2131" s="93">
        <v>2019</v>
      </c>
      <c r="D2131" s="93">
        <v>8</v>
      </c>
      <c r="E2131" s="93">
        <v>56</v>
      </c>
    </row>
    <row r="2132" spans="2:5" x14ac:dyDescent="0.2">
      <c r="B2132" s="92" t="s">
        <v>2891</v>
      </c>
      <c r="C2132" s="93">
        <v>2019</v>
      </c>
      <c r="D2132" s="93">
        <v>6</v>
      </c>
      <c r="E2132" s="93">
        <v>53</v>
      </c>
    </row>
    <row r="2133" spans="2:5" x14ac:dyDescent="0.2">
      <c r="B2133" s="92" t="s">
        <v>2891</v>
      </c>
      <c r="C2133" s="93">
        <v>2019</v>
      </c>
      <c r="D2133" s="93">
        <v>7</v>
      </c>
      <c r="E2133" s="93">
        <v>46</v>
      </c>
    </row>
    <row r="2134" spans="2:5" x14ac:dyDescent="0.2">
      <c r="B2134" s="92" t="s">
        <v>2891</v>
      </c>
      <c r="C2134" s="93">
        <v>2019</v>
      </c>
      <c r="D2134" s="93">
        <v>4</v>
      </c>
      <c r="E2134" s="93">
        <v>42</v>
      </c>
    </row>
    <row r="2135" spans="2:5" x14ac:dyDescent="0.2">
      <c r="B2135" s="92" t="s">
        <v>2891</v>
      </c>
      <c r="C2135" s="93">
        <v>2019</v>
      </c>
      <c r="D2135" s="93">
        <v>11</v>
      </c>
      <c r="E2135" s="93">
        <v>38</v>
      </c>
    </row>
    <row r="2136" spans="2:5" x14ac:dyDescent="0.2">
      <c r="B2136" s="92" t="s">
        <v>2891</v>
      </c>
      <c r="C2136" s="93">
        <v>2019</v>
      </c>
      <c r="D2136" s="93">
        <v>9</v>
      </c>
      <c r="E2136" s="93">
        <v>37</v>
      </c>
    </row>
    <row r="2137" spans="2:5" x14ac:dyDescent="0.2">
      <c r="B2137" s="92" t="s">
        <v>2891</v>
      </c>
      <c r="C2137" s="93">
        <v>2019</v>
      </c>
      <c r="D2137" s="93">
        <v>1</v>
      </c>
      <c r="E2137" s="93">
        <v>28</v>
      </c>
    </row>
    <row r="2138" spans="2:5" x14ac:dyDescent="0.2">
      <c r="B2138" s="92" t="s">
        <v>2891</v>
      </c>
      <c r="C2138" s="93">
        <v>2019</v>
      </c>
      <c r="D2138" s="93">
        <v>2</v>
      </c>
      <c r="E2138" s="93">
        <v>23</v>
      </c>
    </row>
    <row r="2139" spans="2:5" x14ac:dyDescent="0.2">
      <c r="B2139" s="92" t="s">
        <v>2891</v>
      </c>
      <c r="C2139" s="93">
        <v>2019</v>
      </c>
      <c r="D2139" s="93">
        <v>12</v>
      </c>
      <c r="E2139" s="93">
        <v>9</v>
      </c>
    </row>
    <row r="2140" spans="2:5" x14ac:dyDescent="0.2">
      <c r="B2140" s="92" t="s">
        <v>2865</v>
      </c>
      <c r="C2140" s="93">
        <v>2019</v>
      </c>
      <c r="D2140" s="93">
        <v>7</v>
      </c>
      <c r="E2140" s="93">
        <v>14</v>
      </c>
    </row>
    <row r="2141" spans="2:5" x14ac:dyDescent="0.2">
      <c r="B2141" s="92" t="s">
        <v>2865</v>
      </c>
      <c r="C2141" s="93">
        <v>2019</v>
      </c>
      <c r="D2141" s="93">
        <v>1</v>
      </c>
      <c r="E2141" s="93">
        <v>13</v>
      </c>
    </row>
    <row r="2142" spans="2:5" x14ac:dyDescent="0.2">
      <c r="B2142" s="92" t="s">
        <v>2865</v>
      </c>
      <c r="C2142" s="93">
        <v>2019</v>
      </c>
      <c r="D2142" s="93">
        <v>6</v>
      </c>
      <c r="E2142" s="93">
        <v>13</v>
      </c>
    </row>
    <row r="2143" spans="2:5" x14ac:dyDescent="0.2">
      <c r="B2143" s="92" t="s">
        <v>2865</v>
      </c>
      <c r="C2143" s="93">
        <v>2019</v>
      </c>
      <c r="D2143" s="93">
        <v>5</v>
      </c>
      <c r="E2143" s="93">
        <v>11</v>
      </c>
    </row>
    <row r="2144" spans="2:5" x14ac:dyDescent="0.2">
      <c r="B2144" s="92" t="s">
        <v>2865</v>
      </c>
      <c r="C2144" s="93">
        <v>2019</v>
      </c>
      <c r="D2144" s="93">
        <v>11</v>
      </c>
      <c r="E2144" s="93">
        <v>11</v>
      </c>
    </row>
    <row r="2145" spans="2:5" x14ac:dyDescent="0.2">
      <c r="B2145" s="92" t="s">
        <v>2865</v>
      </c>
      <c r="C2145" s="93">
        <v>2019</v>
      </c>
      <c r="D2145" s="93">
        <v>4</v>
      </c>
      <c r="E2145" s="93">
        <v>9</v>
      </c>
    </row>
    <row r="2146" spans="2:5" x14ac:dyDescent="0.2">
      <c r="B2146" s="92" t="s">
        <v>2865</v>
      </c>
      <c r="C2146" s="93">
        <v>2019</v>
      </c>
      <c r="D2146" s="93">
        <v>3</v>
      </c>
      <c r="E2146" s="93">
        <v>8</v>
      </c>
    </row>
    <row r="2147" spans="2:5" x14ac:dyDescent="0.2">
      <c r="B2147" s="92" t="s">
        <v>2865</v>
      </c>
      <c r="C2147" s="93">
        <v>2019</v>
      </c>
      <c r="D2147" s="93">
        <v>12</v>
      </c>
      <c r="E2147" s="93">
        <v>5</v>
      </c>
    </row>
    <row r="2148" spans="2:5" x14ac:dyDescent="0.2">
      <c r="B2148" s="92" t="s">
        <v>2865</v>
      </c>
      <c r="C2148" s="93">
        <v>2019</v>
      </c>
      <c r="D2148" s="93">
        <v>10</v>
      </c>
      <c r="E2148" s="93">
        <v>1</v>
      </c>
    </row>
    <row r="2149" spans="2:5" x14ac:dyDescent="0.2">
      <c r="B2149" s="92" t="s">
        <v>2866</v>
      </c>
      <c r="C2149" s="93">
        <v>2019</v>
      </c>
      <c r="D2149" s="93">
        <v>3</v>
      </c>
      <c r="E2149" s="93">
        <v>29</v>
      </c>
    </row>
    <row r="2150" spans="2:5" x14ac:dyDescent="0.2">
      <c r="B2150" s="92" t="s">
        <v>2866</v>
      </c>
      <c r="C2150" s="93">
        <v>2019</v>
      </c>
      <c r="D2150" s="93">
        <v>12</v>
      </c>
      <c r="E2150" s="93">
        <v>24</v>
      </c>
    </row>
    <row r="2151" spans="2:5" x14ac:dyDescent="0.2">
      <c r="B2151" s="92" t="s">
        <v>2866</v>
      </c>
      <c r="C2151" s="93">
        <v>2019</v>
      </c>
      <c r="D2151" s="93">
        <v>5</v>
      </c>
      <c r="E2151" s="93">
        <v>19</v>
      </c>
    </row>
    <row r="2152" spans="2:5" x14ac:dyDescent="0.2">
      <c r="B2152" s="92" t="s">
        <v>2866</v>
      </c>
      <c r="C2152" s="93">
        <v>2019</v>
      </c>
      <c r="D2152" s="93">
        <v>8</v>
      </c>
      <c r="E2152" s="93">
        <v>19</v>
      </c>
    </row>
    <row r="2153" spans="2:5" x14ac:dyDescent="0.2">
      <c r="B2153" s="92" t="s">
        <v>2866</v>
      </c>
      <c r="C2153" s="93">
        <v>2019</v>
      </c>
      <c r="D2153" s="93">
        <v>1</v>
      </c>
      <c r="E2153" s="93">
        <v>18</v>
      </c>
    </row>
    <row r="2154" spans="2:5" x14ac:dyDescent="0.2">
      <c r="B2154" s="92" t="s">
        <v>2866</v>
      </c>
      <c r="C2154" s="93">
        <v>2019</v>
      </c>
      <c r="D2154" s="93">
        <v>4</v>
      </c>
      <c r="E2154" s="93">
        <v>16</v>
      </c>
    </row>
    <row r="2155" spans="2:5" x14ac:dyDescent="0.2">
      <c r="B2155" s="92" t="s">
        <v>2866</v>
      </c>
      <c r="C2155" s="93">
        <v>2019</v>
      </c>
      <c r="D2155" s="93">
        <v>11</v>
      </c>
      <c r="E2155" s="93">
        <v>14</v>
      </c>
    </row>
    <row r="2156" spans="2:5" x14ac:dyDescent="0.2">
      <c r="B2156" s="92" t="s">
        <v>2866</v>
      </c>
      <c r="C2156" s="93">
        <v>2019</v>
      </c>
      <c r="D2156" s="93">
        <v>2</v>
      </c>
      <c r="E2156" s="93">
        <v>13</v>
      </c>
    </row>
    <row r="2157" spans="2:5" x14ac:dyDescent="0.2">
      <c r="B2157" s="92" t="s">
        <v>2866</v>
      </c>
      <c r="C2157" s="93">
        <v>2019</v>
      </c>
      <c r="D2157" s="93">
        <v>6</v>
      </c>
      <c r="E2157" s="93">
        <v>11</v>
      </c>
    </row>
    <row r="2158" spans="2:5" x14ac:dyDescent="0.2">
      <c r="B2158" s="92" t="s">
        <v>2866</v>
      </c>
      <c r="C2158" s="93">
        <v>2019</v>
      </c>
      <c r="D2158" s="93">
        <v>10</v>
      </c>
      <c r="E2158" s="93">
        <v>11</v>
      </c>
    </row>
    <row r="2159" spans="2:5" x14ac:dyDescent="0.2">
      <c r="B2159" s="92" t="s">
        <v>2866</v>
      </c>
      <c r="C2159" s="93">
        <v>2019</v>
      </c>
      <c r="D2159" s="93">
        <v>7</v>
      </c>
      <c r="E2159" s="93">
        <v>8</v>
      </c>
    </row>
    <row r="2160" spans="2:5" x14ac:dyDescent="0.2">
      <c r="B2160" s="92" t="s">
        <v>2866</v>
      </c>
      <c r="C2160" s="93">
        <v>2019</v>
      </c>
      <c r="D2160" s="93">
        <v>9</v>
      </c>
      <c r="E2160" s="93">
        <v>2</v>
      </c>
    </row>
    <row r="2161" spans="2:5" x14ac:dyDescent="0.2">
      <c r="B2161" s="92" t="s">
        <v>2966</v>
      </c>
      <c r="C2161" s="93">
        <v>2019</v>
      </c>
      <c r="D2161" s="93">
        <v>4</v>
      </c>
      <c r="E2161" s="93">
        <v>2</v>
      </c>
    </row>
    <row r="2162" spans="2:5" x14ac:dyDescent="0.2">
      <c r="B2162" s="92" t="s">
        <v>2966</v>
      </c>
      <c r="C2162" s="93">
        <v>2019</v>
      </c>
      <c r="D2162" s="93">
        <v>10</v>
      </c>
      <c r="E2162" s="93">
        <v>2</v>
      </c>
    </row>
    <row r="2163" spans="2:5" x14ac:dyDescent="0.2">
      <c r="B2163" s="92" t="s">
        <v>2966</v>
      </c>
      <c r="C2163" s="93">
        <v>2019</v>
      </c>
      <c r="D2163" s="93">
        <v>6</v>
      </c>
      <c r="E2163" s="93">
        <v>1</v>
      </c>
    </row>
    <row r="2164" spans="2:5" x14ac:dyDescent="0.2">
      <c r="B2164" s="92" t="s">
        <v>2966</v>
      </c>
      <c r="C2164" s="93">
        <v>2019</v>
      </c>
      <c r="D2164" s="93">
        <v>9</v>
      </c>
      <c r="E2164" s="93">
        <v>1</v>
      </c>
    </row>
    <row r="2165" spans="2:5" x14ac:dyDescent="0.2">
      <c r="B2165" s="92" t="s">
        <v>2868</v>
      </c>
      <c r="C2165" s="93">
        <v>2019</v>
      </c>
      <c r="D2165" s="93">
        <v>10</v>
      </c>
      <c r="E2165" s="93">
        <v>13</v>
      </c>
    </row>
    <row r="2166" spans="2:5" x14ac:dyDescent="0.2">
      <c r="B2166" s="92" t="s">
        <v>2868</v>
      </c>
      <c r="C2166" s="93">
        <v>2019</v>
      </c>
      <c r="D2166" s="93">
        <v>11</v>
      </c>
      <c r="E2166" s="93">
        <v>12</v>
      </c>
    </row>
    <row r="2167" spans="2:5" x14ac:dyDescent="0.2">
      <c r="B2167" s="92" t="s">
        <v>2868</v>
      </c>
      <c r="C2167" s="93">
        <v>2019</v>
      </c>
      <c r="D2167" s="93">
        <v>4</v>
      </c>
      <c r="E2167" s="93">
        <v>6</v>
      </c>
    </row>
    <row r="2168" spans="2:5" x14ac:dyDescent="0.2">
      <c r="B2168" s="92" t="s">
        <v>2868</v>
      </c>
      <c r="C2168" s="93">
        <v>2019</v>
      </c>
      <c r="D2168" s="93">
        <v>5</v>
      </c>
      <c r="E2168" s="93">
        <v>6</v>
      </c>
    </row>
    <row r="2169" spans="2:5" x14ac:dyDescent="0.2">
      <c r="B2169" s="92" t="s">
        <v>2868</v>
      </c>
      <c r="C2169" s="93">
        <v>2019</v>
      </c>
      <c r="D2169" s="93">
        <v>6</v>
      </c>
      <c r="E2169" s="93">
        <v>6</v>
      </c>
    </row>
    <row r="2170" spans="2:5" x14ac:dyDescent="0.2">
      <c r="B2170" s="92" t="s">
        <v>2868</v>
      </c>
      <c r="C2170" s="93">
        <v>2019</v>
      </c>
      <c r="D2170" s="93">
        <v>1</v>
      </c>
      <c r="E2170" s="93">
        <v>4</v>
      </c>
    </row>
    <row r="2171" spans="2:5" x14ac:dyDescent="0.2">
      <c r="B2171" s="92" t="s">
        <v>2868</v>
      </c>
      <c r="C2171" s="93">
        <v>2019</v>
      </c>
      <c r="D2171" s="93">
        <v>7</v>
      </c>
      <c r="E2171" s="93">
        <v>4</v>
      </c>
    </row>
    <row r="2172" spans="2:5" x14ac:dyDescent="0.2">
      <c r="B2172" s="92" t="s">
        <v>2868</v>
      </c>
      <c r="C2172" s="93">
        <v>2019</v>
      </c>
      <c r="D2172" s="93">
        <v>9</v>
      </c>
      <c r="E2172" s="93">
        <v>3</v>
      </c>
    </row>
    <row r="2173" spans="2:5" x14ac:dyDescent="0.2">
      <c r="B2173" s="92" t="s">
        <v>2868</v>
      </c>
      <c r="C2173" s="93">
        <v>2019</v>
      </c>
      <c r="D2173" s="93">
        <v>3</v>
      </c>
      <c r="E2173" s="93">
        <v>2</v>
      </c>
    </row>
    <row r="2174" spans="2:5" x14ac:dyDescent="0.2">
      <c r="B2174" s="92" t="s">
        <v>2868</v>
      </c>
      <c r="C2174" s="93">
        <v>2019</v>
      </c>
      <c r="D2174" s="93">
        <v>12</v>
      </c>
      <c r="E2174" s="93">
        <v>2</v>
      </c>
    </row>
    <row r="2175" spans="2:5" x14ac:dyDescent="0.2">
      <c r="B2175" s="92" t="s">
        <v>2868</v>
      </c>
      <c r="C2175" s="93">
        <v>2019</v>
      </c>
      <c r="D2175" s="93">
        <v>8</v>
      </c>
      <c r="E2175" s="93">
        <v>1</v>
      </c>
    </row>
    <row r="2176" spans="2:5" x14ac:dyDescent="0.2">
      <c r="B2176" s="92" t="s">
        <v>2869</v>
      </c>
      <c r="C2176" s="93">
        <v>2019</v>
      </c>
      <c r="D2176" s="93">
        <v>4</v>
      </c>
      <c r="E2176" s="93">
        <v>137</v>
      </c>
    </row>
    <row r="2177" spans="2:5" x14ac:dyDescent="0.2">
      <c r="B2177" s="92" t="s">
        <v>2869</v>
      </c>
      <c r="C2177" s="93">
        <v>2019</v>
      </c>
      <c r="D2177" s="93">
        <v>3</v>
      </c>
      <c r="E2177" s="93">
        <v>108</v>
      </c>
    </row>
    <row r="2178" spans="2:5" x14ac:dyDescent="0.2">
      <c r="B2178" s="92" t="s">
        <v>2869</v>
      </c>
      <c r="C2178" s="93">
        <v>2019</v>
      </c>
      <c r="D2178" s="93">
        <v>1</v>
      </c>
      <c r="E2178" s="93">
        <v>106</v>
      </c>
    </row>
    <row r="2179" spans="2:5" x14ac:dyDescent="0.2">
      <c r="B2179" s="92" t="s">
        <v>2869</v>
      </c>
      <c r="C2179" s="93">
        <v>2019</v>
      </c>
      <c r="D2179" s="93">
        <v>9</v>
      </c>
      <c r="E2179" s="93">
        <v>92</v>
      </c>
    </row>
    <row r="2180" spans="2:5" x14ac:dyDescent="0.2">
      <c r="B2180" s="92" t="s">
        <v>2869</v>
      </c>
      <c r="C2180" s="93">
        <v>2019</v>
      </c>
      <c r="D2180" s="93">
        <v>10</v>
      </c>
      <c r="E2180" s="93">
        <v>90</v>
      </c>
    </row>
    <row r="2181" spans="2:5" x14ac:dyDescent="0.2">
      <c r="B2181" s="92" t="s">
        <v>2869</v>
      </c>
      <c r="C2181" s="93">
        <v>2019</v>
      </c>
      <c r="D2181" s="93">
        <v>2</v>
      </c>
      <c r="E2181" s="93">
        <v>84</v>
      </c>
    </row>
    <row r="2182" spans="2:5" x14ac:dyDescent="0.2">
      <c r="B2182" s="92" t="s">
        <v>2869</v>
      </c>
      <c r="C2182" s="93">
        <v>2019</v>
      </c>
      <c r="D2182" s="93">
        <v>11</v>
      </c>
      <c r="E2182" s="93">
        <v>84</v>
      </c>
    </row>
    <row r="2183" spans="2:5" x14ac:dyDescent="0.2">
      <c r="B2183" s="92" t="s">
        <v>2869</v>
      </c>
      <c r="C2183" s="93">
        <v>2019</v>
      </c>
      <c r="D2183" s="93">
        <v>8</v>
      </c>
      <c r="E2183" s="93">
        <v>76</v>
      </c>
    </row>
    <row r="2184" spans="2:5" x14ac:dyDescent="0.2">
      <c r="B2184" s="92" t="s">
        <v>2869</v>
      </c>
      <c r="C2184" s="93">
        <v>2019</v>
      </c>
      <c r="D2184" s="93">
        <v>6</v>
      </c>
      <c r="E2184" s="93">
        <v>73</v>
      </c>
    </row>
    <row r="2185" spans="2:5" x14ac:dyDescent="0.2">
      <c r="B2185" s="92" t="s">
        <v>2869</v>
      </c>
      <c r="C2185" s="93">
        <v>2019</v>
      </c>
      <c r="D2185" s="93">
        <v>7</v>
      </c>
      <c r="E2185" s="93">
        <v>66</v>
      </c>
    </row>
    <row r="2186" spans="2:5" x14ac:dyDescent="0.2">
      <c r="B2186" s="92" t="s">
        <v>2869</v>
      </c>
      <c r="C2186" s="93">
        <v>2019</v>
      </c>
      <c r="D2186" s="93">
        <v>5</v>
      </c>
      <c r="E2186" s="93">
        <v>51</v>
      </c>
    </row>
    <row r="2187" spans="2:5" x14ac:dyDescent="0.2">
      <c r="B2187" s="92" t="s">
        <v>2869</v>
      </c>
      <c r="C2187" s="93">
        <v>2019</v>
      </c>
      <c r="D2187" s="93">
        <v>12</v>
      </c>
      <c r="E2187" s="93">
        <v>31</v>
      </c>
    </row>
    <row r="2188" spans="2:5" x14ac:dyDescent="0.2">
      <c r="B2188" s="92" t="s">
        <v>2870</v>
      </c>
      <c r="C2188" s="93">
        <v>2019</v>
      </c>
      <c r="D2188" s="93">
        <v>10</v>
      </c>
      <c r="E2188" s="93">
        <v>50</v>
      </c>
    </row>
    <row r="2189" spans="2:5" x14ac:dyDescent="0.2">
      <c r="B2189" s="92" t="s">
        <v>2870</v>
      </c>
      <c r="C2189" s="93">
        <v>2019</v>
      </c>
      <c r="D2189" s="93">
        <v>4</v>
      </c>
      <c r="E2189" s="93">
        <v>47</v>
      </c>
    </row>
    <row r="2190" spans="2:5" x14ac:dyDescent="0.2">
      <c r="B2190" s="92" t="s">
        <v>2870</v>
      </c>
      <c r="C2190" s="93">
        <v>2019</v>
      </c>
      <c r="D2190" s="93">
        <v>9</v>
      </c>
      <c r="E2190" s="93">
        <v>44</v>
      </c>
    </row>
    <row r="2191" spans="2:5" x14ac:dyDescent="0.2">
      <c r="B2191" s="92" t="s">
        <v>2870</v>
      </c>
      <c r="C2191" s="93">
        <v>2019</v>
      </c>
      <c r="D2191" s="93">
        <v>6</v>
      </c>
      <c r="E2191" s="93">
        <v>31</v>
      </c>
    </row>
    <row r="2192" spans="2:5" x14ac:dyDescent="0.2">
      <c r="B2192" s="92" t="s">
        <v>2870</v>
      </c>
      <c r="C2192" s="93">
        <v>2019</v>
      </c>
      <c r="D2192" s="93">
        <v>5</v>
      </c>
      <c r="E2192" s="93">
        <v>30</v>
      </c>
    </row>
    <row r="2193" spans="2:5" x14ac:dyDescent="0.2">
      <c r="B2193" s="92" t="s">
        <v>2870</v>
      </c>
      <c r="C2193" s="93">
        <v>2019</v>
      </c>
      <c r="D2193" s="93">
        <v>8</v>
      </c>
      <c r="E2193" s="93">
        <v>29</v>
      </c>
    </row>
    <row r="2194" spans="2:5" x14ac:dyDescent="0.2">
      <c r="B2194" s="92" t="s">
        <v>2870</v>
      </c>
      <c r="C2194" s="93">
        <v>2019</v>
      </c>
      <c r="D2194" s="93">
        <v>3</v>
      </c>
      <c r="E2194" s="93">
        <v>26</v>
      </c>
    </row>
    <row r="2195" spans="2:5" x14ac:dyDescent="0.2">
      <c r="B2195" s="92" t="s">
        <v>2870</v>
      </c>
      <c r="C2195" s="93">
        <v>2019</v>
      </c>
      <c r="D2195" s="93">
        <v>11</v>
      </c>
      <c r="E2195" s="93">
        <v>22</v>
      </c>
    </row>
    <row r="2196" spans="2:5" x14ac:dyDescent="0.2">
      <c r="B2196" s="92" t="s">
        <v>2870</v>
      </c>
      <c r="C2196" s="93">
        <v>2019</v>
      </c>
      <c r="D2196" s="93">
        <v>7</v>
      </c>
      <c r="E2196" s="93">
        <v>16</v>
      </c>
    </row>
    <row r="2197" spans="2:5" x14ac:dyDescent="0.2">
      <c r="B2197" s="92" t="s">
        <v>2870</v>
      </c>
      <c r="C2197" s="93">
        <v>2019</v>
      </c>
      <c r="D2197" s="93">
        <v>2</v>
      </c>
      <c r="E2197" s="93">
        <v>3</v>
      </c>
    </row>
    <row r="2198" spans="2:5" x14ac:dyDescent="0.2">
      <c r="B2198" s="92" t="s">
        <v>2870</v>
      </c>
      <c r="C2198" s="93">
        <v>2019</v>
      </c>
      <c r="D2198" s="93">
        <v>1</v>
      </c>
      <c r="E2198" s="93">
        <v>2</v>
      </c>
    </row>
    <row r="2199" spans="2:5" x14ac:dyDescent="0.2">
      <c r="B2199" s="92" t="s">
        <v>2870</v>
      </c>
      <c r="C2199" s="93">
        <v>2019</v>
      </c>
      <c r="D2199" s="93">
        <v>12</v>
      </c>
      <c r="E2199" s="93">
        <v>1</v>
      </c>
    </row>
    <row r="2200" spans="2:5" x14ac:dyDescent="0.2">
      <c r="B2200" s="92" t="s">
        <v>2892</v>
      </c>
      <c r="C2200" s="93">
        <v>2019</v>
      </c>
      <c r="D2200" s="93">
        <v>3</v>
      </c>
      <c r="E2200" s="93">
        <v>65</v>
      </c>
    </row>
    <row r="2201" spans="2:5" x14ac:dyDescent="0.2">
      <c r="B2201" s="92" t="s">
        <v>2892</v>
      </c>
      <c r="C2201" s="93">
        <v>2019</v>
      </c>
      <c r="D2201" s="93">
        <v>5</v>
      </c>
      <c r="E2201" s="93">
        <v>50</v>
      </c>
    </row>
    <row r="2202" spans="2:5" x14ac:dyDescent="0.2">
      <c r="B2202" s="92" t="s">
        <v>2892</v>
      </c>
      <c r="C2202" s="93">
        <v>2019</v>
      </c>
      <c r="D2202" s="93">
        <v>9</v>
      </c>
      <c r="E2202" s="93">
        <v>44</v>
      </c>
    </row>
    <row r="2203" spans="2:5" x14ac:dyDescent="0.2">
      <c r="B2203" s="92" t="s">
        <v>2892</v>
      </c>
      <c r="C2203" s="93">
        <v>2019</v>
      </c>
      <c r="D2203" s="93">
        <v>1</v>
      </c>
      <c r="E2203" s="93">
        <v>39</v>
      </c>
    </row>
    <row r="2204" spans="2:5" x14ac:dyDescent="0.2">
      <c r="B2204" s="92" t="s">
        <v>2892</v>
      </c>
      <c r="C2204" s="93">
        <v>2019</v>
      </c>
      <c r="D2204" s="93">
        <v>10</v>
      </c>
      <c r="E2204" s="93">
        <v>39</v>
      </c>
    </row>
    <row r="2205" spans="2:5" x14ac:dyDescent="0.2">
      <c r="B2205" s="92" t="s">
        <v>2892</v>
      </c>
      <c r="C2205" s="93">
        <v>2019</v>
      </c>
      <c r="D2205" s="93">
        <v>6</v>
      </c>
      <c r="E2205" s="93">
        <v>37</v>
      </c>
    </row>
    <row r="2206" spans="2:5" x14ac:dyDescent="0.2">
      <c r="B2206" s="92" t="s">
        <v>2892</v>
      </c>
      <c r="C2206" s="93">
        <v>2019</v>
      </c>
      <c r="D2206" s="93">
        <v>8</v>
      </c>
      <c r="E2206" s="93">
        <v>31</v>
      </c>
    </row>
    <row r="2207" spans="2:5" x14ac:dyDescent="0.2">
      <c r="B2207" s="92" t="s">
        <v>2892</v>
      </c>
      <c r="C2207" s="93">
        <v>2019</v>
      </c>
      <c r="D2207" s="93">
        <v>7</v>
      </c>
      <c r="E2207" s="93">
        <v>26</v>
      </c>
    </row>
    <row r="2208" spans="2:5" x14ac:dyDescent="0.2">
      <c r="B2208" s="92" t="s">
        <v>2892</v>
      </c>
      <c r="C2208" s="93">
        <v>2019</v>
      </c>
      <c r="D2208" s="93">
        <v>11</v>
      </c>
      <c r="E2208" s="93">
        <v>23</v>
      </c>
    </row>
    <row r="2209" spans="2:5" x14ac:dyDescent="0.2">
      <c r="B2209" s="92" t="s">
        <v>2892</v>
      </c>
      <c r="C2209" s="93">
        <v>2019</v>
      </c>
      <c r="D2209" s="93">
        <v>4</v>
      </c>
      <c r="E2209" s="93">
        <v>15</v>
      </c>
    </row>
    <row r="2210" spans="2:5" x14ac:dyDescent="0.2">
      <c r="B2210" s="92" t="s">
        <v>2892</v>
      </c>
      <c r="C2210" s="93">
        <v>2019</v>
      </c>
      <c r="D2210" s="93">
        <v>2</v>
      </c>
      <c r="E2210" s="93">
        <v>8</v>
      </c>
    </row>
    <row r="2211" spans="2:5" x14ac:dyDescent="0.2">
      <c r="B2211" s="92" t="s">
        <v>2892</v>
      </c>
      <c r="C2211" s="93">
        <v>2019</v>
      </c>
      <c r="D2211" s="93">
        <v>12</v>
      </c>
      <c r="E2211" s="93">
        <v>3</v>
      </c>
    </row>
    <row r="2212" spans="2:5" x14ac:dyDescent="0.2">
      <c r="B2212" s="92" t="s">
        <v>2871</v>
      </c>
      <c r="C2212" s="93">
        <v>2019</v>
      </c>
      <c r="D2212" s="93">
        <v>9</v>
      </c>
      <c r="E2212" s="93">
        <v>47</v>
      </c>
    </row>
    <row r="2213" spans="2:5" x14ac:dyDescent="0.2">
      <c r="B2213" s="92" t="s">
        <v>2871</v>
      </c>
      <c r="C2213" s="93">
        <v>2019</v>
      </c>
      <c r="D2213" s="93">
        <v>8</v>
      </c>
      <c r="E2213" s="93">
        <v>38</v>
      </c>
    </row>
    <row r="2214" spans="2:5" x14ac:dyDescent="0.2">
      <c r="B2214" s="92" t="s">
        <v>2871</v>
      </c>
      <c r="C2214" s="93">
        <v>2019</v>
      </c>
      <c r="D2214" s="93">
        <v>4</v>
      </c>
      <c r="E2214" s="93">
        <v>36</v>
      </c>
    </row>
    <row r="2215" spans="2:5" x14ac:dyDescent="0.2">
      <c r="B2215" s="92" t="s">
        <v>2871</v>
      </c>
      <c r="C2215" s="93">
        <v>2019</v>
      </c>
      <c r="D2215" s="93">
        <v>6</v>
      </c>
      <c r="E2215" s="93">
        <v>32</v>
      </c>
    </row>
    <row r="2216" spans="2:5" x14ac:dyDescent="0.2">
      <c r="B2216" s="92" t="s">
        <v>2871</v>
      </c>
      <c r="C2216" s="93">
        <v>2019</v>
      </c>
      <c r="D2216" s="93">
        <v>7</v>
      </c>
      <c r="E2216" s="93">
        <v>24</v>
      </c>
    </row>
    <row r="2217" spans="2:5" x14ac:dyDescent="0.2">
      <c r="B2217" s="92" t="s">
        <v>2871</v>
      </c>
      <c r="C2217" s="93">
        <v>2019</v>
      </c>
      <c r="D2217" s="93">
        <v>10</v>
      </c>
      <c r="E2217" s="93">
        <v>22</v>
      </c>
    </row>
    <row r="2218" spans="2:5" x14ac:dyDescent="0.2">
      <c r="B2218" s="92" t="s">
        <v>2871</v>
      </c>
      <c r="C2218" s="93">
        <v>2019</v>
      </c>
      <c r="D2218" s="93">
        <v>3</v>
      </c>
      <c r="E2218" s="93">
        <v>19</v>
      </c>
    </row>
    <row r="2219" spans="2:5" x14ac:dyDescent="0.2">
      <c r="B2219" s="92" t="s">
        <v>2871</v>
      </c>
      <c r="C2219" s="93">
        <v>2019</v>
      </c>
      <c r="D2219" s="93">
        <v>5</v>
      </c>
      <c r="E2219" s="93">
        <v>19</v>
      </c>
    </row>
    <row r="2220" spans="2:5" x14ac:dyDescent="0.2">
      <c r="B2220" s="92" t="s">
        <v>2871</v>
      </c>
      <c r="C2220" s="93">
        <v>2019</v>
      </c>
      <c r="D2220" s="93">
        <v>12</v>
      </c>
      <c r="E2220" s="93">
        <v>16</v>
      </c>
    </row>
    <row r="2221" spans="2:5" x14ac:dyDescent="0.2">
      <c r="B2221" s="92" t="s">
        <v>2871</v>
      </c>
      <c r="C2221" s="93">
        <v>2019</v>
      </c>
      <c r="D2221" s="93">
        <v>2</v>
      </c>
      <c r="E2221" s="93">
        <v>7</v>
      </c>
    </row>
    <row r="2222" spans="2:5" x14ac:dyDescent="0.2">
      <c r="B2222" s="92" t="s">
        <v>2871</v>
      </c>
      <c r="C2222" s="93">
        <v>2019</v>
      </c>
      <c r="D2222" s="93">
        <v>11</v>
      </c>
      <c r="E2222" s="93">
        <v>7</v>
      </c>
    </row>
    <row r="2223" spans="2:5" x14ac:dyDescent="0.2">
      <c r="B2223" s="92" t="s">
        <v>2975</v>
      </c>
      <c r="C2223" s="93">
        <v>2019</v>
      </c>
      <c r="D2223" s="93">
        <v>4</v>
      </c>
      <c r="E2223" s="93">
        <v>1</v>
      </c>
    </row>
    <row r="2224" spans="2:5" x14ac:dyDescent="0.2">
      <c r="B2224" s="92" t="s">
        <v>2975</v>
      </c>
      <c r="C2224" s="93">
        <v>2019</v>
      </c>
      <c r="D2224" s="93">
        <v>6</v>
      </c>
      <c r="E2224" s="93">
        <v>1</v>
      </c>
    </row>
    <row r="2225" spans="2:5" x14ac:dyDescent="0.2">
      <c r="B2225" s="92" t="s">
        <v>2872</v>
      </c>
      <c r="C2225" s="93">
        <v>2019</v>
      </c>
      <c r="D2225" s="93">
        <v>5</v>
      </c>
      <c r="E2225" s="93">
        <v>31</v>
      </c>
    </row>
    <row r="2226" spans="2:5" x14ac:dyDescent="0.2">
      <c r="B2226" s="92" t="s">
        <v>2872</v>
      </c>
      <c r="C2226" s="93">
        <v>2019</v>
      </c>
      <c r="D2226" s="93">
        <v>12</v>
      </c>
      <c r="E2226" s="93">
        <v>24</v>
      </c>
    </row>
    <row r="2227" spans="2:5" x14ac:dyDescent="0.2">
      <c r="B2227" s="92" t="s">
        <v>2872</v>
      </c>
      <c r="C2227" s="93">
        <v>2019</v>
      </c>
      <c r="D2227" s="93">
        <v>3</v>
      </c>
      <c r="E2227" s="93">
        <v>18</v>
      </c>
    </row>
    <row r="2228" spans="2:5" x14ac:dyDescent="0.2">
      <c r="B2228" s="92" t="s">
        <v>2872</v>
      </c>
      <c r="C2228" s="93">
        <v>2019</v>
      </c>
      <c r="D2228" s="93">
        <v>2</v>
      </c>
      <c r="E2228" s="93">
        <v>14</v>
      </c>
    </row>
    <row r="2229" spans="2:5" x14ac:dyDescent="0.2">
      <c r="B2229" s="92" t="s">
        <v>2872</v>
      </c>
      <c r="C2229" s="93">
        <v>2019</v>
      </c>
      <c r="D2229" s="93">
        <v>6</v>
      </c>
      <c r="E2229" s="93">
        <v>14</v>
      </c>
    </row>
    <row r="2230" spans="2:5" x14ac:dyDescent="0.2">
      <c r="B2230" s="92" t="s">
        <v>2872</v>
      </c>
      <c r="C2230" s="93">
        <v>2019</v>
      </c>
      <c r="D2230" s="93">
        <v>10</v>
      </c>
      <c r="E2230" s="93">
        <v>14</v>
      </c>
    </row>
    <row r="2231" spans="2:5" x14ac:dyDescent="0.2">
      <c r="B2231" s="92" t="s">
        <v>2872</v>
      </c>
      <c r="C2231" s="93">
        <v>2019</v>
      </c>
      <c r="D2231" s="93">
        <v>8</v>
      </c>
      <c r="E2231" s="93">
        <v>13</v>
      </c>
    </row>
    <row r="2232" spans="2:5" x14ac:dyDescent="0.2">
      <c r="B2232" s="92" t="s">
        <v>2872</v>
      </c>
      <c r="C2232" s="93">
        <v>2019</v>
      </c>
      <c r="D2232" s="93">
        <v>4</v>
      </c>
      <c r="E2232" s="93">
        <v>12</v>
      </c>
    </row>
    <row r="2233" spans="2:5" x14ac:dyDescent="0.2">
      <c r="B2233" s="92" t="s">
        <v>2872</v>
      </c>
      <c r="C2233" s="93">
        <v>2019</v>
      </c>
      <c r="D2233" s="93">
        <v>7</v>
      </c>
      <c r="E2233" s="93">
        <v>10</v>
      </c>
    </row>
    <row r="2234" spans="2:5" x14ac:dyDescent="0.2">
      <c r="B2234" s="92" t="s">
        <v>2872</v>
      </c>
      <c r="C2234" s="93">
        <v>2019</v>
      </c>
      <c r="D2234" s="93">
        <v>9</v>
      </c>
      <c r="E2234" s="93">
        <v>9</v>
      </c>
    </row>
    <row r="2235" spans="2:5" x14ac:dyDescent="0.2">
      <c r="B2235" s="92" t="s">
        <v>2872</v>
      </c>
      <c r="C2235" s="93">
        <v>2019</v>
      </c>
      <c r="D2235" s="93">
        <v>11</v>
      </c>
      <c r="E2235" s="93">
        <v>3</v>
      </c>
    </row>
    <row r="2236" spans="2:5" x14ac:dyDescent="0.2">
      <c r="B2236" s="92" t="s">
        <v>2872</v>
      </c>
      <c r="C2236" s="93">
        <v>2019</v>
      </c>
      <c r="D2236" s="93">
        <v>1</v>
      </c>
      <c r="E2236" s="93">
        <v>2</v>
      </c>
    </row>
    <row r="2237" spans="2:5" x14ac:dyDescent="0.2">
      <c r="B2237" s="92" t="s">
        <v>2873</v>
      </c>
      <c r="C2237" s="93">
        <v>2019</v>
      </c>
      <c r="D2237" s="93">
        <v>6</v>
      </c>
      <c r="E2237" s="93">
        <v>24</v>
      </c>
    </row>
    <row r="2238" spans="2:5" x14ac:dyDescent="0.2">
      <c r="B2238" s="92" t="s">
        <v>2873</v>
      </c>
      <c r="C2238" s="93">
        <v>2019</v>
      </c>
      <c r="D2238" s="93">
        <v>7</v>
      </c>
      <c r="E2238" s="93">
        <v>18</v>
      </c>
    </row>
    <row r="2239" spans="2:5" x14ac:dyDescent="0.2">
      <c r="B2239" s="92" t="s">
        <v>2873</v>
      </c>
      <c r="C2239" s="93">
        <v>2019</v>
      </c>
      <c r="D2239" s="93">
        <v>3</v>
      </c>
      <c r="E2239" s="93">
        <v>14</v>
      </c>
    </row>
    <row r="2240" spans="2:5" x14ac:dyDescent="0.2">
      <c r="B2240" s="92" t="s">
        <v>2873</v>
      </c>
      <c r="C2240" s="93">
        <v>2019</v>
      </c>
      <c r="D2240" s="93">
        <v>9</v>
      </c>
      <c r="E2240" s="93">
        <v>7</v>
      </c>
    </row>
    <row r="2241" spans="2:5" x14ac:dyDescent="0.2">
      <c r="B2241" s="92" t="s">
        <v>2873</v>
      </c>
      <c r="C2241" s="93">
        <v>2019</v>
      </c>
      <c r="D2241" s="93">
        <v>5</v>
      </c>
      <c r="E2241" s="93">
        <v>6</v>
      </c>
    </row>
    <row r="2242" spans="2:5" x14ac:dyDescent="0.2">
      <c r="B2242" s="92" t="s">
        <v>2873</v>
      </c>
      <c r="C2242" s="93">
        <v>2019</v>
      </c>
      <c r="D2242" s="93">
        <v>4</v>
      </c>
      <c r="E2242" s="93">
        <v>5</v>
      </c>
    </row>
    <row r="2243" spans="2:5" x14ac:dyDescent="0.2">
      <c r="B2243" s="92" t="s">
        <v>2873</v>
      </c>
      <c r="C2243" s="93">
        <v>2019</v>
      </c>
      <c r="D2243" s="93">
        <v>10</v>
      </c>
      <c r="E2243" s="93">
        <v>4</v>
      </c>
    </row>
    <row r="2244" spans="2:5" x14ac:dyDescent="0.2">
      <c r="B2244" s="92" t="s">
        <v>2873</v>
      </c>
      <c r="C2244" s="93">
        <v>2019</v>
      </c>
      <c r="D2244" s="93">
        <v>2</v>
      </c>
      <c r="E2244" s="93">
        <v>3</v>
      </c>
    </row>
    <row r="2245" spans="2:5" x14ac:dyDescent="0.2">
      <c r="B2245" s="92" t="s">
        <v>2873</v>
      </c>
      <c r="C2245" s="93">
        <v>2019</v>
      </c>
      <c r="D2245" s="93">
        <v>1</v>
      </c>
      <c r="E2245" s="93">
        <v>1</v>
      </c>
    </row>
    <row r="2246" spans="2:5" x14ac:dyDescent="0.2">
      <c r="B2246" s="92" t="s">
        <v>2873</v>
      </c>
      <c r="C2246" s="93">
        <v>2019</v>
      </c>
      <c r="D2246" s="93">
        <v>11</v>
      </c>
      <c r="E2246" s="93">
        <v>1</v>
      </c>
    </row>
    <row r="2247" spans="2:5" x14ac:dyDescent="0.2">
      <c r="B2247" s="92" t="s">
        <v>2873</v>
      </c>
      <c r="C2247" s="93">
        <v>2019</v>
      </c>
      <c r="D2247" s="93">
        <v>12</v>
      </c>
      <c r="E2247" s="93">
        <v>1</v>
      </c>
    </row>
    <row r="2248" spans="2:5" x14ac:dyDescent="0.2">
      <c r="B2248" s="92" t="s">
        <v>2979</v>
      </c>
      <c r="C2248" s="93">
        <v>2019</v>
      </c>
      <c r="D2248" s="93">
        <v>4</v>
      </c>
      <c r="E2248" s="93">
        <v>1</v>
      </c>
    </row>
    <row r="2249" spans="2:5" x14ac:dyDescent="0.2">
      <c r="B2249" s="92" t="s">
        <v>2957</v>
      </c>
      <c r="C2249" s="93">
        <v>2019</v>
      </c>
      <c r="D2249" s="93">
        <v>7</v>
      </c>
      <c r="E2249" s="93">
        <v>3</v>
      </c>
    </row>
    <row r="2250" spans="2:5" x14ac:dyDescent="0.2">
      <c r="B2250" s="92" t="s">
        <v>2957</v>
      </c>
      <c r="C2250" s="93">
        <v>2019</v>
      </c>
      <c r="D2250" s="93">
        <v>5</v>
      </c>
      <c r="E2250" s="93">
        <v>2</v>
      </c>
    </row>
    <row r="2251" spans="2:5" x14ac:dyDescent="0.2">
      <c r="B2251" s="92" t="s">
        <v>2957</v>
      </c>
      <c r="C2251" s="93">
        <v>2019</v>
      </c>
      <c r="D2251" s="93">
        <v>1</v>
      </c>
      <c r="E2251" s="93">
        <v>1</v>
      </c>
    </row>
    <row r="2252" spans="2:5" x14ac:dyDescent="0.2">
      <c r="B2252" s="92" t="s">
        <v>2957</v>
      </c>
      <c r="C2252" s="93">
        <v>2019</v>
      </c>
      <c r="D2252" s="93">
        <v>3</v>
      </c>
      <c r="E2252" s="93">
        <v>1</v>
      </c>
    </row>
    <row r="2253" spans="2:5" x14ac:dyDescent="0.2">
      <c r="B2253" s="92" t="s">
        <v>2957</v>
      </c>
      <c r="C2253" s="93">
        <v>2019</v>
      </c>
      <c r="D2253" s="93">
        <v>9</v>
      </c>
      <c r="E2253" s="93">
        <v>1</v>
      </c>
    </row>
  </sheetData>
  <sortState xmlns:xlrd2="http://schemas.microsoft.com/office/spreadsheetml/2017/richdata2" ref="B3:E2253">
    <sortCondition ref="B3:B2253"/>
  </sortState>
  <mergeCells count="1">
    <mergeCell ref="B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92D0-D444-4773-A300-16D2AA16FFCB}">
  <sheetPr>
    <tabColor theme="7" tint="0.59999389629810485"/>
  </sheetPr>
  <dimension ref="A1"/>
  <sheetViews>
    <sheetView workbookViewId="0">
      <selection activeCell="F8" sqref="F8"/>
    </sheetView>
  </sheetViews>
  <sheetFormatPr baseColWidth="10" defaultColWidth="8.83203125" defaultRowHeight="15" x14ac:dyDescent="0.2"/>
  <sheetData>
    <row r="1" spans="1:1" x14ac:dyDescent="0.2">
      <c r="A1" t="s">
        <v>2689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C6C3-0D09-4FA3-85C2-157FDC371D93}">
  <sheetPr>
    <tabColor theme="7" tint="0.59999389629810485"/>
  </sheetPr>
  <dimension ref="A1:J8"/>
  <sheetViews>
    <sheetView workbookViewId="0">
      <selection activeCell="A9" sqref="A9"/>
    </sheetView>
  </sheetViews>
  <sheetFormatPr baseColWidth="10" defaultColWidth="8.83203125" defaultRowHeight="15" x14ac:dyDescent="0.2"/>
  <cols>
    <col min="1" max="1" width="24.83203125" customWidth="1"/>
    <col min="2" max="6" width="15.33203125" bestFit="1" customWidth="1"/>
    <col min="7" max="7" width="14.33203125" bestFit="1" customWidth="1"/>
    <col min="8" max="8" width="15.33203125" bestFit="1" customWidth="1"/>
    <col min="9" max="9" width="12.5" bestFit="1" customWidth="1"/>
    <col min="10" max="10" width="17.5" customWidth="1"/>
    <col min="11" max="11" width="18.6640625" bestFit="1" customWidth="1"/>
    <col min="12" max="12" width="12.5" bestFit="1" customWidth="1"/>
  </cols>
  <sheetData>
    <row r="1" spans="1:10" x14ac:dyDescent="0.2">
      <c r="A1" s="14" t="s">
        <v>3884</v>
      </c>
    </row>
    <row r="2" spans="1:10" x14ac:dyDescent="0.2">
      <c r="A2" s="299" t="s">
        <v>2695</v>
      </c>
      <c r="B2" s="250" t="s">
        <v>2696</v>
      </c>
      <c r="C2" s="250"/>
      <c r="D2" s="251"/>
      <c r="E2" s="252" t="s">
        <v>2697</v>
      </c>
      <c r="F2" s="253"/>
      <c r="G2" s="253"/>
      <c r="H2" s="254" t="s">
        <v>2698</v>
      </c>
      <c r="I2" s="255"/>
      <c r="J2" s="256"/>
    </row>
    <row r="3" spans="1:10" x14ac:dyDescent="0.2">
      <c r="A3" s="300"/>
      <c r="B3" s="15" t="s">
        <v>2699</v>
      </c>
      <c r="C3" s="16" t="s">
        <v>2700</v>
      </c>
      <c r="D3" s="17" t="s">
        <v>2701</v>
      </c>
      <c r="E3" s="15" t="s">
        <v>2699</v>
      </c>
      <c r="F3" s="17" t="s">
        <v>2700</v>
      </c>
      <c r="G3" s="16" t="s">
        <v>2701</v>
      </c>
      <c r="H3" s="15" t="s">
        <v>2699</v>
      </c>
      <c r="I3" s="16" t="s">
        <v>2700</v>
      </c>
      <c r="J3" s="18" t="s">
        <v>2701</v>
      </c>
    </row>
    <row r="4" spans="1:10" ht="14.75" customHeight="1" x14ac:dyDescent="0.2">
      <c r="A4" s="19" t="s">
        <v>2702</v>
      </c>
      <c r="B4" s="184">
        <f>SUM(C4:D4)</f>
        <v>22535123.010000013</v>
      </c>
      <c r="C4" s="184">
        <f>F4+I4</f>
        <v>10037596.805089071</v>
      </c>
      <c r="D4" s="184">
        <f>G4+J4</f>
        <v>12497526.204910941</v>
      </c>
      <c r="E4" s="184">
        <f>SUM(F4:G4)</f>
        <v>13879276.818921505</v>
      </c>
      <c r="F4" s="184">
        <f>'[2]2.) Small Load'!H334</f>
        <v>9920837.9213258997</v>
      </c>
      <c r="G4" s="184">
        <f>'[2]2.) Small Load'!L334</f>
        <v>3958438.8975956053</v>
      </c>
      <c r="H4" s="184">
        <f>SUM(I4:J4)</f>
        <v>8655846.1910785083</v>
      </c>
      <c r="I4" s="184">
        <f>'[2]3.) Large Load'!H180</f>
        <v>116758.88376317247</v>
      </c>
      <c r="J4" s="184">
        <f>'[2]3.) Large Load'!L180</f>
        <v>8539087.3073153365</v>
      </c>
    </row>
    <row r="5" spans="1:10" ht="14.75" customHeight="1" x14ac:dyDescent="0.2">
      <c r="A5" s="19" t="s">
        <v>2703</v>
      </c>
      <c r="B5" s="184">
        <f>SUM(C5:D5)</f>
        <v>32390576.870000001</v>
      </c>
      <c r="C5" s="184">
        <f>F5+I5</f>
        <v>12095043.760000002</v>
      </c>
      <c r="D5" s="184">
        <f>G5+J5</f>
        <v>20295533.109999999</v>
      </c>
      <c r="E5" s="184">
        <f>SUM(F5:G5)</f>
        <v>22621425.559999999</v>
      </c>
      <c r="F5" s="184">
        <f>'[2]2.) Small Load'!J334</f>
        <v>11519360.850000001</v>
      </c>
      <c r="G5" s="184">
        <f>'[2]2.) Small Load'!N334</f>
        <v>11102064.709999997</v>
      </c>
      <c r="H5" s="184">
        <f>SUM(I5:J5)</f>
        <v>9769151.3100000005</v>
      </c>
      <c r="I5" s="184">
        <f>'[2]3.) Large Load'!J180</f>
        <v>575682.91</v>
      </c>
      <c r="J5" s="184">
        <f>'[2]3.) Large Load'!N180</f>
        <v>9193468.4000000004</v>
      </c>
    </row>
    <row r="7" spans="1:10" x14ac:dyDescent="0.2">
      <c r="A7" s="38" t="s">
        <v>2980</v>
      </c>
      <c r="B7" s="185"/>
      <c r="C7" s="106"/>
      <c r="D7" s="106"/>
      <c r="E7" s="106"/>
      <c r="F7" s="106"/>
      <c r="G7" s="106"/>
      <c r="H7" s="106"/>
      <c r="I7" s="106"/>
      <c r="J7" s="106"/>
    </row>
    <row r="8" spans="1:10" x14ac:dyDescent="0.2">
      <c r="A8" t="s">
        <v>3885</v>
      </c>
      <c r="B8" s="32"/>
      <c r="C8" s="32"/>
      <c r="D8" s="32"/>
      <c r="E8" s="32"/>
      <c r="F8" s="32"/>
      <c r="G8" s="32"/>
      <c r="H8" s="32"/>
      <c r="I8" s="32"/>
      <c r="J8" s="32"/>
    </row>
  </sheetData>
  <mergeCells count="4">
    <mergeCell ref="A2:A3"/>
    <mergeCell ref="B2:D2"/>
    <mergeCell ref="E2:G2"/>
    <mergeCell ref="H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6966-428C-436F-9DB4-F2BE0CFB47BF}">
  <sheetPr>
    <tabColor theme="7" tint="0.59999389629810485"/>
  </sheetPr>
  <dimension ref="A1:B1098"/>
  <sheetViews>
    <sheetView workbookViewId="0">
      <selection activeCell="E188" sqref="E188"/>
    </sheetView>
  </sheetViews>
  <sheetFormatPr baseColWidth="10" defaultColWidth="8.83203125" defaultRowHeight="15" x14ac:dyDescent="0.2"/>
  <cols>
    <col min="1" max="1" width="12.33203125" bestFit="1" customWidth="1"/>
    <col min="2" max="2" width="17.5" bestFit="1" customWidth="1"/>
  </cols>
  <sheetData>
    <row r="1" spans="1:2" x14ac:dyDescent="0.2">
      <c r="A1" t="s">
        <v>2711</v>
      </c>
      <c r="B1" t="s">
        <v>2728</v>
      </c>
    </row>
    <row r="2" spans="1:2" x14ac:dyDescent="0.2">
      <c r="A2" s="66">
        <v>9001055100</v>
      </c>
      <c r="B2" t="s">
        <v>944</v>
      </c>
    </row>
    <row r="3" spans="1:2" x14ac:dyDescent="0.2">
      <c r="A3" s="66">
        <v>9001055200</v>
      </c>
      <c r="B3" t="s">
        <v>944</v>
      </c>
    </row>
    <row r="4" spans="1:2" x14ac:dyDescent="0.2">
      <c r="A4" s="66">
        <v>9001060100</v>
      </c>
      <c r="B4" t="s">
        <v>944</v>
      </c>
    </row>
    <row r="5" spans="1:2" x14ac:dyDescent="0.2">
      <c r="A5" s="66">
        <v>9001060200</v>
      </c>
      <c r="B5" t="s">
        <v>944</v>
      </c>
    </row>
    <row r="6" spans="1:2" x14ac:dyDescent="0.2">
      <c r="A6" s="66">
        <v>9001060300</v>
      </c>
      <c r="B6" t="s">
        <v>944</v>
      </c>
    </row>
    <row r="7" spans="1:2" x14ac:dyDescent="0.2">
      <c r="A7" s="66">
        <v>9001060400</v>
      </c>
      <c r="B7" t="s">
        <v>944</v>
      </c>
    </row>
    <row r="8" spans="1:2" x14ac:dyDescent="0.2">
      <c r="A8" s="66">
        <v>9001060500</v>
      </c>
      <c r="B8" t="s">
        <v>944</v>
      </c>
    </row>
    <row r="9" spans="1:2" x14ac:dyDescent="0.2">
      <c r="A9" s="66">
        <v>9001060600</v>
      </c>
      <c r="B9" t="s">
        <v>944</v>
      </c>
    </row>
    <row r="10" spans="1:2" x14ac:dyDescent="0.2">
      <c r="A10" s="66">
        <v>9001060700</v>
      </c>
      <c r="B10" t="s">
        <v>944</v>
      </c>
    </row>
    <row r="11" spans="1:2" x14ac:dyDescent="0.2">
      <c r="A11" s="66">
        <v>9001060800</v>
      </c>
      <c r="B11" t="s">
        <v>944</v>
      </c>
    </row>
    <row r="12" spans="1:2" x14ac:dyDescent="0.2">
      <c r="A12" s="66">
        <v>9001060900</v>
      </c>
      <c r="B12" t="s">
        <v>944</v>
      </c>
    </row>
    <row r="13" spans="1:2" x14ac:dyDescent="0.2">
      <c r="A13" s="66">
        <v>9001061000</v>
      </c>
      <c r="B13" t="s">
        <v>944</v>
      </c>
    </row>
    <row r="14" spans="1:2" x14ac:dyDescent="0.2">
      <c r="A14" s="66">
        <v>9001061100</v>
      </c>
      <c r="B14" t="s">
        <v>944</v>
      </c>
    </row>
    <row r="15" spans="1:2" x14ac:dyDescent="0.2">
      <c r="A15" s="66">
        <v>9001061200</v>
      </c>
      <c r="B15" t="s">
        <v>944</v>
      </c>
    </row>
    <row r="16" spans="1:2" x14ac:dyDescent="0.2">
      <c r="A16" s="66">
        <v>9001061300</v>
      </c>
      <c r="B16" t="s">
        <v>944</v>
      </c>
    </row>
    <row r="17" spans="1:2" x14ac:dyDescent="0.2">
      <c r="A17" s="66">
        <v>9001061400</v>
      </c>
      <c r="B17" t="s">
        <v>944</v>
      </c>
    </row>
    <row r="18" spans="1:2" x14ac:dyDescent="0.2">
      <c r="A18" s="66">
        <v>9001061500</v>
      </c>
      <c r="B18" t="s">
        <v>944</v>
      </c>
    </row>
    <row r="19" spans="1:2" x14ac:dyDescent="0.2">
      <c r="A19" s="66">
        <v>9001061600</v>
      </c>
      <c r="B19" t="s">
        <v>944</v>
      </c>
    </row>
    <row r="20" spans="1:2" x14ac:dyDescent="0.2">
      <c r="A20" s="66">
        <v>9001070100</v>
      </c>
      <c r="B20" t="s">
        <v>944</v>
      </c>
    </row>
    <row r="21" spans="1:2" x14ac:dyDescent="0.2">
      <c r="A21" s="66">
        <v>9001070200</v>
      </c>
      <c r="B21" t="s">
        <v>944</v>
      </c>
    </row>
    <row r="22" spans="1:2" x14ac:dyDescent="0.2">
      <c r="A22" s="66">
        <v>9001070600</v>
      </c>
      <c r="B22" t="s">
        <v>944</v>
      </c>
    </row>
    <row r="23" spans="1:2" x14ac:dyDescent="0.2">
      <c r="A23" s="66">
        <v>9001072000</v>
      </c>
      <c r="B23" t="s">
        <v>944</v>
      </c>
    </row>
    <row r="24" spans="1:2" x14ac:dyDescent="0.2">
      <c r="A24" s="66">
        <v>9001072100</v>
      </c>
      <c r="B24" t="s">
        <v>944</v>
      </c>
    </row>
    <row r="25" spans="1:2" x14ac:dyDescent="0.2">
      <c r="A25" s="66">
        <v>9001072200</v>
      </c>
      <c r="B25" t="s">
        <v>944</v>
      </c>
    </row>
    <row r="26" spans="1:2" x14ac:dyDescent="0.2">
      <c r="A26" s="66">
        <v>9001072300</v>
      </c>
      <c r="B26" t="s">
        <v>944</v>
      </c>
    </row>
    <row r="27" spans="1:2" x14ac:dyDescent="0.2">
      <c r="A27" s="66">
        <v>9001072400</v>
      </c>
      <c r="B27" t="s">
        <v>944</v>
      </c>
    </row>
    <row r="28" spans="1:2" x14ac:dyDescent="0.2">
      <c r="A28" s="66">
        <v>9001072500</v>
      </c>
      <c r="B28" t="s">
        <v>944</v>
      </c>
    </row>
    <row r="29" spans="1:2" x14ac:dyDescent="0.2">
      <c r="A29" s="66">
        <v>9001072600</v>
      </c>
      <c r="B29" t="s">
        <v>944</v>
      </c>
    </row>
    <row r="30" spans="1:2" x14ac:dyDescent="0.2">
      <c r="A30" s="66">
        <v>9001072700</v>
      </c>
      <c r="B30" t="s">
        <v>944</v>
      </c>
    </row>
    <row r="31" spans="1:2" x14ac:dyDescent="0.2">
      <c r="A31" s="66">
        <v>9001072800</v>
      </c>
      <c r="B31" t="s">
        <v>944</v>
      </c>
    </row>
    <row r="32" spans="1:2" x14ac:dyDescent="0.2">
      <c r="A32" s="66">
        <v>9001072900</v>
      </c>
      <c r="B32" t="s">
        <v>944</v>
      </c>
    </row>
    <row r="33" spans="1:2" x14ac:dyDescent="0.2">
      <c r="A33" s="66">
        <v>9001073000</v>
      </c>
      <c r="B33" t="s">
        <v>944</v>
      </c>
    </row>
    <row r="34" spans="1:2" x14ac:dyDescent="0.2">
      <c r="A34" s="66">
        <v>9001073100</v>
      </c>
      <c r="B34" t="s">
        <v>944</v>
      </c>
    </row>
    <row r="35" spans="1:2" x14ac:dyDescent="0.2">
      <c r="A35" s="66">
        <v>9001073200</v>
      </c>
      <c r="B35" t="s">
        <v>944</v>
      </c>
    </row>
    <row r="36" spans="1:2" x14ac:dyDescent="0.2">
      <c r="A36" s="66">
        <v>9001080100</v>
      </c>
      <c r="B36" t="s">
        <v>944</v>
      </c>
    </row>
    <row r="37" spans="1:2" x14ac:dyDescent="0.2">
      <c r="A37" s="66">
        <v>9001080200</v>
      </c>
      <c r="B37" t="s">
        <v>944</v>
      </c>
    </row>
    <row r="38" spans="1:2" x14ac:dyDescent="0.2">
      <c r="A38" s="66">
        <v>9001080400</v>
      </c>
      <c r="B38" t="s">
        <v>944</v>
      </c>
    </row>
    <row r="39" spans="1:2" x14ac:dyDescent="0.2">
      <c r="A39" s="66">
        <v>9001080500</v>
      </c>
      <c r="B39" t="s">
        <v>944</v>
      </c>
    </row>
    <row r="40" spans="1:2" x14ac:dyDescent="0.2">
      <c r="A40" s="66">
        <v>9001080600</v>
      </c>
      <c r="B40" t="s">
        <v>944</v>
      </c>
    </row>
    <row r="41" spans="1:2" x14ac:dyDescent="0.2">
      <c r="A41" s="66">
        <v>9001080700</v>
      </c>
      <c r="B41" t="s">
        <v>944</v>
      </c>
    </row>
    <row r="42" spans="1:2" x14ac:dyDescent="0.2">
      <c r="A42" s="66">
        <v>9001080800</v>
      </c>
      <c r="B42" t="s">
        <v>944</v>
      </c>
    </row>
    <row r="43" spans="1:2" x14ac:dyDescent="0.2">
      <c r="A43" s="66">
        <v>9001080900</v>
      </c>
      <c r="B43" t="s">
        <v>944</v>
      </c>
    </row>
    <row r="44" spans="1:2" x14ac:dyDescent="0.2">
      <c r="A44" s="66">
        <v>9001081000</v>
      </c>
      <c r="B44" t="s">
        <v>944</v>
      </c>
    </row>
    <row r="45" spans="1:2" x14ac:dyDescent="0.2">
      <c r="A45" s="66">
        <v>9001081100</v>
      </c>
      <c r="B45" t="s">
        <v>944</v>
      </c>
    </row>
    <row r="46" spans="1:2" x14ac:dyDescent="0.2">
      <c r="A46" s="66">
        <v>9001081200</v>
      </c>
      <c r="B46" t="s">
        <v>944</v>
      </c>
    </row>
    <row r="47" spans="1:2" x14ac:dyDescent="0.2">
      <c r="A47" s="66">
        <v>9001081300</v>
      </c>
      <c r="B47" t="s">
        <v>944</v>
      </c>
    </row>
    <row r="48" spans="1:2" x14ac:dyDescent="0.2">
      <c r="A48" s="66">
        <v>9001090100</v>
      </c>
      <c r="B48" t="s">
        <v>944</v>
      </c>
    </row>
    <row r="49" spans="1:2" x14ac:dyDescent="0.2">
      <c r="A49" s="66">
        <v>9001090200</v>
      </c>
      <c r="B49" t="s">
        <v>944</v>
      </c>
    </row>
    <row r="50" spans="1:2" x14ac:dyDescent="0.2">
      <c r="A50" s="66">
        <v>9001090300</v>
      </c>
      <c r="B50" t="s">
        <v>944</v>
      </c>
    </row>
    <row r="51" spans="1:2" x14ac:dyDescent="0.2">
      <c r="A51" s="66">
        <v>9001090400</v>
      </c>
      <c r="B51" t="s">
        <v>944</v>
      </c>
    </row>
    <row r="52" spans="1:2" x14ac:dyDescent="0.2">
      <c r="A52" s="66">
        <v>9001090500</v>
      </c>
      <c r="B52" t="s">
        <v>944</v>
      </c>
    </row>
    <row r="53" spans="1:2" x14ac:dyDescent="0.2">
      <c r="A53" s="66">
        <v>9001090600</v>
      </c>
      <c r="B53" t="s">
        <v>944</v>
      </c>
    </row>
    <row r="54" spans="1:2" x14ac:dyDescent="0.2">
      <c r="A54" s="66">
        <v>9001090700</v>
      </c>
      <c r="B54" t="s">
        <v>944</v>
      </c>
    </row>
    <row r="55" spans="1:2" x14ac:dyDescent="0.2">
      <c r="A55" s="66">
        <v>9001100100</v>
      </c>
      <c r="B55" t="s">
        <v>944</v>
      </c>
    </row>
    <row r="56" spans="1:2" x14ac:dyDescent="0.2">
      <c r="A56" s="66">
        <v>9001100200</v>
      </c>
      <c r="B56" t="s">
        <v>944</v>
      </c>
    </row>
    <row r="57" spans="1:2" x14ac:dyDescent="0.2">
      <c r="A57" s="66">
        <v>9001105100</v>
      </c>
      <c r="B57" t="s">
        <v>944</v>
      </c>
    </row>
    <row r="58" spans="1:2" x14ac:dyDescent="0.2">
      <c r="A58" s="66">
        <v>9001105200</v>
      </c>
      <c r="B58" t="s">
        <v>944</v>
      </c>
    </row>
    <row r="59" spans="1:2" x14ac:dyDescent="0.2">
      <c r="A59" s="66">
        <v>9001110100</v>
      </c>
      <c r="B59" t="s">
        <v>944</v>
      </c>
    </row>
    <row r="60" spans="1:2" x14ac:dyDescent="0.2">
      <c r="A60" s="66">
        <v>9001110201</v>
      </c>
      <c r="B60" t="s">
        <v>944</v>
      </c>
    </row>
    <row r="61" spans="1:2" x14ac:dyDescent="0.2">
      <c r="A61" s="66">
        <v>9001110202</v>
      </c>
      <c r="B61" t="s">
        <v>944</v>
      </c>
    </row>
    <row r="62" spans="1:2" x14ac:dyDescent="0.2">
      <c r="A62" s="66">
        <v>9001110301</v>
      </c>
      <c r="B62" t="s">
        <v>944</v>
      </c>
    </row>
    <row r="63" spans="1:2" x14ac:dyDescent="0.2">
      <c r="A63" s="66">
        <v>9001110302</v>
      </c>
      <c r="B63" t="s">
        <v>944</v>
      </c>
    </row>
    <row r="64" spans="1:2" x14ac:dyDescent="0.2">
      <c r="A64" s="66">
        <v>9001110400</v>
      </c>
      <c r="B64" t="s">
        <v>944</v>
      </c>
    </row>
    <row r="65" spans="1:2" x14ac:dyDescent="0.2">
      <c r="A65" s="66">
        <v>9001110500</v>
      </c>
      <c r="B65" t="s">
        <v>944</v>
      </c>
    </row>
    <row r="66" spans="1:2" x14ac:dyDescent="0.2">
      <c r="A66" s="66">
        <v>9001110600</v>
      </c>
      <c r="B66" t="s">
        <v>944</v>
      </c>
    </row>
    <row r="67" spans="1:2" x14ac:dyDescent="0.2">
      <c r="A67" s="66">
        <v>9001240200</v>
      </c>
      <c r="B67" t="s">
        <v>944</v>
      </c>
    </row>
    <row r="68" spans="1:2" x14ac:dyDescent="0.2">
      <c r="A68" s="66">
        <v>9009120100</v>
      </c>
      <c r="B68" t="s">
        <v>944</v>
      </c>
    </row>
    <row r="69" spans="1:2" x14ac:dyDescent="0.2">
      <c r="A69" s="66">
        <v>9009125100</v>
      </c>
      <c r="B69" t="s">
        <v>944</v>
      </c>
    </row>
    <row r="70" spans="1:2" x14ac:dyDescent="0.2">
      <c r="A70" s="66">
        <v>9009125200</v>
      </c>
      <c r="B70" t="s">
        <v>944</v>
      </c>
    </row>
    <row r="71" spans="1:2" x14ac:dyDescent="0.2">
      <c r="A71" s="66">
        <v>9009125300</v>
      </c>
      <c r="B71" t="s">
        <v>944</v>
      </c>
    </row>
    <row r="72" spans="1:2" x14ac:dyDescent="0.2">
      <c r="A72" s="66">
        <v>9009125400</v>
      </c>
      <c r="B72" t="s">
        <v>944</v>
      </c>
    </row>
    <row r="73" spans="1:2" x14ac:dyDescent="0.2">
      <c r="A73" s="66">
        <v>9009130101</v>
      </c>
      <c r="B73" t="s">
        <v>944</v>
      </c>
    </row>
    <row r="74" spans="1:2" x14ac:dyDescent="0.2">
      <c r="A74" s="66">
        <v>9009130102</v>
      </c>
      <c r="B74" t="s">
        <v>944</v>
      </c>
    </row>
    <row r="75" spans="1:2" x14ac:dyDescent="0.2">
      <c r="A75" s="66">
        <v>9009130200</v>
      </c>
      <c r="B75" t="s">
        <v>944</v>
      </c>
    </row>
    <row r="76" spans="1:2" x14ac:dyDescent="0.2">
      <c r="A76" s="66">
        <v>9009140100</v>
      </c>
      <c r="B76" t="s">
        <v>944</v>
      </c>
    </row>
    <row r="77" spans="1:2" x14ac:dyDescent="0.2">
      <c r="A77" s="66">
        <v>9009140400</v>
      </c>
      <c r="B77" t="s">
        <v>944</v>
      </c>
    </row>
    <row r="78" spans="1:2" x14ac:dyDescent="0.2">
      <c r="A78" s="66">
        <v>9009140700</v>
      </c>
      <c r="B78" t="s">
        <v>944</v>
      </c>
    </row>
    <row r="79" spans="1:2" x14ac:dyDescent="0.2">
      <c r="A79" s="66">
        <v>9009140800</v>
      </c>
      <c r="B79" t="s">
        <v>944</v>
      </c>
    </row>
    <row r="80" spans="1:2" x14ac:dyDescent="0.2">
      <c r="A80" s="66">
        <v>9009140900</v>
      </c>
      <c r="B80" t="s">
        <v>944</v>
      </c>
    </row>
    <row r="81" spans="1:2" x14ac:dyDescent="0.2">
      <c r="A81" s="66">
        <v>9009141000</v>
      </c>
      <c r="B81" t="s">
        <v>944</v>
      </c>
    </row>
    <row r="82" spans="1:2" x14ac:dyDescent="0.2">
      <c r="A82" s="66">
        <v>9009141100</v>
      </c>
      <c r="B82" t="s">
        <v>944</v>
      </c>
    </row>
    <row r="83" spans="1:2" x14ac:dyDescent="0.2">
      <c r="A83" s="66">
        <v>9009141200</v>
      </c>
      <c r="B83" t="s">
        <v>944</v>
      </c>
    </row>
    <row r="84" spans="1:2" x14ac:dyDescent="0.2">
      <c r="A84" s="66">
        <v>9009141300</v>
      </c>
      <c r="B84" t="s">
        <v>944</v>
      </c>
    </row>
    <row r="85" spans="1:2" x14ac:dyDescent="0.2">
      <c r="A85" s="66">
        <v>9009141400</v>
      </c>
      <c r="B85" t="s">
        <v>944</v>
      </c>
    </row>
    <row r="86" spans="1:2" x14ac:dyDescent="0.2">
      <c r="A86" s="66">
        <v>9009141800</v>
      </c>
      <c r="B86" t="s">
        <v>944</v>
      </c>
    </row>
    <row r="87" spans="1:2" x14ac:dyDescent="0.2">
      <c r="A87" s="66">
        <v>9009141900</v>
      </c>
      <c r="B87" t="s">
        <v>944</v>
      </c>
    </row>
    <row r="88" spans="1:2" x14ac:dyDescent="0.2">
      <c r="A88" s="66">
        <v>9009142000</v>
      </c>
      <c r="B88" t="s">
        <v>944</v>
      </c>
    </row>
    <row r="89" spans="1:2" x14ac:dyDescent="0.2">
      <c r="A89" s="66">
        <v>9009142100</v>
      </c>
      <c r="B89" t="s">
        <v>944</v>
      </c>
    </row>
    <row r="90" spans="1:2" x14ac:dyDescent="0.2">
      <c r="A90" s="66">
        <v>9009142200</v>
      </c>
      <c r="B90" t="s">
        <v>944</v>
      </c>
    </row>
    <row r="91" spans="1:2" x14ac:dyDescent="0.2">
      <c r="A91" s="66">
        <v>9009142601</v>
      </c>
      <c r="B91" t="s">
        <v>944</v>
      </c>
    </row>
    <row r="92" spans="1:2" x14ac:dyDescent="0.2">
      <c r="A92" s="66">
        <v>9009142603</v>
      </c>
      <c r="B92" t="s">
        <v>944</v>
      </c>
    </row>
    <row r="93" spans="1:2" x14ac:dyDescent="0.2">
      <c r="A93" s="66">
        <v>9009142604</v>
      </c>
      <c r="B93" t="s">
        <v>944</v>
      </c>
    </row>
    <row r="94" spans="1:2" x14ac:dyDescent="0.2">
      <c r="A94" s="66">
        <v>9009142800</v>
      </c>
      <c r="B94" t="s">
        <v>944</v>
      </c>
    </row>
    <row r="95" spans="1:2" x14ac:dyDescent="0.2">
      <c r="A95" s="66">
        <v>9009150100</v>
      </c>
      <c r="B95" t="s">
        <v>944</v>
      </c>
    </row>
    <row r="96" spans="1:2" x14ac:dyDescent="0.2">
      <c r="A96" s="66">
        <v>9009150200</v>
      </c>
      <c r="B96" t="s">
        <v>944</v>
      </c>
    </row>
    <row r="97" spans="1:2" x14ac:dyDescent="0.2">
      <c r="A97" s="66">
        <v>9009150300</v>
      </c>
      <c r="B97" t="s">
        <v>944</v>
      </c>
    </row>
    <row r="98" spans="1:2" x14ac:dyDescent="0.2">
      <c r="A98" s="66">
        <v>9009150400</v>
      </c>
      <c r="B98" t="s">
        <v>944</v>
      </c>
    </row>
    <row r="99" spans="1:2" x14ac:dyDescent="0.2">
      <c r="A99" s="66">
        <v>9009150500</v>
      </c>
      <c r="B99" t="s">
        <v>944</v>
      </c>
    </row>
    <row r="100" spans="1:2" x14ac:dyDescent="0.2">
      <c r="A100" s="66">
        <v>9009150600</v>
      </c>
      <c r="B100" t="s">
        <v>944</v>
      </c>
    </row>
    <row r="101" spans="1:2" x14ac:dyDescent="0.2">
      <c r="A101" s="66">
        <v>9009150700</v>
      </c>
      <c r="B101" t="s">
        <v>944</v>
      </c>
    </row>
    <row r="102" spans="1:2" x14ac:dyDescent="0.2">
      <c r="A102" s="66">
        <v>9009150800</v>
      </c>
      <c r="B102" t="s">
        <v>944</v>
      </c>
    </row>
    <row r="103" spans="1:2" x14ac:dyDescent="0.2">
      <c r="A103" s="66">
        <v>9009150900</v>
      </c>
      <c r="B103" t="s">
        <v>944</v>
      </c>
    </row>
    <row r="104" spans="1:2" x14ac:dyDescent="0.2">
      <c r="A104" s="66">
        <v>9009151000</v>
      </c>
      <c r="B104" t="s">
        <v>944</v>
      </c>
    </row>
    <row r="105" spans="1:2" x14ac:dyDescent="0.2">
      <c r="A105" s="66">
        <v>9009151100</v>
      </c>
      <c r="B105" t="s">
        <v>944</v>
      </c>
    </row>
    <row r="106" spans="1:2" x14ac:dyDescent="0.2">
      <c r="A106" s="66">
        <v>9009151200</v>
      </c>
      <c r="B106" t="s">
        <v>944</v>
      </c>
    </row>
    <row r="107" spans="1:2" x14ac:dyDescent="0.2">
      <c r="A107" s="66">
        <v>9009154100</v>
      </c>
      <c r="B107" t="s">
        <v>944</v>
      </c>
    </row>
    <row r="108" spans="1:2" x14ac:dyDescent="0.2">
      <c r="A108" s="66">
        <v>9009154200</v>
      </c>
      <c r="B108" t="s">
        <v>944</v>
      </c>
    </row>
    <row r="109" spans="1:2" x14ac:dyDescent="0.2">
      <c r="A109" s="66">
        <v>9009154500</v>
      </c>
      <c r="B109" t="s">
        <v>944</v>
      </c>
    </row>
    <row r="110" spans="1:2" x14ac:dyDescent="0.2">
      <c r="A110" s="66">
        <v>9009154600</v>
      </c>
      <c r="B110" t="s">
        <v>944</v>
      </c>
    </row>
    <row r="111" spans="1:2" x14ac:dyDescent="0.2">
      <c r="A111" s="66">
        <v>9009154700</v>
      </c>
      <c r="B111" t="s">
        <v>944</v>
      </c>
    </row>
    <row r="112" spans="1:2" x14ac:dyDescent="0.2">
      <c r="A112" s="66">
        <v>9009154800</v>
      </c>
      <c r="B112" t="s">
        <v>944</v>
      </c>
    </row>
    <row r="113" spans="1:2" x14ac:dyDescent="0.2">
      <c r="A113" s="66">
        <v>9009154900</v>
      </c>
      <c r="B113" t="s">
        <v>944</v>
      </c>
    </row>
    <row r="114" spans="1:2" x14ac:dyDescent="0.2">
      <c r="A114" s="66">
        <v>9009155000</v>
      </c>
      <c r="B114" t="s">
        <v>944</v>
      </c>
    </row>
    <row r="115" spans="1:2" x14ac:dyDescent="0.2">
      <c r="A115" s="66">
        <v>9009155100</v>
      </c>
      <c r="B115" t="s">
        <v>944</v>
      </c>
    </row>
    <row r="116" spans="1:2" x14ac:dyDescent="0.2">
      <c r="A116" s="66">
        <v>9009157100</v>
      </c>
      <c r="B116" t="s">
        <v>944</v>
      </c>
    </row>
    <row r="117" spans="1:2" x14ac:dyDescent="0.2">
      <c r="A117" s="66">
        <v>9009157200</v>
      </c>
      <c r="B117" t="s">
        <v>944</v>
      </c>
    </row>
    <row r="118" spans="1:2" x14ac:dyDescent="0.2">
      <c r="A118" s="66">
        <v>9009157300</v>
      </c>
      <c r="B118" t="s">
        <v>944</v>
      </c>
    </row>
    <row r="119" spans="1:2" x14ac:dyDescent="0.2">
      <c r="A119" s="66">
        <v>9009157400</v>
      </c>
      <c r="B119" t="s">
        <v>944</v>
      </c>
    </row>
    <row r="120" spans="1:2" x14ac:dyDescent="0.2">
      <c r="A120" s="66">
        <v>9009160100</v>
      </c>
      <c r="B120" t="s">
        <v>944</v>
      </c>
    </row>
    <row r="121" spans="1:2" x14ac:dyDescent="0.2">
      <c r="A121" s="66">
        <v>9009160200</v>
      </c>
      <c r="B121" t="s">
        <v>944</v>
      </c>
    </row>
    <row r="122" spans="1:2" x14ac:dyDescent="0.2">
      <c r="A122" s="66">
        <v>9009165100</v>
      </c>
      <c r="B122" t="s">
        <v>944</v>
      </c>
    </row>
    <row r="123" spans="1:2" x14ac:dyDescent="0.2">
      <c r="A123" s="66">
        <v>9009165200</v>
      </c>
      <c r="B123" t="s">
        <v>944</v>
      </c>
    </row>
    <row r="124" spans="1:2" x14ac:dyDescent="0.2">
      <c r="A124" s="66">
        <v>9009165300</v>
      </c>
      <c r="B124" t="s">
        <v>944</v>
      </c>
    </row>
    <row r="125" spans="1:2" x14ac:dyDescent="0.2">
      <c r="A125" s="66">
        <v>9009165400</v>
      </c>
      <c r="B125" t="s">
        <v>944</v>
      </c>
    </row>
    <row r="126" spans="1:2" x14ac:dyDescent="0.2">
      <c r="A126" s="66">
        <v>9009165600</v>
      </c>
      <c r="B126" t="s">
        <v>944</v>
      </c>
    </row>
    <row r="127" spans="1:2" x14ac:dyDescent="0.2">
      <c r="A127" s="66">
        <v>9009165700</v>
      </c>
      <c r="B127" t="s">
        <v>944</v>
      </c>
    </row>
    <row r="128" spans="1:2" x14ac:dyDescent="0.2">
      <c r="A128" s="66">
        <v>9009165801</v>
      </c>
      <c r="B128" t="s">
        <v>944</v>
      </c>
    </row>
    <row r="129" spans="1:2" x14ac:dyDescent="0.2">
      <c r="A129" s="66">
        <v>9009165802</v>
      </c>
      <c r="B129" t="s">
        <v>944</v>
      </c>
    </row>
    <row r="130" spans="1:2" x14ac:dyDescent="0.2">
      <c r="A130" s="66">
        <v>9009165900</v>
      </c>
      <c r="B130" t="s">
        <v>944</v>
      </c>
    </row>
    <row r="131" spans="1:2" x14ac:dyDescent="0.2">
      <c r="A131" s="66">
        <v>9009166001</v>
      </c>
      <c r="B131" t="s">
        <v>944</v>
      </c>
    </row>
    <row r="132" spans="1:2" x14ac:dyDescent="0.2">
      <c r="A132" s="66">
        <v>9009166002</v>
      </c>
      <c r="B132" t="s">
        <v>944</v>
      </c>
    </row>
    <row r="133" spans="1:2" x14ac:dyDescent="0.2">
      <c r="A133" s="66">
        <v>9009167100</v>
      </c>
      <c r="B133" t="s">
        <v>944</v>
      </c>
    </row>
    <row r="134" spans="1:2" x14ac:dyDescent="0.2">
      <c r="A134" s="66">
        <v>9009167201</v>
      </c>
      <c r="B134" t="s">
        <v>944</v>
      </c>
    </row>
    <row r="135" spans="1:2" x14ac:dyDescent="0.2">
      <c r="A135" s="66">
        <v>9009167202</v>
      </c>
      <c r="B135" t="s">
        <v>944</v>
      </c>
    </row>
    <row r="136" spans="1:2" x14ac:dyDescent="0.2">
      <c r="A136" s="66">
        <v>9009167300</v>
      </c>
      <c r="B136" t="s">
        <v>944</v>
      </c>
    </row>
    <row r="137" spans="1:2" x14ac:dyDescent="0.2">
      <c r="A137" s="66">
        <v>9009180100</v>
      </c>
      <c r="B137" t="s">
        <v>944</v>
      </c>
    </row>
    <row r="138" spans="1:2" x14ac:dyDescent="0.2">
      <c r="A138" s="66">
        <v>9009180200</v>
      </c>
      <c r="B138" t="s">
        <v>944</v>
      </c>
    </row>
    <row r="139" spans="1:2" x14ac:dyDescent="0.2">
      <c r="A139" s="66">
        <v>9009180300</v>
      </c>
      <c r="B139" t="s">
        <v>944</v>
      </c>
    </row>
    <row r="140" spans="1:2" x14ac:dyDescent="0.2">
      <c r="A140" s="66">
        <v>9009180400</v>
      </c>
      <c r="B140" t="s">
        <v>944</v>
      </c>
    </row>
    <row r="141" spans="1:2" x14ac:dyDescent="0.2">
      <c r="A141" s="66">
        <v>9009180500</v>
      </c>
      <c r="B141" t="s">
        <v>944</v>
      </c>
    </row>
    <row r="142" spans="1:2" x14ac:dyDescent="0.2">
      <c r="A142" s="66">
        <v>9009180601</v>
      </c>
      <c r="B142" t="s">
        <v>944</v>
      </c>
    </row>
    <row r="143" spans="1:2" x14ac:dyDescent="0.2">
      <c r="A143" s="66">
        <v>9009180602</v>
      </c>
      <c r="B143" t="s">
        <v>944</v>
      </c>
    </row>
    <row r="144" spans="1:2" x14ac:dyDescent="0.2">
      <c r="A144" s="66">
        <v>9009184700</v>
      </c>
      <c r="B144" t="s">
        <v>944</v>
      </c>
    </row>
    <row r="145" spans="1:2" x14ac:dyDescent="0.2">
      <c r="A145" s="66">
        <v>9009186100</v>
      </c>
      <c r="B145" t="s">
        <v>944</v>
      </c>
    </row>
    <row r="146" spans="1:2" x14ac:dyDescent="0.2">
      <c r="A146" s="66">
        <v>9009186200</v>
      </c>
      <c r="B146" t="s">
        <v>944</v>
      </c>
    </row>
    <row r="147" spans="1:2" x14ac:dyDescent="0.2">
      <c r="A147" s="66">
        <v>9009190302</v>
      </c>
      <c r="B147" t="s">
        <v>944</v>
      </c>
    </row>
    <row r="148" spans="1:2" x14ac:dyDescent="0.2">
      <c r="A148" s="66">
        <v>9009361401</v>
      </c>
      <c r="B148" t="s">
        <v>944</v>
      </c>
    </row>
    <row r="149" spans="1:2" x14ac:dyDescent="0.2">
      <c r="A149" s="66">
        <v>9009361402</v>
      </c>
      <c r="B149" t="s">
        <v>944</v>
      </c>
    </row>
    <row r="150" spans="1:2" x14ac:dyDescent="0.2">
      <c r="A150" s="66">
        <v>9009361500</v>
      </c>
      <c r="B150" t="s">
        <v>944</v>
      </c>
    </row>
    <row r="151" spans="1:2" x14ac:dyDescent="0.2">
      <c r="A151" s="66">
        <v>9001070300</v>
      </c>
      <c r="B151" t="s">
        <v>936</v>
      </c>
    </row>
    <row r="152" spans="1:2" x14ac:dyDescent="0.2">
      <c r="A152" s="66">
        <v>9001070400</v>
      </c>
      <c r="B152" t="s">
        <v>936</v>
      </c>
    </row>
    <row r="153" spans="1:2" x14ac:dyDescent="0.2">
      <c r="A153" s="66">
        <v>9001070500</v>
      </c>
      <c r="B153" t="s">
        <v>936</v>
      </c>
    </row>
    <row r="154" spans="1:2" x14ac:dyDescent="0.2">
      <c r="A154" s="66">
        <v>9001070900</v>
      </c>
      <c r="B154" t="s">
        <v>936</v>
      </c>
    </row>
    <row r="155" spans="1:2" x14ac:dyDescent="0.2">
      <c r="A155" s="66">
        <v>9001071000</v>
      </c>
      <c r="B155" t="s">
        <v>936</v>
      </c>
    </row>
    <row r="156" spans="1:2" x14ac:dyDescent="0.2">
      <c r="A156" s="66">
        <v>9001071100</v>
      </c>
      <c r="B156" t="s">
        <v>936</v>
      </c>
    </row>
    <row r="157" spans="1:2" x14ac:dyDescent="0.2">
      <c r="A157" s="66">
        <v>9001071200</v>
      </c>
      <c r="B157" t="s">
        <v>936</v>
      </c>
    </row>
    <row r="158" spans="1:2" x14ac:dyDescent="0.2">
      <c r="A158" s="66">
        <v>9001071300</v>
      </c>
      <c r="B158" t="s">
        <v>936</v>
      </c>
    </row>
    <row r="159" spans="1:2" x14ac:dyDescent="0.2">
      <c r="A159" s="66">
        <v>9001071400</v>
      </c>
      <c r="B159" t="s">
        <v>936</v>
      </c>
    </row>
    <row r="160" spans="1:2" x14ac:dyDescent="0.2">
      <c r="A160" s="66">
        <v>9001071600</v>
      </c>
      <c r="B160" t="s">
        <v>936</v>
      </c>
    </row>
    <row r="161" spans="1:2" x14ac:dyDescent="0.2">
      <c r="A161" s="66">
        <v>9001071900</v>
      </c>
      <c r="B161" t="s">
        <v>936</v>
      </c>
    </row>
    <row r="162" spans="1:2" x14ac:dyDescent="0.2">
      <c r="A162" s="66">
        <v>9001073300</v>
      </c>
      <c r="B162" t="s">
        <v>936</v>
      </c>
    </row>
    <row r="163" spans="1:2" x14ac:dyDescent="0.2">
      <c r="A163" s="66">
        <v>9001073400</v>
      </c>
      <c r="B163" t="s">
        <v>936</v>
      </c>
    </row>
    <row r="164" spans="1:2" x14ac:dyDescent="0.2">
      <c r="A164" s="66">
        <v>9001073500</v>
      </c>
      <c r="B164" t="s">
        <v>936</v>
      </c>
    </row>
    <row r="165" spans="1:2" x14ac:dyDescent="0.2">
      <c r="A165" s="66">
        <v>9001073600</v>
      </c>
      <c r="B165" t="s">
        <v>936</v>
      </c>
    </row>
    <row r="166" spans="1:2" x14ac:dyDescent="0.2">
      <c r="A166" s="66">
        <v>9001073700</v>
      </c>
      <c r="B166" t="s">
        <v>936</v>
      </c>
    </row>
    <row r="167" spans="1:2" x14ac:dyDescent="0.2">
      <c r="A167" s="66">
        <v>9001073800</v>
      </c>
      <c r="B167" t="s">
        <v>936</v>
      </c>
    </row>
    <row r="168" spans="1:2" x14ac:dyDescent="0.2">
      <c r="A168" s="66">
        <v>9001073900</v>
      </c>
      <c r="B168" t="s">
        <v>936</v>
      </c>
    </row>
    <row r="169" spans="1:2" x14ac:dyDescent="0.2">
      <c r="A169" s="66">
        <v>9001074000</v>
      </c>
      <c r="B169" t="s">
        <v>936</v>
      </c>
    </row>
    <row r="170" spans="1:2" x14ac:dyDescent="0.2">
      <c r="A170" s="66">
        <v>9001074300</v>
      </c>
      <c r="B170" t="s">
        <v>936</v>
      </c>
    </row>
    <row r="171" spans="1:2" x14ac:dyDescent="0.2">
      <c r="A171" s="66">
        <v>9001074400</v>
      </c>
      <c r="B171" t="s">
        <v>936</v>
      </c>
    </row>
    <row r="172" spans="1:2" x14ac:dyDescent="0.2">
      <c r="A172" s="66">
        <v>9001257200</v>
      </c>
      <c r="B172" t="s">
        <v>936</v>
      </c>
    </row>
    <row r="173" spans="1:2" x14ac:dyDescent="0.2">
      <c r="A173" s="66">
        <v>9009120200</v>
      </c>
      <c r="B173" t="s">
        <v>936</v>
      </c>
    </row>
    <row r="174" spans="1:2" x14ac:dyDescent="0.2">
      <c r="A174" s="66">
        <v>9009140200</v>
      </c>
      <c r="B174" t="s">
        <v>936</v>
      </c>
    </row>
    <row r="175" spans="1:2" x14ac:dyDescent="0.2">
      <c r="A175" s="66">
        <v>9009140300</v>
      </c>
      <c r="B175" t="s">
        <v>936</v>
      </c>
    </row>
    <row r="176" spans="1:2" x14ac:dyDescent="0.2">
      <c r="A176" s="66">
        <v>9009140500</v>
      </c>
      <c r="B176" t="s">
        <v>936</v>
      </c>
    </row>
    <row r="177" spans="1:2" x14ac:dyDescent="0.2">
      <c r="A177" s="66">
        <v>9009140600</v>
      </c>
      <c r="B177" t="s">
        <v>936</v>
      </c>
    </row>
    <row r="178" spans="1:2" x14ac:dyDescent="0.2">
      <c r="A178" s="66">
        <v>9009141500</v>
      </c>
      <c r="B178" t="s">
        <v>936</v>
      </c>
    </row>
    <row r="179" spans="1:2" x14ac:dyDescent="0.2">
      <c r="A179" s="66">
        <v>9009141600</v>
      </c>
      <c r="B179" t="s">
        <v>936</v>
      </c>
    </row>
    <row r="180" spans="1:2" x14ac:dyDescent="0.2">
      <c r="A180" s="66">
        <v>9009142300</v>
      </c>
      <c r="B180" t="s">
        <v>936</v>
      </c>
    </row>
    <row r="181" spans="1:2" x14ac:dyDescent="0.2">
      <c r="A181" s="66">
        <v>9009142400</v>
      </c>
      <c r="B181" t="s">
        <v>936</v>
      </c>
    </row>
    <row r="182" spans="1:2" x14ac:dyDescent="0.2">
      <c r="A182" s="66">
        <v>9009142500</v>
      </c>
      <c r="B182" t="s">
        <v>936</v>
      </c>
    </row>
    <row r="183" spans="1:2" x14ac:dyDescent="0.2">
      <c r="A183" s="66">
        <v>9009142700</v>
      </c>
      <c r="B183" t="s">
        <v>936</v>
      </c>
    </row>
    <row r="184" spans="1:2" x14ac:dyDescent="0.2">
      <c r="A184" s="66">
        <v>9009165500</v>
      </c>
      <c r="B184" t="s">
        <v>936</v>
      </c>
    </row>
    <row r="186" spans="1:2" x14ac:dyDescent="0.2">
      <c r="A186">
        <v>9001010101</v>
      </c>
      <c r="B186" t="s">
        <v>944</v>
      </c>
    </row>
    <row r="187" spans="1:2" x14ac:dyDescent="0.2">
      <c r="A187">
        <v>9001100100</v>
      </c>
      <c r="B187" t="s">
        <v>944</v>
      </c>
    </row>
    <row r="188" spans="1:2" x14ac:dyDescent="0.2">
      <c r="A188">
        <v>9001100100</v>
      </c>
      <c r="B188" t="s">
        <v>944</v>
      </c>
    </row>
    <row r="189" spans="1:2" x14ac:dyDescent="0.2">
      <c r="A189">
        <v>9013528100</v>
      </c>
      <c r="B189" t="s">
        <v>944</v>
      </c>
    </row>
    <row r="190" spans="1:2" x14ac:dyDescent="0.2">
      <c r="A190">
        <v>9013528100</v>
      </c>
      <c r="B190" t="s">
        <v>944</v>
      </c>
    </row>
    <row r="191" spans="1:2" x14ac:dyDescent="0.2">
      <c r="A191">
        <v>9001100200</v>
      </c>
      <c r="B191" t="s">
        <v>944</v>
      </c>
    </row>
    <row r="192" spans="1:2" x14ac:dyDescent="0.2">
      <c r="A192">
        <v>9001010102</v>
      </c>
      <c r="B192" t="s">
        <v>944</v>
      </c>
    </row>
    <row r="193" spans="1:2" x14ac:dyDescent="0.2">
      <c r="A193">
        <v>9013529100</v>
      </c>
      <c r="B193" t="s">
        <v>944</v>
      </c>
    </row>
    <row r="194" spans="1:2" x14ac:dyDescent="0.2">
      <c r="A194">
        <v>9013529100</v>
      </c>
      <c r="B194" t="s">
        <v>944</v>
      </c>
    </row>
    <row r="195" spans="1:2" x14ac:dyDescent="0.2">
      <c r="A195">
        <v>9001010201</v>
      </c>
      <c r="B195" t="s">
        <v>944</v>
      </c>
    </row>
    <row r="196" spans="1:2" x14ac:dyDescent="0.2">
      <c r="A196">
        <v>9001010202</v>
      </c>
      <c r="B196" t="s">
        <v>944</v>
      </c>
    </row>
    <row r="197" spans="1:2" x14ac:dyDescent="0.2">
      <c r="A197">
        <v>9001010202</v>
      </c>
      <c r="B197" t="s">
        <v>944</v>
      </c>
    </row>
    <row r="198" spans="1:2" x14ac:dyDescent="0.2">
      <c r="A198">
        <v>9001010300</v>
      </c>
      <c r="B198" t="s">
        <v>944</v>
      </c>
    </row>
    <row r="199" spans="1:2" x14ac:dyDescent="0.2">
      <c r="A199">
        <v>9013850100</v>
      </c>
      <c r="B199" t="s">
        <v>944</v>
      </c>
    </row>
    <row r="200" spans="1:2" x14ac:dyDescent="0.2">
      <c r="A200">
        <v>9013850100</v>
      </c>
      <c r="B200" t="s">
        <v>944</v>
      </c>
    </row>
    <row r="201" spans="1:2" x14ac:dyDescent="0.2">
      <c r="A201">
        <v>9001105200</v>
      </c>
      <c r="B201" t="s">
        <v>944</v>
      </c>
    </row>
    <row r="202" spans="1:2" x14ac:dyDescent="0.2">
      <c r="A202">
        <v>9001010500</v>
      </c>
      <c r="B202" t="s">
        <v>944</v>
      </c>
    </row>
    <row r="203" spans="1:2" x14ac:dyDescent="0.2">
      <c r="A203">
        <v>9001010600</v>
      </c>
      <c r="B203" t="s">
        <v>944</v>
      </c>
    </row>
    <row r="204" spans="1:2" x14ac:dyDescent="0.2">
      <c r="A204">
        <v>9015830100</v>
      </c>
      <c r="B204" t="s">
        <v>944</v>
      </c>
    </row>
    <row r="205" spans="1:2" x14ac:dyDescent="0.2">
      <c r="A205">
        <v>9001010700</v>
      </c>
      <c r="B205" t="s">
        <v>944</v>
      </c>
    </row>
    <row r="206" spans="1:2" x14ac:dyDescent="0.2">
      <c r="A206">
        <v>9001010800</v>
      </c>
      <c r="B206" t="s">
        <v>944</v>
      </c>
    </row>
    <row r="207" spans="1:2" x14ac:dyDescent="0.2">
      <c r="A207">
        <v>9015902200</v>
      </c>
      <c r="B207" t="s">
        <v>944</v>
      </c>
    </row>
    <row r="208" spans="1:2" x14ac:dyDescent="0.2">
      <c r="A208">
        <v>9015902200</v>
      </c>
      <c r="B208" t="s">
        <v>944</v>
      </c>
    </row>
    <row r="209" spans="1:2" x14ac:dyDescent="0.2">
      <c r="A209">
        <v>9015902200</v>
      </c>
      <c r="B209" t="s">
        <v>944</v>
      </c>
    </row>
    <row r="210" spans="1:2" x14ac:dyDescent="0.2">
      <c r="A210">
        <v>9001010900</v>
      </c>
      <c r="B210" t="s">
        <v>944</v>
      </c>
    </row>
    <row r="211" spans="1:2" x14ac:dyDescent="0.2">
      <c r="A211">
        <v>9001010400</v>
      </c>
      <c r="B211" t="s">
        <v>944</v>
      </c>
    </row>
    <row r="212" spans="1:2" x14ac:dyDescent="0.2">
      <c r="A212">
        <v>9003460301</v>
      </c>
      <c r="B212" t="s">
        <v>944</v>
      </c>
    </row>
    <row r="213" spans="1:2" x14ac:dyDescent="0.2">
      <c r="A213">
        <v>9003460301</v>
      </c>
      <c r="B213" t="s">
        <v>944</v>
      </c>
    </row>
    <row r="214" spans="1:2" x14ac:dyDescent="0.2">
      <c r="A214">
        <v>9001110500</v>
      </c>
      <c r="B214" t="s">
        <v>944</v>
      </c>
    </row>
    <row r="215" spans="1:2" x14ac:dyDescent="0.2">
      <c r="A215">
        <v>9003460302</v>
      </c>
      <c r="B215" t="s">
        <v>944</v>
      </c>
    </row>
    <row r="216" spans="1:2" x14ac:dyDescent="0.2">
      <c r="A216">
        <v>9003460302</v>
      </c>
      <c r="B216" t="s">
        <v>944</v>
      </c>
    </row>
    <row r="217" spans="1:2" x14ac:dyDescent="0.2">
      <c r="A217">
        <v>9003460302</v>
      </c>
      <c r="B217" t="s">
        <v>944</v>
      </c>
    </row>
    <row r="218" spans="1:2" x14ac:dyDescent="0.2">
      <c r="A218">
        <v>9001011000</v>
      </c>
      <c r="B218" t="s">
        <v>944</v>
      </c>
    </row>
    <row r="219" spans="1:2" x14ac:dyDescent="0.2">
      <c r="A219">
        <v>9001011100</v>
      </c>
      <c r="B219" t="s">
        <v>944</v>
      </c>
    </row>
    <row r="220" spans="1:2" x14ac:dyDescent="0.2">
      <c r="A220">
        <v>9001011200</v>
      </c>
      <c r="B220" t="s">
        <v>944</v>
      </c>
    </row>
    <row r="221" spans="1:2" x14ac:dyDescent="0.2">
      <c r="A221">
        <v>9001011300</v>
      </c>
      <c r="B221" t="s">
        <v>944</v>
      </c>
    </row>
    <row r="222" spans="1:2" x14ac:dyDescent="0.2">
      <c r="A222">
        <v>9003462101</v>
      </c>
      <c r="B222" t="s">
        <v>944</v>
      </c>
    </row>
    <row r="223" spans="1:2" x14ac:dyDescent="0.2">
      <c r="A223">
        <v>9003462101</v>
      </c>
      <c r="B223" t="s">
        <v>944</v>
      </c>
    </row>
    <row r="224" spans="1:2" x14ac:dyDescent="0.2">
      <c r="A224">
        <v>9009120200</v>
      </c>
      <c r="B224" t="s">
        <v>936</v>
      </c>
    </row>
    <row r="225" spans="1:2" x14ac:dyDescent="0.2">
      <c r="A225">
        <v>9009130101</v>
      </c>
      <c r="B225" t="s">
        <v>944</v>
      </c>
    </row>
    <row r="226" spans="1:2" x14ac:dyDescent="0.2">
      <c r="A226">
        <v>9009130101</v>
      </c>
      <c r="B226" t="s">
        <v>944</v>
      </c>
    </row>
    <row r="227" spans="1:2" x14ac:dyDescent="0.2">
      <c r="A227">
        <v>9003462102</v>
      </c>
      <c r="B227" t="s">
        <v>944</v>
      </c>
    </row>
    <row r="228" spans="1:2" x14ac:dyDescent="0.2">
      <c r="A228">
        <v>9009130102</v>
      </c>
      <c r="B228" t="s">
        <v>944</v>
      </c>
    </row>
    <row r="229" spans="1:2" x14ac:dyDescent="0.2">
      <c r="A229">
        <v>9003462201</v>
      </c>
      <c r="B229" t="s">
        <v>944</v>
      </c>
    </row>
    <row r="230" spans="1:2" x14ac:dyDescent="0.2">
      <c r="A230">
        <v>9003462202</v>
      </c>
      <c r="B230" t="s">
        <v>944</v>
      </c>
    </row>
    <row r="231" spans="1:2" x14ac:dyDescent="0.2">
      <c r="A231">
        <v>9009166002</v>
      </c>
      <c r="B231" t="s">
        <v>944</v>
      </c>
    </row>
    <row r="232" spans="1:2" x14ac:dyDescent="0.2">
      <c r="A232">
        <v>9003330100</v>
      </c>
      <c r="B232" t="s">
        <v>944</v>
      </c>
    </row>
    <row r="233" spans="1:2" x14ac:dyDescent="0.2">
      <c r="A233">
        <v>9003330100</v>
      </c>
      <c r="B233" t="s">
        <v>944</v>
      </c>
    </row>
    <row r="234" spans="1:2" x14ac:dyDescent="0.2">
      <c r="A234">
        <v>9003330100</v>
      </c>
      <c r="B234" t="s">
        <v>944</v>
      </c>
    </row>
    <row r="235" spans="1:2" x14ac:dyDescent="0.2">
      <c r="A235">
        <v>9009170200</v>
      </c>
      <c r="B235" t="s">
        <v>944</v>
      </c>
    </row>
    <row r="236" spans="1:2" x14ac:dyDescent="0.2">
      <c r="A236">
        <v>9009170300</v>
      </c>
      <c r="B236" t="s">
        <v>944</v>
      </c>
    </row>
    <row r="237" spans="1:2" x14ac:dyDescent="0.2">
      <c r="A237">
        <v>9009170400</v>
      </c>
      <c r="B237" t="s">
        <v>944</v>
      </c>
    </row>
    <row r="238" spans="1:2" x14ac:dyDescent="0.2">
      <c r="A238">
        <v>9005290100</v>
      </c>
      <c r="B238" t="s">
        <v>944</v>
      </c>
    </row>
    <row r="239" spans="1:2" x14ac:dyDescent="0.2">
      <c r="A239">
        <v>9005290100</v>
      </c>
      <c r="B239" t="s">
        <v>944</v>
      </c>
    </row>
    <row r="240" spans="1:2" x14ac:dyDescent="0.2">
      <c r="A240">
        <v>9009175700</v>
      </c>
      <c r="B240" t="s">
        <v>944</v>
      </c>
    </row>
    <row r="241" spans="1:2" x14ac:dyDescent="0.2">
      <c r="A241">
        <v>9005320100</v>
      </c>
      <c r="B241" t="s">
        <v>944</v>
      </c>
    </row>
    <row r="242" spans="1:2" x14ac:dyDescent="0.2">
      <c r="A242">
        <v>9005320100</v>
      </c>
      <c r="B242" t="s">
        <v>944</v>
      </c>
    </row>
    <row r="243" spans="1:2" x14ac:dyDescent="0.2">
      <c r="A243">
        <v>9001020100</v>
      </c>
      <c r="B243" t="s">
        <v>944</v>
      </c>
    </row>
    <row r="244" spans="1:2" x14ac:dyDescent="0.2">
      <c r="A244">
        <v>9009341100</v>
      </c>
      <c r="B244" t="s">
        <v>944</v>
      </c>
    </row>
    <row r="245" spans="1:2" x14ac:dyDescent="0.2">
      <c r="A245">
        <v>9009184100</v>
      </c>
      <c r="B245" t="s">
        <v>944</v>
      </c>
    </row>
    <row r="246" spans="1:2" x14ac:dyDescent="0.2">
      <c r="A246">
        <v>9001020200</v>
      </c>
      <c r="B246" t="s">
        <v>944</v>
      </c>
    </row>
    <row r="247" spans="1:2" x14ac:dyDescent="0.2">
      <c r="A247">
        <v>9001020200</v>
      </c>
      <c r="B247" t="s">
        <v>944</v>
      </c>
    </row>
    <row r="248" spans="1:2" x14ac:dyDescent="0.2">
      <c r="A248">
        <v>9009184400</v>
      </c>
      <c r="B248" t="s">
        <v>944</v>
      </c>
    </row>
    <row r="249" spans="1:2" x14ac:dyDescent="0.2">
      <c r="A249">
        <v>9009184500</v>
      </c>
      <c r="B249" t="s">
        <v>944</v>
      </c>
    </row>
    <row r="250" spans="1:2" x14ac:dyDescent="0.2">
      <c r="A250">
        <v>9003400100</v>
      </c>
      <c r="B250" t="s">
        <v>944</v>
      </c>
    </row>
    <row r="251" spans="1:2" x14ac:dyDescent="0.2">
      <c r="A251">
        <v>9003400100</v>
      </c>
      <c r="B251" t="s">
        <v>944</v>
      </c>
    </row>
    <row r="252" spans="1:2" x14ac:dyDescent="0.2">
      <c r="A252">
        <v>9009184600</v>
      </c>
      <c r="B252" t="s">
        <v>944</v>
      </c>
    </row>
    <row r="253" spans="1:2" x14ac:dyDescent="0.2">
      <c r="A253">
        <v>9009184700</v>
      </c>
      <c r="B253" t="s">
        <v>944</v>
      </c>
    </row>
    <row r="254" spans="1:2" x14ac:dyDescent="0.2">
      <c r="A254">
        <v>9001020300</v>
      </c>
      <c r="B254" t="s">
        <v>944</v>
      </c>
    </row>
    <row r="255" spans="1:2" x14ac:dyDescent="0.2">
      <c r="A255">
        <v>9009190303</v>
      </c>
      <c r="B255" t="s">
        <v>944</v>
      </c>
    </row>
    <row r="256" spans="1:2" x14ac:dyDescent="0.2">
      <c r="A256">
        <v>9009190303</v>
      </c>
      <c r="B256" t="s">
        <v>944</v>
      </c>
    </row>
    <row r="257" spans="1:2" x14ac:dyDescent="0.2">
      <c r="A257">
        <v>9003400200</v>
      </c>
      <c r="B257" t="s">
        <v>944</v>
      </c>
    </row>
    <row r="258" spans="1:2" x14ac:dyDescent="0.2">
      <c r="A258">
        <v>9009194202</v>
      </c>
      <c r="B258" t="s">
        <v>944</v>
      </c>
    </row>
    <row r="259" spans="1:2" x14ac:dyDescent="0.2">
      <c r="A259">
        <v>9001020400</v>
      </c>
      <c r="B259" t="s">
        <v>944</v>
      </c>
    </row>
    <row r="260" spans="1:2" x14ac:dyDescent="0.2">
      <c r="A260">
        <v>9001200100</v>
      </c>
      <c r="B260" t="s">
        <v>944</v>
      </c>
    </row>
    <row r="261" spans="1:2" x14ac:dyDescent="0.2">
      <c r="A261">
        <v>9001200100</v>
      </c>
      <c r="B261" t="s">
        <v>944</v>
      </c>
    </row>
    <row r="262" spans="1:2" x14ac:dyDescent="0.2">
      <c r="A262">
        <v>9003400300</v>
      </c>
      <c r="B262" t="s">
        <v>944</v>
      </c>
    </row>
    <row r="263" spans="1:2" x14ac:dyDescent="0.2">
      <c r="A263">
        <v>9003400300</v>
      </c>
      <c r="B263" t="s">
        <v>944</v>
      </c>
    </row>
    <row r="264" spans="1:2" x14ac:dyDescent="0.2">
      <c r="A264">
        <v>9001200200</v>
      </c>
      <c r="B264" t="s">
        <v>944</v>
      </c>
    </row>
    <row r="265" spans="1:2" x14ac:dyDescent="0.2">
      <c r="A265">
        <v>9001200301</v>
      </c>
      <c r="B265" t="s">
        <v>944</v>
      </c>
    </row>
    <row r="266" spans="1:2" x14ac:dyDescent="0.2">
      <c r="A266">
        <v>9001200301</v>
      </c>
      <c r="B266" t="s">
        <v>944</v>
      </c>
    </row>
    <row r="267" spans="1:2" x14ac:dyDescent="0.2">
      <c r="A267">
        <v>9001020500</v>
      </c>
      <c r="B267" t="s">
        <v>944</v>
      </c>
    </row>
    <row r="268" spans="1:2" x14ac:dyDescent="0.2">
      <c r="A268">
        <v>9003490302</v>
      </c>
      <c r="B268" t="s">
        <v>944</v>
      </c>
    </row>
    <row r="269" spans="1:2" x14ac:dyDescent="0.2">
      <c r="A269">
        <v>9003490302</v>
      </c>
      <c r="B269" t="s">
        <v>944</v>
      </c>
    </row>
    <row r="270" spans="1:2" x14ac:dyDescent="0.2">
      <c r="A270">
        <v>9001020600</v>
      </c>
      <c r="B270" t="s">
        <v>944</v>
      </c>
    </row>
    <row r="271" spans="1:2" x14ac:dyDescent="0.2">
      <c r="A271">
        <v>9001205100</v>
      </c>
      <c r="B271" t="s">
        <v>944</v>
      </c>
    </row>
    <row r="272" spans="1:2" x14ac:dyDescent="0.2">
      <c r="A272">
        <v>9009171600</v>
      </c>
      <c r="B272" t="s">
        <v>944</v>
      </c>
    </row>
    <row r="273" spans="1:2" x14ac:dyDescent="0.2">
      <c r="A273">
        <v>9009171600</v>
      </c>
      <c r="B273" t="s">
        <v>944</v>
      </c>
    </row>
    <row r="274" spans="1:2" x14ac:dyDescent="0.2">
      <c r="A274">
        <v>9001205200</v>
      </c>
      <c r="B274" t="s">
        <v>944</v>
      </c>
    </row>
    <row r="275" spans="1:2" x14ac:dyDescent="0.2">
      <c r="A275">
        <v>9001205200</v>
      </c>
      <c r="B275" t="s">
        <v>944</v>
      </c>
    </row>
    <row r="276" spans="1:2" x14ac:dyDescent="0.2">
      <c r="A276">
        <v>9001205300</v>
      </c>
      <c r="B276" t="s">
        <v>944</v>
      </c>
    </row>
    <row r="277" spans="1:2" x14ac:dyDescent="0.2">
      <c r="A277">
        <v>9001205300</v>
      </c>
      <c r="B277" t="s">
        <v>944</v>
      </c>
    </row>
    <row r="278" spans="1:2" x14ac:dyDescent="0.2">
      <c r="A278">
        <v>9001205300</v>
      </c>
      <c r="B278" t="s">
        <v>944</v>
      </c>
    </row>
    <row r="279" spans="1:2" x14ac:dyDescent="0.2">
      <c r="A279">
        <v>9001020700</v>
      </c>
      <c r="B279" t="s">
        <v>944</v>
      </c>
    </row>
    <row r="280" spans="1:2" x14ac:dyDescent="0.2">
      <c r="A280">
        <v>9009161100</v>
      </c>
      <c r="B280" t="s">
        <v>944</v>
      </c>
    </row>
    <row r="281" spans="1:2" x14ac:dyDescent="0.2">
      <c r="A281">
        <v>9001020800</v>
      </c>
      <c r="B281" t="s">
        <v>944</v>
      </c>
    </row>
    <row r="282" spans="1:2" x14ac:dyDescent="0.2">
      <c r="A282">
        <v>9001020900</v>
      </c>
      <c r="B282" t="s">
        <v>944</v>
      </c>
    </row>
    <row r="283" spans="1:2" x14ac:dyDescent="0.2">
      <c r="A283">
        <v>9001210100</v>
      </c>
      <c r="B283" t="s">
        <v>944</v>
      </c>
    </row>
    <row r="284" spans="1:2" x14ac:dyDescent="0.2">
      <c r="A284">
        <v>9001210200</v>
      </c>
      <c r="B284" t="s">
        <v>936</v>
      </c>
    </row>
    <row r="285" spans="1:2" x14ac:dyDescent="0.2">
      <c r="A285">
        <v>9001210500</v>
      </c>
      <c r="B285" t="s">
        <v>944</v>
      </c>
    </row>
    <row r="286" spans="1:2" x14ac:dyDescent="0.2">
      <c r="A286">
        <v>9001210500</v>
      </c>
      <c r="B286" t="s">
        <v>944</v>
      </c>
    </row>
    <row r="287" spans="1:2" x14ac:dyDescent="0.2">
      <c r="A287">
        <v>9001210500</v>
      </c>
      <c r="B287" t="s">
        <v>944</v>
      </c>
    </row>
    <row r="288" spans="1:2" x14ac:dyDescent="0.2">
      <c r="A288">
        <v>9001021000</v>
      </c>
      <c r="B288" t="s">
        <v>944</v>
      </c>
    </row>
    <row r="289" spans="1:2" x14ac:dyDescent="0.2">
      <c r="A289">
        <v>9001210600</v>
      </c>
      <c r="B289" t="s">
        <v>944</v>
      </c>
    </row>
    <row r="290" spans="1:2" x14ac:dyDescent="0.2">
      <c r="A290">
        <v>9001210800</v>
      </c>
      <c r="B290" t="s">
        <v>944</v>
      </c>
    </row>
    <row r="291" spans="1:2" x14ac:dyDescent="0.2">
      <c r="A291">
        <v>9001210900</v>
      </c>
      <c r="B291" t="s">
        <v>944</v>
      </c>
    </row>
    <row r="292" spans="1:2" x14ac:dyDescent="0.2">
      <c r="A292">
        <v>9001210900</v>
      </c>
      <c r="B292" t="s">
        <v>944</v>
      </c>
    </row>
    <row r="293" spans="1:2" x14ac:dyDescent="0.2">
      <c r="A293">
        <v>9001021100</v>
      </c>
      <c r="B293" t="s">
        <v>944</v>
      </c>
    </row>
    <row r="294" spans="1:2" x14ac:dyDescent="0.2">
      <c r="A294">
        <v>9001200302</v>
      </c>
      <c r="B294" t="s">
        <v>944</v>
      </c>
    </row>
    <row r="295" spans="1:2" x14ac:dyDescent="0.2">
      <c r="A295">
        <v>9001200302</v>
      </c>
      <c r="B295" t="s">
        <v>944</v>
      </c>
    </row>
    <row r="296" spans="1:2" x14ac:dyDescent="0.2">
      <c r="A296">
        <v>9001211000</v>
      </c>
      <c r="B296" t="s">
        <v>944</v>
      </c>
    </row>
    <row r="297" spans="1:2" x14ac:dyDescent="0.2">
      <c r="A297">
        <v>9001211000</v>
      </c>
      <c r="B297" t="s">
        <v>944</v>
      </c>
    </row>
    <row r="298" spans="1:2" x14ac:dyDescent="0.2">
      <c r="A298">
        <v>9001211200</v>
      </c>
      <c r="B298" t="s">
        <v>944</v>
      </c>
    </row>
    <row r="299" spans="1:2" x14ac:dyDescent="0.2">
      <c r="A299">
        <v>9001021200</v>
      </c>
      <c r="B299" t="s">
        <v>944</v>
      </c>
    </row>
    <row r="300" spans="1:2" x14ac:dyDescent="0.2">
      <c r="A300">
        <v>9001021400</v>
      </c>
      <c r="B300" t="s">
        <v>944</v>
      </c>
    </row>
    <row r="301" spans="1:2" x14ac:dyDescent="0.2">
      <c r="A301">
        <v>9001021400</v>
      </c>
      <c r="B301" t="s">
        <v>944</v>
      </c>
    </row>
    <row r="302" spans="1:2" x14ac:dyDescent="0.2">
      <c r="A302">
        <v>9001220200</v>
      </c>
      <c r="B302" t="s">
        <v>944</v>
      </c>
    </row>
    <row r="303" spans="1:2" x14ac:dyDescent="0.2">
      <c r="A303">
        <v>9001220200</v>
      </c>
      <c r="B303" t="s">
        <v>944</v>
      </c>
    </row>
    <row r="304" spans="1:2" x14ac:dyDescent="0.2">
      <c r="A304">
        <v>9001220200</v>
      </c>
      <c r="B304" t="s">
        <v>944</v>
      </c>
    </row>
    <row r="305" spans="1:2" x14ac:dyDescent="0.2">
      <c r="A305">
        <v>9001230100</v>
      </c>
      <c r="B305" t="s">
        <v>944</v>
      </c>
    </row>
    <row r="306" spans="1:2" x14ac:dyDescent="0.2">
      <c r="A306">
        <v>9001021300</v>
      </c>
      <c r="B306" t="s">
        <v>944</v>
      </c>
    </row>
    <row r="307" spans="1:2" x14ac:dyDescent="0.2">
      <c r="A307">
        <v>9001230200</v>
      </c>
      <c r="B307" t="s">
        <v>944</v>
      </c>
    </row>
    <row r="308" spans="1:2" x14ac:dyDescent="0.2">
      <c r="A308">
        <v>9001210400</v>
      </c>
      <c r="B308" t="s">
        <v>944</v>
      </c>
    </row>
    <row r="309" spans="1:2" x14ac:dyDescent="0.2">
      <c r="A309">
        <v>9001210400</v>
      </c>
      <c r="B309" t="s">
        <v>944</v>
      </c>
    </row>
    <row r="310" spans="1:2" x14ac:dyDescent="0.2">
      <c r="A310">
        <v>9001230300</v>
      </c>
      <c r="B310" t="s">
        <v>944</v>
      </c>
    </row>
    <row r="311" spans="1:2" x14ac:dyDescent="0.2">
      <c r="A311">
        <v>9001230400</v>
      </c>
      <c r="B311" t="s">
        <v>944</v>
      </c>
    </row>
    <row r="312" spans="1:2" x14ac:dyDescent="0.2">
      <c r="A312">
        <v>9001230400</v>
      </c>
      <c r="B312" t="s">
        <v>944</v>
      </c>
    </row>
    <row r="313" spans="1:2" x14ac:dyDescent="0.2">
      <c r="A313">
        <v>9001230400</v>
      </c>
      <c r="B313" t="s">
        <v>944</v>
      </c>
    </row>
    <row r="314" spans="1:2" x14ac:dyDescent="0.2">
      <c r="A314">
        <v>9001230501</v>
      </c>
      <c r="B314" t="s">
        <v>944</v>
      </c>
    </row>
    <row r="315" spans="1:2" x14ac:dyDescent="0.2">
      <c r="A315">
        <v>9001230502</v>
      </c>
      <c r="B315" t="s">
        <v>944</v>
      </c>
    </row>
    <row r="316" spans="1:2" x14ac:dyDescent="0.2">
      <c r="A316">
        <v>9001240100</v>
      </c>
      <c r="B316" t="s">
        <v>944</v>
      </c>
    </row>
    <row r="317" spans="1:2" x14ac:dyDescent="0.2">
      <c r="A317">
        <v>9001240100</v>
      </c>
      <c r="B317" t="s">
        <v>944</v>
      </c>
    </row>
    <row r="318" spans="1:2" x14ac:dyDescent="0.2">
      <c r="A318">
        <v>9001240100</v>
      </c>
      <c r="B318" t="s">
        <v>944</v>
      </c>
    </row>
    <row r="319" spans="1:2" x14ac:dyDescent="0.2">
      <c r="A319">
        <v>9001240200</v>
      </c>
      <c r="B319" t="s">
        <v>944</v>
      </c>
    </row>
    <row r="320" spans="1:2" x14ac:dyDescent="0.2">
      <c r="A320">
        <v>9001245100</v>
      </c>
      <c r="B320" t="s">
        <v>944</v>
      </c>
    </row>
    <row r="321" spans="1:2" x14ac:dyDescent="0.2">
      <c r="A321">
        <v>9001021500</v>
      </c>
      <c r="B321" t="s">
        <v>944</v>
      </c>
    </row>
    <row r="322" spans="1:2" x14ac:dyDescent="0.2">
      <c r="A322">
        <v>9001245200</v>
      </c>
      <c r="B322" t="s">
        <v>944</v>
      </c>
    </row>
    <row r="323" spans="1:2" x14ac:dyDescent="0.2">
      <c r="A323">
        <v>9001245200</v>
      </c>
      <c r="B323" t="s">
        <v>944</v>
      </c>
    </row>
    <row r="324" spans="1:2" x14ac:dyDescent="0.2">
      <c r="A324">
        <v>9001245200</v>
      </c>
      <c r="B324" t="s">
        <v>944</v>
      </c>
    </row>
    <row r="325" spans="1:2" x14ac:dyDescent="0.2">
      <c r="A325">
        <v>9001245400</v>
      </c>
      <c r="B325" t="s">
        <v>944</v>
      </c>
    </row>
    <row r="326" spans="1:2" x14ac:dyDescent="0.2">
      <c r="A326">
        <v>9001245500</v>
      </c>
      <c r="B326" t="s">
        <v>944</v>
      </c>
    </row>
    <row r="327" spans="1:2" x14ac:dyDescent="0.2">
      <c r="A327">
        <v>9001245600</v>
      </c>
      <c r="B327" t="s">
        <v>944</v>
      </c>
    </row>
    <row r="328" spans="1:2" x14ac:dyDescent="0.2">
      <c r="A328">
        <v>9001245600</v>
      </c>
      <c r="B328" t="s">
        <v>944</v>
      </c>
    </row>
    <row r="329" spans="1:2" x14ac:dyDescent="0.2">
      <c r="A329">
        <v>9001021600</v>
      </c>
      <c r="B329" t="s">
        <v>944</v>
      </c>
    </row>
    <row r="330" spans="1:2" x14ac:dyDescent="0.2">
      <c r="A330">
        <v>9005253200</v>
      </c>
      <c r="B330" t="s">
        <v>944</v>
      </c>
    </row>
    <row r="331" spans="1:2" x14ac:dyDescent="0.2">
      <c r="A331">
        <v>9005303100</v>
      </c>
      <c r="B331" t="s">
        <v>944</v>
      </c>
    </row>
    <row r="332" spans="1:2" x14ac:dyDescent="0.2">
      <c r="A332">
        <v>9005303100</v>
      </c>
      <c r="B332" t="s">
        <v>944</v>
      </c>
    </row>
    <row r="333" spans="1:2" x14ac:dyDescent="0.2">
      <c r="A333">
        <v>9005303100</v>
      </c>
      <c r="B333" t="s">
        <v>944</v>
      </c>
    </row>
    <row r="334" spans="1:2" x14ac:dyDescent="0.2">
      <c r="A334">
        <v>9005253400</v>
      </c>
      <c r="B334" t="s">
        <v>944</v>
      </c>
    </row>
    <row r="335" spans="1:2" x14ac:dyDescent="0.2">
      <c r="A335">
        <v>9005253400</v>
      </c>
      <c r="B335" t="s">
        <v>944</v>
      </c>
    </row>
    <row r="336" spans="1:2" x14ac:dyDescent="0.2">
      <c r="A336">
        <v>9005253400</v>
      </c>
      <c r="B336" t="s">
        <v>944</v>
      </c>
    </row>
    <row r="337" spans="1:2" x14ac:dyDescent="0.2">
      <c r="A337">
        <v>9005253500</v>
      </c>
      <c r="B337" t="s">
        <v>944</v>
      </c>
    </row>
    <row r="338" spans="1:2" x14ac:dyDescent="0.2">
      <c r="A338">
        <v>9005253500</v>
      </c>
      <c r="B338" t="s">
        <v>944</v>
      </c>
    </row>
    <row r="339" spans="1:2" x14ac:dyDescent="0.2">
      <c r="A339">
        <v>9005253500</v>
      </c>
      <c r="B339" t="s">
        <v>944</v>
      </c>
    </row>
    <row r="340" spans="1:2" x14ac:dyDescent="0.2">
      <c r="A340">
        <v>9001257100</v>
      </c>
      <c r="B340" t="s">
        <v>944</v>
      </c>
    </row>
    <row r="341" spans="1:2" x14ac:dyDescent="0.2">
      <c r="A341">
        <v>9001257100</v>
      </c>
      <c r="B341" t="s">
        <v>944</v>
      </c>
    </row>
    <row r="342" spans="1:2" x14ac:dyDescent="0.2">
      <c r="A342">
        <v>9001021700</v>
      </c>
      <c r="B342" t="s">
        <v>944</v>
      </c>
    </row>
    <row r="343" spans="1:2" x14ac:dyDescent="0.2">
      <c r="A343">
        <v>9005261100</v>
      </c>
      <c r="B343" t="s">
        <v>944</v>
      </c>
    </row>
    <row r="344" spans="1:2" x14ac:dyDescent="0.2">
      <c r="A344">
        <v>9005261100</v>
      </c>
      <c r="B344" t="s">
        <v>944</v>
      </c>
    </row>
    <row r="345" spans="1:2" x14ac:dyDescent="0.2">
      <c r="A345">
        <v>9005342100</v>
      </c>
      <c r="B345" t="s">
        <v>944</v>
      </c>
    </row>
    <row r="346" spans="1:2" x14ac:dyDescent="0.2">
      <c r="A346">
        <v>9005342100</v>
      </c>
      <c r="B346" t="s">
        <v>944</v>
      </c>
    </row>
    <row r="347" spans="1:2" x14ac:dyDescent="0.2">
      <c r="A347">
        <v>9005263200</v>
      </c>
      <c r="B347" t="s">
        <v>944</v>
      </c>
    </row>
    <row r="348" spans="1:2" x14ac:dyDescent="0.2">
      <c r="A348">
        <v>9005263200</v>
      </c>
      <c r="B348" t="s">
        <v>944</v>
      </c>
    </row>
    <row r="349" spans="1:2" x14ac:dyDescent="0.2">
      <c r="A349">
        <v>9005263200</v>
      </c>
      <c r="B349" t="s">
        <v>944</v>
      </c>
    </row>
    <row r="350" spans="1:2" x14ac:dyDescent="0.2">
      <c r="A350">
        <v>9005296100</v>
      </c>
      <c r="B350" t="s">
        <v>944</v>
      </c>
    </row>
    <row r="351" spans="1:2" x14ac:dyDescent="0.2">
      <c r="A351">
        <v>9005296100</v>
      </c>
      <c r="B351" t="s">
        <v>944</v>
      </c>
    </row>
    <row r="352" spans="1:2" x14ac:dyDescent="0.2">
      <c r="A352">
        <v>9005296100</v>
      </c>
      <c r="B352" t="s">
        <v>944</v>
      </c>
    </row>
    <row r="353" spans="1:2" x14ac:dyDescent="0.2">
      <c r="A353">
        <v>9001021801</v>
      </c>
      <c r="B353" t="s">
        <v>944</v>
      </c>
    </row>
    <row r="354" spans="1:2" x14ac:dyDescent="0.2">
      <c r="A354">
        <v>9005300100</v>
      </c>
      <c r="B354" t="s">
        <v>944</v>
      </c>
    </row>
    <row r="355" spans="1:2" x14ac:dyDescent="0.2">
      <c r="A355">
        <v>9005300100</v>
      </c>
      <c r="B355" t="s">
        <v>944</v>
      </c>
    </row>
    <row r="356" spans="1:2" x14ac:dyDescent="0.2">
      <c r="A356">
        <v>9005362102</v>
      </c>
      <c r="B356" t="s">
        <v>944</v>
      </c>
    </row>
    <row r="357" spans="1:2" x14ac:dyDescent="0.2">
      <c r="A357">
        <v>9005362102</v>
      </c>
      <c r="B357" t="s">
        <v>944</v>
      </c>
    </row>
    <row r="358" spans="1:2" x14ac:dyDescent="0.2">
      <c r="A358">
        <v>9005362102</v>
      </c>
      <c r="B358" t="s">
        <v>944</v>
      </c>
    </row>
    <row r="359" spans="1:2" x14ac:dyDescent="0.2">
      <c r="A359">
        <v>9005300400</v>
      </c>
      <c r="B359" t="s">
        <v>944</v>
      </c>
    </row>
    <row r="360" spans="1:2" x14ac:dyDescent="0.2">
      <c r="A360">
        <v>9005300400</v>
      </c>
      <c r="B360" t="s">
        <v>944</v>
      </c>
    </row>
    <row r="361" spans="1:2" x14ac:dyDescent="0.2">
      <c r="A361">
        <v>9005300500</v>
      </c>
      <c r="B361" t="s">
        <v>944</v>
      </c>
    </row>
    <row r="362" spans="1:2" x14ac:dyDescent="0.2">
      <c r="A362">
        <v>9005300500</v>
      </c>
      <c r="B362" t="s">
        <v>944</v>
      </c>
    </row>
    <row r="363" spans="1:2" x14ac:dyDescent="0.2">
      <c r="A363">
        <v>9001030100</v>
      </c>
      <c r="B363" t="s">
        <v>944</v>
      </c>
    </row>
    <row r="364" spans="1:2" x14ac:dyDescent="0.2">
      <c r="A364">
        <v>9001021802</v>
      </c>
      <c r="B364" t="s">
        <v>944</v>
      </c>
    </row>
    <row r="365" spans="1:2" x14ac:dyDescent="0.2">
      <c r="A365">
        <v>9001030200</v>
      </c>
      <c r="B365" t="s">
        <v>944</v>
      </c>
    </row>
    <row r="366" spans="1:2" x14ac:dyDescent="0.2">
      <c r="A366">
        <v>9003471100</v>
      </c>
      <c r="B366" t="s">
        <v>944</v>
      </c>
    </row>
    <row r="367" spans="1:2" x14ac:dyDescent="0.2">
      <c r="A367">
        <v>9003471100</v>
      </c>
      <c r="B367" t="s">
        <v>944</v>
      </c>
    </row>
    <row r="368" spans="1:2" x14ac:dyDescent="0.2">
      <c r="A368">
        <v>9001030500</v>
      </c>
      <c r="B368" t="s">
        <v>944</v>
      </c>
    </row>
    <row r="369" spans="1:2" x14ac:dyDescent="0.2">
      <c r="A369">
        <v>9005306100</v>
      </c>
      <c r="B369" t="s">
        <v>944</v>
      </c>
    </row>
    <row r="370" spans="1:2" x14ac:dyDescent="0.2">
      <c r="A370">
        <v>9005306100</v>
      </c>
      <c r="B370" t="s">
        <v>944</v>
      </c>
    </row>
    <row r="371" spans="1:2" x14ac:dyDescent="0.2">
      <c r="A371">
        <v>9005306100</v>
      </c>
      <c r="B371" t="s">
        <v>944</v>
      </c>
    </row>
    <row r="372" spans="1:2" x14ac:dyDescent="0.2">
      <c r="A372">
        <v>9001021900</v>
      </c>
      <c r="B372" t="s">
        <v>944</v>
      </c>
    </row>
    <row r="373" spans="1:2" x14ac:dyDescent="0.2">
      <c r="A373">
        <v>9005310601</v>
      </c>
      <c r="B373" t="s">
        <v>944</v>
      </c>
    </row>
    <row r="374" spans="1:2" x14ac:dyDescent="0.2">
      <c r="A374">
        <v>9003471200</v>
      </c>
      <c r="B374" t="s">
        <v>944</v>
      </c>
    </row>
    <row r="375" spans="1:2" x14ac:dyDescent="0.2">
      <c r="A375">
        <v>9001022000</v>
      </c>
      <c r="B375" t="s">
        <v>944</v>
      </c>
    </row>
    <row r="376" spans="1:2" x14ac:dyDescent="0.2">
      <c r="A376">
        <v>9003471300</v>
      </c>
      <c r="B376" t="s">
        <v>944</v>
      </c>
    </row>
    <row r="377" spans="1:2" x14ac:dyDescent="0.2">
      <c r="A377">
        <v>9009343200</v>
      </c>
      <c r="B377" t="s">
        <v>944</v>
      </c>
    </row>
    <row r="378" spans="1:2" x14ac:dyDescent="0.2">
      <c r="A378">
        <v>9001022100</v>
      </c>
      <c r="B378" t="s">
        <v>944</v>
      </c>
    </row>
    <row r="379" spans="1:2" x14ac:dyDescent="0.2">
      <c r="A379">
        <v>9009346102</v>
      </c>
      <c r="B379" t="s">
        <v>944</v>
      </c>
    </row>
    <row r="380" spans="1:2" x14ac:dyDescent="0.2">
      <c r="A380">
        <v>9009346102</v>
      </c>
      <c r="B380" t="s">
        <v>944</v>
      </c>
    </row>
    <row r="381" spans="1:2" x14ac:dyDescent="0.2">
      <c r="A381">
        <v>9009346102</v>
      </c>
      <c r="B381" t="s">
        <v>944</v>
      </c>
    </row>
    <row r="382" spans="1:2" x14ac:dyDescent="0.2">
      <c r="A382">
        <v>9003471400</v>
      </c>
      <c r="B382" t="s">
        <v>944</v>
      </c>
    </row>
    <row r="383" spans="1:2" x14ac:dyDescent="0.2">
      <c r="A383">
        <v>9003471400</v>
      </c>
      <c r="B383" t="s">
        <v>944</v>
      </c>
    </row>
    <row r="384" spans="1:2" x14ac:dyDescent="0.2">
      <c r="A384">
        <v>9005349100</v>
      </c>
      <c r="B384" t="s">
        <v>944</v>
      </c>
    </row>
    <row r="385" spans="1:2" x14ac:dyDescent="0.2">
      <c r="A385">
        <v>9005349100</v>
      </c>
      <c r="B385" t="s">
        <v>944</v>
      </c>
    </row>
    <row r="386" spans="1:2" x14ac:dyDescent="0.2">
      <c r="A386">
        <v>9005349100</v>
      </c>
      <c r="B386" t="s">
        <v>944</v>
      </c>
    </row>
    <row r="387" spans="1:2" x14ac:dyDescent="0.2">
      <c r="A387">
        <v>9005349200</v>
      </c>
      <c r="B387" t="s">
        <v>944</v>
      </c>
    </row>
    <row r="388" spans="1:2" x14ac:dyDescent="0.2">
      <c r="A388">
        <v>9005349200</v>
      </c>
      <c r="B388" t="s">
        <v>944</v>
      </c>
    </row>
    <row r="389" spans="1:2" x14ac:dyDescent="0.2">
      <c r="A389">
        <v>9005349200</v>
      </c>
      <c r="B389" t="s">
        <v>944</v>
      </c>
    </row>
    <row r="390" spans="1:2" x14ac:dyDescent="0.2">
      <c r="A390">
        <v>9001022200</v>
      </c>
      <c r="B390" t="s">
        <v>944</v>
      </c>
    </row>
    <row r="391" spans="1:2" x14ac:dyDescent="0.2">
      <c r="A391">
        <v>9003471500</v>
      </c>
      <c r="B391" t="s">
        <v>944</v>
      </c>
    </row>
    <row r="392" spans="1:2" x14ac:dyDescent="0.2">
      <c r="A392">
        <v>9001022300</v>
      </c>
      <c r="B392" t="s">
        <v>944</v>
      </c>
    </row>
    <row r="393" spans="1:2" x14ac:dyDescent="0.2">
      <c r="A393">
        <v>9009350300</v>
      </c>
      <c r="B393" t="s">
        <v>936</v>
      </c>
    </row>
    <row r="394" spans="1:2" x14ac:dyDescent="0.2">
      <c r="A394">
        <v>9003473100</v>
      </c>
      <c r="B394" t="s">
        <v>944</v>
      </c>
    </row>
    <row r="395" spans="1:2" x14ac:dyDescent="0.2">
      <c r="A395">
        <v>9009350400</v>
      </c>
      <c r="B395" t="s">
        <v>936</v>
      </c>
    </row>
    <row r="396" spans="1:2" x14ac:dyDescent="0.2">
      <c r="A396">
        <v>9001022400</v>
      </c>
      <c r="B396" t="s">
        <v>944</v>
      </c>
    </row>
    <row r="397" spans="1:2" x14ac:dyDescent="0.2">
      <c r="A397">
        <v>9009350500</v>
      </c>
      <c r="B397" t="s">
        <v>936</v>
      </c>
    </row>
    <row r="398" spans="1:2" x14ac:dyDescent="0.2">
      <c r="A398">
        <v>9003473501</v>
      </c>
      <c r="B398" t="s">
        <v>944</v>
      </c>
    </row>
    <row r="399" spans="1:2" x14ac:dyDescent="0.2">
      <c r="A399">
        <v>9009350800</v>
      </c>
      <c r="B399" t="s">
        <v>936</v>
      </c>
    </row>
    <row r="400" spans="1:2" x14ac:dyDescent="0.2">
      <c r="A400">
        <v>9009350900</v>
      </c>
      <c r="B400" t="s">
        <v>944</v>
      </c>
    </row>
    <row r="401" spans="1:2" x14ac:dyDescent="0.2">
      <c r="A401">
        <v>9003503900</v>
      </c>
      <c r="B401" t="s">
        <v>944</v>
      </c>
    </row>
    <row r="402" spans="1:2" x14ac:dyDescent="0.2">
      <c r="A402">
        <v>9003503900</v>
      </c>
      <c r="B402" t="s">
        <v>944</v>
      </c>
    </row>
    <row r="403" spans="1:2" x14ac:dyDescent="0.2">
      <c r="A403">
        <v>9009351000</v>
      </c>
      <c r="B403" t="s">
        <v>944</v>
      </c>
    </row>
    <row r="404" spans="1:2" x14ac:dyDescent="0.2">
      <c r="A404">
        <v>9009351100</v>
      </c>
      <c r="B404" t="s">
        <v>936</v>
      </c>
    </row>
    <row r="405" spans="1:2" x14ac:dyDescent="0.2">
      <c r="A405">
        <v>9009351200</v>
      </c>
      <c r="B405" t="s">
        <v>936</v>
      </c>
    </row>
    <row r="406" spans="1:2" x14ac:dyDescent="0.2">
      <c r="A406">
        <v>9003514900</v>
      </c>
      <c r="B406" t="s">
        <v>944</v>
      </c>
    </row>
    <row r="407" spans="1:2" x14ac:dyDescent="0.2">
      <c r="A407">
        <v>9003514900</v>
      </c>
      <c r="B407" t="s">
        <v>944</v>
      </c>
    </row>
    <row r="408" spans="1:2" x14ac:dyDescent="0.2">
      <c r="A408">
        <v>9009351300</v>
      </c>
      <c r="B408" t="s">
        <v>936</v>
      </c>
    </row>
    <row r="409" spans="1:2" x14ac:dyDescent="0.2">
      <c r="A409">
        <v>9009351400</v>
      </c>
      <c r="B409" t="s">
        <v>936</v>
      </c>
    </row>
    <row r="410" spans="1:2" x14ac:dyDescent="0.2">
      <c r="A410">
        <v>9001030300</v>
      </c>
      <c r="B410" t="s">
        <v>944</v>
      </c>
    </row>
    <row r="411" spans="1:2" x14ac:dyDescent="0.2">
      <c r="A411">
        <v>9009351800</v>
      </c>
      <c r="B411" t="s">
        <v>944</v>
      </c>
    </row>
    <row r="412" spans="1:2" x14ac:dyDescent="0.2">
      <c r="A412">
        <v>9013526102</v>
      </c>
      <c r="B412" t="s">
        <v>944</v>
      </c>
    </row>
    <row r="413" spans="1:2" x14ac:dyDescent="0.2">
      <c r="A413">
        <v>9013526102</v>
      </c>
      <c r="B413" t="s">
        <v>944</v>
      </c>
    </row>
    <row r="414" spans="1:2" x14ac:dyDescent="0.2">
      <c r="A414">
        <v>9013526102</v>
      </c>
      <c r="B414" t="s">
        <v>944</v>
      </c>
    </row>
    <row r="415" spans="1:2" x14ac:dyDescent="0.2">
      <c r="A415">
        <v>9001035100</v>
      </c>
      <c r="B415" t="s">
        <v>944</v>
      </c>
    </row>
    <row r="416" spans="1:2" x14ac:dyDescent="0.2">
      <c r="A416">
        <v>9001035100</v>
      </c>
      <c r="B416" t="s">
        <v>944</v>
      </c>
    </row>
    <row r="417" spans="1:2" x14ac:dyDescent="0.2">
      <c r="A417">
        <v>9009352701</v>
      </c>
      <c r="B417" t="s">
        <v>936</v>
      </c>
    </row>
    <row r="418" spans="1:2" x14ac:dyDescent="0.2">
      <c r="A418">
        <v>9009352702</v>
      </c>
      <c r="B418" t="s">
        <v>944</v>
      </c>
    </row>
    <row r="419" spans="1:2" x14ac:dyDescent="0.2">
      <c r="A419">
        <v>9001030400</v>
      </c>
      <c r="B419" t="s">
        <v>944</v>
      </c>
    </row>
    <row r="420" spans="1:2" x14ac:dyDescent="0.2">
      <c r="A420">
        <v>9009352800</v>
      </c>
      <c r="B420" t="s">
        <v>944</v>
      </c>
    </row>
    <row r="421" spans="1:2" x14ac:dyDescent="0.2">
      <c r="A421">
        <v>9009352800</v>
      </c>
      <c r="B421" t="s">
        <v>944</v>
      </c>
    </row>
    <row r="422" spans="1:2" x14ac:dyDescent="0.2">
      <c r="A422">
        <v>9001035200</v>
      </c>
      <c r="B422" t="s">
        <v>944</v>
      </c>
    </row>
    <row r="423" spans="1:2" x14ac:dyDescent="0.2">
      <c r="A423">
        <v>9001035400</v>
      </c>
      <c r="B423" t="s">
        <v>944</v>
      </c>
    </row>
    <row r="424" spans="1:2" x14ac:dyDescent="0.2">
      <c r="A424">
        <v>9001035400</v>
      </c>
      <c r="B424" t="s">
        <v>944</v>
      </c>
    </row>
    <row r="425" spans="1:2" x14ac:dyDescent="0.2">
      <c r="A425">
        <v>9013530600</v>
      </c>
      <c r="B425" t="s">
        <v>944</v>
      </c>
    </row>
    <row r="426" spans="1:2" x14ac:dyDescent="0.2">
      <c r="A426">
        <v>9013530600</v>
      </c>
      <c r="B426" t="s">
        <v>944</v>
      </c>
    </row>
    <row r="427" spans="1:2" x14ac:dyDescent="0.2">
      <c r="A427">
        <v>9013530600</v>
      </c>
      <c r="B427" t="s">
        <v>944</v>
      </c>
    </row>
    <row r="428" spans="1:2" x14ac:dyDescent="0.2">
      <c r="A428">
        <v>9001042500</v>
      </c>
      <c r="B428" t="s">
        <v>944</v>
      </c>
    </row>
    <row r="429" spans="1:2" x14ac:dyDescent="0.2">
      <c r="A429">
        <v>9001042700</v>
      </c>
      <c r="B429" t="s">
        <v>944</v>
      </c>
    </row>
    <row r="430" spans="1:2" x14ac:dyDescent="0.2">
      <c r="A430">
        <v>9001042800</v>
      </c>
      <c r="B430" t="s">
        <v>944</v>
      </c>
    </row>
    <row r="431" spans="1:2" x14ac:dyDescent="0.2">
      <c r="A431">
        <v>9001043100</v>
      </c>
      <c r="B431" t="s">
        <v>944</v>
      </c>
    </row>
    <row r="432" spans="1:2" x14ac:dyDescent="0.2">
      <c r="A432">
        <v>9001043200</v>
      </c>
      <c r="B432" t="s">
        <v>944</v>
      </c>
    </row>
    <row r="433" spans="1:2" x14ac:dyDescent="0.2">
      <c r="A433">
        <v>9001035300</v>
      </c>
      <c r="B433" t="s">
        <v>944</v>
      </c>
    </row>
    <row r="434" spans="1:2" x14ac:dyDescent="0.2">
      <c r="A434">
        <v>9001035300</v>
      </c>
      <c r="B434" t="s">
        <v>944</v>
      </c>
    </row>
    <row r="435" spans="1:2" x14ac:dyDescent="0.2">
      <c r="A435">
        <v>9001043300</v>
      </c>
      <c r="B435" t="s">
        <v>944</v>
      </c>
    </row>
    <row r="436" spans="1:2" x14ac:dyDescent="0.2">
      <c r="A436">
        <v>9001045102</v>
      </c>
      <c r="B436" t="s">
        <v>944</v>
      </c>
    </row>
    <row r="437" spans="1:2" x14ac:dyDescent="0.2">
      <c r="A437">
        <v>9009184200</v>
      </c>
      <c r="B437" t="s">
        <v>944</v>
      </c>
    </row>
    <row r="438" spans="1:2" x14ac:dyDescent="0.2">
      <c r="A438">
        <v>9001045400</v>
      </c>
      <c r="B438" t="s">
        <v>944</v>
      </c>
    </row>
    <row r="439" spans="1:2" x14ac:dyDescent="0.2">
      <c r="A439">
        <v>9009184300</v>
      </c>
      <c r="B439" t="s">
        <v>944</v>
      </c>
    </row>
    <row r="440" spans="1:2" x14ac:dyDescent="0.2">
      <c r="A440">
        <v>9001055100</v>
      </c>
      <c r="B440" t="s">
        <v>944</v>
      </c>
    </row>
    <row r="441" spans="1:2" x14ac:dyDescent="0.2">
      <c r="A441">
        <v>9001042600</v>
      </c>
      <c r="B441" t="s">
        <v>944</v>
      </c>
    </row>
    <row r="442" spans="1:2" x14ac:dyDescent="0.2">
      <c r="A442">
        <v>9001042900</v>
      </c>
      <c r="B442" t="s">
        <v>944</v>
      </c>
    </row>
    <row r="443" spans="1:2" x14ac:dyDescent="0.2">
      <c r="A443">
        <v>9005250100</v>
      </c>
      <c r="B443" t="s">
        <v>944</v>
      </c>
    </row>
    <row r="444" spans="1:2" x14ac:dyDescent="0.2">
      <c r="A444">
        <v>9001043000</v>
      </c>
      <c r="B444" t="s">
        <v>944</v>
      </c>
    </row>
    <row r="445" spans="1:2" x14ac:dyDescent="0.2">
      <c r="A445">
        <v>9005268100</v>
      </c>
      <c r="B445" t="s">
        <v>944</v>
      </c>
    </row>
    <row r="446" spans="1:2" x14ac:dyDescent="0.2">
      <c r="A446">
        <v>9005268100</v>
      </c>
      <c r="B446" t="s">
        <v>944</v>
      </c>
    </row>
    <row r="447" spans="1:2" x14ac:dyDescent="0.2">
      <c r="A447">
        <v>9005268100</v>
      </c>
      <c r="B447" t="s">
        <v>944</v>
      </c>
    </row>
    <row r="448" spans="1:2" x14ac:dyDescent="0.2">
      <c r="A448">
        <v>9003405100</v>
      </c>
      <c r="B448" t="s">
        <v>944</v>
      </c>
    </row>
    <row r="449" spans="1:2" x14ac:dyDescent="0.2">
      <c r="A449">
        <v>9003405200</v>
      </c>
      <c r="B449" t="s">
        <v>944</v>
      </c>
    </row>
    <row r="450" spans="1:2" x14ac:dyDescent="0.2">
      <c r="A450">
        <v>9015900100</v>
      </c>
      <c r="B450" t="s">
        <v>944</v>
      </c>
    </row>
    <row r="451" spans="1:2" x14ac:dyDescent="0.2">
      <c r="A451">
        <v>9003405300</v>
      </c>
      <c r="B451" t="s">
        <v>944</v>
      </c>
    </row>
    <row r="452" spans="1:2" x14ac:dyDescent="0.2">
      <c r="A452">
        <v>9015901100</v>
      </c>
      <c r="B452" t="s">
        <v>944</v>
      </c>
    </row>
    <row r="453" spans="1:2" x14ac:dyDescent="0.2">
      <c r="A453">
        <v>9015901100</v>
      </c>
      <c r="B453" t="s">
        <v>944</v>
      </c>
    </row>
    <row r="454" spans="1:2" x14ac:dyDescent="0.2">
      <c r="A454">
        <v>9015901100</v>
      </c>
      <c r="B454" t="s">
        <v>944</v>
      </c>
    </row>
    <row r="455" spans="1:2" x14ac:dyDescent="0.2">
      <c r="A455">
        <v>9001043400</v>
      </c>
      <c r="B455" t="s">
        <v>944</v>
      </c>
    </row>
    <row r="456" spans="1:2" x14ac:dyDescent="0.2">
      <c r="A456">
        <v>9003405401</v>
      </c>
      <c r="B456" t="s">
        <v>944</v>
      </c>
    </row>
    <row r="457" spans="1:2" x14ac:dyDescent="0.2">
      <c r="A457">
        <v>9003405401</v>
      </c>
      <c r="B457" t="s">
        <v>944</v>
      </c>
    </row>
    <row r="458" spans="1:2" x14ac:dyDescent="0.2">
      <c r="A458">
        <v>9015902500</v>
      </c>
      <c r="B458" t="s">
        <v>944</v>
      </c>
    </row>
    <row r="459" spans="1:2" x14ac:dyDescent="0.2">
      <c r="A459">
        <v>9015902500</v>
      </c>
      <c r="B459" t="s">
        <v>944</v>
      </c>
    </row>
    <row r="460" spans="1:2" x14ac:dyDescent="0.2">
      <c r="A460">
        <v>9015902500</v>
      </c>
      <c r="B460" t="s">
        <v>944</v>
      </c>
    </row>
    <row r="461" spans="1:2" x14ac:dyDescent="0.2">
      <c r="A461">
        <v>9001043500</v>
      </c>
      <c r="B461" t="s">
        <v>944</v>
      </c>
    </row>
    <row r="462" spans="1:2" x14ac:dyDescent="0.2">
      <c r="A462">
        <v>9015903100</v>
      </c>
      <c r="B462" t="s">
        <v>944</v>
      </c>
    </row>
    <row r="463" spans="1:2" x14ac:dyDescent="0.2">
      <c r="A463">
        <v>9003405402</v>
      </c>
      <c r="B463" t="s">
        <v>944</v>
      </c>
    </row>
    <row r="464" spans="1:2" x14ac:dyDescent="0.2">
      <c r="A464">
        <v>9015904100</v>
      </c>
      <c r="B464" t="s">
        <v>944</v>
      </c>
    </row>
    <row r="465" spans="1:2" x14ac:dyDescent="0.2">
      <c r="A465">
        <v>9015904100</v>
      </c>
      <c r="B465" t="s">
        <v>944</v>
      </c>
    </row>
    <row r="466" spans="1:2" x14ac:dyDescent="0.2">
      <c r="A466">
        <v>9001043600</v>
      </c>
      <c r="B466" t="s">
        <v>944</v>
      </c>
    </row>
    <row r="467" spans="1:2" x14ac:dyDescent="0.2">
      <c r="A467">
        <v>9015904500</v>
      </c>
      <c r="B467" t="s">
        <v>944</v>
      </c>
    </row>
    <row r="468" spans="1:2" x14ac:dyDescent="0.2">
      <c r="A468">
        <v>9003405500</v>
      </c>
      <c r="B468" t="s">
        <v>944</v>
      </c>
    </row>
    <row r="469" spans="1:2" x14ac:dyDescent="0.2">
      <c r="A469">
        <v>9001043700</v>
      </c>
      <c r="B469" t="s">
        <v>944</v>
      </c>
    </row>
    <row r="470" spans="1:2" x14ac:dyDescent="0.2">
      <c r="A470">
        <v>9015905100</v>
      </c>
      <c r="B470" t="s">
        <v>944</v>
      </c>
    </row>
    <row r="471" spans="1:2" x14ac:dyDescent="0.2">
      <c r="A471">
        <v>9015905100</v>
      </c>
      <c r="B471" t="s">
        <v>944</v>
      </c>
    </row>
    <row r="472" spans="1:2" x14ac:dyDescent="0.2">
      <c r="A472">
        <v>9015905100</v>
      </c>
      <c r="B472" t="s">
        <v>944</v>
      </c>
    </row>
    <row r="473" spans="1:2" x14ac:dyDescent="0.2">
      <c r="A473">
        <v>9003405600</v>
      </c>
      <c r="B473" t="s">
        <v>944</v>
      </c>
    </row>
    <row r="474" spans="1:2" x14ac:dyDescent="0.2">
      <c r="A474">
        <v>9001043800</v>
      </c>
      <c r="B474" t="s">
        <v>944</v>
      </c>
    </row>
    <row r="475" spans="1:2" x14ac:dyDescent="0.2">
      <c r="A475">
        <v>9003405700</v>
      </c>
      <c r="B475" t="s">
        <v>936</v>
      </c>
    </row>
    <row r="476" spans="1:2" x14ac:dyDescent="0.2">
      <c r="A476">
        <v>9015907100</v>
      </c>
      <c r="B476" t="s">
        <v>944</v>
      </c>
    </row>
    <row r="477" spans="1:2" x14ac:dyDescent="0.2">
      <c r="A477">
        <v>9015907100</v>
      </c>
      <c r="B477" t="s">
        <v>944</v>
      </c>
    </row>
    <row r="478" spans="1:2" x14ac:dyDescent="0.2">
      <c r="A478">
        <v>9001043900</v>
      </c>
      <c r="B478" t="s">
        <v>944</v>
      </c>
    </row>
    <row r="479" spans="1:2" x14ac:dyDescent="0.2">
      <c r="A479">
        <v>9001100300</v>
      </c>
      <c r="B479" t="s">
        <v>944</v>
      </c>
    </row>
    <row r="480" spans="1:2" x14ac:dyDescent="0.2">
      <c r="A480">
        <v>9001100300</v>
      </c>
      <c r="B480" t="s">
        <v>944</v>
      </c>
    </row>
    <row r="481" spans="1:2" x14ac:dyDescent="0.2">
      <c r="A481">
        <v>9003405800</v>
      </c>
      <c r="B481" t="s">
        <v>944</v>
      </c>
    </row>
    <row r="482" spans="1:2" x14ac:dyDescent="0.2">
      <c r="A482">
        <v>9001044000</v>
      </c>
      <c r="B482" t="s">
        <v>944</v>
      </c>
    </row>
    <row r="483" spans="1:2" x14ac:dyDescent="0.2">
      <c r="A483">
        <v>9003405900</v>
      </c>
      <c r="B483" t="s">
        <v>944</v>
      </c>
    </row>
    <row r="484" spans="1:2" x14ac:dyDescent="0.2">
      <c r="A484">
        <v>9003406001</v>
      </c>
      <c r="B484" t="s">
        <v>944</v>
      </c>
    </row>
    <row r="485" spans="1:2" x14ac:dyDescent="0.2">
      <c r="A485">
        <v>9003406001</v>
      </c>
      <c r="B485" t="s">
        <v>944</v>
      </c>
    </row>
    <row r="486" spans="1:2" x14ac:dyDescent="0.2">
      <c r="A486">
        <v>9001044200</v>
      </c>
      <c r="B486" t="s">
        <v>944</v>
      </c>
    </row>
    <row r="487" spans="1:2" x14ac:dyDescent="0.2">
      <c r="A487">
        <v>9009125300</v>
      </c>
      <c r="B487" t="s">
        <v>944</v>
      </c>
    </row>
    <row r="488" spans="1:2" x14ac:dyDescent="0.2">
      <c r="A488">
        <v>9003406002</v>
      </c>
      <c r="B488" t="s">
        <v>944</v>
      </c>
    </row>
    <row r="489" spans="1:2" x14ac:dyDescent="0.2">
      <c r="A489">
        <v>9003406002</v>
      </c>
      <c r="B489" t="s">
        <v>944</v>
      </c>
    </row>
    <row r="490" spans="1:2" x14ac:dyDescent="0.2">
      <c r="A490">
        <v>9009125400</v>
      </c>
      <c r="B490" t="s">
        <v>944</v>
      </c>
    </row>
    <row r="491" spans="1:2" x14ac:dyDescent="0.2">
      <c r="A491">
        <v>9009130200</v>
      </c>
      <c r="B491" t="s">
        <v>944</v>
      </c>
    </row>
    <row r="492" spans="1:2" x14ac:dyDescent="0.2">
      <c r="A492">
        <v>9001044300</v>
      </c>
      <c r="B492" t="s">
        <v>944</v>
      </c>
    </row>
    <row r="493" spans="1:2" x14ac:dyDescent="0.2">
      <c r="A493">
        <v>9003406100</v>
      </c>
      <c r="B493" t="s">
        <v>944</v>
      </c>
    </row>
    <row r="494" spans="1:2" x14ac:dyDescent="0.2">
      <c r="A494">
        <v>9001044400</v>
      </c>
      <c r="B494" t="s">
        <v>944</v>
      </c>
    </row>
    <row r="495" spans="1:2" x14ac:dyDescent="0.2">
      <c r="A495">
        <v>9003410101</v>
      </c>
      <c r="B495" t="s">
        <v>944</v>
      </c>
    </row>
    <row r="496" spans="1:2" x14ac:dyDescent="0.2">
      <c r="A496">
        <v>9003410101</v>
      </c>
      <c r="B496" t="s">
        <v>944</v>
      </c>
    </row>
    <row r="497" spans="1:2" x14ac:dyDescent="0.2">
      <c r="A497">
        <v>9003410101</v>
      </c>
      <c r="B497" t="s">
        <v>944</v>
      </c>
    </row>
    <row r="498" spans="1:2" x14ac:dyDescent="0.2">
      <c r="A498">
        <v>9001044500</v>
      </c>
      <c r="B498" t="s">
        <v>944</v>
      </c>
    </row>
    <row r="499" spans="1:2" x14ac:dyDescent="0.2">
      <c r="A499">
        <v>9003420500</v>
      </c>
      <c r="B499" t="s">
        <v>944</v>
      </c>
    </row>
    <row r="500" spans="1:2" x14ac:dyDescent="0.2">
      <c r="A500">
        <v>9003420500</v>
      </c>
      <c r="B500" t="s">
        <v>944</v>
      </c>
    </row>
    <row r="501" spans="1:2" x14ac:dyDescent="0.2">
      <c r="A501">
        <v>9001044600</v>
      </c>
      <c r="B501" t="s">
        <v>944</v>
      </c>
    </row>
    <row r="502" spans="1:2" x14ac:dyDescent="0.2">
      <c r="A502">
        <v>9003430601</v>
      </c>
      <c r="B502" t="s">
        <v>944</v>
      </c>
    </row>
    <row r="503" spans="1:2" x14ac:dyDescent="0.2">
      <c r="A503">
        <v>9003430601</v>
      </c>
      <c r="B503" t="s">
        <v>944</v>
      </c>
    </row>
    <row r="504" spans="1:2" x14ac:dyDescent="0.2">
      <c r="A504">
        <v>9005425400</v>
      </c>
      <c r="B504" t="s">
        <v>944</v>
      </c>
    </row>
    <row r="505" spans="1:2" x14ac:dyDescent="0.2">
      <c r="A505">
        <v>9005425400</v>
      </c>
      <c r="B505" t="s">
        <v>944</v>
      </c>
    </row>
    <row r="506" spans="1:2" x14ac:dyDescent="0.2">
      <c r="A506">
        <v>9001045300</v>
      </c>
      <c r="B506" t="s">
        <v>944</v>
      </c>
    </row>
    <row r="507" spans="1:2" x14ac:dyDescent="0.2">
      <c r="A507">
        <v>9001211400</v>
      </c>
      <c r="B507" t="s">
        <v>944</v>
      </c>
    </row>
    <row r="508" spans="1:2" x14ac:dyDescent="0.2">
      <c r="A508">
        <v>9001211400</v>
      </c>
      <c r="B508" t="s">
        <v>944</v>
      </c>
    </row>
    <row r="509" spans="1:2" x14ac:dyDescent="0.2">
      <c r="A509">
        <v>9001050400</v>
      </c>
      <c r="B509" t="s">
        <v>944</v>
      </c>
    </row>
    <row r="510" spans="1:2" x14ac:dyDescent="0.2">
      <c r="A510">
        <v>9003410102</v>
      </c>
      <c r="B510" t="s">
        <v>944</v>
      </c>
    </row>
    <row r="511" spans="1:2" x14ac:dyDescent="0.2">
      <c r="A511">
        <v>9003410102</v>
      </c>
      <c r="B511" t="s">
        <v>944</v>
      </c>
    </row>
    <row r="512" spans="1:2" x14ac:dyDescent="0.2">
      <c r="A512">
        <v>9003410102</v>
      </c>
      <c r="B512" t="s">
        <v>944</v>
      </c>
    </row>
    <row r="513" spans="1:2" x14ac:dyDescent="0.2">
      <c r="A513">
        <v>9005260200</v>
      </c>
      <c r="B513" t="s">
        <v>944</v>
      </c>
    </row>
    <row r="514" spans="1:2" x14ac:dyDescent="0.2">
      <c r="A514">
        <v>9005260200</v>
      </c>
      <c r="B514" t="s">
        <v>944</v>
      </c>
    </row>
    <row r="515" spans="1:2" x14ac:dyDescent="0.2">
      <c r="A515">
        <v>9005425600</v>
      </c>
      <c r="B515" t="s">
        <v>944</v>
      </c>
    </row>
    <row r="516" spans="1:2" x14ac:dyDescent="0.2">
      <c r="A516">
        <v>9005425600</v>
      </c>
      <c r="B516" t="s">
        <v>944</v>
      </c>
    </row>
    <row r="517" spans="1:2" x14ac:dyDescent="0.2">
      <c r="A517">
        <v>9015825000</v>
      </c>
      <c r="B517" t="s">
        <v>944</v>
      </c>
    </row>
    <row r="518" spans="1:2" x14ac:dyDescent="0.2">
      <c r="A518">
        <v>9015825000</v>
      </c>
      <c r="B518" t="s">
        <v>944</v>
      </c>
    </row>
    <row r="519" spans="1:2" x14ac:dyDescent="0.2">
      <c r="A519">
        <v>9015825000</v>
      </c>
      <c r="B519" t="s">
        <v>944</v>
      </c>
    </row>
    <row r="520" spans="1:2" x14ac:dyDescent="0.2">
      <c r="A520">
        <v>9015906100</v>
      </c>
      <c r="B520" t="s">
        <v>944</v>
      </c>
    </row>
    <row r="521" spans="1:2" x14ac:dyDescent="0.2">
      <c r="A521">
        <v>9015906100</v>
      </c>
      <c r="B521" t="s">
        <v>944</v>
      </c>
    </row>
    <row r="522" spans="1:2" x14ac:dyDescent="0.2">
      <c r="A522">
        <v>9003464101</v>
      </c>
      <c r="B522" t="s">
        <v>944</v>
      </c>
    </row>
    <row r="523" spans="1:2" x14ac:dyDescent="0.2">
      <c r="A523">
        <v>9003464101</v>
      </c>
      <c r="B523" t="s">
        <v>944</v>
      </c>
    </row>
    <row r="524" spans="1:2" x14ac:dyDescent="0.2">
      <c r="A524">
        <v>9003464102</v>
      </c>
      <c r="B524" t="s">
        <v>944</v>
      </c>
    </row>
    <row r="525" spans="1:2" x14ac:dyDescent="0.2">
      <c r="A525">
        <v>9003466102</v>
      </c>
      <c r="B525" t="s">
        <v>944</v>
      </c>
    </row>
    <row r="526" spans="1:2" x14ac:dyDescent="0.2">
      <c r="A526">
        <v>9003466102</v>
      </c>
      <c r="B526" t="s">
        <v>944</v>
      </c>
    </row>
    <row r="527" spans="1:2" x14ac:dyDescent="0.2">
      <c r="A527">
        <v>9003466202</v>
      </c>
      <c r="B527" t="s">
        <v>944</v>
      </c>
    </row>
    <row r="528" spans="1:2" x14ac:dyDescent="0.2">
      <c r="A528">
        <v>9003466202</v>
      </c>
      <c r="B528" t="s">
        <v>944</v>
      </c>
    </row>
    <row r="529" spans="1:2" x14ac:dyDescent="0.2">
      <c r="A529">
        <v>9013881100</v>
      </c>
      <c r="B529" t="s">
        <v>944</v>
      </c>
    </row>
    <row r="530" spans="1:2" x14ac:dyDescent="0.2">
      <c r="A530">
        <v>9013881100</v>
      </c>
      <c r="B530" t="s">
        <v>944</v>
      </c>
    </row>
    <row r="531" spans="1:2" x14ac:dyDescent="0.2">
      <c r="A531">
        <v>9015815000</v>
      </c>
      <c r="B531" t="s">
        <v>944</v>
      </c>
    </row>
    <row r="532" spans="1:2" x14ac:dyDescent="0.2">
      <c r="A532">
        <v>9015815000</v>
      </c>
      <c r="B532" t="s">
        <v>944</v>
      </c>
    </row>
    <row r="533" spans="1:2" x14ac:dyDescent="0.2">
      <c r="A533">
        <v>9009343101</v>
      </c>
      <c r="B533" t="s">
        <v>944</v>
      </c>
    </row>
    <row r="534" spans="1:2" x14ac:dyDescent="0.2">
      <c r="A534">
        <v>9009343101</v>
      </c>
      <c r="B534" t="s">
        <v>944</v>
      </c>
    </row>
    <row r="535" spans="1:2" x14ac:dyDescent="0.2">
      <c r="A535">
        <v>9009343101</v>
      </c>
      <c r="B535" t="s">
        <v>944</v>
      </c>
    </row>
    <row r="536" spans="1:2" x14ac:dyDescent="0.2">
      <c r="A536">
        <v>9009343102</v>
      </c>
      <c r="B536" t="s">
        <v>944</v>
      </c>
    </row>
    <row r="537" spans="1:2" x14ac:dyDescent="0.2">
      <c r="A537">
        <v>9009343300</v>
      </c>
      <c r="B537" t="s">
        <v>944</v>
      </c>
    </row>
    <row r="538" spans="1:2" x14ac:dyDescent="0.2">
      <c r="A538">
        <v>9009343400</v>
      </c>
      <c r="B538" t="s">
        <v>944</v>
      </c>
    </row>
    <row r="539" spans="1:2" x14ac:dyDescent="0.2">
      <c r="A539">
        <v>9009170500</v>
      </c>
      <c r="B539" t="s">
        <v>944</v>
      </c>
    </row>
    <row r="540" spans="1:2" x14ac:dyDescent="0.2">
      <c r="A540">
        <v>9009347100</v>
      </c>
      <c r="B540" t="s">
        <v>944</v>
      </c>
    </row>
    <row r="541" spans="1:2" x14ac:dyDescent="0.2">
      <c r="A541">
        <v>9009347100</v>
      </c>
      <c r="B541" t="s">
        <v>944</v>
      </c>
    </row>
    <row r="542" spans="1:2" x14ac:dyDescent="0.2">
      <c r="A542">
        <v>9009347100</v>
      </c>
      <c r="B542" t="s">
        <v>944</v>
      </c>
    </row>
    <row r="543" spans="1:2" x14ac:dyDescent="0.2">
      <c r="A543">
        <v>9009170600</v>
      </c>
      <c r="B543" t="s">
        <v>944</v>
      </c>
    </row>
    <row r="544" spans="1:2" x14ac:dyDescent="0.2">
      <c r="A544">
        <v>9009170700</v>
      </c>
      <c r="B544" t="s">
        <v>944</v>
      </c>
    </row>
    <row r="545" spans="1:2" x14ac:dyDescent="0.2">
      <c r="A545">
        <v>9009170800</v>
      </c>
      <c r="B545" t="s">
        <v>944</v>
      </c>
    </row>
    <row r="546" spans="1:2" x14ac:dyDescent="0.2">
      <c r="A546">
        <v>9007600100</v>
      </c>
      <c r="B546" t="s">
        <v>944</v>
      </c>
    </row>
    <row r="547" spans="1:2" x14ac:dyDescent="0.2">
      <c r="A547">
        <v>9009170900</v>
      </c>
      <c r="B547" t="s">
        <v>944</v>
      </c>
    </row>
    <row r="548" spans="1:2" x14ac:dyDescent="0.2">
      <c r="A548">
        <v>9007610100</v>
      </c>
      <c r="B548" t="s">
        <v>944</v>
      </c>
    </row>
    <row r="549" spans="1:2" x14ac:dyDescent="0.2">
      <c r="A549">
        <v>9009171000</v>
      </c>
      <c r="B549" t="s">
        <v>944</v>
      </c>
    </row>
    <row r="550" spans="1:2" x14ac:dyDescent="0.2">
      <c r="A550">
        <v>9007610200</v>
      </c>
      <c r="B550" t="s">
        <v>944</v>
      </c>
    </row>
    <row r="551" spans="1:2" x14ac:dyDescent="0.2">
      <c r="A551">
        <v>9009171100</v>
      </c>
      <c r="B551" t="s">
        <v>944</v>
      </c>
    </row>
    <row r="552" spans="1:2" x14ac:dyDescent="0.2">
      <c r="A552">
        <v>9007610300</v>
      </c>
      <c r="B552" t="s">
        <v>944</v>
      </c>
    </row>
    <row r="553" spans="1:2" x14ac:dyDescent="0.2">
      <c r="A553">
        <v>9009171200</v>
      </c>
      <c r="B553" t="s">
        <v>944</v>
      </c>
    </row>
    <row r="554" spans="1:2" x14ac:dyDescent="0.2">
      <c r="A554">
        <v>9007610400</v>
      </c>
      <c r="B554" t="s">
        <v>944</v>
      </c>
    </row>
    <row r="555" spans="1:2" x14ac:dyDescent="0.2">
      <c r="A555">
        <v>9009171300</v>
      </c>
      <c r="B555" t="s">
        <v>944</v>
      </c>
    </row>
    <row r="556" spans="1:2" x14ac:dyDescent="0.2">
      <c r="A556">
        <v>9007550201</v>
      </c>
      <c r="B556" t="s">
        <v>944</v>
      </c>
    </row>
    <row r="557" spans="1:2" x14ac:dyDescent="0.2">
      <c r="A557">
        <v>9007550201</v>
      </c>
      <c r="B557" t="s">
        <v>944</v>
      </c>
    </row>
    <row r="558" spans="1:2" x14ac:dyDescent="0.2">
      <c r="A558">
        <v>9009171400</v>
      </c>
      <c r="B558" t="s">
        <v>944</v>
      </c>
    </row>
    <row r="559" spans="1:2" x14ac:dyDescent="0.2">
      <c r="A559">
        <v>9009171500</v>
      </c>
      <c r="B559" t="s">
        <v>944</v>
      </c>
    </row>
    <row r="560" spans="1:2" x14ac:dyDescent="0.2">
      <c r="A560">
        <v>9007595101</v>
      </c>
      <c r="B560" t="s">
        <v>944</v>
      </c>
    </row>
    <row r="561" spans="1:2" x14ac:dyDescent="0.2">
      <c r="A561">
        <v>9007595101</v>
      </c>
      <c r="B561" t="s">
        <v>944</v>
      </c>
    </row>
    <row r="562" spans="1:2" x14ac:dyDescent="0.2">
      <c r="A562">
        <v>9007595101</v>
      </c>
      <c r="B562" t="s">
        <v>944</v>
      </c>
    </row>
    <row r="563" spans="1:2" x14ac:dyDescent="0.2">
      <c r="A563">
        <v>9009171700</v>
      </c>
      <c r="B563" t="s">
        <v>944</v>
      </c>
    </row>
    <row r="564" spans="1:2" x14ac:dyDescent="0.2">
      <c r="A564">
        <v>9011714101</v>
      </c>
      <c r="B564" t="s">
        <v>944</v>
      </c>
    </row>
    <row r="565" spans="1:2" x14ac:dyDescent="0.2">
      <c r="A565">
        <v>9011714103</v>
      </c>
      <c r="B565" t="s">
        <v>944</v>
      </c>
    </row>
    <row r="566" spans="1:2" x14ac:dyDescent="0.2">
      <c r="A566">
        <v>9011714104</v>
      </c>
      <c r="B566" t="s">
        <v>944</v>
      </c>
    </row>
    <row r="567" spans="1:2" x14ac:dyDescent="0.2">
      <c r="A567">
        <v>9011714104</v>
      </c>
      <c r="B567" t="s">
        <v>944</v>
      </c>
    </row>
    <row r="568" spans="1:2" x14ac:dyDescent="0.2">
      <c r="A568">
        <v>9011714104</v>
      </c>
      <c r="B568" t="s">
        <v>944</v>
      </c>
    </row>
    <row r="569" spans="1:2" x14ac:dyDescent="0.2">
      <c r="A569">
        <v>9009175400</v>
      </c>
      <c r="B569" t="s">
        <v>944</v>
      </c>
    </row>
    <row r="570" spans="1:2" x14ac:dyDescent="0.2">
      <c r="A570">
        <v>9011715100</v>
      </c>
      <c r="B570" t="s">
        <v>944</v>
      </c>
    </row>
    <row r="571" spans="1:2" x14ac:dyDescent="0.2">
      <c r="A571">
        <v>9011715100</v>
      </c>
      <c r="B571" t="s">
        <v>944</v>
      </c>
    </row>
    <row r="572" spans="1:2" x14ac:dyDescent="0.2">
      <c r="A572">
        <v>9011715100</v>
      </c>
      <c r="B572" t="s">
        <v>944</v>
      </c>
    </row>
    <row r="573" spans="1:2" x14ac:dyDescent="0.2">
      <c r="A573">
        <v>9011870100</v>
      </c>
      <c r="B573" t="s">
        <v>944</v>
      </c>
    </row>
    <row r="574" spans="1:2" x14ac:dyDescent="0.2">
      <c r="A574">
        <v>9011870100</v>
      </c>
      <c r="B574" t="s">
        <v>944</v>
      </c>
    </row>
    <row r="575" spans="1:2" x14ac:dyDescent="0.2">
      <c r="A575">
        <v>9011870100</v>
      </c>
      <c r="B575" t="s">
        <v>944</v>
      </c>
    </row>
    <row r="576" spans="1:2" x14ac:dyDescent="0.2">
      <c r="A576">
        <v>9013526101</v>
      </c>
      <c r="B576" t="s">
        <v>944</v>
      </c>
    </row>
    <row r="577" spans="1:2" x14ac:dyDescent="0.2">
      <c r="A577">
        <v>9013526101</v>
      </c>
      <c r="B577" t="s">
        <v>944</v>
      </c>
    </row>
    <row r="578" spans="1:2" x14ac:dyDescent="0.2">
      <c r="A578">
        <v>9013526101</v>
      </c>
      <c r="B578" t="s">
        <v>944</v>
      </c>
    </row>
    <row r="579" spans="1:2" x14ac:dyDescent="0.2">
      <c r="A579">
        <v>9009190100</v>
      </c>
      <c r="B579" t="s">
        <v>944</v>
      </c>
    </row>
    <row r="580" spans="1:2" x14ac:dyDescent="0.2">
      <c r="A580">
        <v>9009190200</v>
      </c>
      <c r="B580" t="s">
        <v>944</v>
      </c>
    </row>
    <row r="581" spans="1:2" x14ac:dyDescent="0.2">
      <c r="A581">
        <v>9009190301</v>
      </c>
      <c r="B581" t="s">
        <v>944</v>
      </c>
    </row>
    <row r="582" spans="1:2" x14ac:dyDescent="0.2">
      <c r="A582">
        <v>9009190301</v>
      </c>
      <c r="B582" t="s">
        <v>944</v>
      </c>
    </row>
    <row r="583" spans="1:2" x14ac:dyDescent="0.2">
      <c r="A583">
        <v>9005293100</v>
      </c>
      <c r="B583" t="s">
        <v>944</v>
      </c>
    </row>
    <row r="584" spans="1:2" x14ac:dyDescent="0.2">
      <c r="A584">
        <v>9009190302</v>
      </c>
      <c r="B584" t="s">
        <v>944</v>
      </c>
    </row>
    <row r="585" spans="1:2" x14ac:dyDescent="0.2">
      <c r="A585">
        <v>9013850200</v>
      </c>
      <c r="B585" t="s">
        <v>944</v>
      </c>
    </row>
    <row r="586" spans="1:2" x14ac:dyDescent="0.2">
      <c r="A586">
        <v>9013850200</v>
      </c>
      <c r="B586" t="s">
        <v>944</v>
      </c>
    </row>
    <row r="587" spans="1:2" x14ac:dyDescent="0.2">
      <c r="A587">
        <v>9013850200</v>
      </c>
      <c r="B587" t="s">
        <v>944</v>
      </c>
    </row>
    <row r="588" spans="1:2" x14ac:dyDescent="0.2">
      <c r="A588">
        <v>9009194100</v>
      </c>
      <c r="B588" t="s">
        <v>944</v>
      </c>
    </row>
    <row r="589" spans="1:2" x14ac:dyDescent="0.2">
      <c r="A589">
        <v>9009194201</v>
      </c>
      <c r="B589" t="s">
        <v>944</v>
      </c>
    </row>
    <row r="590" spans="1:2" x14ac:dyDescent="0.2">
      <c r="A590">
        <v>9009194201</v>
      </c>
      <c r="B590" t="s">
        <v>944</v>
      </c>
    </row>
    <row r="591" spans="1:2" x14ac:dyDescent="0.2">
      <c r="A591">
        <v>9013860100</v>
      </c>
      <c r="B591" t="s">
        <v>944</v>
      </c>
    </row>
    <row r="592" spans="1:2" x14ac:dyDescent="0.2">
      <c r="A592">
        <v>9013860100</v>
      </c>
      <c r="B592" t="s">
        <v>944</v>
      </c>
    </row>
    <row r="593" spans="1:2" x14ac:dyDescent="0.2">
      <c r="A593">
        <v>9005262100</v>
      </c>
      <c r="B593" t="s">
        <v>944</v>
      </c>
    </row>
    <row r="594" spans="1:2" x14ac:dyDescent="0.2">
      <c r="A594">
        <v>9005262100</v>
      </c>
      <c r="B594" t="s">
        <v>944</v>
      </c>
    </row>
    <row r="595" spans="1:2" x14ac:dyDescent="0.2">
      <c r="A595">
        <v>9005262100</v>
      </c>
      <c r="B595" t="s">
        <v>944</v>
      </c>
    </row>
    <row r="596" spans="1:2" x14ac:dyDescent="0.2">
      <c r="A596">
        <v>9001210300</v>
      </c>
      <c r="B596" t="s">
        <v>944</v>
      </c>
    </row>
    <row r="597" spans="1:2" x14ac:dyDescent="0.2">
      <c r="A597">
        <v>9001210701</v>
      </c>
      <c r="B597" t="s">
        <v>944</v>
      </c>
    </row>
    <row r="598" spans="1:2" x14ac:dyDescent="0.2">
      <c r="A598">
        <v>9005265100</v>
      </c>
      <c r="B598" t="s">
        <v>944</v>
      </c>
    </row>
    <row r="599" spans="1:2" x14ac:dyDescent="0.2">
      <c r="A599">
        <v>9005265100</v>
      </c>
      <c r="B599" t="s">
        <v>944</v>
      </c>
    </row>
    <row r="600" spans="1:2" x14ac:dyDescent="0.2">
      <c r="A600">
        <v>9005265100</v>
      </c>
      <c r="B600" t="s">
        <v>944</v>
      </c>
    </row>
    <row r="601" spans="1:2" x14ac:dyDescent="0.2">
      <c r="A601">
        <v>9005265100</v>
      </c>
      <c r="B601" t="s">
        <v>944</v>
      </c>
    </row>
    <row r="602" spans="1:2" x14ac:dyDescent="0.2">
      <c r="A602">
        <v>9001210702</v>
      </c>
      <c r="B602" t="s">
        <v>944</v>
      </c>
    </row>
    <row r="603" spans="1:2" x14ac:dyDescent="0.2">
      <c r="A603">
        <v>9001211300</v>
      </c>
      <c r="B603" t="s">
        <v>944</v>
      </c>
    </row>
    <row r="604" spans="1:2" x14ac:dyDescent="0.2">
      <c r="A604">
        <v>9005266100</v>
      </c>
      <c r="B604" t="s">
        <v>944</v>
      </c>
    </row>
    <row r="605" spans="1:2" x14ac:dyDescent="0.2">
      <c r="A605">
        <v>9005266100</v>
      </c>
      <c r="B605" t="s">
        <v>944</v>
      </c>
    </row>
    <row r="606" spans="1:2" x14ac:dyDescent="0.2">
      <c r="A606">
        <v>9005266100</v>
      </c>
      <c r="B606" t="s">
        <v>944</v>
      </c>
    </row>
    <row r="607" spans="1:2" x14ac:dyDescent="0.2">
      <c r="A607">
        <v>9005266100</v>
      </c>
      <c r="B607" t="s">
        <v>944</v>
      </c>
    </row>
    <row r="608" spans="1:2" x14ac:dyDescent="0.2">
      <c r="A608">
        <v>9005266100</v>
      </c>
      <c r="B608" t="s">
        <v>944</v>
      </c>
    </row>
    <row r="609" spans="1:2" x14ac:dyDescent="0.2">
      <c r="A609">
        <v>9007570100</v>
      </c>
      <c r="B609" t="s">
        <v>944</v>
      </c>
    </row>
    <row r="610" spans="1:2" x14ac:dyDescent="0.2">
      <c r="A610">
        <v>9007570200</v>
      </c>
      <c r="B610" t="s">
        <v>944</v>
      </c>
    </row>
    <row r="611" spans="1:2" x14ac:dyDescent="0.2">
      <c r="A611">
        <v>9001220100</v>
      </c>
      <c r="B611" t="s">
        <v>944</v>
      </c>
    </row>
    <row r="612" spans="1:2" x14ac:dyDescent="0.2">
      <c r="A612">
        <v>9007570300</v>
      </c>
      <c r="B612" t="s">
        <v>944</v>
      </c>
    </row>
    <row r="613" spans="1:2" x14ac:dyDescent="0.2">
      <c r="A613">
        <v>9001220300</v>
      </c>
      <c r="B613" t="s">
        <v>944</v>
      </c>
    </row>
    <row r="614" spans="1:2" x14ac:dyDescent="0.2">
      <c r="A614">
        <v>9001220300</v>
      </c>
      <c r="B614" t="s">
        <v>944</v>
      </c>
    </row>
    <row r="615" spans="1:2" x14ac:dyDescent="0.2">
      <c r="A615">
        <v>9001220300</v>
      </c>
      <c r="B615" t="s">
        <v>944</v>
      </c>
    </row>
    <row r="616" spans="1:2" x14ac:dyDescent="0.2">
      <c r="A616">
        <v>9001245300</v>
      </c>
      <c r="B616" t="s">
        <v>944</v>
      </c>
    </row>
    <row r="617" spans="1:2" x14ac:dyDescent="0.2">
      <c r="A617">
        <v>9005253100</v>
      </c>
      <c r="B617" t="s">
        <v>944</v>
      </c>
    </row>
    <row r="618" spans="1:2" x14ac:dyDescent="0.2">
      <c r="A618">
        <v>9005253300</v>
      </c>
      <c r="B618" t="s">
        <v>944</v>
      </c>
    </row>
    <row r="619" spans="1:2" x14ac:dyDescent="0.2">
      <c r="A619">
        <v>9005253600</v>
      </c>
      <c r="B619" t="s">
        <v>944</v>
      </c>
    </row>
    <row r="620" spans="1:2" x14ac:dyDescent="0.2">
      <c r="A620">
        <v>9005267100</v>
      </c>
      <c r="B620" t="s">
        <v>944</v>
      </c>
    </row>
    <row r="621" spans="1:2" x14ac:dyDescent="0.2">
      <c r="A621">
        <v>9005267100</v>
      </c>
      <c r="B621" t="s">
        <v>944</v>
      </c>
    </row>
    <row r="622" spans="1:2" x14ac:dyDescent="0.2">
      <c r="A622">
        <v>9005267100</v>
      </c>
      <c r="B622" t="s">
        <v>944</v>
      </c>
    </row>
    <row r="623" spans="1:2" x14ac:dyDescent="0.2">
      <c r="A623">
        <v>9005298300</v>
      </c>
      <c r="B623" t="s">
        <v>944</v>
      </c>
    </row>
    <row r="624" spans="1:2" x14ac:dyDescent="0.2">
      <c r="A624">
        <v>9005298400</v>
      </c>
      <c r="B624" t="s">
        <v>944</v>
      </c>
    </row>
    <row r="625" spans="1:2" x14ac:dyDescent="0.2">
      <c r="A625">
        <v>9005310100</v>
      </c>
      <c r="B625" t="s">
        <v>944</v>
      </c>
    </row>
    <row r="626" spans="1:2" x14ac:dyDescent="0.2">
      <c r="A626">
        <v>9005310200</v>
      </c>
      <c r="B626" t="s">
        <v>944</v>
      </c>
    </row>
    <row r="627" spans="1:2" x14ac:dyDescent="0.2">
      <c r="A627">
        <v>9005310300</v>
      </c>
      <c r="B627" t="s">
        <v>936</v>
      </c>
    </row>
    <row r="628" spans="1:2" x14ac:dyDescent="0.2">
      <c r="A628">
        <v>9005310400</v>
      </c>
      <c r="B628" t="s">
        <v>944</v>
      </c>
    </row>
    <row r="629" spans="1:2" x14ac:dyDescent="0.2">
      <c r="A629">
        <v>9005310400</v>
      </c>
      <c r="B629" t="s">
        <v>944</v>
      </c>
    </row>
    <row r="630" spans="1:2" x14ac:dyDescent="0.2">
      <c r="A630">
        <v>9005310500</v>
      </c>
      <c r="B630" t="s">
        <v>944</v>
      </c>
    </row>
    <row r="631" spans="1:2" x14ac:dyDescent="0.2">
      <c r="A631">
        <v>9005310602</v>
      </c>
      <c r="B631" t="s">
        <v>944</v>
      </c>
    </row>
    <row r="632" spans="1:2" x14ac:dyDescent="0.2">
      <c r="A632">
        <v>9005310700</v>
      </c>
      <c r="B632" t="s">
        <v>944</v>
      </c>
    </row>
    <row r="633" spans="1:2" x14ac:dyDescent="0.2">
      <c r="A633">
        <v>9007620100</v>
      </c>
      <c r="B633" t="s">
        <v>944</v>
      </c>
    </row>
    <row r="634" spans="1:2" x14ac:dyDescent="0.2">
      <c r="A634">
        <v>9005310801</v>
      </c>
      <c r="B634" t="s">
        <v>944</v>
      </c>
    </row>
    <row r="635" spans="1:2" x14ac:dyDescent="0.2">
      <c r="A635">
        <v>9005310803</v>
      </c>
      <c r="B635" t="s">
        <v>936</v>
      </c>
    </row>
    <row r="636" spans="1:2" x14ac:dyDescent="0.2">
      <c r="A636">
        <v>9005310804</v>
      </c>
      <c r="B636" t="s">
        <v>944</v>
      </c>
    </row>
    <row r="637" spans="1:2" x14ac:dyDescent="0.2">
      <c r="A637">
        <v>9007585100</v>
      </c>
      <c r="B637" t="s">
        <v>944</v>
      </c>
    </row>
    <row r="638" spans="1:2" x14ac:dyDescent="0.2">
      <c r="A638">
        <v>9007585100</v>
      </c>
      <c r="B638" t="s">
        <v>944</v>
      </c>
    </row>
    <row r="639" spans="1:2" x14ac:dyDescent="0.2">
      <c r="A639">
        <v>9005320200</v>
      </c>
      <c r="B639" t="s">
        <v>944</v>
      </c>
    </row>
    <row r="640" spans="1:2" x14ac:dyDescent="0.2">
      <c r="A640">
        <v>9003470100</v>
      </c>
      <c r="B640" t="s">
        <v>944</v>
      </c>
    </row>
    <row r="641" spans="1:2" x14ac:dyDescent="0.2">
      <c r="A641">
        <v>9003470100</v>
      </c>
      <c r="B641" t="s">
        <v>944</v>
      </c>
    </row>
    <row r="642" spans="1:2" x14ac:dyDescent="0.2">
      <c r="A642">
        <v>9003470100</v>
      </c>
      <c r="B642" t="s">
        <v>944</v>
      </c>
    </row>
    <row r="643" spans="1:2" x14ac:dyDescent="0.2">
      <c r="A643">
        <v>9009344100</v>
      </c>
      <c r="B643" t="s">
        <v>944</v>
      </c>
    </row>
    <row r="644" spans="1:2" x14ac:dyDescent="0.2">
      <c r="A644">
        <v>9009344100</v>
      </c>
      <c r="B644" t="s">
        <v>944</v>
      </c>
    </row>
    <row r="645" spans="1:2" x14ac:dyDescent="0.2">
      <c r="A645">
        <v>9009344200</v>
      </c>
      <c r="B645" t="s">
        <v>944</v>
      </c>
    </row>
    <row r="646" spans="1:2" x14ac:dyDescent="0.2">
      <c r="A646">
        <v>9009344200</v>
      </c>
      <c r="B646" t="s">
        <v>944</v>
      </c>
    </row>
    <row r="647" spans="1:2" x14ac:dyDescent="0.2">
      <c r="A647">
        <v>9009345100</v>
      </c>
      <c r="B647" t="s">
        <v>944</v>
      </c>
    </row>
    <row r="648" spans="1:2" x14ac:dyDescent="0.2">
      <c r="A648">
        <v>9009345100</v>
      </c>
      <c r="B648" t="s">
        <v>944</v>
      </c>
    </row>
    <row r="649" spans="1:2" x14ac:dyDescent="0.2">
      <c r="A649">
        <v>9003477101</v>
      </c>
      <c r="B649" t="s">
        <v>944</v>
      </c>
    </row>
    <row r="650" spans="1:2" x14ac:dyDescent="0.2">
      <c r="A650">
        <v>9003477101</v>
      </c>
      <c r="B650" t="s">
        <v>944</v>
      </c>
    </row>
    <row r="651" spans="1:2" x14ac:dyDescent="0.2">
      <c r="A651">
        <v>9009345201</v>
      </c>
      <c r="B651" t="s">
        <v>944</v>
      </c>
    </row>
    <row r="652" spans="1:2" x14ac:dyDescent="0.2">
      <c r="A652">
        <v>9009345202</v>
      </c>
      <c r="B652" t="s">
        <v>944</v>
      </c>
    </row>
    <row r="653" spans="1:2" x14ac:dyDescent="0.2">
      <c r="A653">
        <v>9009345300</v>
      </c>
      <c r="B653" t="s">
        <v>944</v>
      </c>
    </row>
    <row r="654" spans="1:2" x14ac:dyDescent="0.2">
      <c r="A654">
        <v>9009345300</v>
      </c>
      <c r="B654" t="s">
        <v>944</v>
      </c>
    </row>
    <row r="655" spans="1:2" x14ac:dyDescent="0.2">
      <c r="A655">
        <v>9003477200</v>
      </c>
      <c r="B655" t="s">
        <v>944</v>
      </c>
    </row>
    <row r="656" spans="1:2" x14ac:dyDescent="0.2">
      <c r="A656">
        <v>9003477200</v>
      </c>
      <c r="B656" t="s">
        <v>944</v>
      </c>
    </row>
    <row r="657" spans="1:2" x14ac:dyDescent="0.2">
      <c r="A657">
        <v>9009345400</v>
      </c>
      <c r="B657" t="s">
        <v>944</v>
      </c>
    </row>
    <row r="658" spans="1:2" x14ac:dyDescent="0.2">
      <c r="A658">
        <v>9009345400</v>
      </c>
      <c r="B658" t="s">
        <v>944</v>
      </c>
    </row>
    <row r="659" spans="1:2" x14ac:dyDescent="0.2">
      <c r="A659">
        <v>9009346101</v>
      </c>
      <c r="B659" t="s">
        <v>944</v>
      </c>
    </row>
    <row r="660" spans="1:2" x14ac:dyDescent="0.2">
      <c r="A660">
        <v>9007595102</v>
      </c>
      <c r="B660" t="s">
        <v>944</v>
      </c>
    </row>
    <row r="661" spans="1:2" x14ac:dyDescent="0.2">
      <c r="A661">
        <v>9007550100</v>
      </c>
      <c r="B661" t="s">
        <v>944</v>
      </c>
    </row>
    <row r="662" spans="1:2" x14ac:dyDescent="0.2">
      <c r="A662">
        <v>9009347200</v>
      </c>
      <c r="B662" t="s">
        <v>944</v>
      </c>
    </row>
    <row r="663" spans="1:2" x14ac:dyDescent="0.2">
      <c r="A663">
        <v>9009347200</v>
      </c>
      <c r="B663" t="s">
        <v>944</v>
      </c>
    </row>
    <row r="664" spans="1:2" x14ac:dyDescent="0.2">
      <c r="A664">
        <v>9007550202</v>
      </c>
      <c r="B664" t="s">
        <v>944</v>
      </c>
    </row>
    <row r="665" spans="1:2" x14ac:dyDescent="0.2">
      <c r="A665">
        <v>9009348111</v>
      </c>
      <c r="B665" t="s">
        <v>944</v>
      </c>
    </row>
    <row r="666" spans="1:2" x14ac:dyDescent="0.2">
      <c r="A666">
        <v>9007590100</v>
      </c>
      <c r="B666" t="s">
        <v>944</v>
      </c>
    </row>
    <row r="667" spans="1:2" x14ac:dyDescent="0.2">
      <c r="A667">
        <v>9007590100</v>
      </c>
      <c r="B667" t="s">
        <v>944</v>
      </c>
    </row>
    <row r="668" spans="1:2" x14ac:dyDescent="0.2">
      <c r="A668">
        <v>9007590100</v>
      </c>
      <c r="B668" t="s">
        <v>944</v>
      </c>
    </row>
    <row r="669" spans="1:2" x14ac:dyDescent="0.2">
      <c r="A669">
        <v>9007590100</v>
      </c>
      <c r="B669" t="s">
        <v>944</v>
      </c>
    </row>
    <row r="670" spans="1:2" x14ac:dyDescent="0.2">
      <c r="A670">
        <v>9009348122</v>
      </c>
      <c r="B670" t="s">
        <v>944</v>
      </c>
    </row>
    <row r="671" spans="1:2" x14ac:dyDescent="0.2">
      <c r="A671">
        <v>9009348123</v>
      </c>
      <c r="B671" t="s">
        <v>944</v>
      </c>
    </row>
    <row r="672" spans="1:2" x14ac:dyDescent="0.2">
      <c r="A672">
        <v>9009348124</v>
      </c>
      <c r="B672" t="s">
        <v>944</v>
      </c>
    </row>
    <row r="673" spans="1:2" x14ac:dyDescent="0.2">
      <c r="A673">
        <v>9009348125</v>
      </c>
      <c r="B673" t="s">
        <v>944</v>
      </c>
    </row>
    <row r="674" spans="1:2" x14ac:dyDescent="0.2">
      <c r="A674">
        <v>9009351602</v>
      </c>
      <c r="B674" t="s">
        <v>944</v>
      </c>
    </row>
    <row r="675" spans="1:2" x14ac:dyDescent="0.2">
      <c r="A675">
        <v>9003496900</v>
      </c>
      <c r="B675" t="s">
        <v>944</v>
      </c>
    </row>
    <row r="676" spans="1:2" x14ac:dyDescent="0.2">
      <c r="A676">
        <v>9003496900</v>
      </c>
      <c r="B676" t="s">
        <v>944</v>
      </c>
    </row>
    <row r="677" spans="1:2" x14ac:dyDescent="0.2">
      <c r="A677">
        <v>9003496900</v>
      </c>
      <c r="B677" t="s">
        <v>944</v>
      </c>
    </row>
    <row r="678" spans="1:2" x14ac:dyDescent="0.2">
      <c r="A678">
        <v>9009351700</v>
      </c>
      <c r="B678" t="s">
        <v>936</v>
      </c>
    </row>
    <row r="679" spans="1:2" x14ac:dyDescent="0.2">
      <c r="A679">
        <v>9009351900</v>
      </c>
      <c r="B679" t="s">
        <v>944</v>
      </c>
    </row>
    <row r="680" spans="1:2" x14ac:dyDescent="0.2">
      <c r="A680">
        <v>9009351900</v>
      </c>
      <c r="B680" t="s">
        <v>944</v>
      </c>
    </row>
    <row r="681" spans="1:2" x14ac:dyDescent="0.2">
      <c r="A681">
        <v>9003510100</v>
      </c>
      <c r="B681" t="s">
        <v>944</v>
      </c>
    </row>
    <row r="682" spans="1:2" x14ac:dyDescent="0.2">
      <c r="A682">
        <v>9009352000</v>
      </c>
      <c r="B682" t="s">
        <v>944</v>
      </c>
    </row>
    <row r="683" spans="1:2" x14ac:dyDescent="0.2">
      <c r="A683">
        <v>9003510200</v>
      </c>
      <c r="B683" t="s">
        <v>944</v>
      </c>
    </row>
    <row r="684" spans="1:2" x14ac:dyDescent="0.2">
      <c r="A684">
        <v>9009352100</v>
      </c>
      <c r="B684" t="s">
        <v>944</v>
      </c>
    </row>
    <row r="685" spans="1:2" x14ac:dyDescent="0.2">
      <c r="A685">
        <v>9009352100</v>
      </c>
      <c r="B685" t="s">
        <v>944</v>
      </c>
    </row>
    <row r="686" spans="1:2" x14ac:dyDescent="0.2">
      <c r="A686">
        <v>9003510300</v>
      </c>
      <c r="B686" t="s">
        <v>944</v>
      </c>
    </row>
    <row r="687" spans="1:2" x14ac:dyDescent="0.2">
      <c r="A687">
        <v>9009352200</v>
      </c>
      <c r="B687" t="s">
        <v>936</v>
      </c>
    </row>
    <row r="688" spans="1:2" x14ac:dyDescent="0.2">
      <c r="A688">
        <v>9003510400</v>
      </c>
      <c r="B688" t="s">
        <v>944</v>
      </c>
    </row>
    <row r="689" spans="1:2" x14ac:dyDescent="0.2">
      <c r="A689">
        <v>9009352300</v>
      </c>
      <c r="B689" t="s">
        <v>936</v>
      </c>
    </row>
    <row r="690" spans="1:2" x14ac:dyDescent="0.2">
      <c r="A690">
        <v>9003510500</v>
      </c>
      <c r="B690" t="s">
        <v>944</v>
      </c>
    </row>
    <row r="691" spans="1:2" x14ac:dyDescent="0.2">
      <c r="A691">
        <v>9009352400</v>
      </c>
      <c r="B691" t="s">
        <v>936</v>
      </c>
    </row>
    <row r="692" spans="1:2" x14ac:dyDescent="0.2">
      <c r="A692">
        <v>9003510600</v>
      </c>
      <c r="B692" t="s">
        <v>944</v>
      </c>
    </row>
    <row r="693" spans="1:2" x14ac:dyDescent="0.2">
      <c r="A693">
        <v>9009352500</v>
      </c>
      <c r="B693" t="s">
        <v>944</v>
      </c>
    </row>
    <row r="694" spans="1:2" x14ac:dyDescent="0.2">
      <c r="A694">
        <v>9003510700</v>
      </c>
      <c r="B694" t="s">
        <v>944</v>
      </c>
    </row>
    <row r="695" spans="1:2" x14ac:dyDescent="0.2">
      <c r="A695">
        <v>9003510700</v>
      </c>
      <c r="B695" t="s">
        <v>944</v>
      </c>
    </row>
    <row r="696" spans="1:2" x14ac:dyDescent="0.2">
      <c r="A696">
        <v>9009352600</v>
      </c>
      <c r="B696" t="s">
        <v>936</v>
      </c>
    </row>
    <row r="697" spans="1:2" x14ac:dyDescent="0.2">
      <c r="A697">
        <v>9005360200</v>
      </c>
      <c r="B697" t="s">
        <v>944</v>
      </c>
    </row>
    <row r="698" spans="1:2" x14ac:dyDescent="0.2">
      <c r="A698">
        <v>9003510800</v>
      </c>
      <c r="B698" t="s">
        <v>944</v>
      </c>
    </row>
    <row r="699" spans="1:2" x14ac:dyDescent="0.2">
      <c r="A699">
        <v>9005360300</v>
      </c>
      <c r="B699" t="s">
        <v>944</v>
      </c>
    </row>
    <row r="700" spans="1:2" x14ac:dyDescent="0.2">
      <c r="A700">
        <v>9003510900</v>
      </c>
      <c r="B700" t="s">
        <v>944</v>
      </c>
    </row>
    <row r="701" spans="1:2" x14ac:dyDescent="0.2">
      <c r="A701">
        <v>9005360400</v>
      </c>
      <c r="B701" t="s">
        <v>944</v>
      </c>
    </row>
    <row r="702" spans="1:2" x14ac:dyDescent="0.2">
      <c r="A702">
        <v>9003511000</v>
      </c>
      <c r="B702" t="s">
        <v>944</v>
      </c>
    </row>
    <row r="703" spans="1:2" x14ac:dyDescent="0.2">
      <c r="A703">
        <v>9009361100</v>
      </c>
      <c r="B703" t="s">
        <v>944</v>
      </c>
    </row>
    <row r="704" spans="1:2" x14ac:dyDescent="0.2">
      <c r="A704">
        <v>9003511100</v>
      </c>
      <c r="B704" t="s">
        <v>944</v>
      </c>
    </row>
    <row r="705" spans="1:2" x14ac:dyDescent="0.2">
      <c r="A705">
        <v>9003511200</v>
      </c>
      <c r="B705" t="s">
        <v>944</v>
      </c>
    </row>
    <row r="706" spans="1:2" x14ac:dyDescent="0.2">
      <c r="A706">
        <v>9003511300</v>
      </c>
      <c r="B706" t="s">
        <v>944</v>
      </c>
    </row>
    <row r="707" spans="1:2" x14ac:dyDescent="0.2">
      <c r="A707">
        <v>9003511400</v>
      </c>
      <c r="B707" t="s">
        <v>944</v>
      </c>
    </row>
    <row r="708" spans="1:2" x14ac:dyDescent="0.2">
      <c r="A708">
        <v>9003514102</v>
      </c>
      <c r="B708" t="s">
        <v>944</v>
      </c>
    </row>
    <row r="709" spans="1:2" x14ac:dyDescent="0.2">
      <c r="A709">
        <v>9003514102</v>
      </c>
      <c r="B709" t="s">
        <v>944</v>
      </c>
    </row>
    <row r="710" spans="1:2" x14ac:dyDescent="0.2">
      <c r="A710">
        <v>9003514102</v>
      </c>
      <c r="B710" t="s">
        <v>944</v>
      </c>
    </row>
    <row r="711" spans="1:2" x14ac:dyDescent="0.2">
      <c r="A711">
        <v>9011695202</v>
      </c>
      <c r="B711" t="s">
        <v>944</v>
      </c>
    </row>
    <row r="712" spans="1:2" x14ac:dyDescent="0.2">
      <c r="A712">
        <v>9011695202</v>
      </c>
      <c r="B712" t="s">
        <v>944</v>
      </c>
    </row>
    <row r="713" spans="1:2" x14ac:dyDescent="0.2">
      <c r="A713">
        <v>9011716101</v>
      </c>
      <c r="B713" t="s">
        <v>944</v>
      </c>
    </row>
    <row r="714" spans="1:2" x14ac:dyDescent="0.2">
      <c r="A714">
        <v>9011716102</v>
      </c>
      <c r="B714" t="s">
        <v>944</v>
      </c>
    </row>
    <row r="715" spans="1:2" x14ac:dyDescent="0.2">
      <c r="A715">
        <v>9011716102</v>
      </c>
      <c r="B715" t="s">
        <v>944</v>
      </c>
    </row>
    <row r="716" spans="1:2" x14ac:dyDescent="0.2">
      <c r="A716">
        <v>9011716102</v>
      </c>
      <c r="B716" t="s">
        <v>944</v>
      </c>
    </row>
    <row r="717" spans="1:2" x14ac:dyDescent="0.2">
      <c r="A717">
        <v>9011870701</v>
      </c>
      <c r="B717" t="s">
        <v>944</v>
      </c>
    </row>
    <row r="718" spans="1:2" x14ac:dyDescent="0.2">
      <c r="A718">
        <v>9003415400</v>
      </c>
      <c r="B718" t="s">
        <v>936</v>
      </c>
    </row>
    <row r="719" spans="1:2" x14ac:dyDescent="0.2">
      <c r="A719">
        <v>9011870703</v>
      </c>
      <c r="B719" t="s">
        <v>944</v>
      </c>
    </row>
    <row r="720" spans="1:2" x14ac:dyDescent="0.2">
      <c r="A720">
        <v>9003416500</v>
      </c>
      <c r="B720" t="s">
        <v>944</v>
      </c>
    </row>
    <row r="721" spans="1:2" x14ac:dyDescent="0.2">
      <c r="A721">
        <v>9011870704</v>
      </c>
      <c r="B721" t="s">
        <v>944</v>
      </c>
    </row>
    <row r="722" spans="1:2" x14ac:dyDescent="0.2">
      <c r="A722">
        <v>9003420600</v>
      </c>
      <c r="B722" t="s">
        <v>944</v>
      </c>
    </row>
    <row r="723" spans="1:2" x14ac:dyDescent="0.2">
      <c r="A723">
        <v>9003420600</v>
      </c>
      <c r="B723" t="s">
        <v>944</v>
      </c>
    </row>
    <row r="724" spans="1:2" x14ac:dyDescent="0.2">
      <c r="A724">
        <v>9003484100</v>
      </c>
      <c r="B724" t="s">
        <v>944</v>
      </c>
    </row>
    <row r="725" spans="1:2" x14ac:dyDescent="0.2">
      <c r="A725">
        <v>9003420700</v>
      </c>
      <c r="B725" t="s">
        <v>944</v>
      </c>
    </row>
    <row r="726" spans="1:2" x14ac:dyDescent="0.2">
      <c r="A726">
        <v>9003484200</v>
      </c>
      <c r="B726" t="s">
        <v>944</v>
      </c>
    </row>
    <row r="727" spans="1:2" x14ac:dyDescent="0.2">
      <c r="A727">
        <v>9003484200</v>
      </c>
      <c r="B727" t="s">
        <v>944</v>
      </c>
    </row>
    <row r="728" spans="1:2" x14ac:dyDescent="0.2">
      <c r="A728">
        <v>9003484200</v>
      </c>
      <c r="B728" t="s">
        <v>944</v>
      </c>
    </row>
    <row r="729" spans="1:2" x14ac:dyDescent="0.2">
      <c r="A729">
        <v>9005425500</v>
      </c>
      <c r="B729" t="s">
        <v>944</v>
      </c>
    </row>
    <row r="730" spans="1:2" x14ac:dyDescent="0.2">
      <c r="A730">
        <v>9003487100</v>
      </c>
      <c r="B730" t="s">
        <v>944</v>
      </c>
    </row>
    <row r="731" spans="1:2" x14ac:dyDescent="0.2">
      <c r="A731">
        <v>9003487100</v>
      </c>
      <c r="B731" t="s">
        <v>944</v>
      </c>
    </row>
    <row r="732" spans="1:2" x14ac:dyDescent="0.2">
      <c r="A732">
        <v>9003430100</v>
      </c>
      <c r="B732" t="s">
        <v>944</v>
      </c>
    </row>
    <row r="733" spans="1:2" x14ac:dyDescent="0.2">
      <c r="A733">
        <v>9003430202</v>
      </c>
      <c r="B733" t="s">
        <v>944</v>
      </c>
    </row>
    <row r="734" spans="1:2" x14ac:dyDescent="0.2">
      <c r="A734">
        <v>9013530100</v>
      </c>
      <c r="B734" t="s">
        <v>944</v>
      </c>
    </row>
    <row r="735" spans="1:2" x14ac:dyDescent="0.2">
      <c r="A735">
        <v>9013530100</v>
      </c>
      <c r="B735" t="s">
        <v>944</v>
      </c>
    </row>
    <row r="736" spans="1:2" x14ac:dyDescent="0.2">
      <c r="A736">
        <v>9003430301</v>
      </c>
      <c r="B736" t="s">
        <v>944</v>
      </c>
    </row>
    <row r="737" spans="1:2" x14ac:dyDescent="0.2">
      <c r="A737">
        <v>9003430301</v>
      </c>
      <c r="B737" t="s">
        <v>944</v>
      </c>
    </row>
    <row r="738" spans="1:2" x14ac:dyDescent="0.2">
      <c r="A738">
        <v>9003430400</v>
      </c>
      <c r="B738" t="s">
        <v>944</v>
      </c>
    </row>
    <row r="739" spans="1:2" x14ac:dyDescent="0.2">
      <c r="A739">
        <v>9003430500</v>
      </c>
      <c r="B739" t="s">
        <v>944</v>
      </c>
    </row>
    <row r="740" spans="1:2" x14ac:dyDescent="0.2">
      <c r="A740">
        <v>9013535100</v>
      </c>
      <c r="B740" t="s">
        <v>944</v>
      </c>
    </row>
    <row r="741" spans="1:2" x14ac:dyDescent="0.2">
      <c r="A741">
        <v>9013535100</v>
      </c>
      <c r="B741" t="s">
        <v>944</v>
      </c>
    </row>
    <row r="742" spans="1:2" x14ac:dyDescent="0.2">
      <c r="A742">
        <v>9013535200</v>
      </c>
      <c r="B742" t="s">
        <v>944</v>
      </c>
    </row>
    <row r="743" spans="1:2" x14ac:dyDescent="0.2">
      <c r="A743">
        <v>9013535200</v>
      </c>
      <c r="B743" t="s">
        <v>944</v>
      </c>
    </row>
    <row r="744" spans="1:2" x14ac:dyDescent="0.2">
      <c r="A744">
        <v>9013535200</v>
      </c>
      <c r="B744" t="s">
        <v>944</v>
      </c>
    </row>
    <row r="745" spans="1:2" x14ac:dyDescent="0.2">
      <c r="A745">
        <v>9013538201</v>
      </c>
      <c r="B745" t="s">
        <v>944</v>
      </c>
    </row>
    <row r="746" spans="1:2" x14ac:dyDescent="0.2">
      <c r="A746">
        <v>9013538201</v>
      </c>
      <c r="B746" t="s">
        <v>944</v>
      </c>
    </row>
    <row r="747" spans="1:2" x14ac:dyDescent="0.2">
      <c r="A747">
        <v>9013538202</v>
      </c>
      <c r="B747" t="s">
        <v>944</v>
      </c>
    </row>
    <row r="748" spans="1:2" x14ac:dyDescent="0.2">
      <c r="A748">
        <v>9013538202</v>
      </c>
      <c r="B748" t="s">
        <v>944</v>
      </c>
    </row>
    <row r="749" spans="1:2" x14ac:dyDescent="0.2">
      <c r="A749">
        <v>9003480300</v>
      </c>
      <c r="B749" t="s">
        <v>944</v>
      </c>
    </row>
    <row r="750" spans="1:2" x14ac:dyDescent="0.2">
      <c r="A750">
        <v>9003480400</v>
      </c>
      <c r="B750" t="s">
        <v>944</v>
      </c>
    </row>
    <row r="751" spans="1:2" x14ac:dyDescent="0.2">
      <c r="A751">
        <v>9003480500</v>
      </c>
      <c r="B751" t="s">
        <v>944</v>
      </c>
    </row>
    <row r="752" spans="1:2" x14ac:dyDescent="0.2">
      <c r="A752">
        <v>9003460202</v>
      </c>
      <c r="B752" t="s">
        <v>944</v>
      </c>
    </row>
    <row r="753" spans="1:2" x14ac:dyDescent="0.2">
      <c r="A753">
        <v>9003460202</v>
      </c>
      <c r="B753" t="s">
        <v>944</v>
      </c>
    </row>
    <row r="754" spans="1:2" x14ac:dyDescent="0.2">
      <c r="A754">
        <v>9003480600</v>
      </c>
      <c r="B754" t="s">
        <v>944</v>
      </c>
    </row>
    <row r="755" spans="1:2" x14ac:dyDescent="0.2">
      <c r="A755">
        <v>9003460204</v>
      </c>
      <c r="B755" t="s">
        <v>944</v>
      </c>
    </row>
    <row r="756" spans="1:2" x14ac:dyDescent="0.2">
      <c r="A756">
        <v>9003480700</v>
      </c>
      <c r="B756" t="s">
        <v>944</v>
      </c>
    </row>
    <row r="757" spans="1:2" x14ac:dyDescent="0.2">
      <c r="A757">
        <v>9003480800</v>
      </c>
      <c r="B757" t="s">
        <v>944</v>
      </c>
    </row>
    <row r="758" spans="1:2" x14ac:dyDescent="0.2">
      <c r="A758">
        <v>9003480900</v>
      </c>
      <c r="B758" t="s">
        <v>944</v>
      </c>
    </row>
    <row r="759" spans="1:2" x14ac:dyDescent="0.2">
      <c r="A759">
        <v>9003481000</v>
      </c>
      <c r="B759" t="s">
        <v>944</v>
      </c>
    </row>
    <row r="760" spans="1:2" x14ac:dyDescent="0.2">
      <c r="A760">
        <v>9003466300</v>
      </c>
      <c r="B760" t="s">
        <v>944</v>
      </c>
    </row>
    <row r="761" spans="1:2" x14ac:dyDescent="0.2">
      <c r="A761">
        <v>9003481100</v>
      </c>
      <c r="B761" t="s">
        <v>944</v>
      </c>
    </row>
    <row r="762" spans="1:2" x14ac:dyDescent="0.2">
      <c r="A762">
        <v>9003468101</v>
      </c>
      <c r="B762" t="s">
        <v>944</v>
      </c>
    </row>
    <row r="763" spans="1:2" x14ac:dyDescent="0.2">
      <c r="A763">
        <v>9003468101</v>
      </c>
      <c r="B763" t="s">
        <v>944</v>
      </c>
    </row>
    <row r="764" spans="1:2" x14ac:dyDescent="0.2">
      <c r="A764">
        <v>9003468102</v>
      </c>
      <c r="B764" t="s">
        <v>944</v>
      </c>
    </row>
    <row r="765" spans="1:2" x14ac:dyDescent="0.2">
      <c r="A765">
        <v>9003481200</v>
      </c>
      <c r="B765" t="s">
        <v>944</v>
      </c>
    </row>
    <row r="766" spans="1:2" x14ac:dyDescent="0.2">
      <c r="A766">
        <v>9003481300</v>
      </c>
      <c r="B766" t="s">
        <v>944</v>
      </c>
    </row>
    <row r="767" spans="1:2" x14ac:dyDescent="0.2">
      <c r="A767">
        <v>9003524300</v>
      </c>
      <c r="B767" t="s">
        <v>944</v>
      </c>
    </row>
    <row r="768" spans="1:2" x14ac:dyDescent="0.2">
      <c r="A768">
        <v>9007630100</v>
      </c>
      <c r="B768" t="s">
        <v>944</v>
      </c>
    </row>
    <row r="769" spans="1:2" x14ac:dyDescent="0.2">
      <c r="A769">
        <v>9007670100</v>
      </c>
      <c r="B769" t="s">
        <v>944</v>
      </c>
    </row>
    <row r="770" spans="1:2" x14ac:dyDescent="0.2">
      <c r="A770">
        <v>9007670100</v>
      </c>
      <c r="B770" t="s">
        <v>944</v>
      </c>
    </row>
    <row r="771" spans="1:2" x14ac:dyDescent="0.2">
      <c r="A771">
        <v>9003460100</v>
      </c>
      <c r="B771" t="s">
        <v>944</v>
      </c>
    </row>
    <row r="772" spans="1:2" x14ac:dyDescent="0.2">
      <c r="A772">
        <v>9003460100</v>
      </c>
      <c r="B772" t="s">
        <v>944</v>
      </c>
    </row>
    <row r="773" spans="1:2" x14ac:dyDescent="0.2">
      <c r="A773">
        <v>9003460100</v>
      </c>
      <c r="B773" t="s">
        <v>944</v>
      </c>
    </row>
    <row r="774" spans="1:2" x14ac:dyDescent="0.2">
      <c r="A774">
        <v>9003487400</v>
      </c>
      <c r="B774" t="s">
        <v>944</v>
      </c>
    </row>
    <row r="775" spans="1:2" x14ac:dyDescent="0.2">
      <c r="A775">
        <v>9003496400</v>
      </c>
      <c r="B775" t="s">
        <v>944</v>
      </c>
    </row>
    <row r="776" spans="1:2" x14ac:dyDescent="0.2">
      <c r="A776">
        <v>9003496500</v>
      </c>
      <c r="B776" t="s">
        <v>944</v>
      </c>
    </row>
    <row r="777" spans="1:2" x14ac:dyDescent="0.2">
      <c r="A777">
        <v>9003460203</v>
      </c>
      <c r="B777" t="s">
        <v>944</v>
      </c>
    </row>
    <row r="778" spans="1:2" x14ac:dyDescent="0.2">
      <c r="A778">
        <v>9003496600</v>
      </c>
      <c r="B778" t="s">
        <v>944</v>
      </c>
    </row>
    <row r="779" spans="1:2" x14ac:dyDescent="0.2">
      <c r="A779">
        <v>9003496700</v>
      </c>
      <c r="B779" t="s">
        <v>944</v>
      </c>
    </row>
    <row r="780" spans="1:2" x14ac:dyDescent="0.2">
      <c r="A780">
        <v>9003496700</v>
      </c>
      <c r="B780" t="s">
        <v>944</v>
      </c>
    </row>
    <row r="781" spans="1:2" x14ac:dyDescent="0.2">
      <c r="A781">
        <v>9003496200</v>
      </c>
      <c r="B781" t="s">
        <v>944</v>
      </c>
    </row>
    <row r="782" spans="1:2" x14ac:dyDescent="0.2">
      <c r="A782">
        <v>9003496200</v>
      </c>
      <c r="B782" t="s">
        <v>944</v>
      </c>
    </row>
    <row r="783" spans="1:2" x14ac:dyDescent="0.2">
      <c r="A783">
        <v>9003496200</v>
      </c>
      <c r="B783" t="s">
        <v>944</v>
      </c>
    </row>
    <row r="784" spans="1:2" x14ac:dyDescent="0.2">
      <c r="A784">
        <v>9003496200</v>
      </c>
      <c r="B784" t="s">
        <v>944</v>
      </c>
    </row>
    <row r="785" spans="1:2" x14ac:dyDescent="0.2">
      <c r="A785">
        <v>9003496200</v>
      </c>
      <c r="B785" t="s">
        <v>944</v>
      </c>
    </row>
    <row r="786" spans="1:2" x14ac:dyDescent="0.2">
      <c r="A786">
        <v>9003496800</v>
      </c>
      <c r="B786" t="s">
        <v>944</v>
      </c>
    </row>
    <row r="787" spans="1:2" x14ac:dyDescent="0.2">
      <c r="A787">
        <v>9003496800</v>
      </c>
      <c r="B787" t="s">
        <v>944</v>
      </c>
    </row>
    <row r="788" spans="1:2" x14ac:dyDescent="0.2">
      <c r="A788">
        <v>9003497000</v>
      </c>
      <c r="B788" t="s">
        <v>944</v>
      </c>
    </row>
    <row r="789" spans="1:2" x14ac:dyDescent="0.2">
      <c r="A789">
        <v>9003497100</v>
      </c>
      <c r="B789" t="s">
        <v>944</v>
      </c>
    </row>
    <row r="790" spans="1:2" x14ac:dyDescent="0.2">
      <c r="A790">
        <v>9003497100</v>
      </c>
      <c r="B790" t="s">
        <v>944</v>
      </c>
    </row>
    <row r="791" spans="1:2" x14ac:dyDescent="0.2">
      <c r="A791">
        <v>9011712100</v>
      </c>
      <c r="B791" t="s">
        <v>944</v>
      </c>
    </row>
    <row r="792" spans="1:2" x14ac:dyDescent="0.2">
      <c r="A792">
        <v>9011712100</v>
      </c>
      <c r="B792" t="s">
        <v>944</v>
      </c>
    </row>
    <row r="793" spans="1:2" x14ac:dyDescent="0.2">
      <c r="A793">
        <v>9003415300</v>
      </c>
      <c r="B793" t="s">
        <v>936</v>
      </c>
    </row>
    <row r="794" spans="1:2" x14ac:dyDescent="0.2">
      <c r="A794">
        <v>9003520100</v>
      </c>
      <c r="B794" t="s">
        <v>944</v>
      </c>
    </row>
    <row r="795" spans="1:2" x14ac:dyDescent="0.2">
      <c r="A795">
        <v>9003520100</v>
      </c>
      <c r="B795" t="s">
        <v>944</v>
      </c>
    </row>
    <row r="796" spans="1:2" x14ac:dyDescent="0.2">
      <c r="A796">
        <v>9003500100</v>
      </c>
      <c r="B796" t="s">
        <v>936</v>
      </c>
    </row>
    <row r="797" spans="1:2" x14ac:dyDescent="0.2">
      <c r="A797">
        <v>9003520201</v>
      </c>
      <c r="B797" t="s">
        <v>944</v>
      </c>
    </row>
    <row r="798" spans="1:2" x14ac:dyDescent="0.2">
      <c r="A798">
        <v>9003520201</v>
      </c>
      <c r="B798" t="s">
        <v>944</v>
      </c>
    </row>
    <row r="799" spans="1:2" x14ac:dyDescent="0.2">
      <c r="A799">
        <v>9003500500</v>
      </c>
      <c r="B799" t="s">
        <v>944</v>
      </c>
    </row>
    <row r="800" spans="1:2" x14ac:dyDescent="0.2">
      <c r="A800">
        <v>9003501400</v>
      </c>
      <c r="B800" t="s">
        <v>936</v>
      </c>
    </row>
    <row r="801" spans="1:2" x14ac:dyDescent="0.2">
      <c r="A801">
        <v>9003415500</v>
      </c>
      <c r="B801" t="s">
        <v>936</v>
      </c>
    </row>
    <row r="802" spans="1:2" x14ac:dyDescent="0.2">
      <c r="A802">
        <v>9003520202</v>
      </c>
      <c r="B802" t="s">
        <v>944</v>
      </c>
    </row>
    <row r="803" spans="1:2" x14ac:dyDescent="0.2">
      <c r="A803">
        <v>9003502100</v>
      </c>
      <c r="B803" t="s">
        <v>944</v>
      </c>
    </row>
    <row r="804" spans="1:2" x14ac:dyDescent="0.2">
      <c r="A804">
        <v>9003415600</v>
      </c>
      <c r="B804" t="s">
        <v>944</v>
      </c>
    </row>
    <row r="805" spans="1:2" x14ac:dyDescent="0.2">
      <c r="A805">
        <v>9003502500</v>
      </c>
      <c r="B805" t="s">
        <v>936</v>
      </c>
    </row>
    <row r="806" spans="1:2" x14ac:dyDescent="0.2">
      <c r="A806">
        <v>9003520301</v>
      </c>
      <c r="B806" t="s">
        <v>944</v>
      </c>
    </row>
    <row r="807" spans="1:2" x14ac:dyDescent="0.2">
      <c r="A807">
        <v>9003502600</v>
      </c>
      <c r="B807" t="s">
        <v>936</v>
      </c>
    </row>
    <row r="808" spans="1:2" x14ac:dyDescent="0.2">
      <c r="A808">
        <v>9003415700</v>
      </c>
      <c r="B808" t="s">
        <v>944</v>
      </c>
    </row>
    <row r="809" spans="1:2" x14ac:dyDescent="0.2">
      <c r="A809">
        <v>9003502700</v>
      </c>
      <c r="B809" t="s">
        <v>936</v>
      </c>
    </row>
    <row r="810" spans="1:2" x14ac:dyDescent="0.2">
      <c r="A810">
        <v>9003520302</v>
      </c>
      <c r="B810" t="s">
        <v>944</v>
      </c>
    </row>
    <row r="811" spans="1:2" x14ac:dyDescent="0.2">
      <c r="A811">
        <v>9003415800</v>
      </c>
      <c r="B811" t="s">
        <v>944</v>
      </c>
    </row>
    <row r="812" spans="1:2" x14ac:dyDescent="0.2">
      <c r="A812">
        <v>9003502900</v>
      </c>
      <c r="B812" t="s">
        <v>944</v>
      </c>
    </row>
    <row r="813" spans="1:2" x14ac:dyDescent="0.2">
      <c r="A813">
        <v>9003520400</v>
      </c>
      <c r="B813" t="s">
        <v>944</v>
      </c>
    </row>
    <row r="814" spans="1:2" x14ac:dyDescent="0.2">
      <c r="A814">
        <v>9003520501</v>
      </c>
      <c r="B814" t="s">
        <v>944</v>
      </c>
    </row>
    <row r="815" spans="1:2" x14ac:dyDescent="0.2">
      <c r="A815">
        <v>9003503100</v>
      </c>
      <c r="B815" t="s">
        <v>944</v>
      </c>
    </row>
    <row r="816" spans="1:2" x14ac:dyDescent="0.2">
      <c r="A816">
        <v>9003416000</v>
      </c>
      <c r="B816" t="s">
        <v>936</v>
      </c>
    </row>
    <row r="817" spans="1:2" x14ac:dyDescent="0.2">
      <c r="A817">
        <v>9003503700</v>
      </c>
      <c r="B817" t="s">
        <v>936</v>
      </c>
    </row>
    <row r="818" spans="1:2" x14ac:dyDescent="0.2">
      <c r="A818">
        <v>9007560100</v>
      </c>
      <c r="B818" t="s">
        <v>944</v>
      </c>
    </row>
    <row r="819" spans="1:2" x14ac:dyDescent="0.2">
      <c r="A819">
        <v>9007560100</v>
      </c>
      <c r="B819" t="s">
        <v>944</v>
      </c>
    </row>
    <row r="820" spans="1:2" x14ac:dyDescent="0.2">
      <c r="A820">
        <v>9003503800</v>
      </c>
      <c r="B820" t="s">
        <v>936</v>
      </c>
    </row>
    <row r="821" spans="1:2" x14ac:dyDescent="0.2">
      <c r="A821">
        <v>9003416100</v>
      </c>
      <c r="B821" t="s">
        <v>936</v>
      </c>
    </row>
    <row r="822" spans="1:2" x14ac:dyDescent="0.2">
      <c r="A822">
        <v>9003514400</v>
      </c>
      <c r="B822" t="s">
        <v>944</v>
      </c>
    </row>
    <row r="823" spans="1:2" x14ac:dyDescent="0.2">
      <c r="A823">
        <v>9003416200</v>
      </c>
      <c r="B823" t="s">
        <v>936</v>
      </c>
    </row>
    <row r="824" spans="1:2" x14ac:dyDescent="0.2">
      <c r="A824">
        <v>9003514500</v>
      </c>
      <c r="B824" t="s">
        <v>944</v>
      </c>
    </row>
    <row r="825" spans="1:2" x14ac:dyDescent="0.2">
      <c r="A825">
        <v>9003416300</v>
      </c>
      <c r="B825" t="s">
        <v>936</v>
      </c>
    </row>
    <row r="826" spans="1:2" x14ac:dyDescent="0.2">
      <c r="A826">
        <v>9003416300</v>
      </c>
      <c r="B826" t="s">
        <v>936</v>
      </c>
    </row>
    <row r="827" spans="1:2" x14ac:dyDescent="0.2">
      <c r="A827">
        <v>9003514600</v>
      </c>
      <c r="B827" t="s">
        <v>944</v>
      </c>
    </row>
    <row r="828" spans="1:2" x14ac:dyDescent="0.2">
      <c r="A828">
        <v>9003514700</v>
      </c>
      <c r="B828" t="s">
        <v>944</v>
      </c>
    </row>
    <row r="829" spans="1:2" x14ac:dyDescent="0.2">
      <c r="A829">
        <v>9003514800</v>
      </c>
      <c r="B829" t="s">
        <v>936</v>
      </c>
    </row>
    <row r="830" spans="1:2" x14ac:dyDescent="0.2">
      <c r="A830">
        <v>9003416400</v>
      </c>
      <c r="B830" t="s">
        <v>944</v>
      </c>
    </row>
    <row r="831" spans="1:2" x14ac:dyDescent="0.2">
      <c r="A831">
        <v>9003515000</v>
      </c>
      <c r="B831" t="s">
        <v>944</v>
      </c>
    </row>
    <row r="832" spans="1:2" x14ac:dyDescent="0.2">
      <c r="A832">
        <v>9003515102</v>
      </c>
      <c r="B832" t="s">
        <v>944</v>
      </c>
    </row>
    <row r="833" spans="1:2" x14ac:dyDescent="0.2">
      <c r="A833">
        <v>9003515200</v>
      </c>
      <c r="B833" t="s">
        <v>944</v>
      </c>
    </row>
    <row r="834" spans="1:2" x14ac:dyDescent="0.2">
      <c r="A834">
        <v>9003416600</v>
      </c>
      <c r="B834" t="s">
        <v>936</v>
      </c>
    </row>
    <row r="835" spans="1:2" x14ac:dyDescent="0.2">
      <c r="A835">
        <v>9003416700</v>
      </c>
      <c r="B835" t="s">
        <v>944</v>
      </c>
    </row>
    <row r="836" spans="1:2" x14ac:dyDescent="0.2">
      <c r="A836">
        <v>9003416800</v>
      </c>
      <c r="B836" t="s">
        <v>944</v>
      </c>
    </row>
    <row r="837" spans="1:2" x14ac:dyDescent="0.2">
      <c r="A837">
        <v>9003524501</v>
      </c>
      <c r="B837" t="s">
        <v>944</v>
      </c>
    </row>
    <row r="838" spans="1:2" x14ac:dyDescent="0.2">
      <c r="A838">
        <v>9003417400</v>
      </c>
      <c r="B838" t="s">
        <v>944</v>
      </c>
    </row>
    <row r="839" spans="1:2" x14ac:dyDescent="0.2">
      <c r="A839">
        <v>9003417500</v>
      </c>
      <c r="B839" t="s">
        <v>944</v>
      </c>
    </row>
    <row r="840" spans="1:2" x14ac:dyDescent="0.2">
      <c r="A840">
        <v>9003420400</v>
      </c>
      <c r="B840" t="s">
        <v>944</v>
      </c>
    </row>
    <row r="841" spans="1:2" x14ac:dyDescent="0.2">
      <c r="A841">
        <v>9007580100</v>
      </c>
      <c r="B841" t="s">
        <v>944</v>
      </c>
    </row>
    <row r="842" spans="1:2" x14ac:dyDescent="0.2">
      <c r="A842">
        <v>9007580100</v>
      </c>
      <c r="B842" t="s">
        <v>944</v>
      </c>
    </row>
    <row r="843" spans="1:2" x14ac:dyDescent="0.2">
      <c r="A843">
        <v>9003430201</v>
      </c>
      <c r="B843" t="s">
        <v>944</v>
      </c>
    </row>
    <row r="844" spans="1:2" x14ac:dyDescent="0.2">
      <c r="A844">
        <v>9003430203</v>
      </c>
      <c r="B844" t="s">
        <v>944</v>
      </c>
    </row>
    <row r="845" spans="1:2" x14ac:dyDescent="0.2">
      <c r="A845">
        <v>9003430302</v>
      </c>
      <c r="B845" t="s">
        <v>944</v>
      </c>
    </row>
    <row r="846" spans="1:2" x14ac:dyDescent="0.2">
      <c r="A846">
        <v>9015820000</v>
      </c>
      <c r="B846" t="s">
        <v>944</v>
      </c>
    </row>
    <row r="847" spans="1:2" x14ac:dyDescent="0.2">
      <c r="A847">
        <v>9011709100</v>
      </c>
      <c r="B847" t="s">
        <v>944</v>
      </c>
    </row>
    <row r="848" spans="1:2" x14ac:dyDescent="0.2">
      <c r="A848">
        <v>9011709100</v>
      </c>
      <c r="B848" t="s">
        <v>944</v>
      </c>
    </row>
    <row r="849" spans="1:2" x14ac:dyDescent="0.2">
      <c r="A849">
        <v>9011709100</v>
      </c>
      <c r="B849" t="s">
        <v>944</v>
      </c>
    </row>
    <row r="850" spans="1:2" x14ac:dyDescent="0.2">
      <c r="A850">
        <v>9011709100</v>
      </c>
      <c r="B850" t="s">
        <v>944</v>
      </c>
    </row>
    <row r="851" spans="1:2" x14ac:dyDescent="0.2">
      <c r="A851">
        <v>9013840100</v>
      </c>
      <c r="B851" t="s">
        <v>944</v>
      </c>
    </row>
    <row r="852" spans="1:2" x14ac:dyDescent="0.2">
      <c r="A852">
        <v>9013840100</v>
      </c>
      <c r="B852" t="s">
        <v>944</v>
      </c>
    </row>
    <row r="853" spans="1:2" x14ac:dyDescent="0.2">
      <c r="A853">
        <v>9013881200</v>
      </c>
      <c r="B853" t="s">
        <v>944</v>
      </c>
    </row>
    <row r="854" spans="1:2" x14ac:dyDescent="0.2">
      <c r="A854">
        <v>9013881300</v>
      </c>
      <c r="B854" t="s">
        <v>944</v>
      </c>
    </row>
    <row r="855" spans="1:2" x14ac:dyDescent="0.2">
      <c r="A855">
        <v>9011709200</v>
      </c>
      <c r="B855" t="s">
        <v>944</v>
      </c>
    </row>
    <row r="856" spans="1:2" x14ac:dyDescent="0.2">
      <c r="A856">
        <v>9011709200</v>
      </c>
      <c r="B856" t="s">
        <v>944</v>
      </c>
    </row>
    <row r="857" spans="1:2" x14ac:dyDescent="0.2">
      <c r="A857">
        <v>9011710100</v>
      </c>
      <c r="B857" t="s">
        <v>944</v>
      </c>
    </row>
    <row r="858" spans="1:2" x14ac:dyDescent="0.2">
      <c r="A858">
        <v>9011710100</v>
      </c>
      <c r="B858" t="s">
        <v>944</v>
      </c>
    </row>
    <row r="859" spans="1:2" x14ac:dyDescent="0.2">
      <c r="A859">
        <v>9003430602</v>
      </c>
      <c r="B859" t="s">
        <v>944</v>
      </c>
    </row>
    <row r="860" spans="1:2" x14ac:dyDescent="0.2">
      <c r="A860">
        <v>9011702100</v>
      </c>
      <c r="B860" t="s">
        <v>944</v>
      </c>
    </row>
    <row r="861" spans="1:2" x14ac:dyDescent="0.2">
      <c r="A861">
        <v>9011702100</v>
      </c>
      <c r="B861" t="s">
        <v>944</v>
      </c>
    </row>
    <row r="862" spans="1:2" x14ac:dyDescent="0.2">
      <c r="A862">
        <v>9009351500</v>
      </c>
      <c r="B862" t="s">
        <v>944</v>
      </c>
    </row>
    <row r="863" spans="1:2" x14ac:dyDescent="0.2">
      <c r="A863">
        <v>9011702400</v>
      </c>
      <c r="B863" t="s">
        <v>944</v>
      </c>
    </row>
    <row r="864" spans="1:2" x14ac:dyDescent="0.2">
      <c r="A864">
        <v>9009351601</v>
      </c>
      <c r="B864" t="s">
        <v>936</v>
      </c>
    </row>
    <row r="865" spans="1:2" x14ac:dyDescent="0.2">
      <c r="A865">
        <v>9011702600</v>
      </c>
      <c r="B865" t="s">
        <v>944</v>
      </c>
    </row>
    <row r="866" spans="1:2" x14ac:dyDescent="0.2">
      <c r="A866">
        <v>9011702700</v>
      </c>
      <c r="B866" t="s">
        <v>944</v>
      </c>
    </row>
    <row r="867" spans="1:2" x14ac:dyDescent="0.2">
      <c r="A867">
        <v>9005360100</v>
      </c>
      <c r="B867" t="s">
        <v>944</v>
      </c>
    </row>
    <row r="868" spans="1:2" x14ac:dyDescent="0.2">
      <c r="A868">
        <v>9011702800</v>
      </c>
      <c r="B868" t="s">
        <v>944</v>
      </c>
    </row>
    <row r="869" spans="1:2" x14ac:dyDescent="0.2">
      <c r="A869">
        <v>9011702800</v>
      </c>
      <c r="B869" t="s">
        <v>944</v>
      </c>
    </row>
    <row r="870" spans="1:2" x14ac:dyDescent="0.2">
      <c r="A870">
        <v>9011702900</v>
      </c>
      <c r="B870" t="s">
        <v>944</v>
      </c>
    </row>
    <row r="871" spans="1:2" x14ac:dyDescent="0.2">
      <c r="A871">
        <v>9011702900</v>
      </c>
      <c r="B871" t="s">
        <v>944</v>
      </c>
    </row>
    <row r="872" spans="1:2" x14ac:dyDescent="0.2">
      <c r="A872">
        <v>9011703000</v>
      </c>
      <c r="B872" t="s">
        <v>944</v>
      </c>
    </row>
    <row r="873" spans="1:2" x14ac:dyDescent="0.2">
      <c r="A873">
        <v>9011703000</v>
      </c>
      <c r="B873" t="s">
        <v>944</v>
      </c>
    </row>
    <row r="874" spans="1:2" x14ac:dyDescent="0.2">
      <c r="A874">
        <v>9003466101</v>
      </c>
      <c r="B874" t="s">
        <v>944</v>
      </c>
    </row>
    <row r="875" spans="1:2" x14ac:dyDescent="0.2">
      <c r="A875">
        <v>9003466201</v>
      </c>
      <c r="B875" t="s">
        <v>944</v>
      </c>
    </row>
    <row r="876" spans="1:2" x14ac:dyDescent="0.2">
      <c r="A876">
        <v>9003466400</v>
      </c>
      <c r="B876" t="s">
        <v>944</v>
      </c>
    </row>
    <row r="877" spans="1:2" x14ac:dyDescent="0.2">
      <c r="A877">
        <v>9003500200</v>
      </c>
      <c r="B877" t="s">
        <v>936</v>
      </c>
    </row>
    <row r="878" spans="1:2" x14ac:dyDescent="0.2">
      <c r="A878">
        <v>9003500400</v>
      </c>
      <c r="B878" t="s">
        <v>936</v>
      </c>
    </row>
    <row r="879" spans="1:2" x14ac:dyDescent="0.2">
      <c r="A879">
        <v>9003500900</v>
      </c>
      <c r="B879" t="s">
        <v>936</v>
      </c>
    </row>
    <row r="880" spans="1:2" x14ac:dyDescent="0.2">
      <c r="A880">
        <v>9003501200</v>
      </c>
      <c r="B880" t="s">
        <v>936</v>
      </c>
    </row>
    <row r="881" spans="1:2" x14ac:dyDescent="0.2">
      <c r="A881">
        <v>9003501300</v>
      </c>
      <c r="B881" t="s">
        <v>936</v>
      </c>
    </row>
    <row r="882" spans="1:2" x14ac:dyDescent="0.2">
      <c r="A882">
        <v>9003501500</v>
      </c>
      <c r="B882" t="s">
        <v>936</v>
      </c>
    </row>
    <row r="883" spans="1:2" x14ac:dyDescent="0.2">
      <c r="A883">
        <v>9003501700</v>
      </c>
      <c r="B883" t="s">
        <v>936</v>
      </c>
    </row>
    <row r="884" spans="1:2" x14ac:dyDescent="0.2">
      <c r="A884">
        <v>9003502300</v>
      </c>
      <c r="B884" t="s">
        <v>944</v>
      </c>
    </row>
    <row r="885" spans="1:2" x14ac:dyDescent="0.2">
      <c r="A885">
        <v>9005425300</v>
      </c>
      <c r="B885" t="s">
        <v>944</v>
      </c>
    </row>
    <row r="886" spans="1:2" x14ac:dyDescent="0.2">
      <c r="A886">
        <v>9005425300</v>
      </c>
      <c r="B886" t="s">
        <v>944</v>
      </c>
    </row>
    <row r="887" spans="1:2" x14ac:dyDescent="0.2">
      <c r="A887">
        <v>9005425300</v>
      </c>
      <c r="B887" t="s">
        <v>944</v>
      </c>
    </row>
    <row r="888" spans="1:2" x14ac:dyDescent="0.2">
      <c r="A888">
        <v>9003502400</v>
      </c>
      <c r="B888" t="s">
        <v>936</v>
      </c>
    </row>
    <row r="889" spans="1:2" x14ac:dyDescent="0.2">
      <c r="A889">
        <v>9003503300</v>
      </c>
      <c r="B889" t="s">
        <v>936</v>
      </c>
    </row>
    <row r="890" spans="1:2" x14ac:dyDescent="0.2">
      <c r="A890">
        <v>9003477102</v>
      </c>
      <c r="B890" t="s">
        <v>944</v>
      </c>
    </row>
    <row r="891" spans="1:2" x14ac:dyDescent="0.2">
      <c r="A891">
        <v>9003503500</v>
      </c>
      <c r="B891" t="s">
        <v>936</v>
      </c>
    </row>
    <row r="892" spans="1:2" x14ac:dyDescent="0.2">
      <c r="A892">
        <v>9003504000</v>
      </c>
      <c r="B892" t="s">
        <v>936</v>
      </c>
    </row>
    <row r="893" spans="1:2" x14ac:dyDescent="0.2">
      <c r="A893">
        <v>9003504100</v>
      </c>
      <c r="B893" t="s">
        <v>936</v>
      </c>
    </row>
    <row r="894" spans="1:2" x14ac:dyDescent="0.2">
      <c r="A894">
        <v>9003504200</v>
      </c>
      <c r="B894" t="s">
        <v>944</v>
      </c>
    </row>
    <row r="895" spans="1:2" x14ac:dyDescent="0.2">
      <c r="A895">
        <v>9003504300</v>
      </c>
      <c r="B895" t="s">
        <v>936</v>
      </c>
    </row>
    <row r="896" spans="1:2" x14ac:dyDescent="0.2">
      <c r="A896">
        <v>9003504500</v>
      </c>
      <c r="B896" t="s">
        <v>936</v>
      </c>
    </row>
    <row r="897" spans="1:2" x14ac:dyDescent="0.2">
      <c r="A897">
        <v>9003504800</v>
      </c>
      <c r="B897" t="s">
        <v>936</v>
      </c>
    </row>
    <row r="898" spans="1:2" x14ac:dyDescent="0.2">
      <c r="A898">
        <v>9003504900</v>
      </c>
      <c r="B898" t="s">
        <v>936</v>
      </c>
    </row>
    <row r="899" spans="1:2" x14ac:dyDescent="0.2">
      <c r="A899">
        <v>9003524400</v>
      </c>
      <c r="B899" t="s">
        <v>936</v>
      </c>
    </row>
    <row r="900" spans="1:2" x14ac:dyDescent="0.2">
      <c r="A900">
        <v>9003524502</v>
      </c>
      <c r="B900" t="s">
        <v>944</v>
      </c>
    </row>
    <row r="901" spans="1:2" x14ac:dyDescent="0.2">
      <c r="A901">
        <v>9003524600</v>
      </c>
      <c r="B901" t="s">
        <v>944</v>
      </c>
    </row>
    <row r="902" spans="1:2" x14ac:dyDescent="0.2">
      <c r="A902">
        <v>9003524700</v>
      </c>
      <c r="B902" t="s">
        <v>944</v>
      </c>
    </row>
    <row r="903" spans="1:2" x14ac:dyDescent="0.2">
      <c r="A903">
        <v>9003487201</v>
      </c>
      <c r="B903" t="s">
        <v>944</v>
      </c>
    </row>
    <row r="904" spans="1:2" x14ac:dyDescent="0.2">
      <c r="A904">
        <v>9003487201</v>
      </c>
      <c r="B904" t="s">
        <v>944</v>
      </c>
    </row>
    <row r="905" spans="1:2" x14ac:dyDescent="0.2">
      <c r="A905">
        <v>9003487202</v>
      </c>
      <c r="B905" t="s">
        <v>944</v>
      </c>
    </row>
    <row r="906" spans="1:2" x14ac:dyDescent="0.2">
      <c r="A906">
        <v>9003487202</v>
      </c>
      <c r="B906" t="s">
        <v>944</v>
      </c>
    </row>
    <row r="907" spans="1:2" x14ac:dyDescent="0.2">
      <c r="A907">
        <v>9003487300</v>
      </c>
      <c r="B907" t="s">
        <v>944</v>
      </c>
    </row>
    <row r="908" spans="1:2" x14ac:dyDescent="0.2">
      <c r="A908">
        <v>9003487500</v>
      </c>
      <c r="B908" t="s">
        <v>944</v>
      </c>
    </row>
    <row r="909" spans="1:2" x14ac:dyDescent="0.2">
      <c r="A909">
        <v>9003487500</v>
      </c>
      <c r="B909" t="s">
        <v>944</v>
      </c>
    </row>
    <row r="910" spans="1:2" x14ac:dyDescent="0.2">
      <c r="A910">
        <v>9003490100</v>
      </c>
      <c r="B910" t="s">
        <v>944</v>
      </c>
    </row>
    <row r="911" spans="1:2" x14ac:dyDescent="0.2">
      <c r="A911">
        <v>9003492600</v>
      </c>
      <c r="B911" t="s">
        <v>944</v>
      </c>
    </row>
    <row r="912" spans="1:2" x14ac:dyDescent="0.2">
      <c r="A912">
        <v>9003492600</v>
      </c>
      <c r="B912" t="s">
        <v>944</v>
      </c>
    </row>
    <row r="913" spans="1:2" x14ac:dyDescent="0.2">
      <c r="A913">
        <v>9003494100</v>
      </c>
      <c r="B913" t="s">
        <v>944</v>
      </c>
    </row>
    <row r="914" spans="1:2" x14ac:dyDescent="0.2">
      <c r="A914">
        <v>9003494201</v>
      </c>
      <c r="B914" t="s">
        <v>944</v>
      </c>
    </row>
    <row r="915" spans="1:2" x14ac:dyDescent="0.2">
      <c r="A915">
        <v>9003494202</v>
      </c>
      <c r="B915" t="s">
        <v>944</v>
      </c>
    </row>
    <row r="916" spans="1:2" x14ac:dyDescent="0.2">
      <c r="A916">
        <v>9003494300</v>
      </c>
      <c r="B916" t="s">
        <v>944</v>
      </c>
    </row>
    <row r="917" spans="1:2" x14ac:dyDescent="0.2">
      <c r="A917">
        <v>9003494300</v>
      </c>
      <c r="B917" t="s">
        <v>944</v>
      </c>
    </row>
    <row r="918" spans="1:2" x14ac:dyDescent="0.2">
      <c r="A918">
        <v>9003494400</v>
      </c>
      <c r="B918" t="s">
        <v>944</v>
      </c>
    </row>
    <row r="919" spans="1:2" x14ac:dyDescent="0.2">
      <c r="A919">
        <v>9003494500</v>
      </c>
      <c r="B919" t="s">
        <v>944</v>
      </c>
    </row>
    <row r="920" spans="1:2" x14ac:dyDescent="0.2">
      <c r="A920">
        <v>9003494600</v>
      </c>
      <c r="B920" t="s">
        <v>944</v>
      </c>
    </row>
    <row r="921" spans="1:2" x14ac:dyDescent="0.2">
      <c r="A921">
        <v>9015904400</v>
      </c>
      <c r="B921" t="s">
        <v>944</v>
      </c>
    </row>
    <row r="922" spans="1:2" x14ac:dyDescent="0.2">
      <c r="A922">
        <v>9003496100</v>
      </c>
      <c r="B922" t="s">
        <v>944</v>
      </c>
    </row>
    <row r="923" spans="1:2" x14ac:dyDescent="0.2">
      <c r="A923">
        <v>9003496300</v>
      </c>
      <c r="B923" t="s">
        <v>944</v>
      </c>
    </row>
    <row r="924" spans="1:2" x14ac:dyDescent="0.2">
      <c r="A924">
        <v>9015907200</v>
      </c>
      <c r="B924" t="s">
        <v>944</v>
      </c>
    </row>
    <row r="925" spans="1:2" x14ac:dyDescent="0.2">
      <c r="A925">
        <v>9015907200</v>
      </c>
      <c r="B925" t="s">
        <v>944</v>
      </c>
    </row>
    <row r="926" spans="1:2" x14ac:dyDescent="0.2">
      <c r="A926">
        <v>9015907200</v>
      </c>
      <c r="B926" t="s">
        <v>944</v>
      </c>
    </row>
    <row r="927" spans="1:2" x14ac:dyDescent="0.2">
      <c r="A927">
        <v>9007640100</v>
      </c>
      <c r="B927" t="s">
        <v>944</v>
      </c>
    </row>
    <row r="928" spans="1:2" x14ac:dyDescent="0.2">
      <c r="A928">
        <v>9011701100</v>
      </c>
      <c r="B928" t="s">
        <v>944</v>
      </c>
    </row>
    <row r="929" spans="1:2" x14ac:dyDescent="0.2">
      <c r="A929">
        <v>9011701200</v>
      </c>
      <c r="B929" t="s">
        <v>944</v>
      </c>
    </row>
    <row r="930" spans="1:2" x14ac:dyDescent="0.2">
      <c r="A930">
        <v>9011693400</v>
      </c>
      <c r="B930" t="s">
        <v>944</v>
      </c>
    </row>
    <row r="931" spans="1:2" x14ac:dyDescent="0.2">
      <c r="A931">
        <v>9011693400</v>
      </c>
      <c r="B931" t="s">
        <v>944</v>
      </c>
    </row>
    <row r="932" spans="1:2" x14ac:dyDescent="0.2">
      <c r="A932">
        <v>9011693400</v>
      </c>
      <c r="B932" t="s">
        <v>944</v>
      </c>
    </row>
    <row r="933" spans="1:2" x14ac:dyDescent="0.2">
      <c r="A933">
        <v>9011650100</v>
      </c>
      <c r="B933" t="s">
        <v>944</v>
      </c>
    </row>
    <row r="934" spans="1:2" x14ac:dyDescent="0.2">
      <c r="A934">
        <v>9011650100</v>
      </c>
      <c r="B934" t="s">
        <v>944</v>
      </c>
    </row>
    <row r="935" spans="1:2" x14ac:dyDescent="0.2">
      <c r="A935">
        <v>9003514101</v>
      </c>
      <c r="B935" t="s">
        <v>944</v>
      </c>
    </row>
    <row r="936" spans="1:2" x14ac:dyDescent="0.2">
      <c r="A936">
        <v>9003514101</v>
      </c>
      <c r="B936" t="s">
        <v>944</v>
      </c>
    </row>
    <row r="937" spans="1:2" x14ac:dyDescent="0.2">
      <c r="A937">
        <v>9003514200</v>
      </c>
      <c r="B937" t="s">
        <v>944</v>
      </c>
    </row>
    <row r="938" spans="1:2" x14ac:dyDescent="0.2">
      <c r="A938">
        <v>9003514300</v>
      </c>
      <c r="B938" t="s">
        <v>944</v>
      </c>
    </row>
    <row r="939" spans="1:2" x14ac:dyDescent="0.2">
      <c r="A939">
        <v>9003515101</v>
      </c>
      <c r="B939" t="s">
        <v>944</v>
      </c>
    </row>
    <row r="940" spans="1:2" x14ac:dyDescent="0.2">
      <c r="A940">
        <v>9013530500</v>
      </c>
      <c r="B940" t="s">
        <v>944</v>
      </c>
    </row>
    <row r="941" spans="1:2" x14ac:dyDescent="0.2">
      <c r="A941">
        <v>9013530500</v>
      </c>
      <c r="B941" t="s">
        <v>944</v>
      </c>
    </row>
    <row r="942" spans="1:2" x14ac:dyDescent="0.2">
      <c r="A942">
        <v>9013881500</v>
      </c>
      <c r="B942" t="s">
        <v>944</v>
      </c>
    </row>
    <row r="943" spans="1:2" x14ac:dyDescent="0.2">
      <c r="A943">
        <v>9003524100</v>
      </c>
      <c r="B943" t="s">
        <v>944</v>
      </c>
    </row>
    <row r="944" spans="1:2" x14ac:dyDescent="0.2">
      <c r="A944">
        <v>9003524200</v>
      </c>
      <c r="B944" t="s">
        <v>944</v>
      </c>
    </row>
    <row r="945" spans="1:2" x14ac:dyDescent="0.2">
      <c r="A945">
        <v>9013530200</v>
      </c>
      <c r="B945" t="s">
        <v>944</v>
      </c>
    </row>
    <row r="946" spans="1:2" x14ac:dyDescent="0.2">
      <c r="A946">
        <v>9013530301</v>
      </c>
      <c r="B946" t="s">
        <v>944</v>
      </c>
    </row>
    <row r="947" spans="1:2" x14ac:dyDescent="0.2">
      <c r="A947">
        <v>9013530301</v>
      </c>
      <c r="B947" t="s">
        <v>944</v>
      </c>
    </row>
    <row r="948" spans="1:2" x14ac:dyDescent="0.2">
      <c r="A948">
        <v>9013530302</v>
      </c>
      <c r="B948" t="s">
        <v>944</v>
      </c>
    </row>
    <row r="949" spans="1:2" x14ac:dyDescent="0.2">
      <c r="A949">
        <v>9013530302</v>
      </c>
      <c r="B949" t="s">
        <v>944</v>
      </c>
    </row>
    <row r="950" spans="1:2" x14ac:dyDescent="0.2">
      <c r="A950">
        <v>9013530400</v>
      </c>
      <c r="B950" t="s">
        <v>944</v>
      </c>
    </row>
    <row r="951" spans="1:2" x14ac:dyDescent="0.2">
      <c r="A951">
        <v>9013533101</v>
      </c>
      <c r="B951" t="s">
        <v>944</v>
      </c>
    </row>
    <row r="952" spans="1:2" x14ac:dyDescent="0.2">
      <c r="A952">
        <v>9013533102</v>
      </c>
      <c r="B952" t="s">
        <v>944</v>
      </c>
    </row>
    <row r="953" spans="1:2" x14ac:dyDescent="0.2">
      <c r="A953">
        <v>9007541100</v>
      </c>
      <c r="B953" t="s">
        <v>936</v>
      </c>
    </row>
    <row r="954" spans="1:2" x14ac:dyDescent="0.2">
      <c r="A954">
        <v>9007541200</v>
      </c>
      <c r="B954" t="s">
        <v>944</v>
      </c>
    </row>
    <row r="955" spans="1:2" x14ac:dyDescent="0.2">
      <c r="A955">
        <v>9007541300</v>
      </c>
      <c r="B955" t="s">
        <v>944</v>
      </c>
    </row>
    <row r="956" spans="1:2" x14ac:dyDescent="0.2">
      <c r="A956">
        <v>9007541401</v>
      </c>
      <c r="B956" t="s">
        <v>944</v>
      </c>
    </row>
    <row r="957" spans="1:2" x14ac:dyDescent="0.2">
      <c r="A957">
        <v>9007541402</v>
      </c>
      <c r="B957" t="s">
        <v>944</v>
      </c>
    </row>
    <row r="958" spans="1:2" x14ac:dyDescent="0.2">
      <c r="A958">
        <v>9007541500</v>
      </c>
      <c r="B958" t="s">
        <v>944</v>
      </c>
    </row>
    <row r="959" spans="1:2" x14ac:dyDescent="0.2">
      <c r="A959">
        <v>9007541600</v>
      </c>
      <c r="B959" t="s">
        <v>936</v>
      </c>
    </row>
    <row r="960" spans="1:2" x14ac:dyDescent="0.2">
      <c r="A960">
        <v>9007541700</v>
      </c>
      <c r="B960" t="s">
        <v>936</v>
      </c>
    </row>
    <row r="961" spans="1:2" x14ac:dyDescent="0.2">
      <c r="A961">
        <v>9007542000</v>
      </c>
      <c r="B961" t="s">
        <v>944</v>
      </c>
    </row>
    <row r="962" spans="1:2" x14ac:dyDescent="0.2">
      <c r="A962">
        <v>9007542100</v>
      </c>
      <c r="B962" t="s">
        <v>944</v>
      </c>
    </row>
    <row r="963" spans="1:2" x14ac:dyDescent="0.2">
      <c r="A963">
        <v>9007542200</v>
      </c>
      <c r="B963" t="s">
        <v>944</v>
      </c>
    </row>
    <row r="964" spans="1:2" x14ac:dyDescent="0.2">
      <c r="A964">
        <v>9007560200</v>
      </c>
      <c r="B964" t="s">
        <v>944</v>
      </c>
    </row>
    <row r="965" spans="1:2" x14ac:dyDescent="0.2">
      <c r="A965">
        <v>9007680200</v>
      </c>
      <c r="B965" t="s">
        <v>944</v>
      </c>
    </row>
    <row r="966" spans="1:2" x14ac:dyDescent="0.2">
      <c r="A966">
        <v>9011693600</v>
      </c>
      <c r="B966" t="s">
        <v>944</v>
      </c>
    </row>
    <row r="967" spans="1:2" x14ac:dyDescent="0.2">
      <c r="A967">
        <v>9011693600</v>
      </c>
      <c r="B967" t="s">
        <v>944</v>
      </c>
    </row>
    <row r="968" spans="1:2" x14ac:dyDescent="0.2">
      <c r="A968">
        <v>9011693600</v>
      </c>
      <c r="B968" t="s">
        <v>944</v>
      </c>
    </row>
    <row r="969" spans="1:2" x14ac:dyDescent="0.2">
      <c r="A969">
        <v>9011695201</v>
      </c>
      <c r="B969" t="s">
        <v>944</v>
      </c>
    </row>
    <row r="970" spans="1:2" x14ac:dyDescent="0.2">
      <c r="A970">
        <v>9011695201</v>
      </c>
      <c r="B970" t="s">
        <v>944</v>
      </c>
    </row>
    <row r="971" spans="1:2" x14ac:dyDescent="0.2">
      <c r="A971">
        <v>9011870501</v>
      </c>
      <c r="B971" t="s">
        <v>944</v>
      </c>
    </row>
    <row r="972" spans="1:2" x14ac:dyDescent="0.2">
      <c r="A972">
        <v>9011870502</v>
      </c>
      <c r="B972" t="s">
        <v>944</v>
      </c>
    </row>
    <row r="973" spans="1:2" x14ac:dyDescent="0.2">
      <c r="A973">
        <v>9011870502</v>
      </c>
      <c r="B973" t="s">
        <v>944</v>
      </c>
    </row>
    <row r="974" spans="1:2" x14ac:dyDescent="0.2">
      <c r="A974">
        <v>9011660101</v>
      </c>
      <c r="B974" t="s">
        <v>944</v>
      </c>
    </row>
    <row r="975" spans="1:2" x14ac:dyDescent="0.2">
      <c r="A975">
        <v>9011660102</v>
      </c>
      <c r="B975" t="s">
        <v>944</v>
      </c>
    </row>
    <row r="976" spans="1:2" x14ac:dyDescent="0.2">
      <c r="A976">
        <v>9007670200</v>
      </c>
      <c r="B976" t="s">
        <v>944</v>
      </c>
    </row>
    <row r="977" spans="1:2" x14ac:dyDescent="0.2">
      <c r="A977">
        <v>9011690300</v>
      </c>
      <c r="B977" t="s">
        <v>944</v>
      </c>
    </row>
    <row r="978" spans="1:2" x14ac:dyDescent="0.2">
      <c r="A978">
        <v>9011690300</v>
      </c>
      <c r="B978" t="s">
        <v>944</v>
      </c>
    </row>
    <row r="979" spans="1:2" x14ac:dyDescent="0.2">
      <c r="A979">
        <v>9011690400</v>
      </c>
      <c r="B979" t="s">
        <v>944</v>
      </c>
    </row>
    <row r="980" spans="1:2" x14ac:dyDescent="0.2">
      <c r="A980">
        <v>9011690500</v>
      </c>
      <c r="B980" t="s">
        <v>944</v>
      </c>
    </row>
    <row r="981" spans="1:2" x14ac:dyDescent="0.2">
      <c r="A981">
        <v>9011690700</v>
      </c>
      <c r="B981" t="s">
        <v>944</v>
      </c>
    </row>
    <row r="982" spans="1:2" x14ac:dyDescent="0.2">
      <c r="A982">
        <v>9011690800</v>
      </c>
      <c r="B982" t="s">
        <v>936</v>
      </c>
    </row>
    <row r="983" spans="1:2" x14ac:dyDescent="0.2">
      <c r="A983">
        <v>9011690900</v>
      </c>
      <c r="B983" t="s">
        <v>944</v>
      </c>
    </row>
    <row r="984" spans="1:2" x14ac:dyDescent="0.2">
      <c r="A984">
        <v>9011693300</v>
      </c>
      <c r="B984" t="s">
        <v>944</v>
      </c>
    </row>
    <row r="985" spans="1:2" x14ac:dyDescent="0.2">
      <c r="A985">
        <v>9011693500</v>
      </c>
      <c r="B985" t="s">
        <v>944</v>
      </c>
    </row>
    <row r="986" spans="1:2" x14ac:dyDescent="0.2">
      <c r="A986">
        <v>9011693700</v>
      </c>
      <c r="B986" t="s">
        <v>944</v>
      </c>
    </row>
    <row r="987" spans="1:2" x14ac:dyDescent="0.2">
      <c r="A987">
        <v>9011697000</v>
      </c>
      <c r="B987" t="s">
        <v>936</v>
      </c>
    </row>
    <row r="988" spans="1:2" x14ac:dyDescent="0.2">
      <c r="A988">
        <v>9011700100</v>
      </c>
      <c r="B988" t="s">
        <v>944</v>
      </c>
    </row>
    <row r="989" spans="1:2" x14ac:dyDescent="0.2">
      <c r="A989">
        <v>9011870300</v>
      </c>
      <c r="B989" t="s">
        <v>944</v>
      </c>
    </row>
    <row r="990" spans="1:2" x14ac:dyDescent="0.2">
      <c r="A990">
        <v>9011870300</v>
      </c>
      <c r="B990" t="s">
        <v>944</v>
      </c>
    </row>
    <row r="991" spans="1:2" x14ac:dyDescent="0.2">
      <c r="A991">
        <v>9011707100</v>
      </c>
      <c r="B991" t="s">
        <v>944</v>
      </c>
    </row>
    <row r="992" spans="1:2" x14ac:dyDescent="0.2">
      <c r="A992">
        <v>9011707100</v>
      </c>
      <c r="B992" t="s">
        <v>944</v>
      </c>
    </row>
    <row r="993" spans="1:2" x14ac:dyDescent="0.2">
      <c r="A993">
        <v>9011705101</v>
      </c>
      <c r="B993" t="s">
        <v>944</v>
      </c>
    </row>
    <row r="994" spans="1:2" x14ac:dyDescent="0.2">
      <c r="A994">
        <v>9011708100</v>
      </c>
      <c r="B994" t="s">
        <v>944</v>
      </c>
    </row>
    <row r="995" spans="1:2" x14ac:dyDescent="0.2">
      <c r="A995">
        <v>9011708100</v>
      </c>
      <c r="B995" t="s">
        <v>944</v>
      </c>
    </row>
    <row r="996" spans="1:2" x14ac:dyDescent="0.2">
      <c r="A996">
        <v>9011705102</v>
      </c>
      <c r="B996" t="s">
        <v>944</v>
      </c>
    </row>
    <row r="997" spans="1:2" x14ac:dyDescent="0.2">
      <c r="A997">
        <v>9011705200</v>
      </c>
      <c r="B997" t="s">
        <v>944</v>
      </c>
    </row>
    <row r="998" spans="1:2" x14ac:dyDescent="0.2">
      <c r="A998">
        <v>9011705300</v>
      </c>
      <c r="B998" t="s">
        <v>944</v>
      </c>
    </row>
    <row r="999" spans="1:2" x14ac:dyDescent="0.2">
      <c r="A999">
        <v>9011705400</v>
      </c>
      <c r="B999" t="s">
        <v>944</v>
      </c>
    </row>
    <row r="1000" spans="1:2" x14ac:dyDescent="0.2">
      <c r="A1000">
        <v>9015907300</v>
      </c>
      <c r="B1000" t="s">
        <v>944</v>
      </c>
    </row>
    <row r="1001" spans="1:2" x14ac:dyDescent="0.2">
      <c r="A1001">
        <v>9011711100</v>
      </c>
      <c r="B1001" t="s">
        <v>944</v>
      </c>
    </row>
    <row r="1002" spans="1:2" x14ac:dyDescent="0.2">
      <c r="A1002">
        <v>9015903200</v>
      </c>
      <c r="B1002" t="s">
        <v>944</v>
      </c>
    </row>
    <row r="1003" spans="1:2" x14ac:dyDescent="0.2">
      <c r="A1003">
        <v>9015903200</v>
      </c>
      <c r="B1003" t="s">
        <v>944</v>
      </c>
    </row>
    <row r="1004" spans="1:2" x14ac:dyDescent="0.2">
      <c r="A1004">
        <v>9013890202</v>
      </c>
      <c r="B1004" t="s">
        <v>944</v>
      </c>
    </row>
    <row r="1005" spans="1:2" x14ac:dyDescent="0.2">
      <c r="A1005">
        <v>9013890202</v>
      </c>
      <c r="B1005" t="s">
        <v>944</v>
      </c>
    </row>
    <row r="1006" spans="1:2" x14ac:dyDescent="0.2">
      <c r="A1006">
        <v>9013890202</v>
      </c>
      <c r="B1006" t="s">
        <v>944</v>
      </c>
    </row>
    <row r="1007" spans="1:2" x14ac:dyDescent="0.2">
      <c r="A1007">
        <v>9013890100</v>
      </c>
      <c r="B1007" t="s">
        <v>944</v>
      </c>
    </row>
    <row r="1008" spans="1:2" x14ac:dyDescent="0.2">
      <c r="A1008">
        <v>9013890100</v>
      </c>
      <c r="B1008" t="s">
        <v>944</v>
      </c>
    </row>
    <row r="1009" spans="1:2" x14ac:dyDescent="0.2">
      <c r="A1009">
        <v>9013890201</v>
      </c>
      <c r="B1009" t="s">
        <v>944</v>
      </c>
    </row>
    <row r="1010" spans="1:2" x14ac:dyDescent="0.2">
      <c r="A1010">
        <v>9013890201</v>
      </c>
      <c r="B1010" t="s">
        <v>944</v>
      </c>
    </row>
    <row r="1011" spans="1:2" x14ac:dyDescent="0.2">
      <c r="A1011">
        <v>9015900200</v>
      </c>
      <c r="B1011" t="s">
        <v>944</v>
      </c>
    </row>
    <row r="1012" spans="1:2" x14ac:dyDescent="0.2">
      <c r="A1012">
        <v>9003497200</v>
      </c>
      <c r="B1012" t="s">
        <v>944</v>
      </c>
    </row>
    <row r="1013" spans="1:2" x14ac:dyDescent="0.2">
      <c r="A1013">
        <v>9003497300</v>
      </c>
      <c r="B1013" t="s">
        <v>944</v>
      </c>
    </row>
    <row r="1014" spans="1:2" x14ac:dyDescent="0.2">
      <c r="A1014">
        <v>9003497400</v>
      </c>
      <c r="B1014" t="s">
        <v>944</v>
      </c>
    </row>
    <row r="1015" spans="1:2" x14ac:dyDescent="0.2">
      <c r="A1015">
        <v>9003497500</v>
      </c>
      <c r="B1015" t="s">
        <v>944</v>
      </c>
    </row>
    <row r="1016" spans="1:2" x14ac:dyDescent="0.2">
      <c r="A1016">
        <v>9003497600</v>
      </c>
      <c r="B1016" t="s">
        <v>944</v>
      </c>
    </row>
    <row r="1017" spans="1:2" x14ac:dyDescent="0.2">
      <c r="A1017">
        <v>9003497700</v>
      </c>
      <c r="B1017" t="s">
        <v>944</v>
      </c>
    </row>
    <row r="1018" spans="1:2" x14ac:dyDescent="0.2">
      <c r="A1018">
        <v>9007620100</v>
      </c>
      <c r="B1018" t="s">
        <v>944</v>
      </c>
    </row>
    <row r="1019" spans="1:2" x14ac:dyDescent="0.2">
      <c r="A1019">
        <v>9007680100</v>
      </c>
      <c r="B1019" t="s">
        <v>944</v>
      </c>
    </row>
    <row r="1020" spans="1:2" x14ac:dyDescent="0.2">
      <c r="A1020">
        <v>9001050100</v>
      </c>
      <c r="B1020" t="s">
        <v>944</v>
      </c>
    </row>
    <row r="1021" spans="1:2" x14ac:dyDescent="0.2">
      <c r="A1021">
        <v>9001050300</v>
      </c>
      <c r="B1021" t="s">
        <v>944</v>
      </c>
    </row>
    <row r="1022" spans="1:2" x14ac:dyDescent="0.2">
      <c r="A1022">
        <v>9001055100</v>
      </c>
      <c r="B1022" t="s">
        <v>944</v>
      </c>
    </row>
    <row r="1023" spans="1:2" x14ac:dyDescent="0.2">
      <c r="A1023">
        <v>9001055200</v>
      </c>
      <c r="B1023" t="s">
        <v>944</v>
      </c>
    </row>
    <row r="1024" spans="1:2" x14ac:dyDescent="0.2">
      <c r="A1024">
        <v>9001105100</v>
      </c>
      <c r="B1024" t="s">
        <v>944</v>
      </c>
    </row>
    <row r="1025" spans="1:2" x14ac:dyDescent="0.2">
      <c r="A1025">
        <v>9001042500</v>
      </c>
      <c r="B1025" t="s">
        <v>944</v>
      </c>
    </row>
    <row r="1026" spans="1:2" x14ac:dyDescent="0.2">
      <c r="A1026">
        <v>9001042600</v>
      </c>
      <c r="B1026" t="s">
        <v>944</v>
      </c>
    </row>
    <row r="1027" spans="1:2" x14ac:dyDescent="0.2">
      <c r="A1027">
        <v>9001043500</v>
      </c>
      <c r="B1027" t="s">
        <v>944</v>
      </c>
    </row>
    <row r="1028" spans="1:2" x14ac:dyDescent="0.2">
      <c r="A1028">
        <v>9001044300</v>
      </c>
      <c r="B1028" t="s">
        <v>944</v>
      </c>
    </row>
    <row r="1029" spans="1:2" x14ac:dyDescent="0.2">
      <c r="A1029">
        <v>9001045400</v>
      </c>
      <c r="B1029" t="s">
        <v>944</v>
      </c>
    </row>
    <row r="1030" spans="1:2" x14ac:dyDescent="0.2">
      <c r="A1030">
        <v>9001050100</v>
      </c>
      <c r="B1030" t="s">
        <v>944</v>
      </c>
    </row>
    <row r="1031" spans="1:2" x14ac:dyDescent="0.2">
      <c r="A1031">
        <v>9001050200</v>
      </c>
      <c r="B1031" t="s">
        <v>944</v>
      </c>
    </row>
    <row r="1032" spans="1:2" x14ac:dyDescent="0.2">
      <c r="A1032">
        <v>9001050300</v>
      </c>
      <c r="B1032" t="s">
        <v>944</v>
      </c>
    </row>
    <row r="1033" spans="1:2" x14ac:dyDescent="0.2">
      <c r="A1033">
        <v>9001050400</v>
      </c>
      <c r="B1033" t="s">
        <v>944</v>
      </c>
    </row>
    <row r="1034" spans="1:2" x14ac:dyDescent="0.2">
      <c r="A1034">
        <v>9001050500</v>
      </c>
      <c r="B1034" t="s">
        <v>944</v>
      </c>
    </row>
    <row r="1035" spans="1:2" x14ac:dyDescent="0.2">
      <c r="A1035">
        <v>9001050600</v>
      </c>
      <c r="B1035" t="s">
        <v>944</v>
      </c>
    </row>
    <row r="1036" spans="1:2" x14ac:dyDescent="0.2">
      <c r="A1036">
        <v>9001055200</v>
      </c>
      <c r="B1036" t="s">
        <v>944</v>
      </c>
    </row>
    <row r="1037" spans="1:2" x14ac:dyDescent="0.2">
      <c r="A1037">
        <v>9001060400</v>
      </c>
      <c r="B1037" t="s">
        <v>944</v>
      </c>
    </row>
    <row r="1038" spans="1:2" x14ac:dyDescent="0.2">
      <c r="A1038">
        <v>9003492100</v>
      </c>
      <c r="B1038" t="s">
        <v>944</v>
      </c>
    </row>
    <row r="1039" spans="1:2" x14ac:dyDescent="0.2">
      <c r="A1039">
        <v>9003492200</v>
      </c>
      <c r="B1039" t="s">
        <v>944</v>
      </c>
    </row>
    <row r="1040" spans="1:2" x14ac:dyDescent="0.2">
      <c r="A1040">
        <v>9003492300</v>
      </c>
      <c r="B1040" t="s">
        <v>944</v>
      </c>
    </row>
    <row r="1041" spans="1:2" x14ac:dyDescent="0.2">
      <c r="A1041">
        <v>9003492400</v>
      </c>
      <c r="B1041" t="s">
        <v>944</v>
      </c>
    </row>
    <row r="1042" spans="1:2" x14ac:dyDescent="0.2">
      <c r="A1042">
        <v>9003492500</v>
      </c>
      <c r="B1042" t="s">
        <v>944</v>
      </c>
    </row>
    <row r="1043" spans="1:2" x14ac:dyDescent="0.2">
      <c r="A1043">
        <v>9003492600</v>
      </c>
      <c r="B1043" t="s">
        <v>944</v>
      </c>
    </row>
    <row r="1044" spans="1:2" x14ac:dyDescent="0.2">
      <c r="A1044">
        <v>9003494100</v>
      </c>
      <c r="B1044" t="s">
        <v>944</v>
      </c>
    </row>
    <row r="1045" spans="1:2" x14ac:dyDescent="0.2">
      <c r="A1045">
        <v>9013840100</v>
      </c>
      <c r="B1045" t="s">
        <v>944</v>
      </c>
    </row>
    <row r="1046" spans="1:2" x14ac:dyDescent="0.2">
      <c r="A1046">
        <v>9013890201</v>
      </c>
      <c r="B1046" t="s">
        <v>944</v>
      </c>
    </row>
    <row r="1047" spans="1:2" x14ac:dyDescent="0.2">
      <c r="A1047">
        <v>9015830100</v>
      </c>
      <c r="B1047" t="s">
        <v>944</v>
      </c>
    </row>
    <row r="1048" spans="1:2" x14ac:dyDescent="0.2">
      <c r="A1048">
        <v>9001035400</v>
      </c>
      <c r="B1048" t="s">
        <v>944</v>
      </c>
    </row>
    <row r="1049" spans="1:2" x14ac:dyDescent="0.2">
      <c r="A1049">
        <v>9001042900</v>
      </c>
      <c r="B1049" t="s">
        <v>944</v>
      </c>
    </row>
    <row r="1050" spans="1:2" x14ac:dyDescent="0.2">
      <c r="A1050">
        <v>9001045101</v>
      </c>
      <c r="B1050" t="s">
        <v>944</v>
      </c>
    </row>
    <row r="1051" spans="1:2" x14ac:dyDescent="0.2">
      <c r="A1051">
        <v>9001045102</v>
      </c>
      <c r="B1051" t="s">
        <v>944</v>
      </c>
    </row>
    <row r="1052" spans="1:2" x14ac:dyDescent="0.2">
      <c r="A1052">
        <v>9001045200</v>
      </c>
      <c r="B1052" t="s">
        <v>944</v>
      </c>
    </row>
    <row r="1053" spans="1:2" x14ac:dyDescent="0.2">
      <c r="A1053">
        <v>9001045300</v>
      </c>
      <c r="B1053" t="s">
        <v>944</v>
      </c>
    </row>
    <row r="1054" spans="1:2" x14ac:dyDescent="0.2">
      <c r="A1054">
        <v>9001045400</v>
      </c>
      <c r="B1054" t="s">
        <v>944</v>
      </c>
    </row>
    <row r="1055" spans="1:2" x14ac:dyDescent="0.2">
      <c r="A1055">
        <v>9001055100</v>
      </c>
      <c r="B1055" t="s">
        <v>944</v>
      </c>
    </row>
    <row r="1056" spans="1:2" x14ac:dyDescent="0.2">
      <c r="A1056">
        <v>9001240100</v>
      </c>
      <c r="B1056" t="s">
        <v>944</v>
      </c>
    </row>
    <row r="1057" spans="1:2" x14ac:dyDescent="0.2">
      <c r="A1057">
        <v>9001245400</v>
      </c>
      <c r="B1057" t="s">
        <v>944</v>
      </c>
    </row>
    <row r="1058" spans="1:2" x14ac:dyDescent="0.2">
      <c r="A1058">
        <v>9005290100</v>
      </c>
      <c r="B1058" t="s">
        <v>944</v>
      </c>
    </row>
    <row r="1059" spans="1:2" x14ac:dyDescent="0.2">
      <c r="A1059">
        <v>9005293100</v>
      </c>
      <c r="B1059" t="s">
        <v>944</v>
      </c>
    </row>
    <row r="1060" spans="1:2" x14ac:dyDescent="0.2">
      <c r="A1060">
        <v>9005310700</v>
      </c>
      <c r="B1060" t="s">
        <v>944</v>
      </c>
    </row>
    <row r="1061" spans="1:2" x14ac:dyDescent="0.2">
      <c r="A1061">
        <v>9005320100</v>
      </c>
      <c r="B1061" t="s">
        <v>944</v>
      </c>
    </row>
    <row r="1062" spans="1:2" x14ac:dyDescent="0.2">
      <c r="A1062">
        <v>9005320200</v>
      </c>
      <c r="B1062" t="s">
        <v>944</v>
      </c>
    </row>
    <row r="1063" spans="1:2" x14ac:dyDescent="0.2">
      <c r="A1063">
        <v>9013881500</v>
      </c>
      <c r="B1063" t="s">
        <v>944</v>
      </c>
    </row>
    <row r="1064" spans="1:2" x14ac:dyDescent="0.2">
      <c r="A1064">
        <v>9015800300</v>
      </c>
      <c r="B1064" t="s">
        <v>936</v>
      </c>
    </row>
    <row r="1065" spans="1:2" x14ac:dyDescent="0.2">
      <c r="A1065">
        <v>9015800400</v>
      </c>
      <c r="B1065" t="s">
        <v>944</v>
      </c>
    </row>
    <row r="1066" spans="1:2" x14ac:dyDescent="0.2">
      <c r="A1066">
        <v>9015800500</v>
      </c>
      <c r="B1066" t="s">
        <v>944</v>
      </c>
    </row>
    <row r="1067" spans="1:2" x14ac:dyDescent="0.2">
      <c r="A1067">
        <v>9015800600</v>
      </c>
      <c r="B1067" t="s">
        <v>936</v>
      </c>
    </row>
    <row r="1068" spans="1:2" x14ac:dyDescent="0.2">
      <c r="A1068">
        <v>9015800700</v>
      </c>
      <c r="B1068" t="s">
        <v>936</v>
      </c>
    </row>
    <row r="1069" spans="1:2" x14ac:dyDescent="0.2">
      <c r="A1069">
        <v>9015815000</v>
      </c>
      <c r="B1069" t="s">
        <v>944</v>
      </c>
    </row>
    <row r="1070" spans="1:2" x14ac:dyDescent="0.2">
      <c r="A1070">
        <v>9015825000</v>
      </c>
      <c r="B1070" t="s">
        <v>944</v>
      </c>
    </row>
    <row r="1071" spans="1:2" x14ac:dyDescent="0.2">
      <c r="A1071">
        <v>9003470100</v>
      </c>
      <c r="B1071" t="s">
        <v>944</v>
      </c>
    </row>
    <row r="1072" spans="1:2" x14ac:dyDescent="0.2">
      <c r="A1072">
        <v>9003471400</v>
      </c>
      <c r="B1072" t="s">
        <v>944</v>
      </c>
    </row>
    <row r="1073" spans="1:2" x14ac:dyDescent="0.2">
      <c r="A1073">
        <v>9003473100</v>
      </c>
      <c r="B1073" t="s">
        <v>944</v>
      </c>
    </row>
    <row r="1074" spans="1:2" x14ac:dyDescent="0.2">
      <c r="A1074">
        <v>9003473400</v>
      </c>
      <c r="B1074" t="s">
        <v>944</v>
      </c>
    </row>
    <row r="1075" spans="1:2" x14ac:dyDescent="0.2">
      <c r="A1075">
        <v>9003473501</v>
      </c>
      <c r="B1075" t="s">
        <v>944</v>
      </c>
    </row>
    <row r="1076" spans="1:2" x14ac:dyDescent="0.2">
      <c r="A1076">
        <v>9003473502</v>
      </c>
      <c r="B1076" t="s">
        <v>944</v>
      </c>
    </row>
    <row r="1077" spans="1:2" x14ac:dyDescent="0.2">
      <c r="A1077">
        <v>9003473601</v>
      </c>
      <c r="B1077" t="s">
        <v>944</v>
      </c>
    </row>
    <row r="1078" spans="1:2" x14ac:dyDescent="0.2">
      <c r="A1078">
        <v>9003473602</v>
      </c>
      <c r="B1078" t="s">
        <v>944</v>
      </c>
    </row>
    <row r="1079" spans="1:2" x14ac:dyDescent="0.2">
      <c r="A1079">
        <v>9003473700</v>
      </c>
      <c r="B1079" t="s">
        <v>944</v>
      </c>
    </row>
    <row r="1080" spans="1:2" x14ac:dyDescent="0.2">
      <c r="A1080">
        <v>9003473800</v>
      </c>
      <c r="B1080" t="s">
        <v>944</v>
      </c>
    </row>
    <row r="1081" spans="1:2" x14ac:dyDescent="0.2">
      <c r="A1081">
        <v>9003524400</v>
      </c>
      <c r="B1081" t="s">
        <v>936</v>
      </c>
    </row>
    <row r="1082" spans="1:2" x14ac:dyDescent="0.2">
      <c r="A1082">
        <v>9003476100</v>
      </c>
      <c r="B1082" t="s">
        <v>944</v>
      </c>
    </row>
    <row r="1083" spans="1:2" x14ac:dyDescent="0.2">
      <c r="A1083">
        <v>9003476200</v>
      </c>
      <c r="B1083" t="s">
        <v>944</v>
      </c>
    </row>
    <row r="1084" spans="1:2" x14ac:dyDescent="0.2">
      <c r="A1084">
        <v>9003476300</v>
      </c>
      <c r="B1084" t="s">
        <v>944</v>
      </c>
    </row>
    <row r="1085" spans="1:2" x14ac:dyDescent="0.2">
      <c r="A1085">
        <v>9009352600</v>
      </c>
      <c r="B1085" t="s">
        <v>936</v>
      </c>
    </row>
    <row r="1086" spans="1:2" x14ac:dyDescent="0.2">
      <c r="A1086">
        <v>9009352701</v>
      </c>
      <c r="B1086" t="s">
        <v>936</v>
      </c>
    </row>
    <row r="1087" spans="1:2" x14ac:dyDescent="0.2">
      <c r="A1087">
        <v>9009352800</v>
      </c>
      <c r="B1087" t="s">
        <v>944</v>
      </c>
    </row>
    <row r="1088" spans="1:2" x14ac:dyDescent="0.2">
      <c r="A1088">
        <v>9009361100</v>
      </c>
      <c r="B1088" t="s">
        <v>944</v>
      </c>
    </row>
    <row r="1089" spans="1:2" x14ac:dyDescent="0.2">
      <c r="A1089">
        <v>9009361200</v>
      </c>
      <c r="B1089" t="s">
        <v>944</v>
      </c>
    </row>
    <row r="1090" spans="1:2" x14ac:dyDescent="0.2">
      <c r="A1090">
        <v>9009361300</v>
      </c>
      <c r="B1090" t="s">
        <v>944</v>
      </c>
    </row>
    <row r="1091" spans="1:2" x14ac:dyDescent="0.2">
      <c r="A1091">
        <v>9005342100</v>
      </c>
      <c r="B1091" t="s">
        <v>944</v>
      </c>
    </row>
    <row r="1092" spans="1:2" x14ac:dyDescent="0.2">
      <c r="A1092">
        <v>9005360200</v>
      </c>
      <c r="B1092" t="s">
        <v>944</v>
      </c>
    </row>
    <row r="1093" spans="1:2" x14ac:dyDescent="0.2">
      <c r="A1093">
        <v>9005362101</v>
      </c>
      <c r="B1093" t="s">
        <v>944</v>
      </c>
    </row>
    <row r="1094" spans="1:2" x14ac:dyDescent="0.2">
      <c r="A1094">
        <v>9005362102</v>
      </c>
      <c r="B1094" t="s">
        <v>944</v>
      </c>
    </row>
    <row r="1095" spans="1:2" x14ac:dyDescent="0.2">
      <c r="A1095">
        <v>9015900200</v>
      </c>
      <c r="B1095" t="s">
        <v>944</v>
      </c>
    </row>
    <row r="1096" spans="1:2" x14ac:dyDescent="0.2">
      <c r="A1096">
        <v>9015901100</v>
      </c>
      <c r="B1096" t="s">
        <v>944</v>
      </c>
    </row>
    <row r="1097" spans="1:2" x14ac:dyDescent="0.2">
      <c r="A1097">
        <v>9015902200</v>
      </c>
      <c r="B1097" t="s">
        <v>944</v>
      </c>
    </row>
    <row r="1098" spans="1:2" x14ac:dyDescent="0.2">
      <c r="A1098">
        <v>9015902500</v>
      </c>
      <c r="B1098"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42A9-F400-431F-8D8A-48F4899BD524}">
  <sheetPr>
    <tabColor theme="7" tint="0.59999389629810485"/>
  </sheetPr>
  <dimension ref="A1:R423"/>
  <sheetViews>
    <sheetView topLeftCell="J1" zoomScale="85" zoomScaleNormal="85" workbookViewId="0">
      <selection activeCell="K9" sqref="K9"/>
    </sheetView>
  </sheetViews>
  <sheetFormatPr baseColWidth="10" defaultColWidth="8.83203125" defaultRowHeight="15" x14ac:dyDescent="0.2"/>
  <cols>
    <col min="1" max="1" width="15.6640625" customWidth="1"/>
    <col min="2" max="2" width="20.5" customWidth="1"/>
    <col min="3" max="3" width="20" style="5" customWidth="1"/>
    <col min="4" max="4" width="22.6640625" style="32" customWidth="1"/>
    <col min="5" max="5" width="27.33203125" style="26" customWidth="1"/>
    <col min="6" max="6" width="25" style="32" customWidth="1"/>
    <col min="7" max="7" width="34.5" style="26" customWidth="1"/>
    <col min="8" max="8" width="33" bestFit="1" customWidth="1"/>
    <col min="9" max="9" width="43.5" bestFit="1" customWidth="1"/>
    <col min="10" max="10" width="38.5" customWidth="1"/>
    <col min="11" max="11" width="49.33203125" customWidth="1"/>
    <col min="12" max="12" width="22.6640625" customWidth="1"/>
    <col min="13" max="13" width="32.6640625" customWidth="1"/>
    <col min="14" max="14" width="31.33203125" customWidth="1"/>
    <col min="15" max="15" width="41.33203125" customWidth="1"/>
    <col min="16" max="16" width="32.83203125" customWidth="1"/>
    <col min="17" max="17" width="30.83203125" customWidth="1"/>
    <col min="18" max="18" width="41.33203125" customWidth="1"/>
    <col min="19" max="19" width="14.1640625" customWidth="1"/>
  </cols>
  <sheetData>
    <row r="1" spans="1:18" x14ac:dyDescent="0.2">
      <c r="A1" s="301" t="s">
        <v>2710</v>
      </c>
      <c r="B1" s="302"/>
      <c r="C1" s="302"/>
      <c r="D1" s="302"/>
      <c r="E1" s="302"/>
      <c r="F1" s="302"/>
      <c r="G1" s="302"/>
      <c r="H1" s="302"/>
      <c r="I1" s="302"/>
      <c r="J1" s="302"/>
      <c r="K1" s="302"/>
      <c r="L1" s="302"/>
      <c r="M1" s="302"/>
      <c r="N1" s="302"/>
      <c r="O1" s="302"/>
      <c r="P1" s="302"/>
      <c r="Q1" s="302"/>
      <c r="R1" s="303"/>
    </row>
    <row r="2" spans="1:18" ht="16" thickBot="1" x14ac:dyDescent="0.25">
      <c r="A2" s="304"/>
      <c r="B2" s="305"/>
      <c r="C2" s="305"/>
      <c r="D2" s="305"/>
      <c r="E2" s="305"/>
      <c r="F2" s="305"/>
      <c r="G2" s="305"/>
      <c r="H2" s="305"/>
      <c r="I2" s="305"/>
      <c r="J2" s="305"/>
      <c r="K2" s="305"/>
      <c r="L2" s="305"/>
      <c r="M2" s="305"/>
      <c r="N2" s="305"/>
      <c r="O2" s="305"/>
      <c r="P2" s="305"/>
      <c r="Q2" s="305"/>
      <c r="R2" s="306"/>
    </row>
    <row r="3" spans="1:18" ht="17" thickBot="1" x14ac:dyDescent="0.25">
      <c r="A3" s="274" t="s">
        <v>3884</v>
      </c>
      <c r="B3" s="275"/>
      <c r="C3" s="275"/>
      <c r="D3" s="258" t="s">
        <v>2697</v>
      </c>
      <c r="E3" s="259"/>
      <c r="F3" s="259"/>
      <c r="G3" s="259"/>
      <c r="H3" s="259"/>
      <c r="I3" s="259"/>
      <c r="J3" s="259"/>
      <c r="K3" s="259"/>
      <c r="L3" s="259"/>
      <c r="M3" s="259"/>
      <c r="N3" s="259"/>
      <c r="O3" s="259"/>
      <c r="P3" s="259"/>
      <c r="Q3" s="259"/>
      <c r="R3" s="260"/>
    </row>
    <row r="4" spans="1:18" ht="16" thickBot="1" x14ac:dyDescent="0.25">
      <c r="A4" s="287"/>
      <c r="B4" s="288"/>
      <c r="C4" s="307"/>
      <c r="D4" s="308" t="s">
        <v>2699</v>
      </c>
      <c r="E4" s="309"/>
      <c r="F4" s="309"/>
      <c r="G4" s="309"/>
      <c r="H4" s="272" t="s">
        <v>2700</v>
      </c>
      <c r="I4" s="273"/>
      <c r="J4" s="273"/>
      <c r="K4" s="273"/>
      <c r="L4" s="310" t="s">
        <v>2701</v>
      </c>
      <c r="M4" s="291"/>
      <c r="N4" s="291"/>
      <c r="O4" s="292"/>
      <c r="P4" s="116"/>
      <c r="Q4" s="116"/>
      <c r="R4" s="117"/>
    </row>
    <row r="5" spans="1:18" ht="21" thickBot="1" x14ac:dyDescent="0.25">
      <c r="A5" s="37" t="s">
        <v>2711</v>
      </c>
      <c r="B5" s="178" t="s">
        <v>2712</v>
      </c>
      <c r="C5" s="39" t="s">
        <v>2713</v>
      </c>
      <c r="D5" s="40" t="s">
        <v>2714</v>
      </c>
      <c r="E5" s="41" t="s">
        <v>2715</v>
      </c>
      <c r="F5" s="42" t="s">
        <v>2716</v>
      </c>
      <c r="G5" s="41" t="s">
        <v>2717</v>
      </c>
      <c r="H5" s="134" t="s">
        <v>2718</v>
      </c>
      <c r="I5" s="135" t="s">
        <v>2719</v>
      </c>
      <c r="J5" s="135" t="s">
        <v>2720</v>
      </c>
      <c r="K5" s="135" t="s">
        <v>2721</v>
      </c>
      <c r="L5" s="134" t="s">
        <v>2722</v>
      </c>
      <c r="M5" s="135" t="s">
        <v>2723</v>
      </c>
      <c r="N5" s="135" t="s">
        <v>2724</v>
      </c>
      <c r="O5" s="136" t="s">
        <v>2725</v>
      </c>
      <c r="P5" s="47" t="s">
        <v>2981</v>
      </c>
      <c r="Q5" s="65" t="s">
        <v>2728</v>
      </c>
      <c r="R5" s="65" t="s">
        <v>2727</v>
      </c>
    </row>
    <row r="6" spans="1:18" ht="17" thickBot="1" x14ac:dyDescent="0.25">
      <c r="A6" s="144">
        <v>9001055100</v>
      </c>
      <c r="B6" s="144" t="s">
        <v>2982</v>
      </c>
      <c r="C6" s="139" t="s">
        <v>944</v>
      </c>
      <c r="D6" s="186">
        <f>[2]!Table3[[#This Row],[Residential CLM $ Collected]]+[2]!Table3[[#This Row],[C&amp;I CLM $ Collected]]</f>
        <v>340.39189341309134</v>
      </c>
      <c r="E6" s="187">
        <f>[2]!Table3[[#This Row],[CLM $ Collected ]]/'[2]1.) CLM Reference'!$B$4</f>
        <v>1.5104949427701888E-5</v>
      </c>
      <c r="F6" s="188">
        <f>[2]!Table3[[#This Row],[Residential Incentive Disbursements]]+[2]!Table3[[#This Row],[C&amp;I Incentive Disbursements]]</f>
        <v>0</v>
      </c>
      <c r="G6" s="187">
        <f>[2]!Table3[[#This Row],[Incentive Disbursements]]/'[2]1.) CLM Reference'!$B$5</f>
        <v>0</v>
      </c>
      <c r="H6" s="43">
        <v>340.39189341309134</v>
      </c>
      <c r="I6" s="44">
        <f>[2]!Table3[[#This Row],[CLM $ Collected ]]/'[2]1.) CLM Reference'!$B$4</f>
        <v>1.5104949427701888E-5</v>
      </c>
      <c r="J6" s="45">
        <v>0</v>
      </c>
      <c r="K6" s="44">
        <f>[2]!Table3[[#This Row],[Incentive Disbursements]]/'[2]1.) CLM Reference'!$B$5</f>
        <v>0</v>
      </c>
      <c r="L6" s="43">
        <v>0</v>
      </c>
      <c r="M6" s="189">
        <f>[2]!Table3[[#This Row],[CLM $ Collected ]]/'[2]1.) CLM Reference'!$B$4</f>
        <v>1.5104949427701888E-5</v>
      </c>
      <c r="N6" s="45">
        <v>0</v>
      </c>
      <c r="O6" s="190">
        <f>[2]!Table3[[#This Row],[Incentive Disbursements]]/'[2]1.) CLM Reference'!$B$5</f>
        <v>0</v>
      </c>
      <c r="P6" t="str">
        <f t="shared" ref="P6:P69" si="0">IF(ROUND(M6,5)&lt;0.00001,"N/A",IF(ROUND(M6,5)&lt;=ROUND(O6,5),"YES","NO"))</f>
        <v>NO</v>
      </c>
      <c r="Q6" t="str">
        <f>VLOOKUP(Table8[[#This Row],[Census Tract]],'UI EnergyBurden'!$A$2:$B$184,2,FALSE)</f>
        <v>No</v>
      </c>
      <c r="R6">
        <f>VLOOKUP(Table8[[#This Row],[Census Tract]],'Population and Diversity Data'!$B$2:$K$823,10,FALSE)</f>
        <v>4</v>
      </c>
    </row>
    <row r="7" spans="1:18" ht="17" thickBot="1" x14ac:dyDescent="0.25">
      <c r="A7" s="144">
        <v>9001055200</v>
      </c>
      <c r="B7" s="144" t="s">
        <v>2982</v>
      </c>
      <c r="C7" s="139" t="s">
        <v>944</v>
      </c>
      <c r="D7" s="186">
        <f>[2]!Table3[[#This Row],[Residential CLM $ Collected]]+[2]!Table3[[#This Row],[C&amp;I CLM $ Collected]]</f>
        <v>695.21088895304808</v>
      </c>
      <c r="E7" s="187">
        <f>[2]!Table3[[#This Row],[CLM $ Collected ]]/'[2]1.) CLM Reference'!$B$4</f>
        <v>3.085010401960294E-5</v>
      </c>
      <c r="F7" s="188">
        <f>[2]!Table3[[#This Row],[Residential Incentive Disbursements]]+[2]!Table3[[#This Row],[C&amp;I Incentive Disbursements]]</f>
        <v>0</v>
      </c>
      <c r="G7" s="187">
        <f>[2]!Table3[[#This Row],[Incentive Disbursements]]/'[2]1.) CLM Reference'!$B$5</f>
        <v>0</v>
      </c>
      <c r="H7" s="43">
        <v>695.21088895304808</v>
      </c>
      <c r="I7" s="44">
        <f>[2]!Table3[[#This Row],[CLM $ Collected ]]/'[2]1.) CLM Reference'!$B$4</f>
        <v>3.085010401960294E-5</v>
      </c>
      <c r="J7" s="45">
        <v>0</v>
      </c>
      <c r="K7" s="44">
        <f>[2]!Table3[[#This Row],[Incentive Disbursements]]/'[2]1.) CLM Reference'!$B$5</f>
        <v>0</v>
      </c>
      <c r="L7" s="43">
        <v>0</v>
      </c>
      <c r="M7" s="189">
        <f>[2]!Table3[[#This Row],[CLM $ Collected ]]/'[2]1.) CLM Reference'!$B$4</f>
        <v>3.085010401960294E-5</v>
      </c>
      <c r="N7" s="45">
        <v>0</v>
      </c>
      <c r="O7" s="190">
        <f>[2]!Table3[[#This Row],[Incentive Disbursements]]/'[2]1.) CLM Reference'!$B$5</f>
        <v>0</v>
      </c>
      <c r="P7" t="str">
        <f t="shared" si="0"/>
        <v>NO</v>
      </c>
      <c r="Q7" t="str">
        <f>VLOOKUP(Table8[[#This Row],[Census Tract]],'UI EnergyBurden'!$A$2:$B$184,2,FALSE)</f>
        <v>No</v>
      </c>
      <c r="R7">
        <f>VLOOKUP(Table8[[#This Row],[Census Tract]],'Population and Diversity Data'!$B$2:$K$823,10,FALSE)</f>
        <v>1</v>
      </c>
    </row>
    <row r="8" spans="1:18" ht="17" thickBot="1" x14ac:dyDescent="0.25">
      <c r="A8" s="144">
        <v>9001060100</v>
      </c>
      <c r="B8" s="144" t="s">
        <v>934</v>
      </c>
      <c r="C8" s="139" t="s">
        <v>3886</v>
      </c>
      <c r="D8" s="186">
        <f>[2]!Table3[[#This Row],[Residential CLM $ Collected]]+[2]!Table3[[#This Row],[C&amp;I CLM $ Collected]]</f>
        <v>0.72020093817311936</v>
      </c>
      <c r="E8" s="187">
        <f>[2]!Table3[[#This Row],[CLM $ Collected ]]/'[2]1.) CLM Reference'!$B$4</f>
        <v>3.1959041796822169E-8</v>
      </c>
      <c r="F8" s="188">
        <f>[2]!Table3[[#This Row],[Residential Incentive Disbursements]]+[2]!Table3[[#This Row],[C&amp;I Incentive Disbursements]]</f>
        <v>245</v>
      </c>
      <c r="G8" s="187">
        <f>[2]!Table3[[#This Row],[Incentive Disbursements]]/'[2]1.) CLM Reference'!$B$5</f>
        <v>7.5639282678820652E-6</v>
      </c>
      <c r="H8" s="43">
        <v>0</v>
      </c>
      <c r="I8" s="44">
        <f>[2]!Table3[[#This Row],[CLM $ Collected ]]/'[2]1.) CLM Reference'!$B$4</f>
        <v>3.1959041796822169E-8</v>
      </c>
      <c r="J8" s="45">
        <v>0</v>
      </c>
      <c r="K8" s="44">
        <f>[2]!Table3[[#This Row],[Incentive Disbursements]]/'[2]1.) CLM Reference'!$B$5</f>
        <v>7.5639282678820652E-6</v>
      </c>
      <c r="L8" s="43">
        <v>0.72020093817311936</v>
      </c>
      <c r="M8" s="189">
        <f>[2]!Table3[[#This Row],[CLM $ Collected ]]/'[2]1.) CLM Reference'!$B$4</f>
        <v>3.1959041796822169E-8</v>
      </c>
      <c r="N8" s="45">
        <v>245</v>
      </c>
      <c r="O8" s="190">
        <f>[2]!Table3[[#This Row],[Incentive Disbursements]]/'[2]1.) CLM Reference'!$B$5</f>
        <v>7.5639282678820652E-6</v>
      </c>
      <c r="P8" t="str">
        <f t="shared" si="0"/>
        <v>N/A</v>
      </c>
      <c r="Q8" t="str">
        <f>VLOOKUP(Table8[[#This Row],[Census Tract]],'UI EnergyBurden'!$A$2:$B$184,2,FALSE)</f>
        <v>No</v>
      </c>
      <c r="R8">
        <f>VLOOKUP(Table8[[#This Row],[Census Tract]],'Population and Diversity Data'!$B$2:$K$823,10,FALSE)</f>
        <v>2</v>
      </c>
    </row>
    <row r="9" spans="1:18" ht="17" thickBot="1" x14ac:dyDescent="0.25">
      <c r="A9" s="144">
        <v>9001060100</v>
      </c>
      <c r="B9" s="144" t="s">
        <v>2983</v>
      </c>
      <c r="C9" s="139" t="s">
        <v>3886</v>
      </c>
      <c r="D9" s="186">
        <f>[2]!Table3[[#This Row],[Residential CLM $ Collected]]+[2]!Table3[[#This Row],[C&amp;I CLM $ Collected]]</f>
        <v>61830.270826824759</v>
      </c>
      <c r="E9" s="187">
        <f>[2]!Table3[[#This Row],[CLM $ Collected ]]/'[2]1.) CLM Reference'!$B$4</f>
        <v>2.7437290135663974E-3</v>
      </c>
      <c r="F9" s="188">
        <f>[2]!Table3[[#This Row],[Residential Incentive Disbursements]]+[2]!Table3[[#This Row],[C&amp;I Incentive Disbursements]]</f>
        <v>161602.66999999998</v>
      </c>
      <c r="G9" s="187">
        <f>[2]!Table3[[#This Row],[Incentive Disbursements]]/'[2]1.) CLM Reference'!$B$5</f>
        <v>4.9891877705233343E-3</v>
      </c>
      <c r="H9" s="43">
        <v>50100.824430739907</v>
      </c>
      <c r="I9" s="44">
        <f>[2]!Table3[[#This Row],[CLM $ Collected ]]/'[2]1.) CLM Reference'!$B$4</f>
        <v>2.7437290135663974E-3</v>
      </c>
      <c r="J9" s="45">
        <v>62175.669999999991</v>
      </c>
      <c r="K9" s="44">
        <f>[2]!Table3[[#This Row],[Incentive Disbursements]]/'[2]1.) CLM Reference'!$B$5</f>
        <v>4.9891877705233343E-3</v>
      </c>
      <c r="L9" s="43">
        <v>11729.446396084853</v>
      </c>
      <c r="M9" s="189">
        <f>[2]!Table3[[#This Row],[CLM $ Collected ]]/'[2]1.) CLM Reference'!$B$4</f>
        <v>2.7437290135663974E-3</v>
      </c>
      <c r="N9" s="45">
        <v>99427</v>
      </c>
      <c r="O9" s="190">
        <f>[2]!Table3[[#This Row],[Incentive Disbursements]]/'[2]1.) CLM Reference'!$B$5</f>
        <v>4.9891877705233343E-3</v>
      </c>
      <c r="P9" t="str">
        <f t="shared" si="0"/>
        <v>YES</v>
      </c>
      <c r="Q9" t="str">
        <f>VLOOKUP(Table8[[#This Row],[Census Tract]],'UI EnergyBurden'!$A$2:$B$184,2,FALSE)</f>
        <v>No</v>
      </c>
      <c r="R9">
        <f>VLOOKUP(Table8[[#This Row],[Census Tract]],'Population and Diversity Data'!$B$2:$K$823,10,FALSE)</f>
        <v>2</v>
      </c>
    </row>
    <row r="10" spans="1:18" ht="17" thickBot="1" x14ac:dyDescent="0.25">
      <c r="A10" s="144">
        <v>9001060100</v>
      </c>
      <c r="B10" s="144" t="s">
        <v>2984</v>
      </c>
      <c r="C10" s="139" t="s">
        <v>3886</v>
      </c>
      <c r="D10" s="186">
        <f>[2]!Table3[[#This Row],[Residential CLM $ Collected]]+[2]!Table3[[#This Row],[C&amp;I CLM $ Collected]]</f>
        <v>85.016027413192248</v>
      </c>
      <c r="E10" s="187">
        <f>[2]!Table3[[#This Row],[CLM $ Collected ]]/'[2]1.) CLM Reference'!$B$4</f>
        <v>3.772600991592821E-6</v>
      </c>
      <c r="F10" s="188">
        <f>[2]!Table3[[#This Row],[Residential Incentive Disbursements]]+[2]!Table3[[#This Row],[C&amp;I Incentive Disbursements]]</f>
        <v>0</v>
      </c>
      <c r="G10" s="187">
        <f>[2]!Table3[[#This Row],[Incentive Disbursements]]/'[2]1.) CLM Reference'!$B$5</f>
        <v>0</v>
      </c>
      <c r="H10" s="43">
        <v>0</v>
      </c>
      <c r="I10" s="44">
        <f>[2]!Table3[[#This Row],[CLM $ Collected ]]/'[2]1.) CLM Reference'!$B$4</f>
        <v>3.772600991592821E-6</v>
      </c>
      <c r="J10" s="45">
        <v>0</v>
      </c>
      <c r="K10" s="44">
        <f>[2]!Table3[[#This Row],[Incentive Disbursements]]/'[2]1.) CLM Reference'!$B$5</f>
        <v>0</v>
      </c>
      <c r="L10" s="43">
        <v>85.016027413192248</v>
      </c>
      <c r="M10" s="189">
        <f>[2]!Table3[[#This Row],[CLM $ Collected ]]/'[2]1.) CLM Reference'!$B$4</f>
        <v>3.772600991592821E-6</v>
      </c>
      <c r="N10" s="45">
        <v>0</v>
      </c>
      <c r="O10" s="190">
        <f>[2]!Table3[[#This Row],[Incentive Disbursements]]/'[2]1.) CLM Reference'!$B$5</f>
        <v>0</v>
      </c>
      <c r="P10" t="str">
        <f t="shared" si="0"/>
        <v>N/A</v>
      </c>
      <c r="Q10" t="str">
        <f>VLOOKUP(Table8[[#This Row],[Census Tract]],'UI EnergyBurden'!$A$2:$B$184,2,FALSE)</f>
        <v>No</v>
      </c>
      <c r="R10">
        <f>VLOOKUP(Table8[[#This Row],[Census Tract]],'Population and Diversity Data'!$B$2:$K$823,10,FALSE)</f>
        <v>2</v>
      </c>
    </row>
    <row r="11" spans="1:18" ht="17" thickBot="1" x14ac:dyDescent="0.25">
      <c r="A11" s="144">
        <v>9001060200</v>
      </c>
      <c r="B11" s="144" t="s">
        <v>2983</v>
      </c>
      <c r="C11" s="139" t="s">
        <v>3886</v>
      </c>
      <c r="D11" s="186">
        <f>[2]!Table3[[#This Row],[Residential CLM $ Collected]]+[2]!Table3[[#This Row],[C&amp;I CLM $ Collected]]</f>
        <v>79232.19524552286</v>
      </c>
      <c r="E11" s="187">
        <f>[2]!Table3[[#This Row],[CLM $ Collected ]]/'[2]1.) CLM Reference'!$B$4</f>
        <v>3.5159424339668965E-3</v>
      </c>
      <c r="F11" s="188">
        <f>[2]!Table3[[#This Row],[Residential Incentive Disbursements]]+[2]!Table3[[#This Row],[C&amp;I Incentive Disbursements]]</f>
        <v>74392.920000000013</v>
      </c>
      <c r="G11" s="187">
        <f>[2]!Table3[[#This Row],[Incentive Disbursements]]/'[2]1.) CLM Reference'!$B$5</f>
        <v>2.2967457572175068E-3</v>
      </c>
      <c r="H11" s="43">
        <v>66331.729824004593</v>
      </c>
      <c r="I11" s="44">
        <f>[2]!Table3[[#This Row],[CLM $ Collected ]]/'[2]1.) CLM Reference'!$B$4</f>
        <v>3.5159424339668965E-3</v>
      </c>
      <c r="J11" s="45">
        <v>54065.880000000005</v>
      </c>
      <c r="K11" s="44">
        <f>[2]!Table3[[#This Row],[Incentive Disbursements]]/'[2]1.) CLM Reference'!$B$5</f>
        <v>2.2967457572175068E-3</v>
      </c>
      <c r="L11" s="43">
        <v>12900.465421518262</v>
      </c>
      <c r="M11" s="189">
        <f>[2]!Table3[[#This Row],[CLM $ Collected ]]/'[2]1.) CLM Reference'!$B$4</f>
        <v>3.5159424339668965E-3</v>
      </c>
      <c r="N11" s="45">
        <v>20327.04</v>
      </c>
      <c r="O11" s="190">
        <f>[2]!Table3[[#This Row],[Incentive Disbursements]]/'[2]1.) CLM Reference'!$B$5</f>
        <v>2.2967457572175068E-3</v>
      </c>
      <c r="P11" t="str">
        <f t="shared" si="0"/>
        <v>NO</v>
      </c>
      <c r="Q11" t="str">
        <f>VLOOKUP(Table8[[#This Row],[Census Tract]],'UI EnergyBurden'!$A$2:$B$184,2,FALSE)</f>
        <v>No</v>
      </c>
      <c r="R11">
        <f>VLOOKUP(Table8[[#This Row],[Census Tract]],'Population and Diversity Data'!$B$2:$K$823,10,FALSE)</f>
        <v>3</v>
      </c>
    </row>
    <row r="12" spans="1:18" ht="17" thickBot="1" x14ac:dyDescent="0.25">
      <c r="A12" s="144">
        <v>9001060300</v>
      </c>
      <c r="B12" s="144" t="s">
        <v>2983</v>
      </c>
      <c r="C12" s="139" t="s">
        <v>3886</v>
      </c>
      <c r="D12" s="186">
        <f>[2]!Table3[[#This Row],[Residential CLM $ Collected]]+[2]!Table3[[#This Row],[C&amp;I CLM $ Collected]]</f>
        <v>83265.214315820704</v>
      </c>
      <c r="E12" s="187">
        <f>[2]!Table3[[#This Row],[CLM $ Collected ]]/'[2]1.) CLM Reference'!$B$4</f>
        <v>3.6949083561190932E-3</v>
      </c>
      <c r="F12" s="188">
        <f>[2]!Table3[[#This Row],[Residential Incentive Disbursements]]+[2]!Table3[[#This Row],[C&amp;I Incentive Disbursements]]</f>
        <v>62156.899999999987</v>
      </c>
      <c r="G12" s="187">
        <f>[2]!Table3[[#This Row],[Incentive Disbursements]]/'[2]1.) CLM Reference'!$B$5</f>
        <v>1.9189809508323211E-3</v>
      </c>
      <c r="H12" s="43">
        <v>78399.476760778256</v>
      </c>
      <c r="I12" s="44">
        <f>[2]!Table3[[#This Row],[CLM $ Collected ]]/'[2]1.) CLM Reference'!$B$4</f>
        <v>3.6949083561190932E-3</v>
      </c>
      <c r="J12" s="45">
        <v>62156.899999999987</v>
      </c>
      <c r="K12" s="44">
        <f>[2]!Table3[[#This Row],[Incentive Disbursements]]/'[2]1.) CLM Reference'!$B$5</f>
        <v>1.9189809508323211E-3</v>
      </c>
      <c r="L12" s="43">
        <v>4865.7375550424413</v>
      </c>
      <c r="M12" s="189">
        <f>[2]!Table3[[#This Row],[CLM $ Collected ]]/'[2]1.) CLM Reference'!$B$4</f>
        <v>3.6949083561190932E-3</v>
      </c>
      <c r="N12" s="45">
        <v>0</v>
      </c>
      <c r="O12" s="190">
        <f>[2]!Table3[[#This Row],[Incentive Disbursements]]/'[2]1.) CLM Reference'!$B$5</f>
        <v>1.9189809508323211E-3</v>
      </c>
      <c r="P12" t="str">
        <f t="shared" si="0"/>
        <v>NO</v>
      </c>
      <c r="Q12" t="str">
        <f>VLOOKUP(Table8[[#This Row],[Census Tract]],'UI EnergyBurden'!$A$2:$B$184,2,FALSE)</f>
        <v>No</v>
      </c>
      <c r="R12">
        <f>VLOOKUP(Table8[[#This Row],[Census Tract]],'Population and Diversity Data'!$B$2:$K$823,10,FALSE)</f>
        <v>2</v>
      </c>
    </row>
    <row r="13" spans="1:18" ht="17" thickBot="1" x14ac:dyDescent="0.25">
      <c r="A13" s="144">
        <v>9001060400</v>
      </c>
      <c r="B13" s="144" t="s">
        <v>2983</v>
      </c>
      <c r="C13" s="139" t="s">
        <v>3886</v>
      </c>
      <c r="D13" s="186">
        <f>[2]!Table3[[#This Row],[Residential CLM $ Collected]]+[2]!Table3[[#This Row],[C&amp;I CLM $ Collected]]</f>
        <v>143054.52801731651</v>
      </c>
      <c r="E13" s="187">
        <f>[2]!Table3[[#This Row],[CLM $ Collected ]]/'[2]1.) CLM Reference'!$B$4</f>
        <v>6.3480695425463503E-3</v>
      </c>
      <c r="F13" s="188">
        <f>[2]!Table3[[#This Row],[Residential Incentive Disbursements]]+[2]!Table3[[#This Row],[C&amp;I Incentive Disbursements]]</f>
        <v>42633.91</v>
      </c>
      <c r="G13" s="187">
        <f>[2]!Table3[[#This Row],[Incentive Disbursements]]/'[2]1.) CLM Reference'!$B$5</f>
        <v>1.3162442327319995E-3</v>
      </c>
      <c r="H13" s="43">
        <v>135534.29600438444</v>
      </c>
      <c r="I13" s="44">
        <f>[2]!Table3[[#This Row],[CLM $ Collected ]]/'[2]1.) CLM Reference'!$B$4</f>
        <v>6.3480695425463503E-3</v>
      </c>
      <c r="J13" s="45">
        <v>29828.910000000003</v>
      </c>
      <c r="K13" s="44">
        <f>[2]!Table3[[#This Row],[Incentive Disbursements]]/'[2]1.) CLM Reference'!$B$5</f>
        <v>1.3162442327319995E-3</v>
      </c>
      <c r="L13" s="43">
        <v>7520.2320129320588</v>
      </c>
      <c r="M13" s="189">
        <f>[2]!Table3[[#This Row],[CLM $ Collected ]]/'[2]1.) CLM Reference'!$B$4</f>
        <v>6.3480695425463503E-3</v>
      </c>
      <c r="N13" s="45">
        <v>12805</v>
      </c>
      <c r="O13" s="190">
        <f>[2]!Table3[[#This Row],[Incentive Disbursements]]/'[2]1.) CLM Reference'!$B$5</f>
        <v>1.3162442327319995E-3</v>
      </c>
      <c r="P13" t="str">
        <f t="shared" si="0"/>
        <v>NO</v>
      </c>
      <c r="Q13" t="str">
        <f>VLOOKUP(Table8[[#This Row],[Census Tract]],'UI EnergyBurden'!$A$2:$B$184,2,FALSE)</f>
        <v>No</v>
      </c>
      <c r="R13">
        <f>VLOOKUP(Table8[[#This Row],[Census Tract]],'Population and Diversity Data'!$B$2:$K$823,10,FALSE)</f>
        <v>1</v>
      </c>
    </row>
    <row r="14" spans="1:18" ht="17" thickBot="1" x14ac:dyDescent="0.25">
      <c r="A14" s="144">
        <v>9001060500</v>
      </c>
      <c r="B14" s="144" t="s">
        <v>2983</v>
      </c>
      <c r="C14" s="139" t="s">
        <v>3886</v>
      </c>
      <c r="D14" s="186">
        <f>[2]!Table3[[#This Row],[Residential CLM $ Collected]]+[2]!Table3[[#This Row],[C&amp;I CLM $ Collected]]</f>
        <v>62865.970559317131</v>
      </c>
      <c r="E14" s="187">
        <f>[2]!Table3[[#This Row],[CLM $ Collected ]]/'[2]1.) CLM Reference'!$B$4</f>
        <v>2.789688369192403E-3</v>
      </c>
      <c r="F14" s="188">
        <f>[2]!Table3[[#This Row],[Residential Incentive Disbursements]]+[2]!Table3[[#This Row],[C&amp;I Incentive Disbursements]]</f>
        <v>15123.22</v>
      </c>
      <c r="G14" s="187">
        <f>[2]!Table3[[#This Row],[Incentive Disbursements]]/'[2]1.) CLM Reference'!$B$5</f>
        <v>4.6690184187509962E-4</v>
      </c>
      <c r="H14" s="43">
        <v>59165.264205241365</v>
      </c>
      <c r="I14" s="44">
        <f>[2]!Table3[[#This Row],[CLM $ Collected ]]/'[2]1.) CLM Reference'!$B$4</f>
        <v>2.789688369192403E-3</v>
      </c>
      <c r="J14" s="45">
        <v>15123.22</v>
      </c>
      <c r="K14" s="44">
        <f>[2]!Table3[[#This Row],[Incentive Disbursements]]/'[2]1.) CLM Reference'!$B$5</f>
        <v>4.6690184187509962E-4</v>
      </c>
      <c r="L14" s="43">
        <v>3700.7063540757676</v>
      </c>
      <c r="M14" s="189">
        <f>[2]!Table3[[#This Row],[CLM $ Collected ]]/'[2]1.) CLM Reference'!$B$4</f>
        <v>2.789688369192403E-3</v>
      </c>
      <c r="N14" s="45">
        <v>0</v>
      </c>
      <c r="O14" s="190">
        <f>[2]!Table3[[#This Row],[Incentive Disbursements]]/'[2]1.) CLM Reference'!$B$5</f>
        <v>4.6690184187509962E-4</v>
      </c>
      <c r="P14" t="str">
        <f t="shared" si="0"/>
        <v>NO</v>
      </c>
      <c r="Q14" t="str">
        <f>VLOOKUP(Table8[[#This Row],[Census Tract]],'UI EnergyBurden'!$A$2:$B$184,2,FALSE)</f>
        <v>No</v>
      </c>
      <c r="R14">
        <f>VLOOKUP(Table8[[#This Row],[Census Tract]],'Population and Diversity Data'!$B$2:$K$823,10,FALSE)</f>
        <v>1</v>
      </c>
    </row>
    <row r="15" spans="1:18" ht="17" thickBot="1" x14ac:dyDescent="0.25">
      <c r="A15" s="144">
        <v>9001060600</v>
      </c>
      <c r="B15" s="144" t="s">
        <v>2983</v>
      </c>
      <c r="C15" s="139" t="s">
        <v>3886</v>
      </c>
      <c r="D15" s="186">
        <f>[2]!Table3[[#This Row],[Residential CLM $ Collected]]+[2]!Table3[[#This Row],[C&amp;I CLM $ Collected]]</f>
        <v>97040.239126587796</v>
      </c>
      <c r="E15" s="187">
        <f>[2]!Table3[[#This Row],[CLM $ Collected ]]/'[2]1.) CLM Reference'!$B$4</f>
        <v>4.3061774760903664E-3</v>
      </c>
      <c r="F15" s="188">
        <f>[2]!Table3[[#This Row],[Residential Incentive Disbursements]]+[2]!Table3[[#This Row],[C&amp;I Incentive Disbursements]]</f>
        <v>122860.73</v>
      </c>
      <c r="G15" s="187">
        <f>[2]!Table3[[#This Row],[Incentive Disbursements]]/'[2]1.) CLM Reference'!$B$5</f>
        <v>3.7931010149372495E-3</v>
      </c>
      <c r="H15" s="43">
        <v>62202.86862885757</v>
      </c>
      <c r="I15" s="44">
        <f>[2]!Table3[[#This Row],[CLM $ Collected ]]/'[2]1.) CLM Reference'!$B$4</f>
        <v>4.3061774760903664E-3</v>
      </c>
      <c r="J15" s="45">
        <v>7497.65</v>
      </c>
      <c r="K15" s="44">
        <f>[2]!Table3[[#This Row],[Incentive Disbursements]]/'[2]1.) CLM Reference'!$B$5</f>
        <v>3.7931010149372495E-3</v>
      </c>
      <c r="L15" s="43">
        <v>34837.370497730226</v>
      </c>
      <c r="M15" s="189">
        <f>[2]!Table3[[#This Row],[CLM $ Collected ]]/'[2]1.) CLM Reference'!$B$4</f>
        <v>4.3061774760903664E-3</v>
      </c>
      <c r="N15" s="45">
        <v>115363.08</v>
      </c>
      <c r="O15" s="190">
        <f>[2]!Table3[[#This Row],[Incentive Disbursements]]/'[2]1.) CLM Reference'!$B$5</f>
        <v>3.7931010149372495E-3</v>
      </c>
      <c r="P15" t="str">
        <f t="shared" si="0"/>
        <v>NO</v>
      </c>
      <c r="Q15" t="str">
        <f>VLOOKUP(Table8[[#This Row],[Census Tract]],'UI EnergyBurden'!$A$2:$B$184,2,FALSE)</f>
        <v>No</v>
      </c>
      <c r="R15">
        <f>VLOOKUP(Table8[[#This Row],[Census Tract]],'Population and Diversity Data'!$B$2:$K$823,10,FALSE)</f>
        <v>2</v>
      </c>
    </row>
    <row r="16" spans="1:18" ht="17" thickBot="1" x14ac:dyDescent="0.25">
      <c r="A16" s="144">
        <v>9001060700</v>
      </c>
      <c r="B16" s="144" t="s">
        <v>2983</v>
      </c>
      <c r="C16" s="139" t="s">
        <v>3886</v>
      </c>
      <c r="D16" s="186">
        <f>[2]!Table3[[#This Row],[Residential CLM $ Collected]]+[2]!Table3[[#This Row],[C&amp;I CLM $ Collected]]</f>
        <v>96574.716936839744</v>
      </c>
      <c r="E16" s="187">
        <f>[2]!Table3[[#This Row],[CLM $ Collected ]]/'[2]1.) CLM Reference'!$B$4</f>
        <v>4.2855198480161163E-3</v>
      </c>
      <c r="F16" s="188">
        <f>[2]!Table3[[#This Row],[Residential Incentive Disbursements]]+[2]!Table3[[#This Row],[C&amp;I Incentive Disbursements]]</f>
        <v>29610.039999999997</v>
      </c>
      <c r="G16" s="187">
        <f>[2]!Table3[[#This Row],[Incentive Disbursements]]/'[2]1.) CLM Reference'!$B$5</f>
        <v>9.1415599415966794E-4</v>
      </c>
      <c r="H16" s="43">
        <v>83912.781142709879</v>
      </c>
      <c r="I16" s="44">
        <f>[2]!Table3[[#This Row],[CLM $ Collected ]]/'[2]1.) CLM Reference'!$B$4</f>
        <v>4.2855198480161163E-3</v>
      </c>
      <c r="J16" s="45">
        <v>29610.039999999997</v>
      </c>
      <c r="K16" s="44">
        <f>[2]!Table3[[#This Row],[Incentive Disbursements]]/'[2]1.) CLM Reference'!$B$5</f>
        <v>9.1415599415966794E-4</v>
      </c>
      <c r="L16" s="43">
        <v>12661.93579412986</v>
      </c>
      <c r="M16" s="189">
        <f>[2]!Table3[[#This Row],[CLM $ Collected ]]/'[2]1.) CLM Reference'!$B$4</f>
        <v>4.2855198480161163E-3</v>
      </c>
      <c r="N16" s="45">
        <v>0</v>
      </c>
      <c r="O16" s="190">
        <f>[2]!Table3[[#This Row],[Incentive Disbursements]]/'[2]1.) CLM Reference'!$B$5</f>
        <v>9.1415599415966794E-4</v>
      </c>
      <c r="P16" t="str">
        <f t="shared" si="0"/>
        <v>NO</v>
      </c>
      <c r="Q16" t="str">
        <f>VLOOKUP(Table8[[#This Row],[Census Tract]],'UI EnergyBurden'!$A$2:$B$184,2,FALSE)</f>
        <v>No</v>
      </c>
      <c r="R16">
        <f>VLOOKUP(Table8[[#This Row],[Census Tract]],'Population and Diversity Data'!$B$2:$K$823,10,FALSE)</f>
        <v>2</v>
      </c>
    </row>
    <row r="17" spans="1:18" ht="17" thickBot="1" x14ac:dyDescent="0.25">
      <c r="A17" s="144">
        <v>9001060800</v>
      </c>
      <c r="B17" s="144" t="s">
        <v>2983</v>
      </c>
      <c r="C17" s="139" t="s">
        <v>3886</v>
      </c>
      <c r="D17" s="186">
        <f>[2]!Table3[[#This Row],[Residential CLM $ Collected]]+[2]!Table3[[#This Row],[C&amp;I CLM $ Collected]]</f>
        <v>34648.082301153074</v>
      </c>
      <c r="E17" s="187">
        <f>[2]!Table3[[#This Row],[CLM $ Collected ]]/'[2]1.) CLM Reference'!$B$4</f>
        <v>1.537514673684182E-3</v>
      </c>
      <c r="F17" s="188">
        <f>[2]!Table3[[#This Row],[Residential Incentive Disbursements]]+[2]!Table3[[#This Row],[C&amp;I Incentive Disbursements]]</f>
        <v>11356.7</v>
      </c>
      <c r="G17" s="187">
        <f>[2]!Table3[[#This Row],[Incentive Disbursements]]/'[2]1.) CLM Reference'!$B$5</f>
        <v>3.5061740473410718E-4</v>
      </c>
      <c r="H17" s="43">
        <v>33018.392228229684</v>
      </c>
      <c r="I17" s="44">
        <f>[2]!Table3[[#This Row],[CLM $ Collected ]]/'[2]1.) CLM Reference'!$B$4</f>
        <v>1.537514673684182E-3</v>
      </c>
      <c r="J17" s="45">
        <v>11356.7</v>
      </c>
      <c r="K17" s="44">
        <f>[2]!Table3[[#This Row],[Incentive Disbursements]]/'[2]1.) CLM Reference'!$B$5</f>
        <v>3.5061740473410718E-4</v>
      </c>
      <c r="L17" s="43">
        <v>1629.6900729233926</v>
      </c>
      <c r="M17" s="189">
        <f>[2]!Table3[[#This Row],[CLM $ Collected ]]/'[2]1.) CLM Reference'!$B$4</f>
        <v>1.537514673684182E-3</v>
      </c>
      <c r="N17" s="45">
        <v>0</v>
      </c>
      <c r="O17" s="190">
        <f>[2]!Table3[[#This Row],[Incentive Disbursements]]/'[2]1.) CLM Reference'!$B$5</f>
        <v>3.5061740473410718E-4</v>
      </c>
      <c r="P17" t="str">
        <f t="shared" si="0"/>
        <v>NO</v>
      </c>
      <c r="Q17" t="str">
        <f>VLOOKUP(Table8[[#This Row],[Census Tract]],'UI EnergyBurden'!$A$2:$B$184,2,FALSE)</f>
        <v>No</v>
      </c>
      <c r="R17">
        <f>VLOOKUP(Table8[[#This Row],[Census Tract]],'Population and Diversity Data'!$B$2:$K$823,10,FALSE)</f>
        <v>2</v>
      </c>
    </row>
    <row r="18" spans="1:18" ht="17" thickBot="1" x14ac:dyDescent="0.25">
      <c r="A18" s="144">
        <v>9001060900</v>
      </c>
      <c r="B18" s="144" t="s">
        <v>2983</v>
      </c>
      <c r="C18" s="139" t="s">
        <v>3886</v>
      </c>
      <c r="D18" s="186">
        <f>[2]!Table3[[#This Row],[Residential CLM $ Collected]]+[2]!Table3[[#This Row],[C&amp;I CLM $ Collected]]</f>
        <v>41495.351170779817</v>
      </c>
      <c r="E18" s="187">
        <f>[2]!Table3[[#This Row],[CLM $ Collected ]]/'[2]1.) CLM Reference'!$B$4</f>
        <v>1.8413634197765932E-3</v>
      </c>
      <c r="F18" s="188">
        <f>[2]!Table3[[#This Row],[Residential Incentive Disbursements]]+[2]!Table3[[#This Row],[C&amp;I Incentive Disbursements]]</f>
        <v>23964.85</v>
      </c>
      <c r="G18" s="187">
        <f>[2]!Table3[[#This Row],[Incentive Disbursements]]/'[2]1.) CLM Reference'!$B$5</f>
        <v>7.3987104632878978E-4</v>
      </c>
      <c r="H18" s="43">
        <v>41370.908758674326</v>
      </c>
      <c r="I18" s="44">
        <f>[2]!Table3[[#This Row],[CLM $ Collected ]]/'[2]1.) CLM Reference'!$B$4</f>
        <v>1.8413634197765932E-3</v>
      </c>
      <c r="J18" s="45">
        <v>23964.85</v>
      </c>
      <c r="K18" s="44">
        <f>[2]!Table3[[#This Row],[Incentive Disbursements]]/'[2]1.) CLM Reference'!$B$5</f>
        <v>7.3987104632878978E-4</v>
      </c>
      <c r="L18" s="43">
        <v>124.44241210548994</v>
      </c>
      <c r="M18" s="189">
        <f>[2]!Table3[[#This Row],[CLM $ Collected ]]/'[2]1.) CLM Reference'!$B$4</f>
        <v>1.8413634197765932E-3</v>
      </c>
      <c r="N18" s="45">
        <v>0</v>
      </c>
      <c r="O18" s="190">
        <f>[2]!Table3[[#This Row],[Incentive Disbursements]]/'[2]1.) CLM Reference'!$B$5</f>
        <v>7.3987104632878978E-4</v>
      </c>
      <c r="P18" t="str">
        <f t="shared" si="0"/>
        <v>NO</v>
      </c>
      <c r="Q18" t="str">
        <f>VLOOKUP(Table8[[#This Row],[Census Tract]],'UI EnergyBurden'!$A$2:$B$184,2,FALSE)</f>
        <v>No</v>
      </c>
      <c r="R18">
        <f>VLOOKUP(Table8[[#This Row],[Census Tract]],'Population and Diversity Data'!$B$2:$K$823,10,FALSE)</f>
        <v>1</v>
      </c>
    </row>
    <row r="19" spans="1:18" ht="17" thickBot="1" x14ac:dyDescent="0.25">
      <c r="A19" s="144">
        <v>9001061000</v>
      </c>
      <c r="B19" s="144" t="s">
        <v>2983</v>
      </c>
      <c r="C19" s="139" t="s">
        <v>3886</v>
      </c>
      <c r="D19" s="186">
        <f>[2]!Table3[[#This Row],[Residential CLM $ Collected]]+[2]!Table3[[#This Row],[C&amp;I CLM $ Collected]]</f>
        <v>109849.88536313333</v>
      </c>
      <c r="E19" s="187">
        <f>[2]!Table3[[#This Row],[CLM $ Collected ]]/'[2]1.) CLM Reference'!$B$4</f>
        <v>4.8746077540551781E-3</v>
      </c>
      <c r="F19" s="188">
        <f>[2]!Table3[[#This Row],[Residential Incentive Disbursements]]+[2]!Table3[[#This Row],[C&amp;I Incentive Disbursements]]</f>
        <v>94724.78</v>
      </c>
      <c r="G19" s="187">
        <f>[2]!Table3[[#This Row],[Incentive Disbursements]]/'[2]1.) CLM Reference'!$B$5</f>
        <v>2.9244548616771827E-3</v>
      </c>
      <c r="H19" s="43">
        <v>61972.870612582898</v>
      </c>
      <c r="I19" s="44">
        <f>[2]!Table3[[#This Row],[CLM $ Collected ]]/'[2]1.) CLM Reference'!$B$4</f>
        <v>4.8746077540551781E-3</v>
      </c>
      <c r="J19" s="45">
        <v>65624.09</v>
      </c>
      <c r="K19" s="44">
        <f>[2]!Table3[[#This Row],[Incentive Disbursements]]/'[2]1.) CLM Reference'!$B$5</f>
        <v>2.9244548616771827E-3</v>
      </c>
      <c r="L19" s="43">
        <v>47877.014750550443</v>
      </c>
      <c r="M19" s="189">
        <f>[2]!Table3[[#This Row],[CLM $ Collected ]]/'[2]1.) CLM Reference'!$B$4</f>
        <v>4.8746077540551781E-3</v>
      </c>
      <c r="N19" s="45">
        <v>29100.69</v>
      </c>
      <c r="O19" s="190">
        <f>[2]!Table3[[#This Row],[Incentive Disbursements]]/'[2]1.) CLM Reference'!$B$5</f>
        <v>2.9244548616771827E-3</v>
      </c>
      <c r="P19" t="str">
        <f t="shared" si="0"/>
        <v>NO</v>
      </c>
      <c r="Q19" t="str">
        <f>VLOOKUP(Table8[[#This Row],[Census Tract]],'UI EnergyBurden'!$A$2:$B$184,2,FALSE)</f>
        <v>No</v>
      </c>
      <c r="R19">
        <f>VLOOKUP(Table8[[#This Row],[Census Tract]],'Population and Diversity Data'!$B$2:$K$823,10,FALSE)</f>
        <v>3</v>
      </c>
    </row>
    <row r="20" spans="1:18" ht="17" thickBot="1" x14ac:dyDescent="0.25">
      <c r="A20" s="144">
        <v>9001061100</v>
      </c>
      <c r="B20" s="144" t="s">
        <v>2983</v>
      </c>
      <c r="C20" s="139" t="s">
        <v>3886</v>
      </c>
      <c r="D20" s="186">
        <f>[2]!Table3[[#This Row],[Residential CLM $ Collected]]+[2]!Table3[[#This Row],[C&amp;I CLM $ Collected]]</f>
        <v>60682.104331160168</v>
      </c>
      <c r="E20" s="187">
        <f>[2]!Table3[[#This Row],[CLM $ Collected ]]/'[2]1.) CLM Reference'!$B$4</f>
        <v>2.6927789257787651E-3</v>
      </c>
      <c r="F20" s="188">
        <f>[2]!Table3[[#This Row],[Residential Incentive Disbursements]]+[2]!Table3[[#This Row],[C&amp;I Incentive Disbursements]]</f>
        <v>56659.570000000007</v>
      </c>
      <c r="G20" s="187">
        <f>[2]!Table3[[#This Row],[Incentive Disbursements]]/'[2]1.) CLM Reference'!$B$5</f>
        <v>1.7492609108940519E-3</v>
      </c>
      <c r="H20" s="133">
        <v>56595.337957514843</v>
      </c>
      <c r="I20" s="132">
        <f>[2]!Table3[[#This Row],[CLM $ Collected ]]/'[2]1.) CLM Reference'!$B$4</f>
        <v>2.6927789257787651E-3</v>
      </c>
      <c r="J20" s="131">
        <v>56318.570000000007</v>
      </c>
      <c r="K20" s="132">
        <f>[2]!Table3[[#This Row],[Incentive Disbursements]]/'[2]1.) CLM Reference'!$B$5</f>
        <v>1.7492609108940519E-3</v>
      </c>
      <c r="L20" s="133">
        <v>4086.7663736453237</v>
      </c>
      <c r="M20" s="191">
        <f>[2]!Table3[[#This Row],[CLM $ Collected ]]/'[2]1.) CLM Reference'!$B$4</f>
        <v>2.6927789257787651E-3</v>
      </c>
      <c r="N20" s="131">
        <v>341</v>
      </c>
      <c r="O20" s="192">
        <f>[2]!Table3[[#This Row],[Incentive Disbursements]]/'[2]1.) CLM Reference'!$B$5</f>
        <v>1.7492609108940519E-3</v>
      </c>
      <c r="P20" t="str">
        <f t="shared" si="0"/>
        <v>NO</v>
      </c>
      <c r="Q20" t="str">
        <f>VLOOKUP(Table8[[#This Row],[Census Tract]],'UI EnergyBurden'!$A$2:$B$184,2,FALSE)</f>
        <v>No</v>
      </c>
      <c r="R20">
        <f>VLOOKUP(Table8[[#This Row],[Census Tract]],'Population and Diversity Data'!$B$2:$K$823,10,FALSE)</f>
        <v>1</v>
      </c>
    </row>
    <row r="21" spans="1:18" ht="17" thickBot="1" x14ac:dyDescent="0.25">
      <c r="A21" s="144">
        <v>9001061200</v>
      </c>
      <c r="B21" s="144" t="s">
        <v>2983</v>
      </c>
      <c r="C21" s="139" t="s">
        <v>3886</v>
      </c>
      <c r="D21" s="186">
        <f>[2]!Table3[[#This Row],[Residential CLM $ Collected]]+[2]!Table3[[#This Row],[C&amp;I CLM $ Collected]]</f>
        <v>31269.028766079835</v>
      </c>
      <c r="E21" s="187">
        <f>[2]!Table3[[#This Row],[CLM $ Collected ]]/'[2]1.) CLM Reference'!$B$4</f>
        <v>1.3875685858117629E-3</v>
      </c>
      <c r="F21" s="188">
        <f>[2]!Table3[[#This Row],[Residential Incentive Disbursements]]+[2]!Table3[[#This Row],[C&amp;I Incentive Disbursements]]</f>
        <v>9607.6600000000017</v>
      </c>
      <c r="G21" s="187">
        <f>[2]!Table3[[#This Row],[Incentive Disbursements]]/'[2]1.) CLM Reference'!$B$5</f>
        <v>2.9661898392734619E-4</v>
      </c>
      <c r="H21" s="133">
        <v>29675.376440101183</v>
      </c>
      <c r="I21" s="132">
        <f>[2]!Table3[[#This Row],[CLM $ Collected ]]/'[2]1.) CLM Reference'!$B$4</f>
        <v>1.3875685858117629E-3</v>
      </c>
      <c r="J21" s="131">
        <v>9607.6600000000017</v>
      </c>
      <c r="K21" s="132">
        <f>[2]!Table3[[#This Row],[Incentive Disbursements]]/'[2]1.) CLM Reference'!$B$5</f>
        <v>2.9661898392734619E-4</v>
      </c>
      <c r="L21" s="133">
        <v>1593.6523259786532</v>
      </c>
      <c r="M21" s="191">
        <f>[2]!Table3[[#This Row],[CLM $ Collected ]]/'[2]1.) CLM Reference'!$B$4</f>
        <v>1.3875685858117629E-3</v>
      </c>
      <c r="N21" s="131">
        <v>0</v>
      </c>
      <c r="O21" s="192">
        <f>[2]!Table3[[#This Row],[Incentive Disbursements]]/'[2]1.) CLM Reference'!$B$5</f>
        <v>2.9661898392734619E-4</v>
      </c>
      <c r="P21" t="str">
        <f t="shared" si="0"/>
        <v>NO</v>
      </c>
      <c r="Q21" t="str">
        <f>VLOOKUP(Table8[[#This Row],[Census Tract]],'UI EnergyBurden'!$A$2:$B$184,2,FALSE)</f>
        <v>No</v>
      </c>
      <c r="R21">
        <f>VLOOKUP(Table8[[#This Row],[Census Tract]],'Population and Diversity Data'!$B$2:$K$823,10,FALSE)</f>
        <v>5</v>
      </c>
    </row>
    <row r="22" spans="1:18" ht="17" thickBot="1" x14ac:dyDescent="0.25">
      <c r="A22" s="144">
        <v>9001061300</v>
      </c>
      <c r="B22" s="144" t="s">
        <v>2983</v>
      </c>
      <c r="C22" s="139" t="s">
        <v>3886</v>
      </c>
      <c r="D22" s="186">
        <f>[2]!Table3[[#This Row],[Residential CLM $ Collected]]+[2]!Table3[[#This Row],[C&amp;I CLM $ Collected]]</f>
        <v>60210.224983131091</v>
      </c>
      <c r="E22" s="187">
        <f>[2]!Table3[[#This Row],[CLM $ Collected ]]/'[2]1.) CLM Reference'!$B$4</f>
        <v>2.6718391977009694E-3</v>
      </c>
      <c r="F22" s="188">
        <f>[2]!Table3[[#This Row],[Residential Incentive Disbursements]]+[2]!Table3[[#This Row],[C&amp;I Incentive Disbursements]]</f>
        <v>65926.98</v>
      </c>
      <c r="G22" s="187">
        <f>[2]!Table3[[#This Row],[Incentive Disbursements]]/'[2]1.) CLM Reference'!$B$5</f>
        <v>2.0353752964820228E-3</v>
      </c>
      <c r="H22" s="133">
        <v>43149.634259072824</v>
      </c>
      <c r="I22" s="132">
        <f>[2]!Table3[[#This Row],[CLM $ Collected ]]/'[2]1.) CLM Reference'!$B$4</f>
        <v>2.6718391977009694E-3</v>
      </c>
      <c r="J22" s="131">
        <v>22118.579999999998</v>
      </c>
      <c r="K22" s="132">
        <f>[2]!Table3[[#This Row],[Incentive Disbursements]]/'[2]1.) CLM Reference'!$B$5</f>
        <v>2.0353752964820228E-3</v>
      </c>
      <c r="L22" s="133">
        <v>17060.590724058271</v>
      </c>
      <c r="M22" s="191">
        <f>[2]!Table3[[#This Row],[CLM $ Collected ]]/'[2]1.) CLM Reference'!$B$4</f>
        <v>2.6718391977009694E-3</v>
      </c>
      <c r="N22" s="131">
        <v>43808.4</v>
      </c>
      <c r="O22" s="192">
        <f>[2]!Table3[[#This Row],[Incentive Disbursements]]/'[2]1.) CLM Reference'!$B$5</f>
        <v>2.0353752964820228E-3</v>
      </c>
      <c r="P22" t="str">
        <f t="shared" si="0"/>
        <v>NO</v>
      </c>
      <c r="Q22" t="str">
        <f>VLOOKUP(Table8[[#This Row],[Census Tract]],'UI EnergyBurden'!$A$2:$B$184,2,FALSE)</f>
        <v>No</v>
      </c>
      <c r="R22">
        <f>VLOOKUP(Table8[[#This Row],[Census Tract]],'Population and Diversity Data'!$B$2:$K$823,10,FALSE)</f>
        <v>4</v>
      </c>
    </row>
    <row r="23" spans="1:18" ht="17" thickBot="1" x14ac:dyDescent="0.25">
      <c r="A23" s="144">
        <v>9001061400</v>
      </c>
      <c r="B23" s="144" t="s">
        <v>2983</v>
      </c>
      <c r="C23" s="139" t="s">
        <v>3886</v>
      </c>
      <c r="D23" s="186">
        <f>[2]!Table3[[#This Row],[Residential CLM $ Collected]]+[2]!Table3[[#This Row],[C&amp;I CLM $ Collected]]</f>
        <v>107869.22659968573</v>
      </c>
      <c r="E23" s="187">
        <f>[2]!Table3[[#This Row],[CLM $ Collected ]]/'[2]1.) CLM Reference'!$B$4</f>
        <v>4.7867156772039149E-3</v>
      </c>
      <c r="F23" s="188">
        <f>[2]!Table3[[#This Row],[Residential Incentive Disbursements]]+[2]!Table3[[#This Row],[C&amp;I Incentive Disbursements]]</f>
        <v>173554.88</v>
      </c>
      <c r="G23" s="187">
        <f>[2]!Table3[[#This Row],[Incentive Disbursements]]/'[2]1.) CLM Reference'!$B$5</f>
        <v>5.3581904606566522E-3</v>
      </c>
      <c r="H23" s="133">
        <v>47286.117580815524</v>
      </c>
      <c r="I23" s="132">
        <f>[2]!Table3[[#This Row],[CLM $ Collected ]]/'[2]1.) CLM Reference'!$B$4</f>
        <v>4.7867156772039149E-3</v>
      </c>
      <c r="J23" s="131">
        <v>5345.31</v>
      </c>
      <c r="K23" s="132">
        <f>[2]!Table3[[#This Row],[Incentive Disbursements]]/'[2]1.) CLM Reference'!$B$5</f>
        <v>5.3581904606566522E-3</v>
      </c>
      <c r="L23" s="133">
        <v>60583.109018870207</v>
      </c>
      <c r="M23" s="191">
        <f>[2]!Table3[[#This Row],[CLM $ Collected ]]/'[2]1.) CLM Reference'!$B$4</f>
        <v>4.7867156772039149E-3</v>
      </c>
      <c r="N23" s="131">
        <v>168209.57</v>
      </c>
      <c r="O23" s="192">
        <f>[2]!Table3[[#This Row],[Incentive Disbursements]]/'[2]1.) CLM Reference'!$B$5</f>
        <v>5.3581904606566522E-3</v>
      </c>
      <c r="P23" t="str">
        <f t="shared" si="0"/>
        <v>YES</v>
      </c>
      <c r="Q23" t="str">
        <f>VLOOKUP(Table8[[#This Row],[Census Tract]],'UI EnergyBurden'!$A$2:$B$184,2,FALSE)</f>
        <v>No</v>
      </c>
      <c r="R23">
        <f>VLOOKUP(Table8[[#This Row],[Census Tract]],'Population and Diversity Data'!$B$2:$K$823,10,FALSE)</f>
        <v>5</v>
      </c>
    </row>
    <row r="24" spans="1:18" ht="17" thickBot="1" x14ac:dyDescent="0.25">
      <c r="A24" s="144">
        <v>9001061500</v>
      </c>
      <c r="B24" s="144" t="s">
        <v>934</v>
      </c>
      <c r="C24" s="139" t="s">
        <v>3886</v>
      </c>
      <c r="D24" s="186">
        <f>[2]!Table3[[#This Row],[Residential CLM $ Collected]]+[2]!Table3[[#This Row],[C&amp;I CLM $ Collected]]</f>
        <v>480.45712586972127</v>
      </c>
      <c r="E24" s="187">
        <f>[2]!Table3[[#This Row],[CLM $ Collected ]]/'[2]1.) CLM Reference'!$B$4</f>
        <v>2.1320368460226169E-5</v>
      </c>
      <c r="F24" s="188">
        <f>[2]!Table3[[#This Row],[Residential Incentive Disbursements]]+[2]!Table3[[#This Row],[C&amp;I Incentive Disbursements]]</f>
        <v>0</v>
      </c>
      <c r="G24" s="187">
        <f>[2]!Table3[[#This Row],[Incentive Disbursements]]/'[2]1.) CLM Reference'!$B$5</f>
        <v>0</v>
      </c>
      <c r="H24" s="133">
        <v>0</v>
      </c>
      <c r="I24" s="132">
        <f>[2]!Table3[[#This Row],[CLM $ Collected ]]/'[2]1.) CLM Reference'!$B$4</f>
        <v>2.1320368460226169E-5</v>
      </c>
      <c r="J24" s="131">
        <v>0</v>
      </c>
      <c r="K24" s="132">
        <f>[2]!Table3[[#This Row],[Incentive Disbursements]]/'[2]1.) CLM Reference'!$B$5</f>
        <v>0</v>
      </c>
      <c r="L24" s="133">
        <v>480.45712586972127</v>
      </c>
      <c r="M24" s="191">
        <f>[2]!Table3[[#This Row],[CLM $ Collected ]]/'[2]1.) CLM Reference'!$B$4</f>
        <v>2.1320368460226169E-5</v>
      </c>
      <c r="N24" s="131">
        <v>0</v>
      </c>
      <c r="O24" s="192">
        <f>[2]!Table3[[#This Row],[Incentive Disbursements]]/'[2]1.) CLM Reference'!$B$5</f>
        <v>0</v>
      </c>
      <c r="P24" t="str">
        <f t="shared" si="0"/>
        <v>NO</v>
      </c>
      <c r="Q24" t="str">
        <f>VLOOKUP(Table8[[#This Row],[Census Tract]],'UI EnergyBurden'!$A$2:$B$184,2,FALSE)</f>
        <v>No</v>
      </c>
      <c r="R24">
        <f>VLOOKUP(Table8[[#This Row],[Census Tract]],'Population and Diversity Data'!$B$2:$K$823,10,FALSE)</f>
        <v>4</v>
      </c>
    </row>
    <row r="25" spans="1:18" ht="17" thickBot="1" x14ac:dyDescent="0.25">
      <c r="A25" s="144">
        <v>9001061500</v>
      </c>
      <c r="B25" s="144" t="s">
        <v>2983</v>
      </c>
      <c r="C25" s="139" t="s">
        <v>3886</v>
      </c>
      <c r="D25" s="186">
        <f>[2]!Table3[[#This Row],[Residential CLM $ Collected]]+[2]!Table3[[#This Row],[C&amp;I CLM $ Collected]]</f>
        <v>150844.98773226168</v>
      </c>
      <c r="E25" s="187">
        <f>[2]!Table3[[#This Row],[CLM $ Collected ]]/'[2]1.) CLM Reference'!$B$4</f>
        <v>6.6937725463190887E-3</v>
      </c>
      <c r="F25" s="188">
        <f>[2]!Table3[[#This Row],[Residential Incentive Disbursements]]+[2]!Table3[[#This Row],[C&amp;I Incentive Disbursements]]</f>
        <v>79361.75</v>
      </c>
      <c r="G25" s="187">
        <f>[2]!Table3[[#This Row],[Incentive Disbursements]]/'[2]1.) CLM Reference'!$B$5</f>
        <v>2.4501493233207734E-3</v>
      </c>
      <c r="H25" s="133">
        <v>89921.11748616393</v>
      </c>
      <c r="I25" s="132">
        <f>[2]!Table3[[#This Row],[CLM $ Collected ]]/'[2]1.) CLM Reference'!$B$4</f>
        <v>6.6937725463190887E-3</v>
      </c>
      <c r="J25" s="131">
        <v>28348.230000000003</v>
      </c>
      <c r="K25" s="132">
        <f>[2]!Table3[[#This Row],[Incentive Disbursements]]/'[2]1.) CLM Reference'!$B$5</f>
        <v>2.4501493233207734E-3</v>
      </c>
      <c r="L25" s="133">
        <v>60923.870246097744</v>
      </c>
      <c r="M25" s="191">
        <f>[2]!Table3[[#This Row],[CLM $ Collected ]]/'[2]1.) CLM Reference'!$B$4</f>
        <v>6.6937725463190887E-3</v>
      </c>
      <c r="N25" s="131">
        <v>51013.52</v>
      </c>
      <c r="O25" s="192">
        <f>[2]!Table3[[#This Row],[Incentive Disbursements]]/'[2]1.) CLM Reference'!$B$5</f>
        <v>2.4501493233207734E-3</v>
      </c>
      <c r="P25" t="str">
        <f t="shared" si="0"/>
        <v>NO</v>
      </c>
      <c r="Q25" t="str">
        <f>VLOOKUP(Table8[[#This Row],[Census Tract]],'UI EnergyBurden'!$A$2:$B$184,2,FALSE)</f>
        <v>No</v>
      </c>
      <c r="R25">
        <f>VLOOKUP(Table8[[#This Row],[Census Tract]],'Population and Diversity Data'!$B$2:$K$823,10,FALSE)</f>
        <v>4</v>
      </c>
    </row>
    <row r="26" spans="1:18" ht="17" thickBot="1" x14ac:dyDescent="0.25">
      <c r="A26" s="144">
        <v>9001061600</v>
      </c>
      <c r="B26" s="144" t="s">
        <v>2983</v>
      </c>
      <c r="C26" s="139" t="s">
        <v>3886</v>
      </c>
      <c r="D26" s="186">
        <f>[2]!Table3[[#This Row],[Residential CLM $ Collected]]+[2]!Table3[[#This Row],[C&amp;I CLM $ Collected]]</f>
        <v>143564.84578208416</v>
      </c>
      <c r="E26" s="187">
        <f>[2]!Table3[[#This Row],[CLM $ Collected ]]/'[2]1.) CLM Reference'!$B$4</f>
        <v>6.3707149820472217E-3</v>
      </c>
      <c r="F26" s="188">
        <f>[2]!Table3[[#This Row],[Residential Incentive Disbursements]]+[2]!Table3[[#This Row],[C&amp;I Incentive Disbursements]]</f>
        <v>40741.589999999997</v>
      </c>
      <c r="G26" s="187">
        <f>[2]!Table3[[#This Row],[Incentive Disbursements]]/'[2]1.) CLM Reference'!$B$5</f>
        <v>1.2578223031814745E-3</v>
      </c>
      <c r="H26" s="133">
        <v>95431.513364306986</v>
      </c>
      <c r="I26" s="132">
        <f>[2]!Table3[[#This Row],[CLM $ Collected ]]/'[2]1.) CLM Reference'!$B$4</f>
        <v>6.3707149820472217E-3</v>
      </c>
      <c r="J26" s="131">
        <v>30816.59</v>
      </c>
      <c r="K26" s="132">
        <f>[2]!Table3[[#This Row],[Incentive Disbursements]]/'[2]1.) CLM Reference'!$B$5</f>
        <v>1.2578223031814745E-3</v>
      </c>
      <c r="L26" s="133">
        <v>48133.332417777186</v>
      </c>
      <c r="M26" s="191">
        <f>[2]!Table3[[#This Row],[CLM $ Collected ]]/'[2]1.) CLM Reference'!$B$4</f>
        <v>6.3707149820472217E-3</v>
      </c>
      <c r="N26" s="131">
        <v>9925</v>
      </c>
      <c r="O26" s="192">
        <f>[2]!Table3[[#This Row],[Incentive Disbursements]]/'[2]1.) CLM Reference'!$B$5</f>
        <v>1.2578223031814745E-3</v>
      </c>
      <c r="P26" t="str">
        <f t="shared" si="0"/>
        <v>NO</v>
      </c>
      <c r="Q26" t="str">
        <f>VLOOKUP(Table8[[#This Row],[Census Tract]],'UI EnergyBurden'!$A$2:$B$184,2,FALSE)</f>
        <v>No</v>
      </c>
      <c r="R26">
        <f>VLOOKUP(Table8[[#This Row],[Census Tract]],'Population and Diversity Data'!$B$2:$K$823,10,FALSE)</f>
        <v>1</v>
      </c>
    </row>
    <row r="27" spans="1:18" ht="17" thickBot="1" x14ac:dyDescent="0.25">
      <c r="A27" s="144">
        <v>9001070100</v>
      </c>
      <c r="B27" s="144" t="s">
        <v>934</v>
      </c>
      <c r="C27" s="139" t="s">
        <v>3887</v>
      </c>
      <c r="D27" s="186">
        <f>[2]!Table3[[#This Row],[Residential CLM $ Collected]]+[2]!Table3[[#This Row],[C&amp;I CLM $ Collected]]</f>
        <v>99965.196736797545</v>
      </c>
      <c r="E27" s="187">
        <f>[2]!Table3[[#This Row],[CLM $ Collected ]]/'[2]1.) CLM Reference'!$B$4</f>
        <v>4.4359729783785854E-3</v>
      </c>
      <c r="F27" s="188">
        <f>[2]!Table3[[#This Row],[Residential Incentive Disbursements]]+[2]!Table3[[#This Row],[C&amp;I Incentive Disbursements]]</f>
        <v>120826.19999999998</v>
      </c>
      <c r="G27" s="187">
        <f>[2]!Table3[[#This Row],[Incentive Disbursements]]/'[2]1.) CLM Reference'!$B$5</f>
        <v>3.730288610941926E-3</v>
      </c>
      <c r="H27" s="133">
        <v>75642.879969884554</v>
      </c>
      <c r="I27" s="132">
        <f>[2]!Table3[[#This Row],[CLM $ Collected ]]/'[2]1.) CLM Reference'!$B$4</f>
        <v>4.4359729783785854E-3</v>
      </c>
      <c r="J27" s="131">
        <v>24708.17</v>
      </c>
      <c r="K27" s="132">
        <f>[2]!Table3[[#This Row],[Incentive Disbursements]]/'[2]1.) CLM Reference'!$B$5</f>
        <v>3.730288610941926E-3</v>
      </c>
      <c r="L27" s="133">
        <v>24322.316766912983</v>
      </c>
      <c r="M27" s="191">
        <f>[2]!Table3[[#This Row],[CLM $ Collected ]]/'[2]1.) CLM Reference'!$B$4</f>
        <v>4.4359729783785854E-3</v>
      </c>
      <c r="N27" s="131">
        <v>96118.029999999984</v>
      </c>
      <c r="O27" s="192">
        <f>[2]!Table3[[#This Row],[Incentive Disbursements]]/'[2]1.) CLM Reference'!$B$5</f>
        <v>3.730288610941926E-3</v>
      </c>
      <c r="P27" t="str">
        <f t="shared" si="0"/>
        <v>NO</v>
      </c>
      <c r="Q27" t="str">
        <f>VLOOKUP(Table8[[#This Row],[Census Tract]],'UI EnergyBurden'!$A$2:$B$184,2,FALSE)</f>
        <v>No</v>
      </c>
      <c r="R27">
        <f>VLOOKUP(Table8[[#This Row],[Census Tract]],'Population and Diversity Data'!$B$2:$K$823,10,FALSE)</f>
        <v>4</v>
      </c>
    </row>
    <row r="28" spans="1:18" ht="17" thickBot="1" x14ac:dyDescent="0.25">
      <c r="A28" s="144">
        <v>9001070200</v>
      </c>
      <c r="B28" s="144" t="s">
        <v>934</v>
      </c>
      <c r="C28" s="139" t="s">
        <v>3887</v>
      </c>
      <c r="D28" s="186">
        <f>[2]!Table3[[#This Row],[Residential CLM $ Collected]]+[2]!Table3[[#This Row],[C&amp;I CLM $ Collected]]</f>
        <v>54430.469337438612</v>
      </c>
      <c r="E28" s="187">
        <f>[2]!Table3[[#This Row],[CLM $ Collected ]]/'[2]1.) CLM Reference'!$B$4</f>
        <v>2.4153615364462385E-3</v>
      </c>
      <c r="F28" s="188">
        <f>[2]!Table3[[#This Row],[Residential Incentive Disbursements]]+[2]!Table3[[#This Row],[C&amp;I Incentive Disbursements]]</f>
        <v>26812.510000000002</v>
      </c>
      <c r="G28" s="187">
        <f>[2]!Table3[[#This Row],[Incentive Disbursements]]/'[2]1.) CLM Reference'!$B$5</f>
        <v>8.2778735641579821E-4</v>
      </c>
      <c r="H28" s="133">
        <v>38171.706941219098</v>
      </c>
      <c r="I28" s="132">
        <f>[2]!Table3[[#This Row],[CLM $ Collected ]]/'[2]1.) CLM Reference'!$B$4</f>
        <v>2.4153615364462385E-3</v>
      </c>
      <c r="J28" s="131">
        <v>5741.51</v>
      </c>
      <c r="K28" s="132">
        <f>[2]!Table3[[#This Row],[Incentive Disbursements]]/'[2]1.) CLM Reference'!$B$5</f>
        <v>8.2778735641579821E-4</v>
      </c>
      <c r="L28" s="133">
        <v>16258.762396219516</v>
      </c>
      <c r="M28" s="191">
        <f>[2]!Table3[[#This Row],[CLM $ Collected ]]/'[2]1.) CLM Reference'!$B$4</f>
        <v>2.4153615364462385E-3</v>
      </c>
      <c r="N28" s="131">
        <v>21071</v>
      </c>
      <c r="O28" s="192">
        <f>[2]!Table3[[#This Row],[Incentive Disbursements]]/'[2]1.) CLM Reference'!$B$5</f>
        <v>8.2778735641579821E-4</v>
      </c>
      <c r="P28" t="str">
        <f t="shared" si="0"/>
        <v>NO</v>
      </c>
      <c r="Q28" t="str">
        <f>VLOOKUP(Table8[[#This Row],[Census Tract]],'UI EnergyBurden'!$A$2:$B$184,2,FALSE)</f>
        <v>No</v>
      </c>
      <c r="R28">
        <f>VLOOKUP(Table8[[#This Row],[Census Tract]],'Population and Diversity Data'!B2:K823,10,FALSE)</f>
        <v>4</v>
      </c>
    </row>
    <row r="29" spans="1:18" ht="17" thickBot="1" x14ac:dyDescent="0.25">
      <c r="A29" s="144">
        <v>9001070300</v>
      </c>
      <c r="B29" s="144" t="s">
        <v>934</v>
      </c>
      <c r="C29" s="139" t="s">
        <v>3887</v>
      </c>
      <c r="D29" s="186">
        <f>[2]!Table3[[#This Row],[Residential CLM $ Collected]]+[2]!Table3[[#This Row],[C&amp;I CLM $ Collected]]</f>
        <v>37546.157026343659</v>
      </c>
      <c r="E29" s="187">
        <f>[2]!Table3[[#This Row],[CLM $ Collected ]]/'[2]1.) CLM Reference'!$B$4</f>
        <v>1.6661172432776367E-3</v>
      </c>
      <c r="F29" s="188">
        <f>[2]!Table3[[#This Row],[Residential Incentive Disbursements]]+[2]!Table3[[#This Row],[C&amp;I Incentive Disbursements]]</f>
        <v>33249.779999999992</v>
      </c>
      <c r="G29" s="187">
        <f>[2]!Table3[[#This Row],[Incentive Disbursements]]/'[2]1.) CLM Reference'!$B$5</f>
        <v>1.0265263299708558E-3</v>
      </c>
      <c r="H29" s="133">
        <v>12847.198252129536</v>
      </c>
      <c r="I29" s="132">
        <f>[2]!Table3[[#This Row],[CLM $ Collected ]]/'[2]1.) CLM Reference'!$B$4</f>
        <v>1.6661172432776367E-3</v>
      </c>
      <c r="J29" s="131">
        <v>241.24</v>
      </c>
      <c r="K29" s="132">
        <f>[2]!Table3[[#This Row],[Incentive Disbursements]]/'[2]1.) CLM Reference'!$B$5</f>
        <v>1.0265263299708558E-3</v>
      </c>
      <c r="L29" s="133">
        <v>24698.958774214123</v>
      </c>
      <c r="M29" s="191">
        <f>[2]!Table3[[#This Row],[CLM $ Collected ]]/'[2]1.) CLM Reference'!$B$4</f>
        <v>1.6661172432776367E-3</v>
      </c>
      <c r="N29" s="131">
        <v>33008.539999999994</v>
      </c>
      <c r="O29" s="192">
        <f>[2]!Table3[[#This Row],[Incentive Disbursements]]/'[2]1.) CLM Reference'!$B$5</f>
        <v>1.0265263299708558E-3</v>
      </c>
      <c r="P29" t="str">
        <f t="shared" si="0"/>
        <v>NO</v>
      </c>
      <c r="Q29" t="str">
        <f>VLOOKUP(Table8[[#This Row],[Census Tract]],'UI EnergyBurden'!$A$2:$B$184,2,FALSE)</f>
        <v>Yes</v>
      </c>
      <c r="R29">
        <f>VLOOKUP(Table8[[#This Row],[Census Tract]],'Population and Diversity Data'!$B$2:$K$823,10,FALSE)</f>
        <v>4</v>
      </c>
    </row>
    <row r="30" spans="1:18" ht="17" thickBot="1" x14ac:dyDescent="0.25">
      <c r="A30" s="144">
        <v>9001070400</v>
      </c>
      <c r="B30" s="144" t="s">
        <v>934</v>
      </c>
      <c r="C30" s="139" t="s">
        <v>3887</v>
      </c>
      <c r="D30" s="186">
        <f>[2]!Table3[[#This Row],[Residential CLM $ Collected]]+[2]!Table3[[#This Row],[C&amp;I CLM $ Collected]]</f>
        <v>25107.501989738201</v>
      </c>
      <c r="E30" s="187">
        <f>[2]!Table3[[#This Row],[CLM $ Collected ]]/'[2]1.) CLM Reference'!$B$4</f>
        <v>1.114149764285586E-3</v>
      </c>
      <c r="F30" s="188">
        <f>[2]!Table3[[#This Row],[Residential Incentive Disbursements]]+[2]!Table3[[#This Row],[C&amp;I Incentive Disbursements]]</f>
        <v>13209.789999999999</v>
      </c>
      <c r="G30" s="187">
        <f>[2]!Table3[[#This Row],[Incentive Disbursements]]/'[2]1.) CLM Reference'!$B$5</f>
        <v>4.0782817956647275E-4</v>
      </c>
      <c r="H30" s="133">
        <v>17204.326211295989</v>
      </c>
      <c r="I30" s="132">
        <f>[2]!Table3[[#This Row],[CLM $ Collected ]]/'[2]1.) CLM Reference'!$B$4</f>
        <v>1.114149764285586E-3</v>
      </c>
      <c r="J30" s="131">
        <v>13209.789999999999</v>
      </c>
      <c r="K30" s="132">
        <f>[2]!Table3[[#This Row],[Incentive Disbursements]]/'[2]1.) CLM Reference'!$B$5</f>
        <v>4.0782817956647275E-4</v>
      </c>
      <c r="L30" s="133">
        <v>7903.1757784422116</v>
      </c>
      <c r="M30" s="191">
        <f>[2]!Table3[[#This Row],[CLM $ Collected ]]/'[2]1.) CLM Reference'!$B$4</f>
        <v>1.114149764285586E-3</v>
      </c>
      <c r="N30" s="131">
        <v>0</v>
      </c>
      <c r="O30" s="192">
        <f>[2]!Table3[[#This Row],[Incentive Disbursements]]/'[2]1.) CLM Reference'!$B$5</f>
        <v>4.0782817956647275E-4</v>
      </c>
      <c r="P30" t="str">
        <f t="shared" si="0"/>
        <v>NO</v>
      </c>
      <c r="Q30" t="str">
        <f>VLOOKUP(Table8[[#This Row],[Census Tract]],'UI EnergyBurden'!$A$2:$B$184,2,FALSE)</f>
        <v>Yes</v>
      </c>
      <c r="R30">
        <f>VLOOKUP(Table8[[#This Row],[Census Tract]],'Population and Diversity Data'!$B$2:$K$823,10,FALSE)</f>
        <v>5</v>
      </c>
    </row>
    <row r="31" spans="1:18" ht="17" thickBot="1" x14ac:dyDescent="0.25">
      <c r="A31" s="144">
        <v>9001070400</v>
      </c>
      <c r="B31" s="144" t="s">
        <v>956</v>
      </c>
      <c r="C31" s="139" t="s">
        <v>3887</v>
      </c>
      <c r="D31" s="186">
        <f>[2]!Table3[[#This Row],[Residential CLM $ Collected]]+[2]!Table3[[#This Row],[C&amp;I CLM $ Collected]]</f>
        <v>11.920248861301243</v>
      </c>
      <c r="E31" s="187">
        <f>[2]!Table3[[#This Row],[CLM $ Collected ]]/'[2]1.) CLM Reference'!$B$4</f>
        <v>5.2896311486791555E-7</v>
      </c>
      <c r="F31" s="188">
        <f>[2]!Table3[[#This Row],[Residential Incentive Disbursements]]+[2]!Table3[[#This Row],[C&amp;I Incentive Disbursements]]</f>
        <v>0</v>
      </c>
      <c r="G31" s="187">
        <f>[2]!Table3[[#This Row],[Incentive Disbursements]]/'[2]1.) CLM Reference'!$B$5</f>
        <v>0</v>
      </c>
      <c r="H31" s="133">
        <v>11.920248861301243</v>
      </c>
      <c r="I31" s="132">
        <f>[2]!Table3[[#This Row],[CLM $ Collected ]]/'[2]1.) CLM Reference'!$B$4</f>
        <v>5.2896311486791555E-7</v>
      </c>
      <c r="J31" s="131">
        <v>0</v>
      </c>
      <c r="K31" s="132">
        <f>[2]!Table3[[#This Row],[Incentive Disbursements]]/'[2]1.) CLM Reference'!$B$5</f>
        <v>0</v>
      </c>
      <c r="L31" s="133">
        <v>0</v>
      </c>
      <c r="M31" s="191">
        <f>[2]!Table3[[#This Row],[CLM $ Collected ]]/'[2]1.) CLM Reference'!$B$4</f>
        <v>5.2896311486791555E-7</v>
      </c>
      <c r="N31" s="131">
        <v>0</v>
      </c>
      <c r="O31" s="192">
        <f>[2]!Table3[[#This Row],[Incentive Disbursements]]/'[2]1.) CLM Reference'!$B$5</f>
        <v>0</v>
      </c>
      <c r="P31" t="str">
        <f t="shared" si="0"/>
        <v>N/A</v>
      </c>
      <c r="Q31" t="str">
        <f>VLOOKUP(Table8[[#This Row],[Census Tract]],'UI EnergyBurden'!$A$2:$B$184,2,FALSE)</f>
        <v>Yes</v>
      </c>
      <c r="R31">
        <f>VLOOKUP(Table8[[#This Row],[Census Tract]],'Population and Diversity Data'!$B$2:$K$823,10,FALSE)</f>
        <v>5</v>
      </c>
    </row>
    <row r="32" spans="1:18" ht="17" thickBot="1" x14ac:dyDescent="0.25">
      <c r="A32" s="144">
        <v>9001070500</v>
      </c>
      <c r="B32" s="144" t="s">
        <v>934</v>
      </c>
      <c r="C32" s="139" t="s">
        <v>3887</v>
      </c>
      <c r="D32" s="186">
        <f>[2]!Table3[[#This Row],[Residential CLM $ Collected]]+[2]!Table3[[#This Row],[C&amp;I CLM $ Collected]]</f>
        <v>21512.00960605322</v>
      </c>
      <c r="E32" s="187">
        <f>[2]!Table3[[#This Row],[CLM $ Collected ]]/'[2]1.) CLM Reference'!$B$4</f>
        <v>9.5459916489061168E-4</v>
      </c>
      <c r="F32" s="188">
        <f>[2]!Table3[[#This Row],[Residential Incentive Disbursements]]+[2]!Table3[[#This Row],[C&amp;I Incentive Disbursements]]</f>
        <v>17598.37</v>
      </c>
      <c r="G32" s="187">
        <f>[2]!Table3[[#This Row],[Incentive Disbursements]]/'[2]1.) CLM Reference'!$B$5</f>
        <v>5.4331758494550076E-4</v>
      </c>
      <c r="H32" s="133">
        <v>17481.174221933328</v>
      </c>
      <c r="I32" s="132">
        <f>[2]!Table3[[#This Row],[CLM $ Collected ]]/'[2]1.) CLM Reference'!$B$4</f>
        <v>9.5459916489061168E-4</v>
      </c>
      <c r="J32" s="131">
        <v>1074.3700000000001</v>
      </c>
      <c r="K32" s="132">
        <f>[2]!Table3[[#This Row],[Incentive Disbursements]]/'[2]1.) CLM Reference'!$B$5</f>
        <v>5.4331758494550076E-4</v>
      </c>
      <c r="L32" s="133">
        <v>4030.8353841198914</v>
      </c>
      <c r="M32" s="191">
        <f>[2]!Table3[[#This Row],[CLM $ Collected ]]/'[2]1.) CLM Reference'!$B$4</f>
        <v>9.5459916489061168E-4</v>
      </c>
      <c r="N32" s="131">
        <v>16524</v>
      </c>
      <c r="O32" s="192">
        <f>[2]!Table3[[#This Row],[Incentive Disbursements]]/'[2]1.) CLM Reference'!$B$5</f>
        <v>5.4331758494550076E-4</v>
      </c>
      <c r="P32" t="str">
        <f t="shared" si="0"/>
        <v>NO</v>
      </c>
      <c r="Q32" t="str">
        <f>VLOOKUP(Table8[[#This Row],[Census Tract]],'UI EnergyBurden'!$A$2:$B$184,2,FALSE)</f>
        <v>Yes</v>
      </c>
      <c r="R32">
        <f>VLOOKUP(Table8[[#This Row],[Census Tract]],'Population and Diversity Data'!$B$2:$K$823,10,FALSE)</f>
        <v>5</v>
      </c>
    </row>
    <row r="33" spans="1:18" ht="17" thickBot="1" x14ac:dyDescent="0.25">
      <c r="A33" s="144">
        <v>9001070600</v>
      </c>
      <c r="B33" s="144" t="s">
        <v>934</v>
      </c>
      <c r="C33" s="139" t="s">
        <v>3887</v>
      </c>
      <c r="D33" s="186">
        <f>[2]!Table3[[#This Row],[Residential CLM $ Collected]]+[2]!Table3[[#This Row],[C&amp;I CLM $ Collected]]</f>
        <v>110960.4767598505</v>
      </c>
      <c r="E33" s="187">
        <f>[2]!Table3[[#This Row],[CLM $ Collected ]]/'[2]1.) CLM Reference'!$B$4</f>
        <v>4.923890440296755E-3</v>
      </c>
      <c r="F33" s="188">
        <f>[2]!Table3[[#This Row],[Residential Incentive Disbursements]]+[2]!Table3[[#This Row],[C&amp;I Incentive Disbursements]]</f>
        <v>180796.98</v>
      </c>
      <c r="G33" s="187">
        <f>[2]!Table3[[#This Row],[Incentive Disbursements]]/'[2]1.) CLM Reference'!$B$5</f>
        <v>5.581777092937586E-3</v>
      </c>
      <c r="H33" s="133">
        <v>32159.257142406674</v>
      </c>
      <c r="I33" s="132">
        <f>[2]!Table3[[#This Row],[CLM $ Collected ]]/'[2]1.) CLM Reference'!$B$4</f>
        <v>4.923890440296755E-3</v>
      </c>
      <c r="J33" s="131">
        <v>155642.63</v>
      </c>
      <c r="K33" s="132">
        <f>[2]!Table3[[#This Row],[Incentive Disbursements]]/'[2]1.) CLM Reference'!$B$5</f>
        <v>5.581777092937586E-3</v>
      </c>
      <c r="L33" s="133">
        <v>78801.219617443829</v>
      </c>
      <c r="M33" s="191">
        <f>[2]!Table3[[#This Row],[CLM $ Collected ]]/'[2]1.) CLM Reference'!$B$4</f>
        <v>4.923890440296755E-3</v>
      </c>
      <c r="N33" s="131">
        <v>25154.35</v>
      </c>
      <c r="O33" s="192">
        <f>[2]!Table3[[#This Row],[Incentive Disbursements]]/'[2]1.) CLM Reference'!$B$5</f>
        <v>5.581777092937586E-3</v>
      </c>
      <c r="P33" t="str">
        <f t="shared" si="0"/>
        <v>YES</v>
      </c>
      <c r="Q33" t="str">
        <f>VLOOKUP(Table8[[#This Row],[Census Tract]],'UI EnergyBurden'!$A$2:$B$184,2,FALSE)</f>
        <v>No</v>
      </c>
      <c r="R33">
        <f>VLOOKUP(Table8[[#This Row],[Census Tract]],'Population and Diversity Data'!$B$2:$K$823,10,FALSE)</f>
        <v>4</v>
      </c>
    </row>
    <row r="34" spans="1:18" ht="17" thickBot="1" x14ac:dyDescent="0.25">
      <c r="A34" s="144">
        <v>9001070900</v>
      </c>
      <c r="B34" s="144" t="s">
        <v>934</v>
      </c>
      <c r="C34" s="139" t="s">
        <v>3887</v>
      </c>
      <c r="D34" s="186">
        <f>[2]!Table3[[#This Row],[Residential CLM $ Collected]]+[2]!Table3[[#This Row],[C&amp;I CLM $ Collected]]</f>
        <v>32705.021720016135</v>
      </c>
      <c r="E34" s="187">
        <f>[2]!Table3[[#This Row],[CLM $ Collected ]]/'[2]1.) CLM Reference'!$B$4</f>
        <v>1.4512910227072293E-3</v>
      </c>
      <c r="F34" s="188">
        <f>[2]!Table3[[#This Row],[Residential Incentive Disbursements]]+[2]!Table3[[#This Row],[C&amp;I Incentive Disbursements]]</f>
        <v>16057.21</v>
      </c>
      <c r="G34" s="187">
        <f>[2]!Table3[[#This Row],[Incentive Disbursements]]/'[2]1.) CLM Reference'!$B$5</f>
        <v>4.9573708009109619E-4</v>
      </c>
      <c r="H34" s="133">
        <v>24032.389722571519</v>
      </c>
      <c r="I34" s="132">
        <f>[2]!Table3[[#This Row],[CLM $ Collected ]]/'[2]1.) CLM Reference'!$B$4</f>
        <v>1.4512910227072293E-3</v>
      </c>
      <c r="J34" s="131">
        <v>5276.21</v>
      </c>
      <c r="K34" s="132">
        <f>[2]!Table3[[#This Row],[Incentive Disbursements]]/'[2]1.) CLM Reference'!$B$5</f>
        <v>4.9573708009109619E-4</v>
      </c>
      <c r="L34" s="133">
        <v>8672.6319974446178</v>
      </c>
      <c r="M34" s="191">
        <f>[2]!Table3[[#This Row],[CLM $ Collected ]]/'[2]1.) CLM Reference'!$B$4</f>
        <v>1.4512910227072293E-3</v>
      </c>
      <c r="N34" s="131">
        <v>10781</v>
      </c>
      <c r="O34" s="192">
        <f>[2]!Table3[[#This Row],[Incentive Disbursements]]/'[2]1.) CLM Reference'!$B$5</f>
        <v>4.9573708009109619E-4</v>
      </c>
      <c r="P34" t="str">
        <f t="shared" si="0"/>
        <v>NO</v>
      </c>
      <c r="Q34" t="str">
        <f>VLOOKUP(Table8[[#This Row],[Census Tract]],'UI EnergyBurden'!$A$2:$B$184,2,FALSE)</f>
        <v>Yes</v>
      </c>
      <c r="R34">
        <f>VLOOKUP(Table8[[#This Row],[Census Tract]],'Population and Diversity Data'!$B$2:$K$823,10,FALSE)</f>
        <v>5</v>
      </c>
    </row>
    <row r="35" spans="1:18" ht="17" thickBot="1" x14ac:dyDescent="0.25">
      <c r="A35" s="144">
        <v>9001071000</v>
      </c>
      <c r="B35" s="144" t="s">
        <v>934</v>
      </c>
      <c r="C35" s="139" t="s">
        <v>3887</v>
      </c>
      <c r="D35" s="186">
        <f>[2]!Table3[[#This Row],[Residential CLM $ Collected]]+[2]!Table3[[#This Row],[C&amp;I CLM $ Collected]]</f>
        <v>50918.137078749387</v>
      </c>
      <c r="E35" s="187">
        <f>[2]!Table3[[#This Row],[CLM $ Collected ]]/'[2]1.) CLM Reference'!$B$4</f>
        <v>2.2595011820505414E-3</v>
      </c>
      <c r="F35" s="188">
        <f>[2]!Table3[[#This Row],[Residential Incentive Disbursements]]+[2]!Table3[[#This Row],[C&amp;I Incentive Disbursements]]</f>
        <v>60427.28</v>
      </c>
      <c r="G35" s="187">
        <f>[2]!Table3[[#This Row],[Incentive Disbursements]]/'[2]1.) CLM Reference'!$B$5</f>
        <v>1.8655820871152024E-3</v>
      </c>
      <c r="H35" s="133">
        <v>31840.863694316686</v>
      </c>
      <c r="I35" s="132">
        <f>[2]!Table3[[#This Row],[CLM $ Collected ]]/'[2]1.) CLM Reference'!$B$4</f>
        <v>2.2595011820505414E-3</v>
      </c>
      <c r="J35" s="131">
        <v>8702.2800000000007</v>
      </c>
      <c r="K35" s="132">
        <f>[2]!Table3[[#This Row],[Incentive Disbursements]]/'[2]1.) CLM Reference'!$B$5</f>
        <v>1.8655820871152024E-3</v>
      </c>
      <c r="L35" s="133">
        <v>19077.273384432701</v>
      </c>
      <c r="M35" s="191">
        <f>[2]!Table3[[#This Row],[CLM $ Collected ]]/'[2]1.) CLM Reference'!$B$4</f>
        <v>2.2595011820505414E-3</v>
      </c>
      <c r="N35" s="131">
        <v>51725</v>
      </c>
      <c r="O35" s="192">
        <f>[2]!Table3[[#This Row],[Incentive Disbursements]]/'[2]1.) CLM Reference'!$B$5</f>
        <v>1.8655820871152024E-3</v>
      </c>
      <c r="P35" t="str">
        <f t="shared" si="0"/>
        <v>NO</v>
      </c>
      <c r="Q35" t="str">
        <f>VLOOKUP(Table8[[#This Row],[Census Tract]],'UI EnergyBurden'!$A$2:$B$184,2,FALSE)</f>
        <v>Yes</v>
      </c>
      <c r="R35">
        <f>VLOOKUP(Table8[[#This Row],[Census Tract]],'Population and Diversity Data'!$B$2:$K$823,10,FALSE)</f>
        <v>5</v>
      </c>
    </row>
    <row r="36" spans="1:18" ht="17" thickBot="1" x14ac:dyDescent="0.25">
      <c r="A36" s="144">
        <v>9001071100</v>
      </c>
      <c r="B36" s="144" t="s">
        <v>934</v>
      </c>
      <c r="C36" s="139" t="s">
        <v>3886</v>
      </c>
      <c r="D36" s="186">
        <f>[2]!Table3[[#This Row],[Residential CLM $ Collected]]+[2]!Table3[[#This Row],[C&amp;I CLM $ Collected]]</f>
        <v>53589.948675863809</v>
      </c>
      <c r="E36" s="187">
        <f>[2]!Table3[[#This Row],[CLM $ Collected ]]/'[2]1.) CLM Reference'!$B$4</f>
        <v>2.3780632860128229E-3</v>
      </c>
      <c r="F36" s="188">
        <f>[2]!Table3[[#This Row],[Residential Incentive Disbursements]]+[2]!Table3[[#This Row],[C&amp;I Incentive Disbursements]]</f>
        <v>197135.30000000002</v>
      </c>
      <c r="G36" s="187">
        <f>[2]!Table3[[#This Row],[Incentive Disbursements]]/'[2]1.) CLM Reference'!$B$5</f>
        <v>6.0861929317037201E-3</v>
      </c>
      <c r="H36" s="133">
        <v>41713.350454757609</v>
      </c>
      <c r="I36" s="132">
        <f>[2]!Table3[[#This Row],[CLM $ Collected ]]/'[2]1.) CLM Reference'!$B$4</f>
        <v>2.3780632860128229E-3</v>
      </c>
      <c r="J36" s="131">
        <v>9974.7300000000032</v>
      </c>
      <c r="K36" s="132">
        <f>[2]!Table3[[#This Row],[Incentive Disbursements]]/'[2]1.) CLM Reference'!$B$5</f>
        <v>6.0861929317037201E-3</v>
      </c>
      <c r="L36" s="133">
        <v>11876.5982211062</v>
      </c>
      <c r="M36" s="191">
        <f>[2]!Table3[[#This Row],[CLM $ Collected ]]/'[2]1.) CLM Reference'!$B$4</f>
        <v>2.3780632860128229E-3</v>
      </c>
      <c r="N36" s="131">
        <v>187160.57</v>
      </c>
      <c r="O36" s="192">
        <f>[2]!Table3[[#This Row],[Incentive Disbursements]]/'[2]1.) CLM Reference'!$B$5</f>
        <v>6.0861929317037201E-3</v>
      </c>
      <c r="P36" t="str">
        <f t="shared" si="0"/>
        <v>YES</v>
      </c>
      <c r="Q36" t="str">
        <f>VLOOKUP(Table8[[#This Row],[Census Tract]],'UI EnergyBurden'!$A$2:$B$184,2,FALSE)</f>
        <v>Yes</v>
      </c>
      <c r="R36">
        <f>VLOOKUP(Table8[[#This Row],[Census Tract]],'Population and Diversity Data'!$B$2:$K$823,10,FALSE)</f>
        <v>5</v>
      </c>
    </row>
    <row r="37" spans="1:18" ht="17" thickBot="1" x14ac:dyDescent="0.25">
      <c r="A37" s="144">
        <v>9001071200</v>
      </c>
      <c r="B37" s="144" t="s">
        <v>934</v>
      </c>
      <c r="C37" s="139" t="s">
        <v>3887</v>
      </c>
      <c r="D37" s="186">
        <f>[2]!Table3[[#This Row],[Residential CLM $ Collected]]+[2]!Table3[[#This Row],[C&amp;I CLM $ Collected]]</f>
        <v>54325.218433666363</v>
      </c>
      <c r="E37" s="187">
        <f>[2]!Table3[[#This Row],[CLM $ Collected ]]/'[2]1.) CLM Reference'!$B$4</f>
        <v>2.4106910092995463E-3</v>
      </c>
      <c r="F37" s="188">
        <f>[2]!Table3[[#This Row],[Residential Incentive Disbursements]]+[2]!Table3[[#This Row],[C&amp;I Incentive Disbursements]]</f>
        <v>43152.42</v>
      </c>
      <c r="G37" s="187">
        <f>[2]!Table3[[#This Row],[Incentive Disbursements]]/'[2]1.) CLM Reference'!$B$5</f>
        <v>1.3322522835327321E-3</v>
      </c>
      <c r="H37" s="133">
        <v>38532.402961081454</v>
      </c>
      <c r="I37" s="132">
        <f>[2]!Table3[[#This Row],[CLM $ Collected ]]/'[2]1.) CLM Reference'!$B$4</f>
        <v>2.4106910092995463E-3</v>
      </c>
      <c r="J37" s="131">
        <v>18361.129999999997</v>
      </c>
      <c r="K37" s="132">
        <f>[2]!Table3[[#This Row],[Incentive Disbursements]]/'[2]1.) CLM Reference'!$B$5</f>
        <v>1.3322522835327321E-3</v>
      </c>
      <c r="L37" s="133">
        <v>15792.815472584913</v>
      </c>
      <c r="M37" s="191">
        <f>[2]!Table3[[#This Row],[CLM $ Collected ]]/'[2]1.) CLM Reference'!$B$4</f>
        <v>2.4106910092995463E-3</v>
      </c>
      <c r="N37" s="131">
        <v>24791.29</v>
      </c>
      <c r="O37" s="192">
        <f>[2]!Table3[[#This Row],[Incentive Disbursements]]/'[2]1.) CLM Reference'!$B$5</f>
        <v>1.3322522835327321E-3</v>
      </c>
      <c r="P37" t="str">
        <f t="shared" si="0"/>
        <v>NO</v>
      </c>
      <c r="Q37" t="str">
        <f>VLOOKUP(Table8[[#This Row],[Census Tract]],'UI EnergyBurden'!$A$2:$B$184,2,FALSE)</f>
        <v>Yes</v>
      </c>
      <c r="R37">
        <f>VLOOKUP(Table8[[#This Row],[Census Tract]],'Population and Diversity Data'!$B$2:$K$823,10,FALSE)</f>
        <v>5</v>
      </c>
    </row>
    <row r="38" spans="1:18" ht="17" thickBot="1" x14ac:dyDescent="0.25">
      <c r="A38" s="144">
        <v>9001071300</v>
      </c>
      <c r="B38" s="144" t="s">
        <v>934</v>
      </c>
      <c r="C38" s="139" t="s">
        <v>3887</v>
      </c>
      <c r="D38" s="186">
        <f>[2]!Table3[[#This Row],[Residential CLM $ Collected]]+[2]!Table3[[#This Row],[C&amp;I CLM $ Collected]]</f>
        <v>42397.647529493734</v>
      </c>
      <c r="E38" s="187">
        <f>[2]!Table3[[#This Row],[CLM $ Collected ]]/'[2]1.) CLM Reference'!$B$4</f>
        <v>1.8814029775066983E-3</v>
      </c>
      <c r="F38" s="188">
        <f>[2]!Table3[[#This Row],[Residential Incentive Disbursements]]+[2]!Table3[[#This Row],[C&amp;I Incentive Disbursements]]</f>
        <v>202799.46</v>
      </c>
      <c r="G38" s="187">
        <f>[2]!Table3[[#This Row],[Incentive Disbursements]]/'[2]1.) CLM Reference'!$B$5</f>
        <v>6.2610635436947679E-3</v>
      </c>
      <c r="H38" s="133">
        <v>28300.863716252392</v>
      </c>
      <c r="I38" s="132">
        <f>[2]!Table3[[#This Row],[CLM $ Collected ]]/'[2]1.) CLM Reference'!$B$4</f>
        <v>1.8814029775066983E-3</v>
      </c>
      <c r="J38" s="131">
        <v>3408.55</v>
      </c>
      <c r="K38" s="132">
        <f>[2]!Table3[[#This Row],[Incentive Disbursements]]/'[2]1.) CLM Reference'!$B$5</f>
        <v>6.2610635436947679E-3</v>
      </c>
      <c r="L38" s="133">
        <v>14096.78381324134</v>
      </c>
      <c r="M38" s="191">
        <f>[2]!Table3[[#This Row],[CLM $ Collected ]]/'[2]1.) CLM Reference'!$B$4</f>
        <v>1.8814029775066983E-3</v>
      </c>
      <c r="N38" s="131">
        <v>199390.91</v>
      </c>
      <c r="O38" s="192">
        <f>[2]!Table3[[#This Row],[Incentive Disbursements]]/'[2]1.) CLM Reference'!$B$5</f>
        <v>6.2610635436947679E-3</v>
      </c>
      <c r="P38" t="str">
        <f t="shared" si="0"/>
        <v>YES</v>
      </c>
      <c r="Q38" t="str">
        <f>VLOOKUP(Table8[[#This Row],[Census Tract]],'UI EnergyBurden'!$A$2:$B$184,2,FALSE)</f>
        <v>Yes</v>
      </c>
      <c r="R38">
        <f>VLOOKUP(Table8[[#This Row],[Census Tract]],'Population and Diversity Data'!$B$2:$K$823,10,FALSE)</f>
        <v>5</v>
      </c>
    </row>
    <row r="39" spans="1:18" ht="17" thickBot="1" x14ac:dyDescent="0.25">
      <c r="A39" s="144">
        <v>9001071400</v>
      </c>
      <c r="B39" s="144" t="s">
        <v>934</v>
      </c>
      <c r="C39" s="139" t="s">
        <v>3886</v>
      </c>
      <c r="D39" s="186">
        <f>[2]!Table3[[#This Row],[Residential CLM $ Collected]]+[2]!Table3[[#This Row],[C&amp;I CLM $ Collected]]</f>
        <v>55618.708551970747</v>
      </c>
      <c r="E39" s="187">
        <f>[2]!Table3[[#This Row],[CLM $ Collected ]]/'[2]1.) CLM Reference'!$B$4</f>
        <v>2.4680898580979487E-3</v>
      </c>
      <c r="F39" s="188">
        <f>[2]!Table3[[#This Row],[Residential Incentive Disbursements]]+[2]!Table3[[#This Row],[C&amp;I Incentive Disbursements]]</f>
        <v>31493.98</v>
      </c>
      <c r="G39" s="187">
        <f>[2]!Table3[[#This Row],[Incentive Disbursements]]/'[2]1.) CLM Reference'!$B$5</f>
        <v>9.7231920649025472E-4</v>
      </c>
      <c r="H39" s="133">
        <v>32022.54823098885</v>
      </c>
      <c r="I39" s="132">
        <f>[2]!Table3[[#This Row],[CLM $ Collected ]]/'[2]1.) CLM Reference'!$B$4</f>
        <v>2.4680898580979487E-3</v>
      </c>
      <c r="J39" s="131">
        <v>8733.98</v>
      </c>
      <c r="K39" s="132">
        <f>[2]!Table3[[#This Row],[Incentive Disbursements]]/'[2]1.) CLM Reference'!$B$5</f>
        <v>9.7231920649025472E-4</v>
      </c>
      <c r="L39" s="133">
        <v>23596.160320981897</v>
      </c>
      <c r="M39" s="191">
        <f>[2]!Table3[[#This Row],[CLM $ Collected ]]/'[2]1.) CLM Reference'!$B$4</f>
        <v>2.4680898580979487E-3</v>
      </c>
      <c r="N39" s="131">
        <v>22760</v>
      </c>
      <c r="O39" s="192">
        <f>[2]!Table3[[#This Row],[Incentive Disbursements]]/'[2]1.) CLM Reference'!$B$5</f>
        <v>9.7231920649025472E-4</v>
      </c>
      <c r="P39" t="str">
        <f t="shared" si="0"/>
        <v>NO</v>
      </c>
      <c r="Q39" t="str">
        <f>VLOOKUP(Table8[[#This Row],[Census Tract]],'UI EnergyBurden'!$A$2:$B$184,2,FALSE)</f>
        <v>Yes</v>
      </c>
      <c r="R39">
        <f>VLOOKUP(Table8[[#This Row],[Census Tract]],'Population and Diversity Data'!$B$2:$K$823,10,FALSE)</f>
        <v>5</v>
      </c>
    </row>
    <row r="40" spans="1:18" ht="17" thickBot="1" x14ac:dyDescent="0.25">
      <c r="A40" s="144">
        <v>9001071600</v>
      </c>
      <c r="B40" s="144" t="s">
        <v>934</v>
      </c>
      <c r="C40" s="139" t="s">
        <v>3887</v>
      </c>
      <c r="D40" s="186">
        <f>[2]!Table3[[#This Row],[Residential CLM $ Collected]]+[2]!Table3[[#This Row],[C&amp;I CLM $ Collected]]</f>
        <v>24844.480913779182</v>
      </c>
      <c r="E40" s="187">
        <f>[2]!Table3[[#This Row],[CLM $ Collected ]]/'[2]1.) CLM Reference'!$B$4</f>
        <v>1.1024781583288622E-3</v>
      </c>
      <c r="F40" s="188">
        <f>[2]!Table3[[#This Row],[Residential Incentive Disbursements]]+[2]!Table3[[#This Row],[C&amp;I Incentive Disbursements]]</f>
        <v>9092.43</v>
      </c>
      <c r="G40" s="187">
        <f>[2]!Table3[[#This Row],[Incentive Disbursements]]/'[2]1.) CLM Reference'!$B$5</f>
        <v>2.8071219714587316E-4</v>
      </c>
      <c r="H40" s="133">
        <v>20606.006059176765</v>
      </c>
      <c r="I40" s="132">
        <f>[2]!Table3[[#This Row],[CLM $ Collected ]]/'[2]1.) CLM Reference'!$B$4</f>
        <v>1.1024781583288622E-3</v>
      </c>
      <c r="J40" s="131">
        <v>42.429999999999993</v>
      </c>
      <c r="K40" s="132">
        <f>[2]!Table3[[#This Row],[Incentive Disbursements]]/'[2]1.) CLM Reference'!$B$5</f>
        <v>2.8071219714587316E-4</v>
      </c>
      <c r="L40" s="133">
        <v>4238.4748546024184</v>
      </c>
      <c r="M40" s="191">
        <f>[2]!Table3[[#This Row],[CLM $ Collected ]]/'[2]1.) CLM Reference'!$B$4</f>
        <v>1.1024781583288622E-3</v>
      </c>
      <c r="N40" s="131">
        <v>9050</v>
      </c>
      <c r="O40" s="192">
        <f>[2]!Table3[[#This Row],[Incentive Disbursements]]/'[2]1.) CLM Reference'!$B$5</f>
        <v>2.8071219714587316E-4</v>
      </c>
      <c r="P40" t="str">
        <f t="shared" si="0"/>
        <v>NO</v>
      </c>
      <c r="Q40" t="str">
        <f>VLOOKUP(Table8[[#This Row],[Census Tract]],'UI EnergyBurden'!$A$2:$B$184,2,FALSE)</f>
        <v>Yes</v>
      </c>
      <c r="R40">
        <f>VLOOKUP(Table8[[#This Row],[Census Tract]],'Population and Diversity Data'!$B$2:$K$823,10,FALSE)</f>
        <v>4</v>
      </c>
    </row>
    <row r="41" spans="1:18" ht="17" thickBot="1" x14ac:dyDescent="0.25">
      <c r="A41" s="144">
        <v>9001071900</v>
      </c>
      <c r="B41" s="144" t="s">
        <v>934</v>
      </c>
      <c r="C41" s="139" t="s">
        <v>3887</v>
      </c>
      <c r="D41" s="186">
        <f>[2]!Table3[[#This Row],[Residential CLM $ Collected]]+[2]!Table3[[#This Row],[C&amp;I CLM $ Collected]]</f>
        <v>60401.599915759827</v>
      </c>
      <c r="E41" s="187">
        <f>[2]!Table3[[#This Row],[CLM $ Collected ]]/'[2]1.) CLM Reference'!$B$4</f>
        <v>2.6803314935958627E-3</v>
      </c>
      <c r="F41" s="188">
        <f>[2]!Table3[[#This Row],[Residential Incentive Disbursements]]+[2]!Table3[[#This Row],[C&amp;I Incentive Disbursements]]</f>
        <v>34535.69</v>
      </c>
      <c r="G41" s="187">
        <f>[2]!Table3[[#This Row],[Incentive Disbursements]]/'[2]1.) CLM Reference'!$B$5</f>
        <v>1.0662264564971918E-3</v>
      </c>
      <c r="H41" s="133">
        <v>41755.588393112404</v>
      </c>
      <c r="I41" s="132">
        <f>[2]!Table3[[#This Row],[CLM $ Collected ]]/'[2]1.) CLM Reference'!$B$4</f>
        <v>2.6803314935958627E-3</v>
      </c>
      <c r="J41" s="131">
        <v>9677.48</v>
      </c>
      <c r="K41" s="132">
        <f>[2]!Table3[[#This Row],[Incentive Disbursements]]/'[2]1.) CLM Reference'!$B$5</f>
        <v>1.0662264564971918E-3</v>
      </c>
      <c r="L41" s="133">
        <v>18646.011522647419</v>
      </c>
      <c r="M41" s="191">
        <f>[2]!Table3[[#This Row],[CLM $ Collected ]]/'[2]1.) CLM Reference'!$B$4</f>
        <v>2.6803314935958627E-3</v>
      </c>
      <c r="N41" s="131">
        <v>24858.210000000003</v>
      </c>
      <c r="O41" s="192">
        <f>[2]!Table3[[#This Row],[Incentive Disbursements]]/'[2]1.) CLM Reference'!$B$5</f>
        <v>1.0662264564971918E-3</v>
      </c>
      <c r="P41" t="str">
        <f t="shared" si="0"/>
        <v>NO</v>
      </c>
      <c r="Q41" t="str">
        <f>VLOOKUP(Table8[[#This Row],[Census Tract]],'UI EnergyBurden'!$A$2:$B$184,2,FALSE)</f>
        <v>Yes</v>
      </c>
      <c r="R41">
        <f>VLOOKUP(Table8[[#This Row],[Census Tract]],'Population and Diversity Data'!$B$2:$K$823,10,FALSE)</f>
        <v>5</v>
      </c>
    </row>
    <row r="42" spans="1:18" ht="17" thickBot="1" x14ac:dyDescent="0.25">
      <c r="A42" s="144">
        <v>9001072000</v>
      </c>
      <c r="B42" s="144" t="s">
        <v>934</v>
      </c>
      <c r="C42" s="139" t="s">
        <v>3887</v>
      </c>
      <c r="D42" s="186">
        <f>[2]!Table3[[#This Row],[Residential CLM $ Collected]]+[2]!Table3[[#This Row],[C&amp;I CLM $ Collected]]</f>
        <v>43492.025171756592</v>
      </c>
      <c r="E42" s="187">
        <f>[2]!Table3[[#This Row],[CLM $ Collected ]]/'[2]1.) CLM Reference'!$B$4</f>
        <v>1.9299661755765392E-3</v>
      </c>
      <c r="F42" s="188">
        <f>[2]!Table3[[#This Row],[Residential Incentive Disbursements]]+[2]!Table3[[#This Row],[C&amp;I Incentive Disbursements]]</f>
        <v>18425.650000000001</v>
      </c>
      <c r="G42" s="187">
        <f>[2]!Table3[[#This Row],[Incentive Disbursements]]/'[2]1.) CLM Reference'!$B$5</f>
        <v>5.6885834648612733E-4</v>
      </c>
      <c r="H42" s="133">
        <v>36911.586133050245</v>
      </c>
      <c r="I42" s="132">
        <f>[2]!Table3[[#This Row],[CLM $ Collected ]]/'[2]1.) CLM Reference'!$B$4</f>
        <v>1.9299661755765392E-3</v>
      </c>
      <c r="J42" s="131">
        <v>9198.630000000001</v>
      </c>
      <c r="K42" s="132">
        <f>[2]!Table3[[#This Row],[Incentive Disbursements]]/'[2]1.) CLM Reference'!$B$5</f>
        <v>5.6885834648612733E-4</v>
      </c>
      <c r="L42" s="133">
        <v>6580.4390387063459</v>
      </c>
      <c r="M42" s="191">
        <f>[2]!Table3[[#This Row],[CLM $ Collected ]]/'[2]1.) CLM Reference'!$B$4</f>
        <v>1.9299661755765392E-3</v>
      </c>
      <c r="N42" s="131">
        <v>9227.02</v>
      </c>
      <c r="O42" s="192">
        <f>[2]!Table3[[#This Row],[Incentive Disbursements]]/'[2]1.) CLM Reference'!$B$5</f>
        <v>5.6885834648612733E-4</v>
      </c>
      <c r="P42" t="str">
        <f t="shared" si="0"/>
        <v>NO</v>
      </c>
      <c r="Q42" t="str">
        <f>VLOOKUP(Table8[[#This Row],[Census Tract]],'UI EnergyBurden'!$A$2:$B$184,2,FALSE)</f>
        <v>No</v>
      </c>
      <c r="R42">
        <f>VLOOKUP(Table8[[#This Row],[Census Tract]],'Population and Diversity Data'!$B$2:$K$823,10,FALSE)</f>
        <v>5</v>
      </c>
    </row>
    <row r="43" spans="1:18" ht="17" thickBot="1" x14ac:dyDescent="0.25">
      <c r="A43" s="144">
        <v>9001072100</v>
      </c>
      <c r="B43" s="144" t="s">
        <v>934</v>
      </c>
      <c r="C43" s="139" t="s">
        <v>3886</v>
      </c>
      <c r="D43" s="186">
        <f>[2]!Table3[[#This Row],[Residential CLM $ Collected]]+[2]!Table3[[#This Row],[C&amp;I CLM $ Collected]]</f>
        <v>123321.82099574668</v>
      </c>
      <c r="E43" s="187">
        <f>[2]!Table3[[#This Row],[CLM $ Collected ]]/'[2]1.) CLM Reference'!$B$4</f>
        <v>5.4724272390713081E-3</v>
      </c>
      <c r="F43" s="188">
        <f>[2]!Table3[[#This Row],[Residential Incentive Disbursements]]+[2]!Table3[[#This Row],[C&amp;I Incentive Disbursements]]</f>
        <v>245303.06</v>
      </c>
      <c r="G43" s="187">
        <f>[2]!Table3[[#This Row],[Incentive Disbursements]]/'[2]1.) CLM Reference'!$B$5</f>
        <v>7.5732846927835523E-3</v>
      </c>
      <c r="H43" s="133">
        <v>100303.04022689095</v>
      </c>
      <c r="I43" s="132">
        <f>[2]!Table3[[#This Row],[CLM $ Collected ]]/'[2]1.) CLM Reference'!$B$4</f>
        <v>5.4724272390713081E-3</v>
      </c>
      <c r="J43" s="131">
        <v>15663.310000000001</v>
      </c>
      <c r="K43" s="132">
        <f>[2]!Table3[[#This Row],[Incentive Disbursements]]/'[2]1.) CLM Reference'!$B$5</f>
        <v>7.5732846927835523E-3</v>
      </c>
      <c r="L43" s="133">
        <v>23018.780768855719</v>
      </c>
      <c r="M43" s="191">
        <f>[2]!Table3[[#This Row],[CLM $ Collected ]]/'[2]1.) CLM Reference'!$B$4</f>
        <v>5.4724272390713081E-3</v>
      </c>
      <c r="N43" s="131">
        <v>229639.75</v>
      </c>
      <c r="O43" s="192">
        <f>[2]!Table3[[#This Row],[Incentive Disbursements]]/'[2]1.) CLM Reference'!$B$5</f>
        <v>7.5732846927835523E-3</v>
      </c>
      <c r="P43" t="str">
        <f t="shared" si="0"/>
        <v>YES</v>
      </c>
      <c r="Q43" t="str">
        <f>VLOOKUP(Table8[[#This Row],[Census Tract]],'UI EnergyBurden'!$A$2:$B$184,2,FALSE)</f>
        <v>No</v>
      </c>
      <c r="R43">
        <f>VLOOKUP(Table8[[#This Row],[Census Tract]],'Population and Diversity Data'!$B$2:$K$823,10,FALSE)</f>
        <v>5</v>
      </c>
    </row>
    <row r="44" spans="1:18" ht="17" thickBot="1" x14ac:dyDescent="0.25">
      <c r="A44" s="144">
        <v>9001072100</v>
      </c>
      <c r="B44" s="144" t="s">
        <v>2983</v>
      </c>
      <c r="C44" s="139" t="s">
        <v>3886</v>
      </c>
      <c r="D44" s="186">
        <f>[2]!Table3[[#This Row],[Residential CLM $ Collected]]+[2]!Table3[[#This Row],[C&amp;I CLM $ Collected]]</f>
        <v>518.29999183257416</v>
      </c>
      <c r="E44" s="187">
        <f>[2]!Table3[[#This Row],[CLM $ Collected ]]/'[2]1.) CLM Reference'!$B$4</f>
        <v>2.2999652214127135E-5</v>
      </c>
      <c r="F44" s="188">
        <f>[2]!Table3[[#This Row],[Residential Incentive Disbursements]]+[2]!Table3[[#This Row],[C&amp;I Incentive Disbursements]]</f>
        <v>7754</v>
      </c>
      <c r="G44" s="187">
        <f>[2]!Table3[[#This Row],[Incentive Disbursements]]/'[2]1.) CLM Reference'!$B$5</f>
        <v>2.3939061138431646E-4</v>
      </c>
      <c r="H44" s="133">
        <v>0</v>
      </c>
      <c r="I44" s="132">
        <f>[2]!Table3[[#This Row],[CLM $ Collected ]]/'[2]1.) CLM Reference'!$B$4</f>
        <v>2.2999652214127135E-5</v>
      </c>
      <c r="J44" s="131">
        <v>0</v>
      </c>
      <c r="K44" s="132">
        <f>[2]!Table3[[#This Row],[Incentive Disbursements]]/'[2]1.) CLM Reference'!$B$5</f>
        <v>2.3939061138431646E-4</v>
      </c>
      <c r="L44" s="133">
        <v>518.29999183257416</v>
      </c>
      <c r="M44" s="191">
        <f>[2]!Table3[[#This Row],[CLM $ Collected ]]/'[2]1.) CLM Reference'!$B$4</f>
        <v>2.2999652214127135E-5</v>
      </c>
      <c r="N44" s="131">
        <v>7754</v>
      </c>
      <c r="O44" s="192">
        <f>[2]!Table3[[#This Row],[Incentive Disbursements]]/'[2]1.) CLM Reference'!$B$5</f>
        <v>2.3939061138431646E-4</v>
      </c>
      <c r="P44" t="str">
        <f t="shared" si="0"/>
        <v>YES</v>
      </c>
      <c r="Q44" t="str">
        <f>VLOOKUP(Table8[[#This Row],[Census Tract]],'UI EnergyBurden'!$A$2:$B$184,2,FALSE)</f>
        <v>No</v>
      </c>
      <c r="R44">
        <f>VLOOKUP(Table8[[#This Row],[Census Tract]],'Population and Diversity Data'!$B$2:$K$823,10,FALSE)</f>
        <v>5</v>
      </c>
    </row>
    <row r="45" spans="1:18" ht="17" thickBot="1" x14ac:dyDescent="0.25">
      <c r="A45" s="144">
        <v>9001072200</v>
      </c>
      <c r="B45" s="144" t="s">
        <v>934</v>
      </c>
      <c r="C45" s="139" t="s">
        <v>3887</v>
      </c>
      <c r="D45" s="186">
        <f>[2]!Table3[[#This Row],[Residential CLM $ Collected]]+[2]!Table3[[#This Row],[C&amp;I CLM $ Collected]]</f>
        <v>39258.083889726469</v>
      </c>
      <c r="E45" s="187">
        <f>[2]!Table3[[#This Row],[CLM $ Collected ]]/'[2]1.) CLM Reference'!$B$4</f>
        <v>1.7420842953599855E-3</v>
      </c>
      <c r="F45" s="188">
        <f>[2]!Table3[[#This Row],[Residential Incentive Disbursements]]+[2]!Table3[[#This Row],[C&amp;I Incentive Disbursements]]</f>
        <v>57671.21</v>
      </c>
      <c r="G45" s="187">
        <f>[2]!Table3[[#This Row],[Incentive Disbursements]]/'[2]1.) CLM Reference'!$B$5</f>
        <v>1.7804934512733177E-3</v>
      </c>
      <c r="H45" s="133">
        <v>34093.33367850713</v>
      </c>
      <c r="I45" s="132">
        <f>[2]!Table3[[#This Row],[CLM $ Collected ]]/'[2]1.) CLM Reference'!$B$4</f>
        <v>1.7420842953599855E-3</v>
      </c>
      <c r="J45" s="131">
        <v>55571.21</v>
      </c>
      <c r="K45" s="132">
        <f>[2]!Table3[[#This Row],[Incentive Disbursements]]/'[2]1.) CLM Reference'!$B$5</f>
        <v>1.7804934512733177E-3</v>
      </c>
      <c r="L45" s="133">
        <v>5164.7502112193424</v>
      </c>
      <c r="M45" s="191">
        <f>[2]!Table3[[#This Row],[CLM $ Collected ]]/'[2]1.) CLM Reference'!$B$4</f>
        <v>1.7420842953599855E-3</v>
      </c>
      <c r="N45" s="131">
        <v>2100</v>
      </c>
      <c r="O45" s="192">
        <f>[2]!Table3[[#This Row],[Incentive Disbursements]]/'[2]1.) CLM Reference'!$B$5</f>
        <v>1.7804934512733177E-3</v>
      </c>
      <c r="P45" t="str">
        <f t="shared" si="0"/>
        <v>YES</v>
      </c>
      <c r="Q45" t="str">
        <f>VLOOKUP(Table8[[#This Row],[Census Tract]],'UI EnergyBurden'!$A$2:$B$184,2,FALSE)</f>
        <v>No</v>
      </c>
      <c r="R45">
        <f>VLOOKUP(Table8[[#This Row],[Census Tract]],'Population and Diversity Data'!$B$2:$K$823,10,FALSE)</f>
        <v>4</v>
      </c>
    </row>
    <row r="46" spans="1:18" ht="17" thickBot="1" x14ac:dyDescent="0.25">
      <c r="A46" s="144">
        <v>9001072200</v>
      </c>
      <c r="B46" s="144" t="s">
        <v>2983</v>
      </c>
      <c r="C46" s="139" t="s">
        <v>3887</v>
      </c>
      <c r="D46" s="186">
        <f>[2]!Table3[[#This Row],[Residential CLM $ Collected]]+[2]!Table3[[#This Row],[C&amp;I CLM $ Collected]]</f>
        <v>1.2742016598447494</v>
      </c>
      <c r="E46" s="187">
        <f>[2]!Table3[[#This Row],[CLM $ Collected ]]/'[2]1.) CLM Reference'!$B$4</f>
        <v>5.6542920102069978E-8</v>
      </c>
      <c r="F46" s="188">
        <f>[2]!Table3[[#This Row],[Residential Incentive Disbursements]]+[2]!Table3[[#This Row],[C&amp;I Incentive Disbursements]]</f>
        <v>0</v>
      </c>
      <c r="G46" s="187">
        <f>[2]!Table3[[#This Row],[Incentive Disbursements]]/'[2]1.) CLM Reference'!$B$5</f>
        <v>0</v>
      </c>
      <c r="H46" s="133">
        <v>0</v>
      </c>
      <c r="I46" s="132">
        <f>[2]!Table3[[#This Row],[CLM $ Collected ]]/'[2]1.) CLM Reference'!$B$4</f>
        <v>5.6542920102069978E-8</v>
      </c>
      <c r="J46" s="131">
        <v>0</v>
      </c>
      <c r="K46" s="132">
        <f>[2]!Table3[[#This Row],[Incentive Disbursements]]/'[2]1.) CLM Reference'!$B$5</f>
        <v>0</v>
      </c>
      <c r="L46" s="133">
        <v>1.2742016598447494</v>
      </c>
      <c r="M46" s="191">
        <f>[2]!Table3[[#This Row],[CLM $ Collected ]]/'[2]1.) CLM Reference'!$B$4</f>
        <v>5.6542920102069978E-8</v>
      </c>
      <c r="N46" s="131">
        <v>0</v>
      </c>
      <c r="O46" s="192">
        <f>[2]!Table3[[#This Row],[Incentive Disbursements]]/'[2]1.) CLM Reference'!$B$5</f>
        <v>0</v>
      </c>
      <c r="P46" t="str">
        <f t="shared" si="0"/>
        <v>N/A</v>
      </c>
      <c r="Q46" t="str">
        <f>VLOOKUP(Table8[[#This Row],[Census Tract]],'UI EnergyBurden'!$A$2:$B$184,2,FALSE)</f>
        <v>No</v>
      </c>
      <c r="R46">
        <f>VLOOKUP(Table8[[#This Row],[Census Tract]],'Population and Diversity Data'!$B$2:$K$823,10,FALSE)</f>
        <v>4</v>
      </c>
    </row>
    <row r="47" spans="1:18" ht="17" thickBot="1" x14ac:dyDescent="0.25">
      <c r="A47" s="144">
        <v>9001072300</v>
      </c>
      <c r="B47" s="144" t="s">
        <v>934</v>
      </c>
      <c r="C47" s="139" t="s">
        <v>3886</v>
      </c>
      <c r="D47" s="186">
        <f>[2]!Table3[[#This Row],[Residential CLM $ Collected]]+[2]!Table3[[#This Row],[C&amp;I CLM $ Collected]]</f>
        <v>59693.656243553822</v>
      </c>
      <c r="E47" s="187">
        <f>[2]!Table3[[#This Row],[CLM $ Collected ]]/'[2]1.) CLM Reference'!$B$4</f>
        <v>2.6489163701065499E-3</v>
      </c>
      <c r="F47" s="188">
        <f>[2]!Table3[[#This Row],[Residential Incentive Disbursements]]+[2]!Table3[[#This Row],[C&amp;I Incentive Disbursements]]</f>
        <v>30889.550000000007</v>
      </c>
      <c r="G47" s="187">
        <f>[2]!Table3[[#This Row],[Incentive Disbursements]]/'[2]1.) CLM Reference'!$B$5</f>
        <v>9.5365853235574078E-4</v>
      </c>
      <c r="H47" s="133">
        <v>53068.352379737436</v>
      </c>
      <c r="I47" s="132">
        <f>[2]!Table3[[#This Row],[CLM $ Collected ]]/'[2]1.) CLM Reference'!$B$4</f>
        <v>2.6489163701065499E-3</v>
      </c>
      <c r="J47" s="131">
        <v>26549.550000000007</v>
      </c>
      <c r="K47" s="132">
        <f>[2]!Table3[[#This Row],[Incentive Disbursements]]/'[2]1.) CLM Reference'!$B$5</f>
        <v>9.5365853235574078E-4</v>
      </c>
      <c r="L47" s="133">
        <v>6625.3038638163862</v>
      </c>
      <c r="M47" s="191">
        <f>[2]!Table3[[#This Row],[CLM $ Collected ]]/'[2]1.) CLM Reference'!$B$4</f>
        <v>2.6489163701065499E-3</v>
      </c>
      <c r="N47" s="131">
        <v>4340</v>
      </c>
      <c r="O47" s="192">
        <f>[2]!Table3[[#This Row],[Incentive Disbursements]]/'[2]1.) CLM Reference'!$B$5</f>
        <v>9.5365853235574078E-4</v>
      </c>
      <c r="P47" t="str">
        <f t="shared" si="0"/>
        <v>NO</v>
      </c>
      <c r="Q47" t="str">
        <f>VLOOKUP(Table8[[#This Row],[Census Tract]],'UI EnergyBurden'!$A$2:$B$184,2,FALSE)</f>
        <v>No</v>
      </c>
      <c r="R47">
        <f>VLOOKUP(Table8[[#This Row],[Census Tract]],'Population and Diversity Data'!$B$2:$K$823,10,FALSE)</f>
        <v>5</v>
      </c>
    </row>
    <row r="48" spans="1:18" ht="17" thickBot="1" x14ac:dyDescent="0.25">
      <c r="A48" s="144">
        <v>9001072400</v>
      </c>
      <c r="B48" s="144" t="s">
        <v>934</v>
      </c>
      <c r="C48" s="139" t="s">
        <v>3886</v>
      </c>
      <c r="D48" s="186">
        <f>[2]!Table3[[#This Row],[Residential CLM $ Collected]]+[2]!Table3[[#This Row],[C&amp;I CLM $ Collected]]</f>
        <v>38722.06510814582</v>
      </c>
      <c r="E48" s="187">
        <f>[2]!Table3[[#This Row],[CLM $ Collected ]]/'[2]1.) CLM Reference'!$B$4</f>
        <v>1.718298368771398E-3</v>
      </c>
      <c r="F48" s="188">
        <f>[2]!Table3[[#This Row],[Residential Incentive Disbursements]]+[2]!Table3[[#This Row],[C&amp;I Incentive Disbursements]]</f>
        <v>24992.309999999998</v>
      </c>
      <c r="G48" s="187">
        <f>[2]!Table3[[#This Row],[Incentive Disbursements]]/'[2]1.) CLM Reference'!$B$5</f>
        <v>7.7159200036192488E-4</v>
      </c>
      <c r="H48" s="133">
        <v>32434.729384585207</v>
      </c>
      <c r="I48" s="132">
        <f>[2]!Table3[[#This Row],[CLM $ Collected ]]/'[2]1.) CLM Reference'!$B$4</f>
        <v>1.718298368771398E-3</v>
      </c>
      <c r="J48" s="131">
        <v>9858.5799999999981</v>
      </c>
      <c r="K48" s="132">
        <f>[2]!Table3[[#This Row],[Incentive Disbursements]]/'[2]1.) CLM Reference'!$B$5</f>
        <v>7.7159200036192488E-4</v>
      </c>
      <c r="L48" s="133">
        <v>6287.335723560609</v>
      </c>
      <c r="M48" s="191">
        <f>[2]!Table3[[#This Row],[CLM $ Collected ]]/'[2]1.) CLM Reference'!$B$4</f>
        <v>1.718298368771398E-3</v>
      </c>
      <c r="N48" s="131">
        <v>15133.730000000001</v>
      </c>
      <c r="O48" s="192">
        <f>[2]!Table3[[#This Row],[Incentive Disbursements]]/'[2]1.) CLM Reference'!$B$5</f>
        <v>7.7159200036192488E-4</v>
      </c>
      <c r="P48" t="str">
        <f t="shared" si="0"/>
        <v>NO</v>
      </c>
      <c r="Q48" t="str">
        <f>VLOOKUP(Table8[[#This Row],[Census Tract]],'UI EnergyBurden'!$A$2:$B$184,2,FALSE)</f>
        <v>No</v>
      </c>
      <c r="R48">
        <f>VLOOKUP(Table8[[#This Row],[Census Tract]],'Population and Diversity Data'!$B$2:$K$823,10,FALSE)</f>
        <v>5</v>
      </c>
    </row>
    <row r="49" spans="1:18" ht="17" thickBot="1" x14ac:dyDescent="0.25">
      <c r="A49" s="144">
        <v>9001072500</v>
      </c>
      <c r="B49" s="144" t="s">
        <v>934</v>
      </c>
      <c r="C49" s="139" t="s">
        <v>3886</v>
      </c>
      <c r="D49" s="186">
        <f>[2]!Table3[[#This Row],[Residential CLM $ Collected]]+[2]!Table3[[#This Row],[C&amp;I CLM $ Collected]]</f>
        <v>77368.430634347795</v>
      </c>
      <c r="E49" s="187">
        <f>[2]!Table3[[#This Row],[CLM $ Collected ]]/'[2]1.) CLM Reference'!$B$4</f>
        <v>3.4332375554380324E-3</v>
      </c>
      <c r="F49" s="188">
        <f>[2]!Table3[[#This Row],[Residential Incentive Disbursements]]+[2]!Table3[[#This Row],[C&amp;I Incentive Disbursements]]</f>
        <v>50224.179999999993</v>
      </c>
      <c r="G49" s="187">
        <f>[2]!Table3[[#This Row],[Incentive Disbursements]]/'[2]1.) CLM Reference'!$B$5</f>
        <v>1.5505799789110083E-3</v>
      </c>
      <c r="H49" s="133">
        <v>65046.63743330627</v>
      </c>
      <c r="I49" s="132">
        <f>[2]!Table3[[#This Row],[CLM $ Collected ]]/'[2]1.) CLM Reference'!$B$4</f>
        <v>3.4332375554380324E-3</v>
      </c>
      <c r="J49" s="131">
        <v>48754.179999999993</v>
      </c>
      <c r="K49" s="132">
        <f>[2]!Table3[[#This Row],[Incentive Disbursements]]/'[2]1.) CLM Reference'!$B$5</f>
        <v>1.5505799789110083E-3</v>
      </c>
      <c r="L49" s="133">
        <v>12321.793201041521</v>
      </c>
      <c r="M49" s="191">
        <f>[2]!Table3[[#This Row],[CLM $ Collected ]]/'[2]1.) CLM Reference'!$B$4</f>
        <v>3.4332375554380324E-3</v>
      </c>
      <c r="N49" s="131">
        <v>1470</v>
      </c>
      <c r="O49" s="192">
        <f>[2]!Table3[[#This Row],[Incentive Disbursements]]/'[2]1.) CLM Reference'!$B$5</f>
        <v>1.5505799789110083E-3</v>
      </c>
      <c r="P49" t="str">
        <f t="shared" si="0"/>
        <v>NO</v>
      </c>
      <c r="Q49" t="str">
        <f>VLOOKUP(Table8[[#This Row],[Census Tract]],'UI EnergyBurden'!$A$2:$B$184,2,FALSE)</f>
        <v>No</v>
      </c>
      <c r="R49">
        <f>VLOOKUP(Table8[[#This Row],[Census Tract]],'Population and Diversity Data'!$B$2:$K$823,10,FALSE)</f>
        <v>4</v>
      </c>
    </row>
    <row r="50" spans="1:18" ht="17" thickBot="1" x14ac:dyDescent="0.25">
      <c r="A50" s="144">
        <v>9001072500</v>
      </c>
      <c r="B50" s="144" t="s">
        <v>2983</v>
      </c>
      <c r="C50" s="139" t="s">
        <v>3886</v>
      </c>
      <c r="D50" s="186">
        <f>[2]!Table3[[#This Row],[Residential CLM $ Collected]]+[2]!Table3[[#This Row],[C&amp;I CLM $ Collected]]</f>
        <v>44.652458166733396</v>
      </c>
      <c r="E50" s="187">
        <f>[2]!Table3[[#This Row],[CLM $ Collected ]]/'[2]1.) CLM Reference'!$B$4</f>
        <v>1.9814605914029741E-6</v>
      </c>
      <c r="F50" s="188">
        <f>[2]!Table3[[#This Row],[Residential Incentive Disbursements]]+[2]!Table3[[#This Row],[C&amp;I Incentive Disbursements]]</f>
        <v>0</v>
      </c>
      <c r="G50" s="187">
        <f>[2]!Table3[[#This Row],[Incentive Disbursements]]/'[2]1.) CLM Reference'!$B$5</f>
        <v>0</v>
      </c>
      <c r="H50" s="133">
        <v>0</v>
      </c>
      <c r="I50" s="132">
        <f>[2]!Table3[[#This Row],[CLM $ Collected ]]/'[2]1.) CLM Reference'!$B$4</f>
        <v>1.9814605914029741E-6</v>
      </c>
      <c r="J50" s="131">
        <v>0</v>
      </c>
      <c r="K50" s="132">
        <f>[2]!Table3[[#This Row],[Incentive Disbursements]]/'[2]1.) CLM Reference'!$B$5</f>
        <v>0</v>
      </c>
      <c r="L50" s="133">
        <v>44.652458166733396</v>
      </c>
      <c r="M50" s="191">
        <f>[2]!Table3[[#This Row],[CLM $ Collected ]]/'[2]1.) CLM Reference'!$B$4</f>
        <v>1.9814605914029741E-6</v>
      </c>
      <c r="N50" s="131">
        <v>0</v>
      </c>
      <c r="O50" s="192">
        <f>[2]!Table3[[#This Row],[Incentive Disbursements]]/'[2]1.) CLM Reference'!$B$5</f>
        <v>0</v>
      </c>
      <c r="P50" t="str">
        <f t="shared" si="0"/>
        <v>N/A</v>
      </c>
      <c r="Q50" t="str">
        <f>VLOOKUP(Table8[[#This Row],[Census Tract]],'UI EnergyBurden'!$A$2:$B$184,2,FALSE)</f>
        <v>No</v>
      </c>
      <c r="R50">
        <f>VLOOKUP(Table8[[#This Row],[Census Tract]],'Population and Diversity Data'!$B$2:$K$823,10,FALSE)</f>
        <v>4</v>
      </c>
    </row>
    <row r="51" spans="1:18" ht="17" thickBot="1" x14ac:dyDescent="0.25">
      <c r="A51" s="144">
        <v>9001072600</v>
      </c>
      <c r="B51" s="144" t="s">
        <v>934</v>
      </c>
      <c r="C51" s="139" t="s">
        <v>3886</v>
      </c>
      <c r="D51" s="186">
        <f>[2]!Table3[[#This Row],[Residential CLM $ Collected]]+[2]!Table3[[#This Row],[C&amp;I CLM $ Collected]]</f>
        <v>117386.83896451452</v>
      </c>
      <c r="E51" s="187">
        <f>[2]!Table3[[#This Row],[CLM $ Collected ]]/'[2]1.) CLM Reference'!$B$4</f>
        <v>5.2090613799811005E-3</v>
      </c>
      <c r="F51" s="188">
        <f>[2]!Table3[[#This Row],[Residential Incentive Disbursements]]+[2]!Table3[[#This Row],[C&amp;I Incentive Disbursements]]</f>
        <v>107118.37999999999</v>
      </c>
      <c r="G51" s="187">
        <f>[2]!Table3[[#This Row],[Incentive Disbursements]]/'[2]1.) CLM Reference'!$B$5</f>
        <v>3.3070846632315626E-3</v>
      </c>
      <c r="H51" s="133">
        <v>96631.349660612672</v>
      </c>
      <c r="I51" s="132">
        <f>[2]!Table3[[#This Row],[CLM $ Collected ]]/'[2]1.) CLM Reference'!$B$4</f>
        <v>5.2090613799811005E-3</v>
      </c>
      <c r="J51" s="131">
        <v>42679.679999999993</v>
      </c>
      <c r="K51" s="132">
        <f>[2]!Table3[[#This Row],[Incentive Disbursements]]/'[2]1.) CLM Reference'!$B$5</f>
        <v>3.3070846632315626E-3</v>
      </c>
      <c r="L51" s="133">
        <v>20755.489303901846</v>
      </c>
      <c r="M51" s="191">
        <f>[2]!Table3[[#This Row],[CLM $ Collected ]]/'[2]1.) CLM Reference'!$B$4</f>
        <v>5.2090613799811005E-3</v>
      </c>
      <c r="N51" s="131">
        <v>64438.7</v>
      </c>
      <c r="O51" s="192">
        <f>[2]!Table3[[#This Row],[Incentive Disbursements]]/'[2]1.) CLM Reference'!$B$5</f>
        <v>3.3070846632315626E-3</v>
      </c>
      <c r="P51" t="str">
        <f t="shared" si="0"/>
        <v>NO</v>
      </c>
      <c r="Q51" t="str">
        <f>VLOOKUP(Table8[[#This Row],[Census Tract]],'UI EnergyBurden'!$A$2:$B$184,2,FALSE)</f>
        <v>No</v>
      </c>
      <c r="R51">
        <f>VLOOKUP(Table8[[#This Row],[Census Tract]],'Population and Diversity Data'!$B$2:$K$823,10,FALSE)</f>
        <v>3</v>
      </c>
    </row>
    <row r="52" spans="1:18" ht="17" thickBot="1" x14ac:dyDescent="0.25">
      <c r="A52" s="144">
        <v>9001072600</v>
      </c>
      <c r="B52" s="144" t="s">
        <v>2984</v>
      </c>
      <c r="C52" s="139" t="s">
        <v>3886</v>
      </c>
      <c r="D52" s="186">
        <f>[2]!Table3[[#This Row],[Residential CLM $ Collected]]+[2]!Table3[[#This Row],[C&amp;I CLM $ Collected]]</f>
        <v>30.109939222853093</v>
      </c>
      <c r="E52" s="187">
        <f>[2]!Table3[[#This Row],[CLM $ Collected ]]/'[2]1.) CLM Reference'!$B$4</f>
        <v>1.3361337858902186E-6</v>
      </c>
      <c r="F52" s="188">
        <f>[2]!Table3[[#This Row],[Residential Incentive Disbursements]]+[2]!Table3[[#This Row],[C&amp;I Incentive Disbursements]]</f>
        <v>0</v>
      </c>
      <c r="G52" s="187">
        <f>[2]!Table3[[#This Row],[Incentive Disbursements]]/'[2]1.) CLM Reference'!$B$5</f>
        <v>0</v>
      </c>
      <c r="H52" s="133">
        <v>30.109939222853093</v>
      </c>
      <c r="I52" s="132">
        <f>[2]!Table3[[#This Row],[CLM $ Collected ]]/'[2]1.) CLM Reference'!$B$4</f>
        <v>1.3361337858902186E-6</v>
      </c>
      <c r="J52" s="131">
        <v>0</v>
      </c>
      <c r="K52" s="132">
        <f>[2]!Table3[[#This Row],[Incentive Disbursements]]/'[2]1.) CLM Reference'!$B$5</f>
        <v>0</v>
      </c>
      <c r="L52" s="133">
        <v>0</v>
      </c>
      <c r="M52" s="191">
        <f>[2]!Table3[[#This Row],[CLM $ Collected ]]/'[2]1.) CLM Reference'!$B$4</f>
        <v>1.3361337858902186E-6</v>
      </c>
      <c r="N52" s="131">
        <v>0</v>
      </c>
      <c r="O52" s="192">
        <f>[2]!Table3[[#This Row],[Incentive Disbursements]]/'[2]1.) CLM Reference'!$B$5</f>
        <v>0</v>
      </c>
      <c r="P52" t="str">
        <f t="shared" si="0"/>
        <v>N/A</v>
      </c>
      <c r="Q52" t="str">
        <f>VLOOKUP(Table8[[#This Row],[Census Tract]],'UI EnergyBurden'!$A$2:$B$184,2,FALSE)</f>
        <v>No</v>
      </c>
      <c r="R52">
        <f>VLOOKUP(Table8[[#This Row],[Census Tract]],'Population and Diversity Data'!$B$2:$K$823,10,FALSE)</f>
        <v>3</v>
      </c>
    </row>
    <row r="53" spans="1:18" ht="17" thickBot="1" x14ac:dyDescent="0.25">
      <c r="A53" s="144">
        <v>9001072700</v>
      </c>
      <c r="B53" s="144" t="s">
        <v>934</v>
      </c>
      <c r="C53" s="139" t="s">
        <v>3886</v>
      </c>
      <c r="D53" s="186">
        <f>[2]!Table3[[#This Row],[Residential CLM $ Collected]]+[2]!Table3[[#This Row],[C&amp;I CLM $ Collected]]</f>
        <v>64326.588845331644</v>
      </c>
      <c r="E53" s="187">
        <f>[2]!Table3[[#This Row],[CLM $ Collected ]]/'[2]1.) CLM Reference'!$B$4</f>
        <v>2.8545035594785338E-3</v>
      </c>
      <c r="F53" s="188">
        <f>[2]!Table3[[#This Row],[Residential Incentive Disbursements]]+[2]!Table3[[#This Row],[C&amp;I Incentive Disbursements]]</f>
        <v>54444.669999999991</v>
      </c>
      <c r="G53" s="187">
        <f>[2]!Table3[[#This Row],[Incentive Disbursements]]/'[2]1.) CLM Reference'!$B$5</f>
        <v>1.6808799120347372E-3</v>
      </c>
      <c r="H53" s="133">
        <v>50527.437303135703</v>
      </c>
      <c r="I53" s="132">
        <f>[2]!Table3[[#This Row],[CLM $ Collected ]]/'[2]1.) CLM Reference'!$B$4</f>
        <v>2.8545035594785338E-3</v>
      </c>
      <c r="J53" s="131">
        <v>51405.029999999992</v>
      </c>
      <c r="K53" s="132">
        <f>[2]!Table3[[#This Row],[Incentive Disbursements]]/'[2]1.) CLM Reference'!$B$5</f>
        <v>1.6808799120347372E-3</v>
      </c>
      <c r="L53" s="133">
        <v>13799.151542195938</v>
      </c>
      <c r="M53" s="191">
        <f>[2]!Table3[[#This Row],[CLM $ Collected ]]/'[2]1.) CLM Reference'!$B$4</f>
        <v>2.8545035594785338E-3</v>
      </c>
      <c r="N53" s="131">
        <v>3039.64</v>
      </c>
      <c r="O53" s="192">
        <f>[2]!Table3[[#This Row],[Incentive Disbursements]]/'[2]1.) CLM Reference'!$B$5</f>
        <v>1.6808799120347372E-3</v>
      </c>
      <c r="P53" t="str">
        <f t="shared" si="0"/>
        <v>NO</v>
      </c>
      <c r="Q53" t="str">
        <f>VLOOKUP(Table8[[#This Row],[Census Tract]],'UI EnergyBurden'!$A$2:$B$184,2,FALSE)</f>
        <v>No</v>
      </c>
      <c r="R53">
        <f>VLOOKUP(Table8[[#This Row],[Census Tract]],'Population and Diversity Data'!$B$2:$K$823,10,FALSE)</f>
        <v>4</v>
      </c>
    </row>
    <row r="54" spans="1:18" ht="17" thickBot="1" x14ac:dyDescent="0.25">
      <c r="A54" s="144">
        <v>9001072700</v>
      </c>
      <c r="B54" s="144" t="s">
        <v>2984</v>
      </c>
      <c r="C54" s="139" t="s">
        <v>3886</v>
      </c>
      <c r="D54" s="186">
        <f>[2]!Table3[[#This Row],[Residential CLM $ Collected]]+[2]!Table3[[#This Row],[C&amp;I CLM $ Collected]]</f>
        <v>250.43602623166038</v>
      </c>
      <c r="E54" s="187">
        <f>[2]!Table3[[#This Row],[CLM $ Collected ]]/'[2]1.) CLM Reference'!$B$4</f>
        <v>1.1113142187887273E-5</v>
      </c>
      <c r="F54" s="188">
        <f>[2]!Table3[[#This Row],[Residential Incentive Disbursements]]+[2]!Table3[[#This Row],[C&amp;I Incentive Disbursements]]</f>
        <v>0</v>
      </c>
      <c r="G54" s="187">
        <f>[2]!Table3[[#This Row],[Incentive Disbursements]]/'[2]1.) CLM Reference'!$B$5</f>
        <v>0</v>
      </c>
      <c r="H54" s="133">
        <v>250.43602623166038</v>
      </c>
      <c r="I54" s="132">
        <f>[2]!Table3[[#This Row],[CLM $ Collected ]]/'[2]1.) CLM Reference'!$B$4</f>
        <v>1.1113142187887273E-5</v>
      </c>
      <c r="J54" s="131">
        <v>0</v>
      </c>
      <c r="K54" s="132">
        <f>[2]!Table3[[#This Row],[Incentive Disbursements]]/'[2]1.) CLM Reference'!$B$5</f>
        <v>0</v>
      </c>
      <c r="L54" s="133">
        <v>0</v>
      </c>
      <c r="M54" s="191">
        <f>[2]!Table3[[#This Row],[CLM $ Collected ]]/'[2]1.) CLM Reference'!$B$4</f>
        <v>1.1113142187887273E-5</v>
      </c>
      <c r="N54" s="131">
        <v>0</v>
      </c>
      <c r="O54" s="192">
        <f>[2]!Table3[[#This Row],[Incentive Disbursements]]/'[2]1.) CLM Reference'!$B$5</f>
        <v>0</v>
      </c>
      <c r="P54" t="str">
        <f t="shared" si="0"/>
        <v>NO</v>
      </c>
      <c r="Q54" t="str">
        <f>VLOOKUP(Table8[[#This Row],[Census Tract]],'UI EnergyBurden'!$A$2:$B$184,2,FALSE)</f>
        <v>No</v>
      </c>
      <c r="R54">
        <f>VLOOKUP(Table8[[#This Row],[Census Tract]],'Population and Diversity Data'!$B$2:$K$823,10,FALSE)</f>
        <v>4</v>
      </c>
    </row>
    <row r="55" spans="1:18" ht="17" thickBot="1" x14ac:dyDescent="0.25">
      <c r="A55" s="144">
        <v>9001072800</v>
      </c>
      <c r="B55" s="144" t="s">
        <v>934</v>
      </c>
      <c r="C55" s="139" t="s">
        <v>3886</v>
      </c>
      <c r="D55" s="186">
        <f>[2]!Table3[[#This Row],[Residential CLM $ Collected]]+[2]!Table3[[#This Row],[C&amp;I CLM $ Collected]]</f>
        <v>63563.046584033036</v>
      </c>
      <c r="E55" s="187">
        <f>[2]!Table3[[#This Row],[CLM $ Collected ]]/'[2]1.) CLM Reference'!$B$4</f>
        <v>2.8206212389356288E-3</v>
      </c>
      <c r="F55" s="188">
        <f>[2]!Table3[[#This Row],[Residential Incentive Disbursements]]+[2]!Table3[[#This Row],[C&amp;I Incentive Disbursements]]</f>
        <v>46808.330000000009</v>
      </c>
      <c r="G55" s="187">
        <f>[2]!Table3[[#This Row],[Incentive Disbursements]]/'[2]1.) CLM Reference'!$B$5</f>
        <v>1.4451218386096008E-3</v>
      </c>
      <c r="H55" s="133">
        <v>56703.732815382551</v>
      </c>
      <c r="I55" s="132">
        <f>[2]!Table3[[#This Row],[CLM $ Collected ]]/'[2]1.) CLM Reference'!$B$4</f>
        <v>2.8206212389356288E-3</v>
      </c>
      <c r="J55" s="131">
        <v>37978.330000000009</v>
      </c>
      <c r="K55" s="132">
        <f>[2]!Table3[[#This Row],[Incentive Disbursements]]/'[2]1.) CLM Reference'!$B$5</f>
        <v>1.4451218386096008E-3</v>
      </c>
      <c r="L55" s="133">
        <v>6859.3137686504842</v>
      </c>
      <c r="M55" s="191">
        <f>[2]!Table3[[#This Row],[CLM $ Collected ]]/'[2]1.) CLM Reference'!$B$4</f>
        <v>2.8206212389356288E-3</v>
      </c>
      <c r="N55" s="131">
        <v>8830</v>
      </c>
      <c r="O55" s="192">
        <f>[2]!Table3[[#This Row],[Incentive Disbursements]]/'[2]1.) CLM Reference'!$B$5</f>
        <v>1.4451218386096008E-3</v>
      </c>
      <c r="P55" t="str">
        <f t="shared" si="0"/>
        <v>NO</v>
      </c>
      <c r="Q55" t="str">
        <f>VLOOKUP(Table8[[#This Row],[Census Tract]],'UI EnergyBurden'!$A$2:$B$184,2,FALSE)</f>
        <v>No</v>
      </c>
      <c r="R55">
        <f>VLOOKUP(Table8[[#This Row],[Census Tract]],'Population and Diversity Data'!$B$2:$K$823,10,FALSE)</f>
        <v>5</v>
      </c>
    </row>
    <row r="56" spans="1:18" ht="17" thickBot="1" x14ac:dyDescent="0.25">
      <c r="A56" s="144">
        <v>9001072900</v>
      </c>
      <c r="B56" s="144" t="s">
        <v>934</v>
      </c>
      <c r="C56" s="139" t="s">
        <v>3886</v>
      </c>
      <c r="D56" s="186">
        <f>[2]!Table3[[#This Row],[Residential CLM $ Collected]]+[2]!Table3[[#This Row],[C&amp;I CLM $ Collected]]</f>
        <v>63452.25105637138</v>
      </c>
      <c r="E56" s="187">
        <f>[2]!Table3[[#This Row],[CLM $ Collected ]]/'[2]1.) CLM Reference'!$B$4</f>
        <v>2.8157046681402315E-3</v>
      </c>
      <c r="F56" s="188">
        <f>[2]!Table3[[#This Row],[Residential Incentive Disbursements]]+[2]!Table3[[#This Row],[C&amp;I Incentive Disbursements]]</f>
        <v>72075.659999999989</v>
      </c>
      <c r="G56" s="187">
        <f>[2]!Table3[[#This Row],[Incentive Disbursements]]/'[2]1.) CLM Reference'!$B$5</f>
        <v>2.2252045800010473E-3</v>
      </c>
      <c r="H56" s="133">
        <v>56153.471598582197</v>
      </c>
      <c r="I56" s="132">
        <f>[2]!Table3[[#This Row],[CLM $ Collected ]]/'[2]1.) CLM Reference'!$B$4</f>
        <v>2.8157046681402315E-3</v>
      </c>
      <c r="J56" s="131">
        <v>62555.659999999989</v>
      </c>
      <c r="K56" s="132">
        <f>[2]!Table3[[#This Row],[Incentive Disbursements]]/'[2]1.) CLM Reference'!$B$5</f>
        <v>2.2252045800010473E-3</v>
      </c>
      <c r="L56" s="133">
        <v>7298.7794577891846</v>
      </c>
      <c r="M56" s="191">
        <f>[2]!Table3[[#This Row],[CLM $ Collected ]]/'[2]1.) CLM Reference'!$B$4</f>
        <v>2.8157046681402315E-3</v>
      </c>
      <c r="N56" s="131">
        <v>9520</v>
      </c>
      <c r="O56" s="192">
        <f>[2]!Table3[[#This Row],[Incentive Disbursements]]/'[2]1.) CLM Reference'!$B$5</f>
        <v>2.2252045800010473E-3</v>
      </c>
      <c r="P56" t="str">
        <f t="shared" si="0"/>
        <v>NO</v>
      </c>
      <c r="Q56" t="str">
        <f>VLOOKUP(Table8[[#This Row],[Census Tract]],'UI EnergyBurden'!$A$2:$B$184,2,FALSE)</f>
        <v>No</v>
      </c>
      <c r="R56">
        <f>VLOOKUP(Table8[[#This Row],[Census Tract]],'Population and Diversity Data'!$B$2:$K$823,10,FALSE)</f>
        <v>4</v>
      </c>
    </row>
    <row r="57" spans="1:18" ht="17" thickBot="1" x14ac:dyDescent="0.25">
      <c r="A57" s="144">
        <v>9001072900</v>
      </c>
      <c r="B57" s="144" t="s">
        <v>956</v>
      </c>
      <c r="C57" s="139" t="s">
        <v>3886</v>
      </c>
      <c r="D57" s="186">
        <f>[2]!Table3[[#This Row],[Residential CLM $ Collected]]+[2]!Table3[[#This Row],[C&amp;I CLM $ Collected]]</f>
        <v>5.1383566935043694</v>
      </c>
      <c r="E57" s="187">
        <f>[2]!Table3[[#This Row],[CLM $ Collected ]]/'[2]1.) CLM Reference'!$B$4</f>
        <v>2.2801547128117347E-7</v>
      </c>
      <c r="F57" s="188">
        <f>[2]!Table3[[#This Row],[Residential Incentive Disbursements]]+[2]!Table3[[#This Row],[C&amp;I Incentive Disbursements]]</f>
        <v>0</v>
      </c>
      <c r="G57" s="187">
        <f>[2]!Table3[[#This Row],[Incentive Disbursements]]/'[2]1.) CLM Reference'!$B$5</f>
        <v>0</v>
      </c>
      <c r="H57" s="43">
        <v>5.1383566935043694</v>
      </c>
      <c r="I57" s="44">
        <f>[2]!Table3[[#This Row],[CLM $ Collected ]]/'[2]1.) CLM Reference'!$B$4</f>
        <v>2.2801547128117347E-7</v>
      </c>
      <c r="J57" s="45">
        <v>0</v>
      </c>
      <c r="K57" s="44">
        <f>[2]!Table3[[#This Row],[Incentive Disbursements]]/'[2]1.) CLM Reference'!$B$5</f>
        <v>0</v>
      </c>
      <c r="L57" s="43">
        <v>0</v>
      </c>
      <c r="M57" s="189">
        <f>[2]!Table3[[#This Row],[CLM $ Collected ]]/'[2]1.) CLM Reference'!$B$4</f>
        <v>2.2801547128117347E-7</v>
      </c>
      <c r="N57" s="45">
        <v>0</v>
      </c>
      <c r="O57" s="190">
        <f>[2]!Table3[[#This Row],[Incentive Disbursements]]/'[2]1.) CLM Reference'!$B$5</f>
        <v>0</v>
      </c>
      <c r="P57" t="str">
        <f t="shared" si="0"/>
        <v>N/A</v>
      </c>
      <c r="Q57" t="str">
        <f>VLOOKUP(Table8[[#This Row],[Census Tract]],'UI EnergyBurden'!$A$2:$B$184,2,FALSE)</f>
        <v>No</v>
      </c>
      <c r="R57">
        <f>VLOOKUP(Table8[[#This Row],[Census Tract]],'Population and Diversity Data'!$B$2:$K$823,10,FALSE)</f>
        <v>4</v>
      </c>
    </row>
    <row r="58" spans="1:18" ht="17" thickBot="1" x14ac:dyDescent="0.25">
      <c r="A58" s="144">
        <v>9001072900</v>
      </c>
      <c r="B58" s="144" t="s">
        <v>2984</v>
      </c>
      <c r="C58" s="139" t="s">
        <v>3886</v>
      </c>
      <c r="D58" s="186">
        <f>[2]!Table3[[#This Row],[Residential CLM $ Collected]]+[2]!Table3[[#This Row],[C&amp;I CLM $ Collected]]</f>
        <v>124.11001167248695</v>
      </c>
      <c r="E58" s="187">
        <f>[2]!Table3[[#This Row],[CLM $ Collected ]]/'[2]1.) CLM Reference'!$B$4</f>
        <v>5.507403337333142E-6</v>
      </c>
      <c r="F58" s="188">
        <f>[2]!Table3[[#This Row],[Residential Incentive Disbursements]]+[2]!Table3[[#This Row],[C&amp;I Incentive Disbursements]]</f>
        <v>0</v>
      </c>
      <c r="G58" s="187">
        <f>[2]!Table3[[#This Row],[Incentive Disbursements]]/'[2]1.) CLM Reference'!$B$5</f>
        <v>0</v>
      </c>
      <c r="H58" s="43">
        <v>67.195670866088136</v>
      </c>
      <c r="I58" s="44">
        <f>[2]!Table3[[#This Row],[CLM $ Collected ]]/'[2]1.) CLM Reference'!$B$4</f>
        <v>5.507403337333142E-6</v>
      </c>
      <c r="J58" s="45">
        <v>0</v>
      </c>
      <c r="K58" s="44">
        <f>[2]!Table3[[#This Row],[Incentive Disbursements]]/'[2]1.) CLM Reference'!$B$5</f>
        <v>0</v>
      </c>
      <c r="L58" s="43">
        <v>56.914340806398812</v>
      </c>
      <c r="M58" s="189">
        <f>[2]!Table3[[#This Row],[CLM $ Collected ]]/'[2]1.) CLM Reference'!$B$4</f>
        <v>5.507403337333142E-6</v>
      </c>
      <c r="N58" s="45">
        <v>0</v>
      </c>
      <c r="O58" s="190">
        <f>[2]!Table3[[#This Row],[Incentive Disbursements]]/'[2]1.) CLM Reference'!$B$5</f>
        <v>0</v>
      </c>
      <c r="P58" t="str">
        <f t="shared" si="0"/>
        <v>NO</v>
      </c>
      <c r="Q58" t="str">
        <f>VLOOKUP(Table8[[#This Row],[Census Tract]],'UI EnergyBurden'!$A$2:$B$184,2,FALSE)</f>
        <v>No</v>
      </c>
      <c r="R58">
        <f>VLOOKUP(Table8[[#This Row],[Census Tract]],'Population and Diversity Data'!$B$2:$K$823,10,FALSE)</f>
        <v>4</v>
      </c>
    </row>
    <row r="59" spans="1:18" ht="17" thickBot="1" x14ac:dyDescent="0.25">
      <c r="A59" s="144">
        <v>9001073000</v>
      </c>
      <c r="B59" s="144" t="s">
        <v>934</v>
      </c>
      <c r="C59" s="139" t="s">
        <v>3886</v>
      </c>
      <c r="D59" s="186">
        <f>[2]!Table3[[#This Row],[Residential CLM $ Collected]]+[2]!Table3[[#This Row],[C&amp;I CLM $ Collected]]</f>
        <v>35356.53842402673</v>
      </c>
      <c r="E59" s="187">
        <f>[2]!Table3[[#This Row],[CLM $ Collected ]]/'[2]1.) CLM Reference'!$B$4</f>
        <v>1.5689525372609319E-3</v>
      </c>
      <c r="F59" s="188">
        <f>[2]!Table3[[#This Row],[Residential Incentive Disbursements]]+[2]!Table3[[#This Row],[C&amp;I Incentive Disbursements]]</f>
        <v>37977.599999999999</v>
      </c>
      <c r="G59" s="187">
        <f>[2]!Table3[[#This Row],[Incentive Disbursements]]/'[2]1.) CLM Reference'!$B$5</f>
        <v>1.1724891517808894E-3</v>
      </c>
      <c r="H59" s="43">
        <v>22816.935222587326</v>
      </c>
      <c r="I59" s="44">
        <f>[2]!Table3[[#This Row],[CLM $ Collected ]]/'[2]1.) CLM Reference'!$B$4</f>
        <v>1.5689525372609319E-3</v>
      </c>
      <c r="J59" s="45">
        <v>31448.59</v>
      </c>
      <c r="K59" s="44">
        <f>[2]!Table3[[#This Row],[Incentive Disbursements]]/'[2]1.) CLM Reference'!$B$5</f>
        <v>1.1724891517808894E-3</v>
      </c>
      <c r="L59" s="43">
        <v>12539.603201439402</v>
      </c>
      <c r="M59" s="189">
        <f>[2]!Table3[[#This Row],[CLM $ Collected ]]/'[2]1.) CLM Reference'!$B$4</f>
        <v>1.5689525372609319E-3</v>
      </c>
      <c r="N59" s="45">
        <v>6529.01</v>
      </c>
      <c r="O59" s="190">
        <f>[2]!Table3[[#This Row],[Incentive Disbursements]]/'[2]1.) CLM Reference'!$B$5</f>
        <v>1.1724891517808894E-3</v>
      </c>
      <c r="P59" t="str">
        <f t="shared" si="0"/>
        <v>NO</v>
      </c>
      <c r="Q59" t="str">
        <f>VLOOKUP(Table8[[#This Row],[Census Tract]],'UI EnergyBurden'!$A$2:$B$184,2,FALSE)</f>
        <v>No</v>
      </c>
      <c r="R59">
        <f>VLOOKUP(Table8[[#This Row],[Census Tract]],'Population and Diversity Data'!$B$2:$K$823,10,FALSE)</f>
        <v>4</v>
      </c>
    </row>
    <row r="60" spans="1:18" ht="17" thickBot="1" x14ac:dyDescent="0.25">
      <c r="A60" s="144">
        <v>9001073000</v>
      </c>
      <c r="B60" s="144" t="s">
        <v>2984</v>
      </c>
      <c r="C60" s="139" t="s">
        <v>3886</v>
      </c>
      <c r="D60" s="186">
        <f>[2]!Table3[[#This Row],[Residential CLM $ Collected]]+[2]!Table3[[#This Row],[C&amp;I CLM $ Collected]]</f>
        <v>157.35005497278476</v>
      </c>
      <c r="E60" s="187">
        <f>[2]!Table3[[#This Row],[CLM $ Collected ]]/'[2]1.) CLM Reference'!$B$4</f>
        <v>6.9824360356480113E-6</v>
      </c>
      <c r="F60" s="188">
        <f>[2]!Table3[[#This Row],[Residential Incentive Disbursements]]+[2]!Table3[[#This Row],[C&amp;I Incentive Disbursements]]</f>
        <v>0</v>
      </c>
      <c r="G60" s="187">
        <f>[2]!Table3[[#This Row],[Incentive Disbursements]]/'[2]1.) CLM Reference'!$B$5</f>
        <v>0</v>
      </c>
      <c r="H60" s="43">
        <v>157.35005497278476</v>
      </c>
      <c r="I60" s="44">
        <f>[2]!Table3[[#This Row],[CLM $ Collected ]]/'[2]1.) CLM Reference'!$B$4</f>
        <v>6.9824360356480113E-6</v>
      </c>
      <c r="J60" s="45">
        <v>0</v>
      </c>
      <c r="K60" s="44">
        <f>[2]!Table3[[#This Row],[Incentive Disbursements]]/'[2]1.) CLM Reference'!$B$5</f>
        <v>0</v>
      </c>
      <c r="L60" s="43">
        <v>0</v>
      </c>
      <c r="M60" s="189">
        <f>[2]!Table3[[#This Row],[CLM $ Collected ]]/'[2]1.) CLM Reference'!$B$4</f>
        <v>6.9824360356480113E-6</v>
      </c>
      <c r="N60" s="45">
        <v>0</v>
      </c>
      <c r="O60" s="190">
        <f>[2]!Table3[[#This Row],[Incentive Disbursements]]/'[2]1.) CLM Reference'!$B$5</f>
        <v>0</v>
      </c>
      <c r="P60" t="str">
        <f t="shared" si="0"/>
        <v>NO</v>
      </c>
      <c r="Q60" t="str">
        <f>VLOOKUP(Table8[[#This Row],[Census Tract]],'UI EnergyBurden'!$A$2:$B$184,2,FALSE)</f>
        <v>No</v>
      </c>
      <c r="R60">
        <f>VLOOKUP(Table8[[#This Row],[Census Tract]],'Population and Diversity Data'!$B$2:$K$823,10,FALSE)</f>
        <v>4</v>
      </c>
    </row>
    <row r="61" spans="1:18" ht="17" thickBot="1" x14ac:dyDescent="0.25">
      <c r="A61" s="144">
        <v>9001073100</v>
      </c>
      <c r="B61" s="144" t="s">
        <v>934</v>
      </c>
      <c r="C61" s="139" t="s">
        <v>3887</v>
      </c>
      <c r="D61" s="186">
        <f>[2]!Table3[[#This Row],[Residential CLM $ Collected]]+[2]!Table3[[#This Row],[C&amp;I CLM $ Collected]]</f>
        <v>69670.198189542745</v>
      </c>
      <c r="E61" s="187">
        <f>[2]!Table3[[#This Row],[CLM $ Collected ]]/'[2]1.) CLM Reference'!$B$4</f>
        <v>3.0916271528061523E-3</v>
      </c>
      <c r="F61" s="188">
        <f>[2]!Table3[[#This Row],[Residential Incentive Disbursements]]+[2]!Table3[[#This Row],[C&amp;I Incentive Disbursements]]</f>
        <v>150161.1</v>
      </c>
      <c r="G61" s="187">
        <f>[2]!Table3[[#This Row],[Incentive Disbursements]]/'[2]1.) CLM Reference'!$B$5</f>
        <v>4.6359501592908806E-3</v>
      </c>
      <c r="H61" s="43">
        <v>54079.657613785501</v>
      </c>
      <c r="I61" s="44">
        <f>[2]!Table3[[#This Row],[CLM $ Collected ]]/'[2]1.) CLM Reference'!$B$4</f>
        <v>3.0916271528061523E-3</v>
      </c>
      <c r="J61" s="45">
        <v>43285.100000000006</v>
      </c>
      <c r="K61" s="44">
        <f>[2]!Table3[[#This Row],[Incentive Disbursements]]/'[2]1.) CLM Reference'!$B$5</f>
        <v>4.6359501592908806E-3</v>
      </c>
      <c r="L61" s="43">
        <v>15590.540575757237</v>
      </c>
      <c r="M61" s="189">
        <f>[2]!Table3[[#This Row],[CLM $ Collected ]]/'[2]1.) CLM Reference'!$B$4</f>
        <v>3.0916271528061523E-3</v>
      </c>
      <c r="N61" s="45">
        <v>106876</v>
      </c>
      <c r="O61" s="190">
        <f>[2]!Table3[[#This Row],[Incentive Disbursements]]/'[2]1.) CLM Reference'!$B$5</f>
        <v>4.6359501592908806E-3</v>
      </c>
      <c r="P61" t="str">
        <f t="shared" si="0"/>
        <v>YES</v>
      </c>
      <c r="Q61" t="str">
        <f>VLOOKUP(Table8[[#This Row],[Census Tract]],'UI EnergyBurden'!$A$2:$B$184,2,FALSE)</f>
        <v>No</v>
      </c>
      <c r="R61">
        <f>VLOOKUP(Table8[[#This Row],[Census Tract]],'Population and Diversity Data'!$B$2:$K$823,10,FALSE)</f>
        <v>5</v>
      </c>
    </row>
    <row r="62" spans="1:18" ht="17" thickBot="1" x14ac:dyDescent="0.25">
      <c r="A62" s="144">
        <v>9001073100</v>
      </c>
      <c r="B62" s="144" t="s">
        <v>2984</v>
      </c>
      <c r="C62" s="139" t="s">
        <v>3887</v>
      </c>
      <c r="D62" s="186">
        <f>[2]!Table3[[#This Row],[Residential CLM $ Collected]]+[2]!Table3[[#This Row],[C&amp;I CLM $ Collected]]</f>
        <v>79.545270286684897</v>
      </c>
      <c r="E62" s="187">
        <f>[2]!Table3[[#This Row],[CLM $ Collected ]]/'[2]1.) CLM Reference'!$B$4</f>
        <v>3.5298351933284986E-6</v>
      </c>
      <c r="F62" s="188">
        <f>[2]!Table3[[#This Row],[Residential Incentive Disbursements]]+[2]!Table3[[#This Row],[C&amp;I Incentive Disbursements]]</f>
        <v>0</v>
      </c>
      <c r="G62" s="187">
        <f>[2]!Table3[[#This Row],[Incentive Disbursements]]/'[2]1.) CLM Reference'!$B$5</f>
        <v>0</v>
      </c>
      <c r="H62" s="43">
        <v>79.545270286684897</v>
      </c>
      <c r="I62" s="44">
        <f>[2]!Table3[[#This Row],[CLM $ Collected ]]/'[2]1.) CLM Reference'!$B$4</f>
        <v>3.5298351933284986E-6</v>
      </c>
      <c r="J62" s="45">
        <v>0</v>
      </c>
      <c r="K62" s="44">
        <f>[2]!Table3[[#This Row],[Incentive Disbursements]]/'[2]1.) CLM Reference'!$B$5</f>
        <v>0</v>
      </c>
      <c r="L62" s="43">
        <v>0</v>
      </c>
      <c r="M62" s="189">
        <f>[2]!Table3[[#This Row],[CLM $ Collected ]]/'[2]1.) CLM Reference'!$B$4</f>
        <v>3.5298351933284986E-6</v>
      </c>
      <c r="N62" s="45">
        <v>0</v>
      </c>
      <c r="O62" s="190">
        <f>[2]!Table3[[#This Row],[Incentive Disbursements]]/'[2]1.) CLM Reference'!$B$5</f>
        <v>0</v>
      </c>
      <c r="P62" t="str">
        <f t="shared" si="0"/>
        <v>N/A</v>
      </c>
      <c r="Q62" t="str">
        <f>VLOOKUP(Table8[[#This Row],[Census Tract]],'UI EnergyBurden'!$A$2:$B$184,2,FALSE)</f>
        <v>No</v>
      </c>
      <c r="R62">
        <f>VLOOKUP(Table8[[#This Row],[Census Tract]],'Population and Diversity Data'!$B$2:$K$823,10,FALSE)</f>
        <v>5</v>
      </c>
    </row>
    <row r="63" spans="1:18" ht="17" thickBot="1" x14ac:dyDescent="0.25">
      <c r="A63" s="144">
        <v>9001073200</v>
      </c>
      <c r="B63" s="144" t="s">
        <v>934</v>
      </c>
      <c r="C63" s="139" t="s">
        <v>3886</v>
      </c>
      <c r="D63" s="186">
        <f>[2]!Table3[[#This Row],[Residential CLM $ Collected]]+[2]!Table3[[#This Row],[C&amp;I CLM $ Collected]]</f>
        <v>19237.305726232909</v>
      </c>
      <c r="E63" s="187">
        <f>[2]!Table3[[#This Row],[CLM $ Collected ]]/'[2]1.) CLM Reference'!$B$4</f>
        <v>8.5365878489752683E-4</v>
      </c>
      <c r="F63" s="188">
        <f>[2]!Table3[[#This Row],[Residential Incentive Disbursements]]+[2]!Table3[[#This Row],[C&amp;I Incentive Disbursements]]</f>
        <v>1102.96</v>
      </c>
      <c r="G63" s="187">
        <f>[2]!Table3[[#This Row],[Incentive Disbursements]]/'[2]1.) CLM Reference'!$B$5</f>
        <v>3.4051878866706953E-5</v>
      </c>
      <c r="H63" s="43">
        <v>17834.700549122717</v>
      </c>
      <c r="I63" s="44">
        <f>[2]!Table3[[#This Row],[CLM $ Collected ]]/'[2]1.) CLM Reference'!$B$4</f>
        <v>8.5365878489752683E-4</v>
      </c>
      <c r="J63" s="45">
        <v>1102.96</v>
      </c>
      <c r="K63" s="44">
        <f>[2]!Table3[[#This Row],[Incentive Disbursements]]/'[2]1.) CLM Reference'!$B$5</f>
        <v>3.4051878866706953E-5</v>
      </c>
      <c r="L63" s="43">
        <v>1402.6051771101916</v>
      </c>
      <c r="M63" s="189">
        <f>[2]!Table3[[#This Row],[CLM $ Collected ]]/'[2]1.) CLM Reference'!$B$4</f>
        <v>8.5365878489752683E-4</v>
      </c>
      <c r="N63" s="45">
        <v>0</v>
      </c>
      <c r="O63" s="190">
        <f>[2]!Table3[[#This Row],[Incentive Disbursements]]/'[2]1.) CLM Reference'!$B$5</f>
        <v>3.4051878866706953E-5</v>
      </c>
      <c r="P63" t="str">
        <f t="shared" si="0"/>
        <v>NO</v>
      </c>
      <c r="Q63" t="str">
        <f>VLOOKUP(Table8[[#This Row],[Census Tract]],'UI EnergyBurden'!$A$2:$B$184,2,FALSE)</f>
        <v>No</v>
      </c>
      <c r="R63">
        <f>VLOOKUP(Table8[[#This Row],[Census Tract]],'Population and Diversity Data'!$B$2:$K$823,10,FALSE)</f>
        <v>5</v>
      </c>
    </row>
    <row r="64" spans="1:18" ht="17" thickBot="1" x14ac:dyDescent="0.25">
      <c r="A64" s="144">
        <v>9001073200</v>
      </c>
      <c r="B64" s="144" t="s">
        <v>956</v>
      </c>
      <c r="C64" s="139" t="s">
        <v>3886</v>
      </c>
      <c r="D64" s="186">
        <f>[2]!Table3[[#This Row],[Residential CLM $ Collected]]+[2]!Table3[[#This Row],[C&amp;I CLM $ Collected]]</f>
        <v>29.242004758900876</v>
      </c>
      <c r="E64" s="187">
        <f>[2]!Table3[[#This Row],[CLM $ Collected ]]/'[2]1.) CLM Reference'!$B$4</f>
        <v>1.2976190432119971E-6</v>
      </c>
      <c r="F64" s="188">
        <f>[2]!Table3[[#This Row],[Residential Incentive Disbursements]]+[2]!Table3[[#This Row],[C&amp;I Incentive Disbursements]]</f>
        <v>0</v>
      </c>
      <c r="G64" s="187">
        <f>[2]!Table3[[#This Row],[Incentive Disbursements]]/'[2]1.) CLM Reference'!$B$5</f>
        <v>0</v>
      </c>
      <c r="H64" s="43">
        <v>29.242004758900876</v>
      </c>
      <c r="I64" s="44">
        <f>[2]!Table3[[#This Row],[CLM $ Collected ]]/'[2]1.) CLM Reference'!$B$4</f>
        <v>1.2976190432119971E-6</v>
      </c>
      <c r="J64" s="45">
        <v>0</v>
      </c>
      <c r="K64" s="44">
        <f>[2]!Table3[[#This Row],[Incentive Disbursements]]/'[2]1.) CLM Reference'!$B$5</f>
        <v>0</v>
      </c>
      <c r="L64" s="43">
        <v>0</v>
      </c>
      <c r="M64" s="189">
        <f>[2]!Table3[[#This Row],[CLM $ Collected ]]/'[2]1.) CLM Reference'!$B$4</f>
        <v>1.2976190432119971E-6</v>
      </c>
      <c r="N64" s="45">
        <v>0</v>
      </c>
      <c r="O64" s="190">
        <f>[2]!Table3[[#This Row],[Incentive Disbursements]]/'[2]1.) CLM Reference'!$B$5</f>
        <v>0</v>
      </c>
      <c r="P64" t="str">
        <f t="shared" si="0"/>
        <v>N/A</v>
      </c>
      <c r="Q64" t="str">
        <f>VLOOKUP(Table8[[#This Row],[Census Tract]],'UI EnergyBurden'!$A$2:$B$184,2,FALSE)</f>
        <v>No</v>
      </c>
      <c r="R64">
        <f>VLOOKUP(Table8[[#This Row],[Census Tract]],'Population and Diversity Data'!$B$2:$K$823,10,FALSE)</f>
        <v>5</v>
      </c>
    </row>
    <row r="65" spans="1:18" ht="17" thickBot="1" x14ac:dyDescent="0.25">
      <c r="A65" s="144">
        <v>9001073300</v>
      </c>
      <c r="B65" s="144" t="s">
        <v>934</v>
      </c>
      <c r="C65" s="139" t="s">
        <v>3887</v>
      </c>
      <c r="D65" s="186">
        <f>[2]!Table3[[#This Row],[Residential CLM $ Collected]]+[2]!Table3[[#This Row],[C&amp;I CLM $ Collected]]</f>
        <v>53533.482152307406</v>
      </c>
      <c r="E65" s="187">
        <f>[2]!Table3[[#This Row],[CLM $ Collected ]]/'[2]1.) CLM Reference'!$B$4</f>
        <v>2.3755575742165596E-3</v>
      </c>
      <c r="F65" s="188">
        <f>[2]!Table3[[#This Row],[Residential Incentive Disbursements]]+[2]!Table3[[#This Row],[C&amp;I Incentive Disbursements]]</f>
        <v>90774.239999999991</v>
      </c>
      <c r="G65" s="187">
        <f>[2]!Table3[[#This Row],[Incentive Disbursements]]/'[2]1.) CLM Reference'!$B$5</f>
        <v>2.8024891425775952E-3</v>
      </c>
      <c r="H65" s="43">
        <v>38061.25766400851</v>
      </c>
      <c r="I65" s="44">
        <f>[2]!Table3[[#This Row],[CLM $ Collected ]]/'[2]1.) CLM Reference'!$B$4</f>
        <v>2.3755575742165596E-3</v>
      </c>
      <c r="J65" s="45">
        <v>17489.239999999998</v>
      </c>
      <c r="K65" s="44">
        <f>[2]!Table3[[#This Row],[Incentive Disbursements]]/'[2]1.) CLM Reference'!$B$5</f>
        <v>2.8024891425775952E-3</v>
      </c>
      <c r="L65" s="43">
        <v>15472.2244882989</v>
      </c>
      <c r="M65" s="189">
        <f>[2]!Table3[[#This Row],[CLM $ Collected ]]/'[2]1.) CLM Reference'!$B$4</f>
        <v>2.3755575742165596E-3</v>
      </c>
      <c r="N65" s="45">
        <v>73285</v>
      </c>
      <c r="O65" s="190">
        <f>[2]!Table3[[#This Row],[Incentive Disbursements]]/'[2]1.) CLM Reference'!$B$5</f>
        <v>2.8024891425775952E-3</v>
      </c>
      <c r="P65" t="str">
        <f t="shared" si="0"/>
        <v>YES</v>
      </c>
      <c r="Q65" t="str">
        <f>VLOOKUP(Table8[[#This Row],[Census Tract]],'UI EnergyBurden'!$A$2:$B$184,2,FALSE)</f>
        <v>Yes</v>
      </c>
      <c r="R65">
        <f>VLOOKUP(Table8[[#This Row],[Census Tract]],'Population and Diversity Data'!$B$2:$K$823,10,FALSE)</f>
        <v>5</v>
      </c>
    </row>
    <row r="66" spans="1:18" ht="17" thickBot="1" x14ac:dyDescent="0.25">
      <c r="A66" s="144">
        <v>9001073400</v>
      </c>
      <c r="B66" s="144" t="s">
        <v>934</v>
      </c>
      <c r="C66" s="139" t="s">
        <v>3887</v>
      </c>
      <c r="D66" s="186">
        <f>[2]!Table3[[#This Row],[Residential CLM $ Collected]]+[2]!Table3[[#This Row],[C&amp;I CLM $ Collected]]</f>
        <v>61388.515268036368</v>
      </c>
      <c r="E66" s="187">
        <f>[2]!Table3[[#This Row],[CLM $ Collected ]]/'[2]1.) CLM Reference'!$B$4</f>
        <v>2.7241260338714403E-3</v>
      </c>
      <c r="F66" s="188">
        <f>[2]!Table3[[#This Row],[Residential Incentive Disbursements]]+[2]!Table3[[#This Row],[C&amp;I Incentive Disbursements]]</f>
        <v>166671.76999999999</v>
      </c>
      <c r="G66" s="187">
        <f>[2]!Table3[[#This Row],[Incentive Disbursements]]/'[2]1.) CLM Reference'!$B$5</f>
        <v>5.1456869900446444E-3</v>
      </c>
      <c r="H66" s="43">
        <v>43314.601823968522</v>
      </c>
      <c r="I66" s="44">
        <f>[2]!Table3[[#This Row],[CLM $ Collected ]]/'[2]1.) CLM Reference'!$B$4</f>
        <v>2.7241260338714403E-3</v>
      </c>
      <c r="J66" s="45">
        <v>12070.77</v>
      </c>
      <c r="K66" s="44">
        <f>[2]!Table3[[#This Row],[Incentive Disbursements]]/'[2]1.) CLM Reference'!$B$5</f>
        <v>5.1456869900446444E-3</v>
      </c>
      <c r="L66" s="43">
        <v>18073.913444067846</v>
      </c>
      <c r="M66" s="189">
        <f>[2]!Table3[[#This Row],[CLM $ Collected ]]/'[2]1.) CLM Reference'!$B$4</f>
        <v>2.7241260338714403E-3</v>
      </c>
      <c r="N66" s="45">
        <v>154601</v>
      </c>
      <c r="O66" s="190">
        <f>[2]!Table3[[#This Row],[Incentive Disbursements]]/'[2]1.) CLM Reference'!$B$5</f>
        <v>5.1456869900446444E-3</v>
      </c>
      <c r="P66" t="str">
        <f t="shared" si="0"/>
        <v>YES</v>
      </c>
      <c r="Q66" t="str">
        <f>VLOOKUP(Table8[[#This Row],[Census Tract]],'UI EnergyBurden'!$A$2:$B$184,2,FALSE)</f>
        <v>Yes</v>
      </c>
      <c r="R66">
        <f>VLOOKUP(Table8[[#This Row],[Census Tract]],'Population and Diversity Data'!$B$2:$K$823,10,FALSE)</f>
        <v>5</v>
      </c>
    </row>
    <row r="67" spans="1:18" ht="17" thickBot="1" x14ac:dyDescent="0.25">
      <c r="A67" s="144">
        <v>9001073500</v>
      </c>
      <c r="B67" s="144" t="s">
        <v>934</v>
      </c>
      <c r="C67" s="139" t="s">
        <v>3887</v>
      </c>
      <c r="D67" s="186">
        <f>[2]!Table3[[#This Row],[Residential CLM $ Collected]]+[2]!Table3[[#This Row],[C&amp;I CLM $ Collected]]</f>
        <v>37804.284429261221</v>
      </c>
      <c r="E67" s="187">
        <f>[2]!Table3[[#This Row],[CLM $ Collected ]]/'[2]1.) CLM Reference'!$B$4</f>
        <v>1.6775716916426629E-3</v>
      </c>
      <c r="F67" s="188">
        <f>[2]!Table3[[#This Row],[Residential Incentive Disbursements]]+[2]!Table3[[#This Row],[C&amp;I Incentive Disbursements]]</f>
        <v>13887.27</v>
      </c>
      <c r="G67" s="187">
        <f>[2]!Table3[[#This Row],[Incentive Disbursements]]/'[2]1.) CLM Reference'!$B$5</f>
        <v>4.2874413925187988E-4</v>
      </c>
      <c r="H67" s="43">
        <v>30167.042847239434</v>
      </c>
      <c r="I67" s="44">
        <f>[2]!Table3[[#This Row],[CLM $ Collected ]]/'[2]1.) CLM Reference'!$B$4</f>
        <v>1.6775716916426629E-3</v>
      </c>
      <c r="J67" s="45">
        <v>5537.2699999999995</v>
      </c>
      <c r="K67" s="44">
        <f>[2]!Table3[[#This Row],[Incentive Disbursements]]/'[2]1.) CLM Reference'!$B$5</f>
        <v>4.2874413925187988E-4</v>
      </c>
      <c r="L67" s="43">
        <v>7637.2415820217875</v>
      </c>
      <c r="M67" s="189">
        <f>[2]!Table3[[#This Row],[CLM $ Collected ]]/'[2]1.) CLM Reference'!$B$4</f>
        <v>1.6775716916426629E-3</v>
      </c>
      <c r="N67" s="45">
        <v>8350</v>
      </c>
      <c r="O67" s="190">
        <f>[2]!Table3[[#This Row],[Incentive Disbursements]]/'[2]1.) CLM Reference'!$B$5</f>
        <v>4.2874413925187988E-4</v>
      </c>
      <c r="P67" t="str">
        <f t="shared" si="0"/>
        <v>NO</v>
      </c>
      <c r="Q67" t="str">
        <f>VLOOKUP(Table8[[#This Row],[Census Tract]],'UI EnergyBurden'!$A$2:$B$184,2,FALSE)</f>
        <v>Yes</v>
      </c>
      <c r="R67">
        <f>VLOOKUP(Table8[[#This Row],[Census Tract]],'Population and Diversity Data'!$B$2:$K$823,10,FALSE)</f>
        <v>5</v>
      </c>
    </row>
    <row r="68" spans="1:18" ht="17" thickBot="1" x14ac:dyDescent="0.25">
      <c r="A68" s="144">
        <v>9001073600</v>
      </c>
      <c r="B68" s="144" t="s">
        <v>934</v>
      </c>
      <c r="C68" s="139" t="s">
        <v>3887</v>
      </c>
      <c r="D68" s="186">
        <f>[2]!Table3[[#This Row],[Residential CLM $ Collected]]+[2]!Table3[[#This Row],[C&amp;I CLM $ Collected]]</f>
        <v>25029.904955322727</v>
      </c>
      <c r="E68" s="187">
        <f>[2]!Table3[[#This Row],[CLM $ Collected ]]/'[2]1.) CLM Reference'!$B$4</f>
        <v>1.1107063823976311E-3</v>
      </c>
      <c r="F68" s="188">
        <f>[2]!Table3[[#This Row],[Residential Incentive Disbursements]]+[2]!Table3[[#This Row],[C&amp;I Incentive Disbursements]]</f>
        <v>1008.44</v>
      </c>
      <c r="G68" s="187">
        <f>[2]!Table3[[#This Row],[Incentive Disbursements]]/'[2]1.) CLM Reference'!$B$5</f>
        <v>3.1133746214134654E-5</v>
      </c>
      <c r="H68" s="43">
        <v>18536.111629485826</v>
      </c>
      <c r="I68" s="44">
        <f>[2]!Table3[[#This Row],[CLM $ Collected ]]/'[2]1.) CLM Reference'!$B$4</f>
        <v>1.1107063823976311E-3</v>
      </c>
      <c r="J68" s="45">
        <v>1008.44</v>
      </c>
      <c r="K68" s="44">
        <f>[2]!Table3[[#This Row],[Incentive Disbursements]]/'[2]1.) CLM Reference'!$B$5</f>
        <v>3.1133746214134654E-5</v>
      </c>
      <c r="L68" s="43">
        <v>6493.7933258369021</v>
      </c>
      <c r="M68" s="189">
        <f>[2]!Table3[[#This Row],[CLM $ Collected ]]/'[2]1.) CLM Reference'!$B$4</f>
        <v>1.1107063823976311E-3</v>
      </c>
      <c r="N68" s="45">
        <v>0</v>
      </c>
      <c r="O68" s="190">
        <f>[2]!Table3[[#This Row],[Incentive Disbursements]]/'[2]1.) CLM Reference'!$B$5</f>
        <v>3.1133746214134654E-5</v>
      </c>
      <c r="P68" t="str">
        <f t="shared" si="0"/>
        <v>NO</v>
      </c>
      <c r="Q68" t="str">
        <f>VLOOKUP(Table8[[#This Row],[Census Tract]],'UI EnergyBurden'!$A$2:$B$184,2,FALSE)</f>
        <v>Yes</v>
      </c>
      <c r="R68">
        <f>VLOOKUP(Table8[[#This Row],[Census Tract]],'Population and Diversity Data'!$B$2:$K$823,10,FALSE)</f>
        <v>5</v>
      </c>
    </row>
    <row r="69" spans="1:18" ht="17" thickBot="1" x14ac:dyDescent="0.25">
      <c r="A69" s="144">
        <v>9001073700</v>
      </c>
      <c r="B69" s="144" t="s">
        <v>934</v>
      </c>
      <c r="C69" s="139" t="s">
        <v>3887</v>
      </c>
      <c r="D69" s="186">
        <f>[2]!Table3[[#This Row],[Residential CLM $ Collected]]+[2]!Table3[[#This Row],[C&amp;I CLM $ Collected]]</f>
        <v>64934.147586770865</v>
      </c>
      <c r="E69" s="187">
        <f>[2]!Table3[[#This Row],[CLM $ Collected ]]/'[2]1.) CLM Reference'!$B$4</f>
        <v>2.8814640842189407E-3</v>
      </c>
      <c r="F69" s="188">
        <f>[2]!Table3[[#This Row],[Residential Incentive Disbursements]]+[2]!Table3[[#This Row],[C&amp;I Incentive Disbursements]]</f>
        <v>44540.240000000005</v>
      </c>
      <c r="G69" s="187">
        <f>[2]!Table3[[#This Row],[Incentive Disbursements]]/'[2]1.) CLM Reference'!$B$5</f>
        <v>1.3750986954867408E-3</v>
      </c>
      <c r="H69" s="43">
        <v>49683.675737339079</v>
      </c>
      <c r="I69" s="44">
        <f>[2]!Table3[[#This Row],[CLM $ Collected ]]/'[2]1.) CLM Reference'!$B$4</f>
        <v>2.8814640842189407E-3</v>
      </c>
      <c r="J69" s="45">
        <v>12655.240000000002</v>
      </c>
      <c r="K69" s="44">
        <f>[2]!Table3[[#This Row],[Incentive Disbursements]]/'[2]1.) CLM Reference'!$B$5</f>
        <v>1.3750986954867408E-3</v>
      </c>
      <c r="L69" s="43">
        <v>15250.471849431788</v>
      </c>
      <c r="M69" s="189">
        <f>[2]!Table3[[#This Row],[CLM $ Collected ]]/'[2]1.) CLM Reference'!$B$4</f>
        <v>2.8814640842189407E-3</v>
      </c>
      <c r="N69" s="45">
        <v>31885</v>
      </c>
      <c r="O69" s="190">
        <f>[2]!Table3[[#This Row],[Incentive Disbursements]]/'[2]1.) CLM Reference'!$B$5</f>
        <v>1.3750986954867408E-3</v>
      </c>
      <c r="P69" t="str">
        <f t="shared" si="0"/>
        <v>NO</v>
      </c>
      <c r="Q69" t="str">
        <f>VLOOKUP(Table8[[#This Row],[Census Tract]],'UI EnergyBurden'!$A$2:$B$184,2,FALSE)</f>
        <v>Yes</v>
      </c>
      <c r="R69">
        <f>VLOOKUP(Table8[[#This Row],[Census Tract]],'Population and Diversity Data'!$B$2:$K$823,10,FALSE)</f>
        <v>5</v>
      </c>
    </row>
    <row r="70" spans="1:18" ht="17" thickBot="1" x14ac:dyDescent="0.25">
      <c r="A70" s="144">
        <v>9001073700</v>
      </c>
      <c r="B70" s="144" t="s">
        <v>956</v>
      </c>
      <c r="C70" s="139" t="s">
        <v>3887</v>
      </c>
      <c r="D70" s="186">
        <f>[2]!Table3[[#This Row],[Residential CLM $ Collected]]+[2]!Table3[[#This Row],[C&amp;I CLM $ Collected]]</f>
        <v>0.22621696134924899</v>
      </c>
      <c r="E70" s="187">
        <f>[2]!Table3[[#This Row],[CLM $ Collected ]]/'[2]1.) CLM Reference'!$B$4</f>
        <v>1.0038416974642859E-8</v>
      </c>
      <c r="F70" s="188">
        <f>[2]!Table3[[#This Row],[Residential Incentive Disbursements]]+[2]!Table3[[#This Row],[C&amp;I Incentive Disbursements]]</f>
        <v>0</v>
      </c>
      <c r="G70" s="187">
        <f>[2]!Table3[[#This Row],[Incentive Disbursements]]/'[2]1.) CLM Reference'!$B$5</f>
        <v>0</v>
      </c>
      <c r="H70" s="43">
        <v>0</v>
      </c>
      <c r="I70" s="44">
        <f>[2]!Table3[[#This Row],[CLM $ Collected ]]/'[2]1.) CLM Reference'!$B$4</f>
        <v>1.0038416974642859E-8</v>
      </c>
      <c r="J70" s="45">
        <v>0</v>
      </c>
      <c r="K70" s="44">
        <f>[2]!Table3[[#This Row],[Incentive Disbursements]]/'[2]1.) CLM Reference'!$B$5</f>
        <v>0</v>
      </c>
      <c r="L70" s="43">
        <v>0.22621696134924899</v>
      </c>
      <c r="M70" s="189">
        <f>[2]!Table3[[#This Row],[CLM $ Collected ]]/'[2]1.) CLM Reference'!$B$4</f>
        <v>1.0038416974642859E-8</v>
      </c>
      <c r="N70" s="45">
        <v>0</v>
      </c>
      <c r="O70" s="190">
        <f>[2]!Table3[[#This Row],[Incentive Disbursements]]/'[2]1.) CLM Reference'!$B$5</f>
        <v>0</v>
      </c>
      <c r="P70" t="str">
        <f t="shared" ref="P70:P133" si="1">IF(ROUND(M70,5)&lt;0.00001,"N/A",IF(ROUND(M70,5)&lt;=ROUND(O70,5),"YES","NO"))</f>
        <v>N/A</v>
      </c>
      <c r="Q70" t="str">
        <f>VLOOKUP(Table8[[#This Row],[Census Tract]],'UI EnergyBurden'!$A$2:$B$184,2,FALSE)</f>
        <v>Yes</v>
      </c>
      <c r="R70">
        <f>VLOOKUP(Table8[[#This Row],[Census Tract]],'Population and Diversity Data'!$B$2:$K$823,10,FALSE)</f>
        <v>5</v>
      </c>
    </row>
    <row r="71" spans="1:18" ht="17" thickBot="1" x14ac:dyDescent="0.25">
      <c r="A71" s="144">
        <v>9001073800</v>
      </c>
      <c r="B71" s="144" t="s">
        <v>934</v>
      </c>
      <c r="C71" s="139" t="s">
        <v>3887</v>
      </c>
      <c r="D71" s="186">
        <f>[2]!Table3[[#This Row],[Residential CLM $ Collected]]+[2]!Table3[[#This Row],[C&amp;I CLM $ Collected]]</f>
        <v>32254.591433260997</v>
      </c>
      <c r="E71" s="187">
        <f>[2]!Table3[[#This Row],[CLM $ Collected ]]/'[2]1.) CLM Reference'!$B$4</f>
        <v>1.4313031004511468E-3</v>
      </c>
      <c r="F71" s="188">
        <f>[2]!Table3[[#This Row],[Residential Incentive Disbursements]]+[2]!Table3[[#This Row],[C&amp;I Incentive Disbursements]]</f>
        <v>26792.48</v>
      </c>
      <c r="G71" s="187">
        <f>[2]!Table3[[#This Row],[Incentive Disbursements]]/'[2]1.) CLM Reference'!$B$5</f>
        <v>8.2716896668842807E-4</v>
      </c>
      <c r="H71" s="43">
        <v>19751.52457941584</v>
      </c>
      <c r="I71" s="44">
        <f>[2]!Table3[[#This Row],[CLM $ Collected ]]/'[2]1.) CLM Reference'!$B$4</f>
        <v>1.4313031004511468E-3</v>
      </c>
      <c r="J71" s="45">
        <v>947.4799999999999</v>
      </c>
      <c r="K71" s="44">
        <f>[2]!Table3[[#This Row],[Incentive Disbursements]]/'[2]1.) CLM Reference'!$B$5</f>
        <v>8.2716896668842807E-4</v>
      </c>
      <c r="L71" s="43">
        <v>12503.066853845159</v>
      </c>
      <c r="M71" s="189">
        <f>[2]!Table3[[#This Row],[CLM $ Collected ]]/'[2]1.) CLM Reference'!$B$4</f>
        <v>1.4313031004511468E-3</v>
      </c>
      <c r="N71" s="45">
        <v>25845</v>
      </c>
      <c r="O71" s="190">
        <f>[2]!Table3[[#This Row],[Incentive Disbursements]]/'[2]1.) CLM Reference'!$B$5</f>
        <v>8.2716896668842807E-4</v>
      </c>
      <c r="P71" t="str">
        <f t="shared" si="1"/>
        <v>NO</v>
      </c>
      <c r="Q71" t="str">
        <f>VLOOKUP(Table8[[#This Row],[Census Tract]],'UI EnergyBurden'!$A$2:$B$184,2,FALSE)</f>
        <v>Yes</v>
      </c>
      <c r="R71">
        <f>VLOOKUP(Table8[[#This Row],[Census Tract]],'Population and Diversity Data'!$B$2:$K$823,10,FALSE)</f>
        <v>5</v>
      </c>
    </row>
    <row r="72" spans="1:18" ht="17" thickBot="1" x14ac:dyDescent="0.25">
      <c r="A72" s="144">
        <v>9001073900</v>
      </c>
      <c r="B72" s="144" t="s">
        <v>934</v>
      </c>
      <c r="C72" s="139" t="s">
        <v>3887</v>
      </c>
      <c r="D72" s="186">
        <f>[2]!Table3[[#This Row],[Residential CLM $ Collected]]+[2]!Table3[[#This Row],[C&amp;I CLM $ Collected]]</f>
        <v>38459.367199274478</v>
      </c>
      <c r="E72" s="187">
        <f>[2]!Table3[[#This Row],[CLM $ Collected ]]/'[2]1.) CLM Reference'!$B$4</f>
        <v>1.7066411034103539E-3</v>
      </c>
      <c r="F72" s="188">
        <f>[2]!Table3[[#This Row],[Residential Incentive Disbursements]]+[2]!Table3[[#This Row],[C&amp;I Incentive Disbursements]]</f>
        <v>22977.23</v>
      </c>
      <c r="G72" s="187">
        <f>[2]!Table3[[#This Row],[Incentive Disbursements]]/'[2]1.) CLM Reference'!$B$5</f>
        <v>7.093800796515421E-4</v>
      </c>
      <c r="H72" s="43">
        <v>27048.466601478132</v>
      </c>
      <c r="I72" s="44">
        <f>[2]!Table3[[#This Row],[CLM $ Collected ]]/'[2]1.) CLM Reference'!$B$4</f>
        <v>1.7066411034103539E-3</v>
      </c>
      <c r="J72" s="45">
        <v>3298.98</v>
      </c>
      <c r="K72" s="44">
        <f>[2]!Table3[[#This Row],[Incentive Disbursements]]/'[2]1.) CLM Reference'!$B$5</f>
        <v>7.093800796515421E-4</v>
      </c>
      <c r="L72" s="43">
        <v>11410.900597796346</v>
      </c>
      <c r="M72" s="189">
        <f>[2]!Table3[[#This Row],[CLM $ Collected ]]/'[2]1.) CLM Reference'!$B$4</f>
        <v>1.7066411034103539E-3</v>
      </c>
      <c r="N72" s="45">
        <v>19678.25</v>
      </c>
      <c r="O72" s="190">
        <f>[2]!Table3[[#This Row],[Incentive Disbursements]]/'[2]1.) CLM Reference'!$B$5</f>
        <v>7.093800796515421E-4</v>
      </c>
      <c r="P72" t="str">
        <f t="shared" si="1"/>
        <v>NO</v>
      </c>
      <c r="Q72" t="str">
        <f>VLOOKUP(Table8[[#This Row],[Census Tract]],'UI EnergyBurden'!$A$2:$B$184,2,FALSE)</f>
        <v>Yes</v>
      </c>
      <c r="R72">
        <f>VLOOKUP(Table8[[#This Row],[Census Tract]],'Population and Diversity Data'!$B$2:$K$823,10,FALSE)</f>
        <v>5</v>
      </c>
    </row>
    <row r="73" spans="1:18" ht="17" thickBot="1" x14ac:dyDescent="0.25">
      <c r="A73" s="144">
        <v>9001074000</v>
      </c>
      <c r="B73" s="144" t="s">
        <v>934</v>
      </c>
      <c r="C73" s="139" t="s">
        <v>3887</v>
      </c>
      <c r="D73" s="186">
        <f>[2]!Table3[[#This Row],[Residential CLM $ Collected]]+[2]!Table3[[#This Row],[C&amp;I CLM $ Collected]]</f>
        <v>38232.019153118497</v>
      </c>
      <c r="E73" s="187">
        <f>[2]!Table3[[#This Row],[CLM $ Collected ]]/'[2]1.) CLM Reference'!$B$4</f>
        <v>1.6965524943508385E-3</v>
      </c>
      <c r="F73" s="188">
        <f>[2]!Table3[[#This Row],[Residential Incentive Disbursements]]+[2]!Table3[[#This Row],[C&amp;I Incentive Disbursements]]</f>
        <v>33423.460000000006</v>
      </c>
      <c r="G73" s="187">
        <f>[2]!Table3[[#This Row],[Incentive Disbursements]]/'[2]1.) CLM Reference'!$B$5</f>
        <v>1.0318883832833696E-3</v>
      </c>
      <c r="H73" s="43">
        <v>22256.720459487628</v>
      </c>
      <c r="I73" s="44">
        <f>[2]!Table3[[#This Row],[CLM $ Collected ]]/'[2]1.) CLM Reference'!$B$4</f>
        <v>1.6965524943508385E-3</v>
      </c>
      <c r="J73" s="45">
        <v>18418.460000000003</v>
      </c>
      <c r="K73" s="44">
        <f>[2]!Table3[[#This Row],[Incentive Disbursements]]/'[2]1.) CLM Reference'!$B$5</f>
        <v>1.0318883832833696E-3</v>
      </c>
      <c r="L73" s="43">
        <v>15975.298693630868</v>
      </c>
      <c r="M73" s="189">
        <f>[2]!Table3[[#This Row],[CLM $ Collected ]]/'[2]1.) CLM Reference'!$B$4</f>
        <v>1.6965524943508385E-3</v>
      </c>
      <c r="N73" s="45">
        <v>15005</v>
      </c>
      <c r="O73" s="190">
        <f>[2]!Table3[[#This Row],[Incentive Disbursements]]/'[2]1.) CLM Reference'!$B$5</f>
        <v>1.0318883832833696E-3</v>
      </c>
      <c r="P73" t="str">
        <f t="shared" si="1"/>
        <v>NO</v>
      </c>
      <c r="Q73" t="str">
        <f>VLOOKUP(Table8[[#This Row],[Census Tract]],'UI EnergyBurden'!$A$2:$B$184,2,FALSE)</f>
        <v>Yes</v>
      </c>
      <c r="R73">
        <f>VLOOKUP(Table8[[#This Row],[Census Tract]],'Population and Diversity Data'!$B$2:$K$823,10,FALSE)</f>
        <v>5</v>
      </c>
    </row>
    <row r="74" spans="1:18" ht="17" thickBot="1" x14ac:dyDescent="0.25">
      <c r="A74" s="144">
        <v>9001074000</v>
      </c>
      <c r="B74" s="144" t="s">
        <v>943</v>
      </c>
      <c r="C74" s="139" t="s">
        <v>3887</v>
      </c>
      <c r="D74" s="186">
        <f>[2]!Table3[[#This Row],[Residential CLM $ Collected]]+[2]!Table3[[#This Row],[C&amp;I CLM $ Collected]]</f>
        <v>14002.889924263365</v>
      </c>
      <c r="E74" s="187">
        <f>[2]!Table3[[#This Row],[CLM $ Collected ]]/'[2]1.) CLM Reference'!$B$4</f>
        <v>6.2138067398387624E-4</v>
      </c>
      <c r="F74" s="188">
        <f>[2]!Table3[[#This Row],[Residential Incentive Disbursements]]+[2]!Table3[[#This Row],[C&amp;I Incentive Disbursements]]</f>
        <v>0</v>
      </c>
      <c r="G74" s="187">
        <f>[2]!Table3[[#This Row],[Incentive Disbursements]]/'[2]1.) CLM Reference'!$B$5</f>
        <v>0</v>
      </c>
      <c r="H74" s="43">
        <v>6835.0762370773527</v>
      </c>
      <c r="I74" s="44">
        <f>[2]!Table3[[#This Row],[CLM $ Collected ]]/'[2]1.) CLM Reference'!$B$4</f>
        <v>6.2138067398387624E-4</v>
      </c>
      <c r="J74" s="45">
        <v>0</v>
      </c>
      <c r="K74" s="44">
        <f>[2]!Table3[[#This Row],[Incentive Disbursements]]/'[2]1.) CLM Reference'!$B$5</f>
        <v>0</v>
      </c>
      <c r="L74" s="43">
        <v>7167.8136871860124</v>
      </c>
      <c r="M74" s="189">
        <f>[2]!Table3[[#This Row],[CLM $ Collected ]]/'[2]1.) CLM Reference'!$B$4</f>
        <v>6.2138067398387624E-4</v>
      </c>
      <c r="N74" s="45">
        <v>0</v>
      </c>
      <c r="O74" s="190">
        <f>[2]!Table3[[#This Row],[Incentive Disbursements]]/'[2]1.) CLM Reference'!$B$5</f>
        <v>0</v>
      </c>
      <c r="P74" t="str">
        <f t="shared" si="1"/>
        <v>NO</v>
      </c>
      <c r="Q74" t="str">
        <f>VLOOKUP(Table8[[#This Row],[Census Tract]],'UI EnergyBurden'!$A$2:$B$184,2,FALSE)</f>
        <v>Yes</v>
      </c>
      <c r="R74">
        <f>VLOOKUP(Table8[[#This Row],[Census Tract]],'Population and Diversity Data'!$B$2:$K$823,10,FALSE)</f>
        <v>5</v>
      </c>
    </row>
    <row r="75" spans="1:18" ht="17" thickBot="1" x14ac:dyDescent="0.25">
      <c r="A75" s="144">
        <v>9001074300</v>
      </c>
      <c r="B75" s="144" t="s">
        <v>934</v>
      </c>
      <c r="C75" s="139" t="s">
        <v>3887</v>
      </c>
      <c r="D75" s="186">
        <f>[2]!Table3[[#This Row],[Residential CLM $ Collected]]+[2]!Table3[[#This Row],[C&amp;I CLM $ Collected]]</f>
        <v>74123.930024550704</v>
      </c>
      <c r="E75" s="187">
        <f>[2]!Table3[[#This Row],[CLM $ Collected ]]/'[2]1.) CLM Reference'!$B$4</f>
        <v>3.2892622770090067E-3</v>
      </c>
      <c r="F75" s="188">
        <f>[2]!Table3[[#This Row],[Residential Incentive Disbursements]]+[2]!Table3[[#This Row],[C&amp;I Incentive Disbursements]]</f>
        <v>47919.69</v>
      </c>
      <c r="G75" s="187">
        <f>[2]!Table3[[#This Row],[Incentive Disbursements]]/'[2]1.) CLM Reference'!$B$5</f>
        <v>1.4794330521597778E-3</v>
      </c>
      <c r="H75" s="43">
        <v>42291.067023989563</v>
      </c>
      <c r="I75" s="44">
        <f>[2]!Table3[[#This Row],[CLM $ Collected ]]/'[2]1.) CLM Reference'!$B$4</f>
        <v>3.2892622770090067E-3</v>
      </c>
      <c r="J75" s="45">
        <v>6796.3099999999995</v>
      </c>
      <c r="K75" s="44">
        <f>[2]!Table3[[#This Row],[Incentive Disbursements]]/'[2]1.) CLM Reference'!$B$5</f>
        <v>1.4794330521597778E-3</v>
      </c>
      <c r="L75" s="43">
        <v>31832.863000561149</v>
      </c>
      <c r="M75" s="189">
        <f>[2]!Table3[[#This Row],[CLM $ Collected ]]/'[2]1.) CLM Reference'!$B$4</f>
        <v>3.2892622770090067E-3</v>
      </c>
      <c r="N75" s="45">
        <v>41123.380000000005</v>
      </c>
      <c r="O75" s="190">
        <f>[2]!Table3[[#This Row],[Incentive Disbursements]]/'[2]1.) CLM Reference'!$B$5</f>
        <v>1.4794330521597778E-3</v>
      </c>
      <c r="P75" t="str">
        <f t="shared" si="1"/>
        <v>NO</v>
      </c>
      <c r="Q75" t="str">
        <f>VLOOKUP(Table8[[#This Row],[Census Tract]],'UI EnergyBurden'!$A$2:$B$184,2,FALSE)</f>
        <v>Yes</v>
      </c>
      <c r="R75">
        <f>VLOOKUP(Table8[[#This Row],[Census Tract]],'Population and Diversity Data'!$B$2:$K$823,10,FALSE)</f>
        <v>5</v>
      </c>
    </row>
    <row r="76" spans="1:18" ht="17" thickBot="1" x14ac:dyDescent="0.25">
      <c r="A76" s="144">
        <v>9001074300</v>
      </c>
      <c r="B76" s="144" t="s">
        <v>956</v>
      </c>
      <c r="C76" s="139" t="s">
        <v>3887</v>
      </c>
      <c r="D76" s="186">
        <f>[2]!Table3[[#This Row],[Residential CLM $ Collected]]+[2]!Table3[[#This Row],[C&amp;I CLM $ Collected]]</f>
        <v>61.498696778231533</v>
      </c>
      <c r="E76" s="187">
        <f>[2]!Table3[[#This Row],[CLM $ Collected ]]/'[2]1.) CLM Reference'!$B$4</f>
        <v>2.7290153575350505E-6</v>
      </c>
      <c r="F76" s="188">
        <f>[2]!Table3[[#This Row],[Residential Incentive Disbursements]]+[2]!Table3[[#This Row],[C&amp;I Incentive Disbursements]]</f>
        <v>0</v>
      </c>
      <c r="G76" s="187">
        <f>[2]!Table3[[#This Row],[Incentive Disbursements]]/'[2]1.) CLM Reference'!$B$5</f>
        <v>0</v>
      </c>
      <c r="H76" s="43">
        <v>54.116637161957058</v>
      </c>
      <c r="I76" s="44">
        <f>[2]!Table3[[#This Row],[CLM $ Collected ]]/'[2]1.) CLM Reference'!$B$4</f>
        <v>2.7290153575350505E-6</v>
      </c>
      <c r="J76" s="45">
        <v>0</v>
      </c>
      <c r="K76" s="44">
        <f>[2]!Table3[[#This Row],[Incentive Disbursements]]/'[2]1.) CLM Reference'!$B$5</f>
        <v>0</v>
      </c>
      <c r="L76" s="43">
        <v>7.3820596162744723</v>
      </c>
      <c r="M76" s="189">
        <f>[2]!Table3[[#This Row],[CLM $ Collected ]]/'[2]1.) CLM Reference'!$B$4</f>
        <v>2.7290153575350505E-6</v>
      </c>
      <c r="N76" s="45">
        <v>0</v>
      </c>
      <c r="O76" s="190">
        <f>[2]!Table3[[#This Row],[Incentive Disbursements]]/'[2]1.) CLM Reference'!$B$5</f>
        <v>0</v>
      </c>
      <c r="P76" t="str">
        <f t="shared" si="1"/>
        <v>N/A</v>
      </c>
      <c r="Q76" t="str">
        <f>VLOOKUP(Table8[[#This Row],[Census Tract]],'UI EnergyBurden'!$A$2:$B$184,2,FALSE)</f>
        <v>Yes</v>
      </c>
      <c r="R76">
        <f>VLOOKUP(Table8[[#This Row],[Census Tract]],'Population and Diversity Data'!$B$2:$K$823,10,FALSE)</f>
        <v>5</v>
      </c>
    </row>
    <row r="77" spans="1:18" ht="17" thickBot="1" x14ac:dyDescent="0.25">
      <c r="A77" s="144">
        <v>9001074400</v>
      </c>
      <c r="B77" s="144" t="s">
        <v>934</v>
      </c>
      <c r="C77" s="139" t="s">
        <v>3887</v>
      </c>
      <c r="D77" s="186">
        <f>[2]!Table3[[#This Row],[Residential CLM $ Collected]]+[2]!Table3[[#This Row],[C&amp;I CLM $ Collected]]</f>
        <v>66715.504590597353</v>
      </c>
      <c r="E77" s="187">
        <f>[2]!Table3[[#This Row],[CLM $ Collected ]]/'[2]1.) CLM Reference'!$B$4</f>
        <v>2.9605121108499028E-3</v>
      </c>
      <c r="F77" s="188">
        <f>[2]!Table3[[#This Row],[Residential Incentive Disbursements]]+[2]!Table3[[#This Row],[C&amp;I Incentive Disbursements]]</f>
        <v>74709.36</v>
      </c>
      <c r="G77" s="187">
        <f>[2]!Table3[[#This Row],[Incentive Disbursements]]/'[2]1.) CLM Reference'!$B$5</f>
        <v>2.3065152652219497E-3</v>
      </c>
      <c r="H77" s="43">
        <v>43070.028972041328</v>
      </c>
      <c r="I77" s="44">
        <f>[2]!Table3[[#This Row],[CLM $ Collected ]]/'[2]1.) CLM Reference'!$B$4</f>
        <v>2.9605121108499028E-3</v>
      </c>
      <c r="J77" s="45">
        <v>25712.059999999998</v>
      </c>
      <c r="K77" s="44">
        <f>[2]!Table3[[#This Row],[Incentive Disbursements]]/'[2]1.) CLM Reference'!$B$5</f>
        <v>2.3065152652219497E-3</v>
      </c>
      <c r="L77" s="43">
        <v>23645.475618556033</v>
      </c>
      <c r="M77" s="189">
        <f>[2]!Table3[[#This Row],[CLM $ Collected ]]/'[2]1.) CLM Reference'!$B$4</f>
        <v>2.9605121108499028E-3</v>
      </c>
      <c r="N77" s="45">
        <v>48997.3</v>
      </c>
      <c r="O77" s="190">
        <f>[2]!Table3[[#This Row],[Incentive Disbursements]]/'[2]1.) CLM Reference'!$B$5</f>
        <v>2.3065152652219497E-3</v>
      </c>
      <c r="P77" t="str">
        <f t="shared" si="1"/>
        <v>NO</v>
      </c>
      <c r="Q77" t="str">
        <f>VLOOKUP(Table8[[#This Row],[Census Tract]],'UI EnergyBurden'!$A$2:$B$184,2,FALSE)</f>
        <v>Yes</v>
      </c>
      <c r="R77">
        <f>VLOOKUP(Table8[[#This Row],[Census Tract]],'Population and Diversity Data'!$B$2:$K$823,10,FALSE)</f>
        <v>5</v>
      </c>
    </row>
    <row r="78" spans="1:18" ht="17" thickBot="1" x14ac:dyDescent="0.25">
      <c r="A78" s="144">
        <v>9001080100</v>
      </c>
      <c r="B78" s="144" t="s">
        <v>934</v>
      </c>
      <c r="C78" s="139" t="s">
        <v>3886</v>
      </c>
      <c r="D78" s="186">
        <f>[2]!Table3[[#This Row],[Residential CLM $ Collected]]+[2]!Table3[[#This Row],[C&amp;I CLM $ Collected]]</f>
        <v>212.77782717603139</v>
      </c>
      <c r="E78" s="187">
        <f>[2]!Table3[[#This Row],[CLM $ Collected ]]/'[2]1.) CLM Reference'!$B$4</f>
        <v>9.4420530600880569E-6</v>
      </c>
      <c r="F78" s="188">
        <f>[2]!Table3[[#This Row],[Residential Incentive Disbursements]]+[2]!Table3[[#This Row],[C&amp;I Incentive Disbursements]]</f>
        <v>0</v>
      </c>
      <c r="G78" s="187">
        <f>[2]!Table3[[#This Row],[Incentive Disbursements]]/'[2]1.) CLM Reference'!$B$5</f>
        <v>0</v>
      </c>
      <c r="H78" s="43">
        <v>209.7677565882822</v>
      </c>
      <c r="I78" s="44">
        <f>[2]!Table3[[#This Row],[CLM $ Collected ]]/'[2]1.) CLM Reference'!$B$4</f>
        <v>9.4420530600880569E-6</v>
      </c>
      <c r="J78" s="45">
        <v>0</v>
      </c>
      <c r="K78" s="44">
        <f>[2]!Table3[[#This Row],[Incentive Disbursements]]/'[2]1.) CLM Reference'!$B$5</f>
        <v>0</v>
      </c>
      <c r="L78" s="43">
        <v>3.0100705877491909</v>
      </c>
      <c r="M78" s="189">
        <f>[2]!Table3[[#This Row],[CLM $ Collected ]]/'[2]1.) CLM Reference'!$B$4</f>
        <v>9.4420530600880569E-6</v>
      </c>
      <c r="N78" s="45">
        <v>0</v>
      </c>
      <c r="O78" s="190">
        <f>[2]!Table3[[#This Row],[Incentive Disbursements]]/'[2]1.) CLM Reference'!$B$5</f>
        <v>0</v>
      </c>
      <c r="P78" t="str">
        <f t="shared" si="1"/>
        <v>NO</v>
      </c>
      <c r="Q78" t="str">
        <f>VLOOKUP(Table8[[#This Row],[Census Tract]],'UI EnergyBurden'!$A$2:$B$184,2,FALSE)</f>
        <v>No</v>
      </c>
      <c r="R78">
        <f>VLOOKUP(Table8[[#This Row],[Census Tract]],'Population and Diversity Data'!$B$2:$K$823,10,FALSE)</f>
        <v>5</v>
      </c>
    </row>
    <row r="79" spans="1:18" ht="17" thickBot="1" x14ac:dyDescent="0.25">
      <c r="A79" s="144">
        <v>9001080100</v>
      </c>
      <c r="B79" s="144" t="s">
        <v>956</v>
      </c>
      <c r="C79" s="139" t="s">
        <v>3886</v>
      </c>
      <c r="D79" s="186">
        <f>[2]!Table3[[#This Row],[Residential CLM $ Collected]]+[2]!Table3[[#This Row],[C&amp;I CLM $ Collected]]</f>
        <v>63177.342048259954</v>
      </c>
      <c r="E79" s="187">
        <f>[2]!Table3[[#This Row],[CLM $ Collected ]]/'[2]1.) CLM Reference'!$B$4</f>
        <v>2.8035055331282134E-3</v>
      </c>
      <c r="F79" s="188">
        <f>[2]!Table3[[#This Row],[Residential Incentive Disbursements]]+[2]!Table3[[#This Row],[C&amp;I Incentive Disbursements]]</f>
        <v>46078.02</v>
      </c>
      <c r="G79" s="187">
        <f>[2]!Table3[[#This Row],[Incentive Disbursements]]/'[2]1.) CLM Reference'!$B$5</f>
        <v>1.422574849004225E-3</v>
      </c>
      <c r="H79" s="43">
        <v>46002.622558864648</v>
      </c>
      <c r="I79" s="44">
        <f>[2]!Table3[[#This Row],[CLM $ Collected ]]/'[2]1.) CLM Reference'!$B$4</f>
        <v>2.8035055331282134E-3</v>
      </c>
      <c r="J79" s="45">
        <v>30868.019999999997</v>
      </c>
      <c r="K79" s="44">
        <f>[2]!Table3[[#This Row],[Incentive Disbursements]]/'[2]1.) CLM Reference'!$B$5</f>
        <v>1.422574849004225E-3</v>
      </c>
      <c r="L79" s="43">
        <v>17174.719489395306</v>
      </c>
      <c r="M79" s="189">
        <f>[2]!Table3[[#This Row],[CLM $ Collected ]]/'[2]1.) CLM Reference'!$B$4</f>
        <v>2.8035055331282134E-3</v>
      </c>
      <c r="N79" s="45">
        <v>15210</v>
      </c>
      <c r="O79" s="190">
        <f>[2]!Table3[[#This Row],[Incentive Disbursements]]/'[2]1.) CLM Reference'!$B$5</f>
        <v>1.422574849004225E-3</v>
      </c>
      <c r="P79" t="str">
        <f t="shared" si="1"/>
        <v>NO</v>
      </c>
      <c r="Q79" t="str">
        <f>VLOOKUP(Table8[[#This Row],[Census Tract]],'UI EnergyBurden'!$A$2:$B$184,2,FALSE)</f>
        <v>No</v>
      </c>
      <c r="R79">
        <f>VLOOKUP(Table8[[#This Row],[Census Tract]],'Population and Diversity Data'!$B$2:$K$823,10,FALSE)</f>
        <v>5</v>
      </c>
    </row>
    <row r="80" spans="1:18" ht="17" thickBot="1" x14ac:dyDescent="0.25">
      <c r="A80" s="144">
        <v>9001080200</v>
      </c>
      <c r="B80" s="144" t="s">
        <v>956</v>
      </c>
      <c r="C80" s="139" t="s">
        <v>3886</v>
      </c>
      <c r="D80" s="186">
        <f>[2]!Table3[[#This Row],[Residential CLM $ Collected]]+[2]!Table3[[#This Row],[C&amp;I CLM $ Collected]]</f>
        <v>62338.261788561533</v>
      </c>
      <c r="E80" s="187">
        <f>[2]!Table3[[#This Row],[CLM $ Collected ]]/'[2]1.) CLM Reference'!$B$4</f>
        <v>2.7662712007783933E-3</v>
      </c>
      <c r="F80" s="188">
        <f>[2]!Table3[[#This Row],[Residential Incentive Disbursements]]+[2]!Table3[[#This Row],[C&amp;I Incentive Disbursements]]</f>
        <v>321366.90000000008</v>
      </c>
      <c r="G80" s="187">
        <f>[2]!Table3[[#This Row],[Incentive Disbursements]]/'[2]1.) CLM Reference'!$B$5</f>
        <v>9.9216170582515483E-3</v>
      </c>
      <c r="H80" s="43">
        <v>43719.913368616253</v>
      </c>
      <c r="I80" s="44">
        <f>[2]!Table3[[#This Row],[CLM $ Collected ]]/'[2]1.) CLM Reference'!$B$4</f>
        <v>2.7662712007783933E-3</v>
      </c>
      <c r="J80" s="45">
        <v>289728.50000000006</v>
      </c>
      <c r="K80" s="44">
        <f>[2]!Table3[[#This Row],[Incentive Disbursements]]/'[2]1.) CLM Reference'!$B$5</f>
        <v>9.9216170582515483E-3</v>
      </c>
      <c r="L80" s="43">
        <v>18618.348419945283</v>
      </c>
      <c r="M80" s="189">
        <f>[2]!Table3[[#This Row],[CLM $ Collected ]]/'[2]1.) CLM Reference'!$B$4</f>
        <v>2.7662712007783933E-3</v>
      </c>
      <c r="N80" s="45">
        <v>31638.400000000001</v>
      </c>
      <c r="O80" s="190">
        <f>[2]!Table3[[#This Row],[Incentive Disbursements]]/'[2]1.) CLM Reference'!$B$5</f>
        <v>9.9216170582515483E-3</v>
      </c>
      <c r="P80" t="str">
        <f t="shared" si="1"/>
        <v>YES</v>
      </c>
      <c r="Q80" t="str">
        <f>VLOOKUP(Table8[[#This Row],[Census Tract]],'UI EnergyBurden'!$A$2:$B$184,2,FALSE)</f>
        <v>No</v>
      </c>
      <c r="R80">
        <f>VLOOKUP(Table8[[#This Row],[Census Tract]],'Population and Diversity Data'!$B$2:$K$823,10,FALSE)</f>
        <v>4</v>
      </c>
    </row>
    <row r="81" spans="1:18" ht="17" thickBot="1" x14ac:dyDescent="0.25">
      <c r="A81" s="144">
        <v>9001080400</v>
      </c>
      <c r="B81" s="144" t="s">
        <v>934</v>
      </c>
      <c r="C81" s="139" t="s">
        <v>3886</v>
      </c>
      <c r="D81" s="186">
        <f>[2]!Table3[[#This Row],[Residential CLM $ Collected]]+[2]!Table3[[#This Row],[C&amp;I CLM $ Collected]]</f>
        <v>23.877431104047261</v>
      </c>
      <c r="E81" s="187">
        <f>[2]!Table3[[#This Row],[CLM $ Collected ]]/'[2]1.) CLM Reference'!$B$4</f>
        <v>1.059565154956181E-6</v>
      </c>
      <c r="F81" s="188">
        <f>[2]!Table3[[#This Row],[Residential Incentive Disbursements]]+[2]!Table3[[#This Row],[C&amp;I Incentive Disbursements]]</f>
        <v>0</v>
      </c>
      <c r="G81" s="187">
        <f>[2]!Table3[[#This Row],[Incentive Disbursements]]/'[2]1.) CLM Reference'!$B$5</f>
        <v>0</v>
      </c>
      <c r="H81" s="43">
        <v>0</v>
      </c>
      <c r="I81" s="44">
        <f>[2]!Table3[[#This Row],[CLM $ Collected ]]/'[2]1.) CLM Reference'!$B$4</f>
        <v>1.059565154956181E-6</v>
      </c>
      <c r="J81" s="45">
        <v>0</v>
      </c>
      <c r="K81" s="44">
        <f>[2]!Table3[[#This Row],[Incentive Disbursements]]/'[2]1.) CLM Reference'!$B$5</f>
        <v>0</v>
      </c>
      <c r="L81" s="43">
        <v>23.877431104047261</v>
      </c>
      <c r="M81" s="189">
        <f>[2]!Table3[[#This Row],[CLM $ Collected ]]/'[2]1.) CLM Reference'!$B$4</f>
        <v>1.059565154956181E-6</v>
      </c>
      <c r="N81" s="45">
        <v>0</v>
      </c>
      <c r="O81" s="190">
        <f>[2]!Table3[[#This Row],[Incentive Disbursements]]/'[2]1.) CLM Reference'!$B$5</f>
        <v>0</v>
      </c>
      <c r="P81" t="str">
        <f t="shared" si="1"/>
        <v>N/A</v>
      </c>
      <c r="Q81" t="str">
        <f>VLOOKUP(Table8[[#This Row],[Census Tract]],'UI EnergyBurden'!$A$2:$B$184,2,FALSE)</f>
        <v>No</v>
      </c>
      <c r="R81">
        <f>VLOOKUP(Table8[[#This Row],[Census Tract]],'Population and Diversity Data'!$B$2:$K$823,10,FALSE)</f>
        <v>3</v>
      </c>
    </row>
    <row r="82" spans="1:18" ht="17" thickBot="1" x14ac:dyDescent="0.25">
      <c r="A82" s="144">
        <v>9001080400</v>
      </c>
      <c r="B82" s="144" t="s">
        <v>956</v>
      </c>
      <c r="C82" s="139" t="s">
        <v>3886</v>
      </c>
      <c r="D82" s="186">
        <f>[2]!Table3[[#This Row],[Residential CLM $ Collected]]+[2]!Table3[[#This Row],[C&amp;I CLM $ Collected]]</f>
        <v>121419.64105119627</v>
      </c>
      <c r="E82" s="187">
        <f>[2]!Table3[[#This Row],[CLM $ Collected ]]/'[2]1.) CLM Reference'!$B$4</f>
        <v>5.3880176734476233E-3</v>
      </c>
      <c r="F82" s="188">
        <f>[2]!Table3[[#This Row],[Residential Incentive Disbursements]]+[2]!Table3[[#This Row],[C&amp;I Incentive Disbursements]]</f>
        <v>380562.15000000008</v>
      </c>
      <c r="G82" s="187">
        <f>[2]!Table3[[#This Row],[Incentive Disbursements]]/'[2]1.) CLM Reference'!$B$5</f>
        <v>1.1749162465595818E-2</v>
      </c>
      <c r="H82" s="43">
        <v>60043.244548946415</v>
      </c>
      <c r="I82" s="44">
        <f>[2]!Table3[[#This Row],[CLM $ Collected ]]/'[2]1.) CLM Reference'!$B$4</f>
        <v>5.3880176734476233E-3</v>
      </c>
      <c r="J82" s="45">
        <v>56480.920000000027</v>
      </c>
      <c r="K82" s="44">
        <f>[2]!Table3[[#This Row],[Incentive Disbursements]]/'[2]1.) CLM Reference'!$B$5</f>
        <v>1.1749162465595818E-2</v>
      </c>
      <c r="L82" s="43">
        <v>61376.39650224986</v>
      </c>
      <c r="M82" s="189">
        <f>[2]!Table3[[#This Row],[CLM $ Collected ]]/'[2]1.) CLM Reference'!$B$4</f>
        <v>5.3880176734476233E-3</v>
      </c>
      <c r="N82" s="45">
        <v>324081.23000000004</v>
      </c>
      <c r="O82" s="190">
        <f>[2]!Table3[[#This Row],[Incentive Disbursements]]/'[2]1.) CLM Reference'!$B$5</f>
        <v>1.1749162465595818E-2</v>
      </c>
      <c r="P82" t="str">
        <f t="shared" si="1"/>
        <v>YES</v>
      </c>
      <c r="Q82" t="str">
        <f>VLOOKUP(Table8[[#This Row],[Census Tract]],'UI EnergyBurden'!$A$2:$B$184,2,FALSE)</f>
        <v>No</v>
      </c>
      <c r="R82">
        <f>VLOOKUP(Table8[[#This Row],[Census Tract]],'Population and Diversity Data'!$B$2:$K$823,10,FALSE)</f>
        <v>3</v>
      </c>
    </row>
    <row r="83" spans="1:18" ht="17" thickBot="1" x14ac:dyDescent="0.25">
      <c r="A83" s="144">
        <v>9001080500</v>
      </c>
      <c r="B83" s="144" t="s">
        <v>934</v>
      </c>
      <c r="C83" s="139" t="s">
        <v>3886</v>
      </c>
      <c r="D83" s="186">
        <f>[2]!Table3[[#This Row],[Residential CLM $ Collected]]+[2]!Table3[[#This Row],[C&amp;I CLM $ Collected]]</f>
        <v>0.75713431961789457</v>
      </c>
      <c r="E83" s="187">
        <f>[2]!Table3[[#This Row],[CLM $ Collected ]]/'[2]1.) CLM Reference'!$B$4</f>
        <v>3.3597967017172012E-8</v>
      </c>
      <c r="F83" s="188">
        <f>[2]!Table3[[#This Row],[Residential Incentive Disbursements]]+[2]!Table3[[#This Row],[C&amp;I Incentive Disbursements]]</f>
        <v>0</v>
      </c>
      <c r="G83" s="187">
        <f>[2]!Table3[[#This Row],[Incentive Disbursements]]/'[2]1.) CLM Reference'!$B$5</f>
        <v>0</v>
      </c>
      <c r="H83" s="43">
        <v>0</v>
      </c>
      <c r="I83" s="44">
        <f>[2]!Table3[[#This Row],[CLM $ Collected ]]/'[2]1.) CLM Reference'!$B$4</f>
        <v>3.3597967017172012E-8</v>
      </c>
      <c r="J83" s="45">
        <v>0</v>
      </c>
      <c r="K83" s="44">
        <f>[2]!Table3[[#This Row],[Incentive Disbursements]]/'[2]1.) CLM Reference'!$B$5</f>
        <v>0</v>
      </c>
      <c r="L83" s="43">
        <v>0.75713431961789457</v>
      </c>
      <c r="M83" s="189">
        <f>[2]!Table3[[#This Row],[CLM $ Collected ]]/'[2]1.) CLM Reference'!$B$4</f>
        <v>3.3597967017172012E-8</v>
      </c>
      <c r="N83" s="45">
        <v>0</v>
      </c>
      <c r="O83" s="190">
        <f>[2]!Table3[[#This Row],[Incentive Disbursements]]/'[2]1.) CLM Reference'!$B$5</f>
        <v>0</v>
      </c>
      <c r="P83" t="str">
        <f t="shared" si="1"/>
        <v>N/A</v>
      </c>
      <c r="Q83" t="str">
        <f>VLOOKUP(Table8[[#This Row],[Census Tract]],'UI EnergyBurden'!$A$2:$B$184,2,FALSE)</f>
        <v>No</v>
      </c>
      <c r="R83">
        <f>VLOOKUP(Table8[[#This Row],[Census Tract]],'Population and Diversity Data'!$B$2:$K$823,10,FALSE)</f>
        <v>1</v>
      </c>
    </row>
    <row r="84" spans="1:18" ht="17" thickBot="1" x14ac:dyDescent="0.25">
      <c r="A84" s="144">
        <v>9001080500</v>
      </c>
      <c r="B84" s="144" t="s">
        <v>956</v>
      </c>
      <c r="C84" s="139" t="s">
        <v>3886</v>
      </c>
      <c r="D84" s="186">
        <f>[2]!Table3[[#This Row],[Residential CLM $ Collected]]+[2]!Table3[[#This Row],[C&amp;I CLM $ Collected]]</f>
        <v>91566.171845768637</v>
      </c>
      <c r="E84" s="187">
        <f>[2]!Table3[[#This Row],[CLM $ Collected ]]/'[2]1.) CLM Reference'!$B$4</f>
        <v>4.0632647891531782E-3</v>
      </c>
      <c r="F84" s="188">
        <f>[2]!Table3[[#This Row],[Residential Incentive Disbursements]]+[2]!Table3[[#This Row],[C&amp;I Incentive Disbursements]]</f>
        <v>333412.66000000003</v>
      </c>
      <c r="G84" s="187">
        <f>[2]!Table3[[#This Row],[Incentive Disbursements]]/'[2]1.) CLM Reference'!$B$5</f>
        <v>1.0293507934056131E-2</v>
      </c>
      <c r="H84" s="43">
        <v>53757.15994368252</v>
      </c>
      <c r="I84" s="44">
        <f>[2]!Table3[[#This Row],[CLM $ Collected ]]/'[2]1.) CLM Reference'!$B$4</f>
        <v>4.0632647891531782E-3</v>
      </c>
      <c r="J84" s="45">
        <v>83835.760000000009</v>
      </c>
      <c r="K84" s="44">
        <f>[2]!Table3[[#This Row],[Incentive Disbursements]]/'[2]1.) CLM Reference'!$B$5</f>
        <v>1.0293507934056131E-2</v>
      </c>
      <c r="L84" s="43">
        <v>37809.011902086124</v>
      </c>
      <c r="M84" s="189">
        <f>[2]!Table3[[#This Row],[CLM $ Collected ]]/'[2]1.) CLM Reference'!$B$4</f>
        <v>4.0632647891531782E-3</v>
      </c>
      <c r="N84" s="45">
        <v>249576.9</v>
      </c>
      <c r="O84" s="190">
        <f>[2]!Table3[[#This Row],[Incentive Disbursements]]/'[2]1.) CLM Reference'!$B$5</f>
        <v>1.0293507934056131E-2</v>
      </c>
      <c r="P84" t="str">
        <f t="shared" si="1"/>
        <v>YES</v>
      </c>
      <c r="Q84" t="str">
        <f>VLOOKUP(Table8[[#This Row],[Census Tract]],'UI EnergyBurden'!$A$2:$B$184,2,FALSE)</f>
        <v>No</v>
      </c>
      <c r="R84">
        <f>VLOOKUP(Table8[[#This Row],[Census Tract]],'Population and Diversity Data'!$B$2:$K$823,10,FALSE)</f>
        <v>1</v>
      </c>
    </row>
    <row r="85" spans="1:18" ht="17" thickBot="1" x14ac:dyDescent="0.25">
      <c r="A85" s="144">
        <v>9001080600</v>
      </c>
      <c r="B85" s="144" t="s">
        <v>956</v>
      </c>
      <c r="C85" s="139" t="s">
        <v>3886</v>
      </c>
      <c r="D85" s="186">
        <f>[2]!Table3[[#This Row],[Residential CLM $ Collected]]+[2]!Table3[[#This Row],[C&amp;I CLM $ Collected]]</f>
        <v>46719.661076251585</v>
      </c>
      <c r="E85" s="187">
        <f>[2]!Table3[[#This Row],[CLM $ Collected ]]/'[2]1.) CLM Reference'!$B$4</f>
        <v>2.073193079776828E-3</v>
      </c>
      <c r="F85" s="188">
        <f>[2]!Table3[[#This Row],[Residential Incentive Disbursements]]+[2]!Table3[[#This Row],[C&amp;I Incentive Disbursements]]</f>
        <v>23276.65</v>
      </c>
      <c r="G85" s="187">
        <f>[2]!Table3[[#This Row],[Incentive Disbursements]]/'[2]1.) CLM Reference'!$B$5</f>
        <v>7.1862412619019215E-4</v>
      </c>
      <c r="H85" s="43">
        <v>33330.248467803984</v>
      </c>
      <c r="I85" s="44">
        <f>[2]!Table3[[#This Row],[CLM $ Collected ]]/'[2]1.) CLM Reference'!$B$4</f>
        <v>2.073193079776828E-3</v>
      </c>
      <c r="J85" s="45">
        <v>9345.65</v>
      </c>
      <c r="K85" s="44">
        <f>[2]!Table3[[#This Row],[Incentive Disbursements]]/'[2]1.) CLM Reference'!$B$5</f>
        <v>7.1862412619019215E-4</v>
      </c>
      <c r="L85" s="43">
        <v>13389.412608447601</v>
      </c>
      <c r="M85" s="189">
        <f>[2]!Table3[[#This Row],[CLM $ Collected ]]/'[2]1.) CLM Reference'!$B$4</f>
        <v>2.073193079776828E-3</v>
      </c>
      <c r="N85" s="45">
        <v>13931</v>
      </c>
      <c r="O85" s="190">
        <f>[2]!Table3[[#This Row],[Incentive Disbursements]]/'[2]1.) CLM Reference'!$B$5</f>
        <v>7.1862412619019215E-4</v>
      </c>
      <c r="P85" t="str">
        <f t="shared" si="1"/>
        <v>NO</v>
      </c>
      <c r="Q85" t="str">
        <f>VLOOKUP(Table8[[#This Row],[Census Tract]],'UI EnergyBurden'!$A$2:$B$184,2,FALSE)</f>
        <v>No</v>
      </c>
      <c r="R85">
        <f>VLOOKUP(Table8[[#This Row],[Census Tract]],'Population and Diversity Data'!$B$2:$K$823,10,FALSE)</f>
        <v>2</v>
      </c>
    </row>
    <row r="86" spans="1:18" ht="17" thickBot="1" x14ac:dyDescent="0.25">
      <c r="A86" s="144">
        <v>9001080700</v>
      </c>
      <c r="B86" s="144" t="s">
        <v>956</v>
      </c>
      <c r="C86" s="139" t="s">
        <v>3886</v>
      </c>
      <c r="D86" s="186">
        <f>[2]!Table3[[#This Row],[Residential CLM $ Collected]]+[2]!Table3[[#This Row],[C&amp;I CLM $ Collected]]</f>
        <v>62914.593355989186</v>
      </c>
      <c r="E86" s="187">
        <f>[2]!Table3[[#This Row],[CLM $ Collected ]]/'[2]1.) CLM Reference'!$B$4</f>
        <v>2.7918460142449938E-3</v>
      </c>
      <c r="F86" s="188">
        <f>[2]!Table3[[#This Row],[Residential Incentive Disbursements]]+[2]!Table3[[#This Row],[C&amp;I Incentive Disbursements]]</f>
        <v>29771.58</v>
      </c>
      <c r="G86" s="187">
        <f>[2]!Table3[[#This Row],[Incentive Disbursements]]/'[2]1.) CLM Reference'!$B$5</f>
        <v>9.1914324710821364E-4</v>
      </c>
      <c r="H86" s="43">
        <v>28592.268095851716</v>
      </c>
      <c r="I86" s="44">
        <f>[2]!Table3[[#This Row],[CLM $ Collected ]]/'[2]1.) CLM Reference'!$B$4</f>
        <v>2.7918460142449938E-3</v>
      </c>
      <c r="J86" s="45">
        <v>20349.580000000002</v>
      </c>
      <c r="K86" s="44">
        <f>[2]!Table3[[#This Row],[Incentive Disbursements]]/'[2]1.) CLM Reference'!$B$5</f>
        <v>9.1914324710821364E-4</v>
      </c>
      <c r="L86" s="43">
        <v>34322.32526013747</v>
      </c>
      <c r="M86" s="189">
        <f>[2]!Table3[[#This Row],[CLM $ Collected ]]/'[2]1.) CLM Reference'!$B$4</f>
        <v>2.7918460142449938E-3</v>
      </c>
      <c r="N86" s="45">
        <v>9422</v>
      </c>
      <c r="O86" s="190">
        <f>[2]!Table3[[#This Row],[Incentive Disbursements]]/'[2]1.) CLM Reference'!$B$5</f>
        <v>9.1914324710821364E-4</v>
      </c>
      <c r="P86" t="str">
        <f t="shared" si="1"/>
        <v>NO</v>
      </c>
      <c r="Q86" t="str">
        <f>VLOOKUP(Table8[[#This Row],[Census Tract]],'UI EnergyBurden'!$A$2:$B$184,2,FALSE)</f>
        <v>No</v>
      </c>
      <c r="R86">
        <f>VLOOKUP(Table8[[#This Row],[Census Tract]],'Population and Diversity Data'!$B$2:$K$823,10,FALSE)</f>
        <v>1</v>
      </c>
    </row>
    <row r="87" spans="1:18" ht="17" thickBot="1" x14ac:dyDescent="0.25">
      <c r="A87" s="144">
        <v>9001080800</v>
      </c>
      <c r="B87" s="144" t="s">
        <v>2988</v>
      </c>
      <c r="C87" s="139" t="s">
        <v>3886</v>
      </c>
      <c r="D87" s="186">
        <f>[2]!Table3[[#This Row],[Residential CLM $ Collected]]+[2]!Table3[[#This Row],[C&amp;I CLM $ Collected]]</f>
        <v>0.11080014433432604</v>
      </c>
      <c r="E87" s="187">
        <f>[2]!Table3[[#This Row],[CLM $ Collected ]]/'[2]1.) CLM Reference'!$B$4</f>
        <v>4.9167756610495637E-9</v>
      </c>
      <c r="F87" s="188">
        <f>[2]!Table3[[#This Row],[Residential Incentive Disbursements]]+[2]!Table3[[#This Row],[C&amp;I Incentive Disbursements]]</f>
        <v>0</v>
      </c>
      <c r="G87" s="187">
        <f>[2]!Table3[[#This Row],[Incentive Disbursements]]/'[2]1.) CLM Reference'!$B$5</f>
        <v>0</v>
      </c>
      <c r="H87" s="43">
        <v>0</v>
      </c>
      <c r="I87" s="44">
        <f>[2]!Table3[[#This Row],[CLM $ Collected ]]/'[2]1.) CLM Reference'!$B$4</f>
        <v>4.9167756610495637E-9</v>
      </c>
      <c r="J87" s="45">
        <v>0</v>
      </c>
      <c r="K87" s="44">
        <f>[2]!Table3[[#This Row],[Incentive Disbursements]]/'[2]1.) CLM Reference'!$B$5</f>
        <v>0</v>
      </c>
      <c r="L87" s="43">
        <v>0.11080014433432604</v>
      </c>
      <c r="M87" s="189">
        <f>[2]!Table3[[#This Row],[CLM $ Collected ]]/'[2]1.) CLM Reference'!$B$4</f>
        <v>4.9167756610495637E-9</v>
      </c>
      <c r="N87" s="45">
        <v>0</v>
      </c>
      <c r="O87" s="190">
        <f>[2]!Table3[[#This Row],[Incentive Disbursements]]/'[2]1.) CLM Reference'!$B$5</f>
        <v>0</v>
      </c>
      <c r="P87" t="str">
        <f t="shared" si="1"/>
        <v>N/A</v>
      </c>
      <c r="Q87" t="str">
        <f>VLOOKUP(Table8[[#This Row],[Census Tract]],'UI EnergyBurden'!$A$2:$B$184,2,FALSE)</f>
        <v>No</v>
      </c>
      <c r="R87">
        <f>VLOOKUP(Table8[[#This Row],[Census Tract]],'Population and Diversity Data'!$B$2:$K$823,10,FALSE)</f>
        <v>2</v>
      </c>
    </row>
    <row r="88" spans="1:18" ht="17" thickBot="1" x14ac:dyDescent="0.25">
      <c r="A88" s="144">
        <v>9001080800</v>
      </c>
      <c r="B88" s="144" t="s">
        <v>956</v>
      </c>
      <c r="C88" s="139" t="s">
        <v>3886</v>
      </c>
      <c r="D88" s="186">
        <f>[2]!Table3[[#This Row],[Residential CLM $ Collected]]+[2]!Table3[[#This Row],[C&amp;I CLM $ Collected]]</f>
        <v>89461.28765383127</v>
      </c>
      <c r="E88" s="187">
        <f>[2]!Table3[[#This Row],[CLM $ Collected ]]/'[2]1.) CLM Reference'!$B$4</f>
        <v>3.9698601873232563E-3</v>
      </c>
      <c r="F88" s="188">
        <f>[2]!Table3[[#This Row],[Residential Incentive Disbursements]]+[2]!Table3[[#This Row],[C&amp;I Incentive Disbursements]]</f>
        <v>457474.7</v>
      </c>
      <c r="G88" s="187">
        <f>[2]!Table3[[#This Row],[Incentive Disbursements]]/'[2]1.) CLM Reference'!$B$5</f>
        <v>1.4123697204779051E-2</v>
      </c>
      <c r="H88" s="43">
        <v>62015.020834156807</v>
      </c>
      <c r="I88" s="44">
        <f>[2]!Table3[[#This Row],[CLM $ Collected ]]/'[2]1.) CLM Reference'!$B$4</f>
        <v>3.9698601873232563E-3</v>
      </c>
      <c r="J88" s="45">
        <v>53878.7</v>
      </c>
      <c r="K88" s="44">
        <f>[2]!Table3[[#This Row],[Incentive Disbursements]]/'[2]1.) CLM Reference'!$B$5</f>
        <v>1.4123697204779051E-2</v>
      </c>
      <c r="L88" s="43">
        <v>27446.26681967446</v>
      </c>
      <c r="M88" s="189">
        <f>[2]!Table3[[#This Row],[CLM $ Collected ]]/'[2]1.) CLM Reference'!$B$4</f>
        <v>3.9698601873232563E-3</v>
      </c>
      <c r="N88" s="45">
        <v>403596</v>
      </c>
      <c r="O88" s="190">
        <f>[2]!Table3[[#This Row],[Incentive Disbursements]]/'[2]1.) CLM Reference'!$B$5</f>
        <v>1.4123697204779051E-2</v>
      </c>
      <c r="P88" t="str">
        <f t="shared" si="1"/>
        <v>YES</v>
      </c>
      <c r="Q88" t="str">
        <f>VLOOKUP(Table8[[#This Row],[Census Tract]],'UI EnergyBurden'!$A$2:$B$184,2,FALSE)</f>
        <v>No</v>
      </c>
      <c r="R88">
        <f>VLOOKUP(Table8[[#This Row],[Census Tract]],'Population and Diversity Data'!$B$2:$K$823,10,FALSE)</f>
        <v>2</v>
      </c>
    </row>
    <row r="89" spans="1:18" ht="17" thickBot="1" x14ac:dyDescent="0.25">
      <c r="A89" s="144">
        <v>9001080900</v>
      </c>
      <c r="B89" s="144" t="s">
        <v>934</v>
      </c>
      <c r="C89" s="139" t="s">
        <v>3886</v>
      </c>
      <c r="D89" s="186">
        <f>[2]!Table3[[#This Row],[Residential CLM $ Collected]]+[2]!Table3[[#This Row],[C&amp;I CLM $ Collected]]</f>
        <v>8.0884105364058012</v>
      </c>
      <c r="E89" s="187">
        <f>[2]!Table3[[#This Row],[CLM $ Collected ]]/'[2]1.) CLM Reference'!$B$4</f>
        <v>3.5892462325661814E-7</v>
      </c>
      <c r="F89" s="188">
        <f>[2]!Table3[[#This Row],[Residential Incentive Disbursements]]+[2]!Table3[[#This Row],[C&amp;I Incentive Disbursements]]</f>
        <v>0</v>
      </c>
      <c r="G89" s="187">
        <f>[2]!Table3[[#This Row],[Incentive Disbursements]]/'[2]1.) CLM Reference'!$B$5</f>
        <v>0</v>
      </c>
      <c r="H89" s="43">
        <v>0</v>
      </c>
      <c r="I89" s="44">
        <f>[2]!Table3[[#This Row],[CLM $ Collected ]]/'[2]1.) CLM Reference'!$B$4</f>
        <v>3.5892462325661814E-7</v>
      </c>
      <c r="J89" s="45">
        <v>0</v>
      </c>
      <c r="K89" s="44">
        <f>[2]!Table3[[#This Row],[Incentive Disbursements]]/'[2]1.) CLM Reference'!$B$5</f>
        <v>0</v>
      </c>
      <c r="L89" s="43">
        <v>8.0884105364058012</v>
      </c>
      <c r="M89" s="189">
        <f>[2]!Table3[[#This Row],[CLM $ Collected ]]/'[2]1.) CLM Reference'!$B$4</f>
        <v>3.5892462325661814E-7</v>
      </c>
      <c r="N89" s="45">
        <v>0</v>
      </c>
      <c r="O89" s="190">
        <f>[2]!Table3[[#This Row],[Incentive Disbursements]]/'[2]1.) CLM Reference'!$B$5</f>
        <v>0</v>
      </c>
      <c r="P89" t="str">
        <f t="shared" si="1"/>
        <v>N/A</v>
      </c>
      <c r="Q89" t="str">
        <f>VLOOKUP(Table8[[#This Row],[Census Tract]],'UI EnergyBurden'!$A$2:$B$184,2,FALSE)</f>
        <v>No</v>
      </c>
      <c r="R89">
        <f>VLOOKUP(Table8[[#This Row],[Census Tract]],'Population and Diversity Data'!$B$2:$K$823,10,FALSE)</f>
        <v>4</v>
      </c>
    </row>
    <row r="90" spans="1:18" ht="17" thickBot="1" x14ac:dyDescent="0.25">
      <c r="A90" s="144">
        <v>9001080900</v>
      </c>
      <c r="B90" s="144" t="s">
        <v>956</v>
      </c>
      <c r="C90" s="139" t="s">
        <v>3886</v>
      </c>
      <c r="D90" s="186">
        <f>[2]!Table3[[#This Row],[Residential CLM $ Collected]]+[2]!Table3[[#This Row],[C&amp;I CLM $ Collected]]</f>
        <v>76125.807015638347</v>
      </c>
      <c r="E90" s="187">
        <f>[2]!Table3[[#This Row],[CLM $ Collected ]]/'[2]1.) CLM Reference'!$B$4</f>
        <v>3.3780959163993624E-3</v>
      </c>
      <c r="F90" s="188">
        <f>[2]!Table3[[#This Row],[Residential Incentive Disbursements]]+[2]!Table3[[#This Row],[C&amp;I Incentive Disbursements]]</f>
        <v>75706.22</v>
      </c>
      <c r="G90" s="187">
        <f>[2]!Table3[[#This Row],[Incentive Disbursements]]/'[2]1.) CLM Reference'!$B$5</f>
        <v>2.3372915000510145E-3</v>
      </c>
      <c r="H90" s="43">
        <v>61031.180185885467</v>
      </c>
      <c r="I90" s="44">
        <f>[2]!Table3[[#This Row],[CLM $ Collected ]]/'[2]1.) CLM Reference'!$B$4</f>
        <v>3.3780959163993624E-3</v>
      </c>
      <c r="J90" s="45">
        <v>58052.97</v>
      </c>
      <c r="K90" s="44">
        <f>[2]!Table3[[#This Row],[Incentive Disbursements]]/'[2]1.) CLM Reference'!$B$5</f>
        <v>2.3372915000510145E-3</v>
      </c>
      <c r="L90" s="43">
        <v>15094.626829752879</v>
      </c>
      <c r="M90" s="189">
        <f>[2]!Table3[[#This Row],[CLM $ Collected ]]/'[2]1.) CLM Reference'!$B$4</f>
        <v>3.3780959163993624E-3</v>
      </c>
      <c r="N90" s="45">
        <v>17653.25</v>
      </c>
      <c r="O90" s="190">
        <f>[2]!Table3[[#This Row],[Incentive Disbursements]]/'[2]1.) CLM Reference'!$B$5</f>
        <v>2.3372915000510145E-3</v>
      </c>
      <c r="P90" t="str">
        <f t="shared" si="1"/>
        <v>NO</v>
      </c>
      <c r="Q90" t="str">
        <f>VLOOKUP(Table8[[#This Row],[Census Tract]],'UI EnergyBurden'!$A$2:$B$184,2,FALSE)</f>
        <v>No</v>
      </c>
      <c r="R90">
        <f>VLOOKUP(Table8[[#This Row],[Census Tract]],'Population and Diversity Data'!$B$2:$K$823,10,FALSE)</f>
        <v>4</v>
      </c>
    </row>
    <row r="91" spans="1:18" ht="17" thickBot="1" x14ac:dyDescent="0.25">
      <c r="A91" s="144">
        <v>9001081000</v>
      </c>
      <c r="B91" s="144" t="s">
        <v>934</v>
      </c>
      <c r="C91" s="139" t="s">
        <v>3886</v>
      </c>
      <c r="D91" s="186">
        <f>[2]!Table3[[#This Row],[Residential CLM $ Collected]]+[2]!Table3[[#This Row],[C&amp;I CLM $ Collected]]</f>
        <v>51.619017241754136</v>
      </c>
      <c r="E91" s="187">
        <f>[2]!Table3[[#This Row],[CLM $ Collected ]]/'[2]1.) CLM Reference'!$B$4</f>
        <v>2.290602861091465E-6</v>
      </c>
      <c r="F91" s="188">
        <f>[2]!Table3[[#This Row],[Residential Incentive Disbursements]]+[2]!Table3[[#This Row],[C&amp;I Incentive Disbursements]]</f>
        <v>0</v>
      </c>
      <c r="G91" s="187">
        <f>[2]!Table3[[#This Row],[Incentive Disbursements]]/'[2]1.) CLM Reference'!$B$5</f>
        <v>0</v>
      </c>
      <c r="H91" s="43">
        <v>46.942327816309458</v>
      </c>
      <c r="I91" s="44">
        <f>[2]!Table3[[#This Row],[CLM $ Collected ]]/'[2]1.) CLM Reference'!$B$4</f>
        <v>2.290602861091465E-6</v>
      </c>
      <c r="J91" s="45">
        <v>0</v>
      </c>
      <c r="K91" s="44">
        <f>[2]!Table3[[#This Row],[Incentive Disbursements]]/'[2]1.) CLM Reference'!$B$5</f>
        <v>0</v>
      </c>
      <c r="L91" s="43">
        <v>4.6766894254446782</v>
      </c>
      <c r="M91" s="189">
        <f>[2]!Table3[[#This Row],[CLM $ Collected ]]/'[2]1.) CLM Reference'!$B$4</f>
        <v>2.290602861091465E-6</v>
      </c>
      <c r="N91" s="45">
        <v>0</v>
      </c>
      <c r="O91" s="190">
        <f>[2]!Table3[[#This Row],[Incentive Disbursements]]/'[2]1.) CLM Reference'!$B$5</f>
        <v>0</v>
      </c>
      <c r="P91" t="str">
        <f t="shared" si="1"/>
        <v>N/A</v>
      </c>
      <c r="Q91" t="str">
        <f>VLOOKUP(Table8[[#This Row],[Census Tract]],'UI EnergyBurden'!$A$2:$B$184,2,FALSE)</f>
        <v>No</v>
      </c>
      <c r="R91">
        <f>VLOOKUP(Table8[[#This Row],[Census Tract]],'Population and Diversity Data'!$B$2:$K$823,10,FALSE)</f>
        <v>2</v>
      </c>
    </row>
    <row r="92" spans="1:18" ht="17" thickBot="1" x14ac:dyDescent="0.25">
      <c r="A92" s="144">
        <v>9001081000</v>
      </c>
      <c r="B92" s="144" t="s">
        <v>956</v>
      </c>
      <c r="C92" s="139" t="s">
        <v>3886</v>
      </c>
      <c r="D92" s="186">
        <f>[2]!Table3[[#This Row],[Residential CLM $ Collected]]+[2]!Table3[[#This Row],[C&amp;I CLM $ Collected]]</f>
        <v>56606.542622110763</v>
      </c>
      <c r="E92" s="187">
        <f>[2]!Table3[[#This Row],[CLM $ Collected ]]/'[2]1.) CLM Reference'!$B$4</f>
        <v>2.511925166638384E-3</v>
      </c>
      <c r="F92" s="188">
        <f>[2]!Table3[[#This Row],[Residential Incentive Disbursements]]+[2]!Table3[[#This Row],[C&amp;I Incentive Disbursements]]</f>
        <v>35234.749999999985</v>
      </c>
      <c r="G92" s="187">
        <f>[2]!Table3[[#This Row],[Incentive Disbursements]]/'[2]1.) CLM Reference'!$B$5</f>
        <v>1.087808659333704E-3</v>
      </c>
      <c r="H92" s="43">
        <v>51990.026908384985</v>
      </c>
      <c r="I92" s="44">
        <f>[2]!Table3[[#This Row],[CLM $ Collected ]]/'[2]1.) CLM Reference'!$B$4</f>
        <v>2.511925166638384E-3</v>
      </c>
      <c r="J92" s="45">
        <v>35234.749999999985</v>
      </c>
      <c r="K92" s="44">
        <f>[2]!Table3[[#This Row],[Incentive Disbursements]]/'[2]1.) CLM Reference'!$B$5</f>
        <v>1.087808659333704E-3</v>
      </c>
      <c r="L92" s="43">
        <v>4616.5157137257784</v>
      </c>
      <c r="M92" s="189">
        <f>[2]!Table3[[#This Row],[CLM $ Collected ]]/'[2]1.) CLM Reference'!$B$4</f>
        <v>2.511925166638384E-3</v>
      </c>
      <c r="N92" s="45">
        <v>0</v>
      </c>
      <c r="O92" s="190">
        <f>[2]!Table3[[#This Row],[Incentive Disbursements]]/'[2]1.) CLM Reference'!$B$5</f>
        <v>1.087808659333704E-3</v>
      </c>
      <c r="P92" t="str">
        <f t="shared" si="1"/>
        <v>NO</v>
      </c>
      <c r="Q92" t="str">
        <f>VLOOKUP(Table8[[#This Row],[Census Tract]],'UI EnergyBurden'!$A$2:$B$184,2,FALSE)</f>
        <v>No</v>
      </c>
      <c r="R92">
        <f>VLOOKUP(Table8[[#This Row],[Census Tract]],'Population and Diversity Data'!$B$2:$K$823,10,FALSE)</f>
        <v>2</v>
      </c>
    </row>
    <row r="93" spans="1:18" ht="17" thickBot="1" x14ac:dyDescent="0.25">
      <c r="A93" s="144">
        <v>9001081100</v>
      </c>
      <c r="B93" s="144" t="s">
        <v>956</v>
      </c>
      <c r="C93" s="139" t="s">
        <v>3886</v>
      </c>
      <c r="D93" s="186">
        <f>[2]!Table3[[#This Row],[Residential CLM $ Collected]]+[2]!Table3[[#This Row],[C&amp;I CLM $ Collected]]</f>
        <v>72461.789359355273</v>
      </c>
      <c r="E93" s="187">
        <f>[2]!Table3[[#This Row],[CLM $ Collected ]]/'[2]1.) CLM Reference'!$B$4</f>
        <v>3.2155044961236817E-3</v>
      </c>
      <c r="F93" s="188">
        <f>[2]!Table3[[#This Row],[Residential Incentive Disbursements]]+[2]!Table3[[#This Row],[C&amp;I Incentive Disbursements]]</f>
        <v>90177.66</v>
      </c>
      <c r="G93" s="187">
        <f>[2]!Table3[[#This Row],[Incentive Disbursements]]/'[2]1.) CLM Reference'!$B$5</f>
        <v>2.7840708228794196E-3</v>
      </c>
      <c r="H93" s="43">
        <v>57936.97997187775</v>
      </c>
      <c r="I93" s="44">
        <f>[2]!Table3[[#This Row],[CLM $ Collected ]]/'[2]1.) CLM Reference'!$B$4</f>
        <v>3.2155044961236817E-3</v>
      </c>
      <c r="J93" s="45">
        <v>34003.589999999997</v>
      </c>
      <c r="K93" s="44">
        <f>[2]!Table3[[#This Row],[Incentive Disbursements]]/'[2]1.) CLM Reference'!$B$5</f>
        <v>2.7840708228794196E-3</v>
      </c>
      <c r="L93" s="43">
        <v>14524.809387477522</v>
      </c>
      <c r="M93" s="189">
        <f>[2]!Table3[[#This Row],[CLM $ Collected ]]/'[2]1.) CLM Reference'!$B$4</f>
        <v>3.2155044961236817E-3</v>
      </c>
      <c r="N93" s="45">
        <v>56174.07</v>
      </c>
      <c r="O93" s="190">
        <f>[2]!Table3[[#This Row],[Incentive Disbursements]]/'[2]1.) CLM Reference'!$B$5</f>
        <v>2.7840708228794196E-3</v>
      </c>
      <c r="P93" t="str">
        <f t="shared" si="1"/>
        <v>NO</v>
      </c>
      <c r="Q93" t="str">
        <f>VLOOKUP(Table8[[#This Row],[Census Tract]],'UI EnergyBurden'!$A$2:$B$184,2,FALSE)</f>
        <v>No</v>
      </c>
      <c r="R93">
        <f>VLOOKUP(Table8[[#This Row],[Census Tract]],'Population and Diversity Data'!$B$2:$K$823,10,FALSE)</f>
        <v>1</v>
      </c>
    </row>
    <row r="94" spans="1:18" ht="17" thickBot="1" x14ac:dyDescent="0.25">
      <c r="A94" s="144">
        <v>9001081100</v>
      </c>
      <c r="B94" s="144" t="s">
        <v>2984</v>
      </c>
      <c r="C94" s="139" t="s">
        <v>3886</v>
      </c>
      <c r="D94" s="186">
        <f>[2]!Table3[[#This Row],[Residential CLM $ Collected]]+[2]!Table3[[#This Row],[C&amp;I CLM $ Collected]]</f>
        <v>249.34649147903951</v>
      </c>
      <c r="E94" s="187">
        <f>[2]!Table3[[#This Row],[CLM $ Collected ]]/'[2]1.) CLM Reference'!$B$4</f>
        <v>1.1064793893886953E-5</v>
      </c>
      <c r="F94" s="188">
        <f>[2]!Table3[[#This Row],[Residential Incentive Disbursements]]+[2]!Table3[[#This Row],[C&amp;I Incentive Disbursements]]</f>
        <v>0</v>
      </c>
      <c r="G94" s="187">
        <f>[2]!Table3[[#This Row],[Incentive Disbursements]]/'[2]1.) CLM Reference'!$B$5</f>
        <v>0</v>
      </c>
      <c r="H94" s="43">
        <v>249.34649147903951</v>
      </c>
      <c r="I94" s="44">
        <f>[2]!Table3[[#This Row],[CLM $ Collected ]]/'[2]1.) CLM Reference'!$B$4</f>
        <v>1.1064793893886953E-5</v>
      </c>
      <c r="J94" s="45">
        <v>0</v>
      </c>
      <c r="K94" s="44">
        <f>[2]!Table3[[#This Row],[Incentive Disbursements]]/'[2]1.) CLM Reference'!$B$5</f>
        <v>0</v>
      </c>
      <c r="L94" s="43">
        <v>0</v>
      </c>
      <c r="M94" s="189">
        <f>[2]!Table3[[#This Row],[CLM $ Collected ]]/'[2]1.) CLM Reference'!$B$4</f>
        <v>1.1064793893886953E-5</v>
      </c>
      <c r="N94" s="45">
        <v>0</v>
      </c>
      <c r="O94" s="190">
        <f>[2]!Table3[[#This Row],[Incentive Disbursements]]/'[2]1.) CLM Reference'!$B$5</f>
        <v>0</v>
      </c>
      <c r="P94" t="str">
        <f t="shared" si="1"/>
        <v>NO</v>
      </c>
      <c r="Q94" t="str">
        <f>VLOOKUP(Table8[[#This Row],[Census Tract]],'UI EnergyBurden'!$A$2:$B$184,2,FALSE)</f>
        <v>No</v>
      </c>
      <c r="R94">
        <f>VLOOKUP(Table8[[#This Row],[Census Tract]],'Population and Diversity Data'!$B$2:$K$823,10,FALSE)</f>
        <v>1</v>
      </c>
    </row>
    <row r="95" spans="1:18" ht="17" thickBot="1" x14ac:dyDescent="0.25">
      <c r="A95" s="144">
        <v>9001081200</v>
      </c>
      <c r="B95" s="144" t="s">
        <v>934</v>
      </c>
      <c r="C95" s="139" t="s">
        <v>3886</v>
      </c>
      <c r="D95" s="186">
        <f>[2]!Table3[[#This Row],[Residential CLM $ Collected]]+[2]!Table3[[#This Row],[C&amp;I CLM $ Collected]]</f>
        <v>226.25851140337437</v>
      </c>
      <c r="E95" s="187">
        <f>[2]!Table3[[#This Row],[CLM $ Collected ]]/'[2]1.) CLM Reference'!$B$4</f>
        <v>1.0040260765515752E-5</v>
      </c>
      <c r="F95" s="188">
        <f>[2]!Table3[[#This Row],[Residential Incentive Disbursements]]+[2]!Table3[[#This Row],[C&amp;I Incentive Disbursements]]</f>
        <v>0</v>
      </c>
      <c r="G95" s="187">
        <f>[2]!Table3[[#This Row],[Incentive Disbursements]]/'[2]1.) CLM Reference'!$B$5</f>
        <v>0</v>
      </c>
      <c r="H95" s="43">
        <v>106.50663874137091</v>
      </c>
      <c r="I95" s="44">
        <f>[2]!Table3[[#This Row],[CLM $ Collected ]]/'[2]1.) CLM Reference'!$B$4</f>
        <v>1.0040260765515752E-5</v>
      </c>
      <c r="J95" s="45">
        <v>0</v>
      </c>
      <c r="K95" s="44">
        <f>[2]!Table3[[#This Row],[Incentive Disbursements]]/'[2]1.) CLM Reference'!$B$5</f>
        <v>0</v>
      </c>
      <c r="L95" s="43">
        <v>119.75187266200345</v>
      </c>
      <c r="M95" s="189">
        <f>[2]!Table3[[#This Row],[CLM $ Collected ]]/'[2]1.) CLM Reference'!$B$4</f>
        <v>1.0040260765515752E-5</v>
      </c>
      <c r="N95" s="45">
        <v>0</v>
      </c>
      <c r="O95" s="190">
        <f>[2]!Table3[[#This Row],[Incentive Disbursements]]/'[2]1.) CLM Reference'!$B$5</f>
        <v>0</v>
      </c>
      <c r="P95" t="str">
        <f t="shared" si="1"/>
        <v>NO</v>
      </c>
      <c r="Q95" t="str">
        <f>VLOOKUP(Table8[[#This Row],[Census Tract]],'UI EnergyBurden'!$A$2:$B$184,2,FALSE)</f>
        <v>No</v>
      </c>
      <c r="R95">
        <f>VLOOKUP(Table8[[#This Row],[Census Tract]],'Population and Diversity Data'!$B$2:$K$823,10,FALSE)</f>
        <v>3</v>
      </c>
    </row>
    <row r="96" spans="1:18" ht="17" thickBot="1" x14ac:dyDescent="0.25">
      <c r="A96" s="144">
        <v>9001081200</v>
      </c>
      <c r="B96" s="144" t="s">
        <v>956</v>
      </c>
      <c r="C96" s="139" t="s">
        <v>3886</v>
      </c>
      <c r="D96" s="186">
        <f>[2]!Table3[[#This Row],[Residential CLM $ Collected]]+[2]!Table3[[#This Row],[C&amp;I CLM $ Collected]]</f>
        <v>88976.213855280992</v>
      </c>
      <c r="E96" s="187">
        <f>[2]!Table3[[#This Row],[CLM $ Collected ]]/'[2]1.) CLM Reference'!$B$4</f>
        <v>3.9483349532104884E-3</v>
      </c>
      <c r="F96" s="188">
        <f>[2]!Table3[[#This Row],[Residential Incentive Disbursements]]+[2]!Table3[[#This Row],[C&amp;I Incentive Disbursements]]</f>
        <v>100170.67000000001</v>
      </c>
      <c r="G96" s="187">
        <f>[2]!Table3[[#This Row],[Incentive Disbursements]]/'[2]1.) CLM Reference'!$B$5</f>
        <v>3.0925867854109637E-3</v>
      </c>
      <c r="H96" s="43">
        <v>77057.880913142202</v>
      </c>
      <c r="I96" s="44">
        <f>[2]!Table3[[#This Row],[CLM $ Collected ]]/'[2]1.) CLM Reference'!$B$4</f>
        <v>3.9483349532104884E-3</v>
      </c>
      <c r="J96" s="45">
        <v>87118.670000000013</v>
      </c>
      <c r="K96" s="44">
        <f>[2]!Table3[[#This Row],[Incentive Disbursements]]/'[2]1.) CLM Reference'!$B$5</f>
        <v>3.0925867854109637E-3</v>
      </c>
      <c r="L96" s="43">
        <v>11918.332942138795</v>
      </c>
      <c r="M96" s="189">
        <f>[2]!Table3[[#This Row],[CLM $ Collected ]]/'[2]1.) CLM Reference'!$B$4</f>
        <v>3.9483349532104884E-3</v>
      </c>
      <c r="N96" s="45">
        <v>13052</v>
      </c>
      <c r="O96" s="190">
        <f>[2]!Table3[[#This Row],[Incentive Disbursements]]/'[2]1.) CLM Reference'!$B$5</f>
        <v>3.0925867854109637E-3</v>
      </c>
      <c r="P96" t="str">
        <f t="shared" si="1"/>
        <v>NO</v>
      </c>
      <c r="Q96" t="str">
        <f>VLOOKUP(Table8[[#This Row],[Census Tract]],'UI EnergyBurden'!$A$2:$B$184,2,FALSE)</f>
        <v>No</v>
      </c>
      <c r="R96">
        <f>VLOOKUP(Table8[[#This Row],[Census Tract]],'Population and Diversity Data'!$B$2:$K$823,10,FALSE)</f>
        <v>3</v>
      </c>
    </row>
    <row r="97" spans="1:18" ht="17" thickBot="1" x14ac:dyDescent="0.25">
      <c r="A97" s="144">
        <v>9001081300</v>
      </c>
      <c r="B97" s="144" t="s">
        <v>956</v>
      </c>
      <c r="C97" s="139" t="s">
        <v>3886</v>
      </c>
      <c r="D97" s="186">
        <f>[2]!Table3[[#This Row],[Residential CLM $ Collected]]+[2]!Table3[[#This Row],[C&amp;I CLM $ Collected]]</f>
        <v>92447.490043821628</v>
      </c>
      <c r="E97" s="187">
        <f>[2]!Table3[[#This Row],[CLM $ Collected ]]/'[2]1.) CLM Reference'!$B$4</f>
        <v>4.1023734373581118E-3</v>
      </c>
      <c r="F97" s="188">
        <f>[2]!Table3[[#This Row],[Residential Incentive Disbursements]]+[2]!Table3[[#This Row],[C&amp;I Incentive Disbursements]]</f>
        <v>61815.170000000006</v>
      </c>
      <c r="G97" s="187">
        <f>[2]!Table3[[#This Row],[Incentive Disbursements]]/'[2]1.) CLM Reference'!$B$5</f>
        <v>1.9084306601915733E-3</v>
      </c>
      <c r="H97" s="43">
        <v>75183.973472087717</v>
      </c>
      <c r="I97" s="44">
        <f>[2]!Table3[[#This Row],[CLM $ Collected ]]/'[2]1.) CLM Reference'!$B$4</f>
        <v>4.1023734373581118E-3</v>
      </c>
      <c r="J97" s="45">
        <v>41153.170000000006</v>
      </c>
      <c r="K97" s="44">
        <f>[2]!Table3[[#This Row],[Incentive Disbursements]]/'[2]1.) CLM Reference'!$B$5</f>
        <v>1.9084306601915733E-3</v>
      </c>
      <c r="L97" s="43">
        <v>17263.516571733908</v>
      </c>
      <c r="M97" s="189">
        <f>[2]!Table3[[#This Row],[CLM $ Collected ]]/'[2]1.) CLM Reference'!$B$4</f>
        <v>4.1023734373581118E-3</v>
      </c>
      <c r="N97" s="45">
        <v>20662</v>
      </c>
      <c r="O97" s="190">
        <f>[2]!Table3[[#This Row],[Incentive Disbursements]]/'[2]1.) CLM Reference'!$B$5</f>
        <v>1.9084306601915733E-3</v>
      </c>
      <c r="P97" t="str">
        <f t="shared" si="1"/>
        <v>NO</v>
      </c>
      <c r="Q97" t="str">
        <f>VLOOKUP(Table8[[#This Row],[Census Tract]],'UI EnergyBurden'!$A$2:$B$184,2,FALSE)</f>
        <v>No</v>
      </c>
      <c r="R97">
        <f>VLOOKUP(Table8[[#This Row],[Census Tract]],'Population and Diversity Data'!$B$2:$K$823,10,FALSE)</f>
        <v>4</v>
      </c>
    </row>
    <row r="98" spans="1:18" ht="17" thickBot="1" x14ac:dyDescent="0.25">
      <c r="A98" s="144">
        <v>9001090100</v>
      </c>
      <c r="B98" s="144" t="s">
        <v>2983</v>
      </c>
      <c r="C98" s="139" t="s">
        <v>3886</v>
      </c>
      <c r="D98" s="186">
        <f>[2]!Table3[[#This Row],[Residential CLM $ Collected]]+[2]!Table3[[#This Row],[C&amp;I CLM $ Collected]]</f>
        <v>308.19060146592784</v>
      </c>
      <c r="E98" s="187">
        <f>[2]!Table3[[#This Row],[CLM $ Collected ]]/'[2]1.) CLM Reference'!$B$4</f>
        <v>1.3676011501209359E-5</v>
      </c>
      <c r="F98" s="188">
        <f>[2]!Table3[[#This Row],[Residential Incentive Disbursements]]+[2]!Table3[[#This Row],[C&amp;I Incentive Disbursements]]</f>
        <v>0</v>
      </c>
      <c r="G98" s="187">
        <f>[2]!Table3[[#This Row],[Incentive Disbursements]]/'[2]1.) CLM Reference'!$B$5</f>
        <v>0</v>
      </c>
      <c r="H98" s="43">
        <v>308.19060146592784</v>
      </c>
      <c r="I98" s="44">
        <f>[2]!Table3[[#This Row],[CLM $ Collected ]]/'[2]1.) CLM Reference'!$B$4</f>
        <v>1.3676011501209359E-5</v>
      </c>
      <c r="J98" s="45">
        <v>0</v>
      </c>
      <c r="K98" s="44">
        <f>[2]!Table3[[#This Row],[Incentive Disbursements]]/'[2]1.) CLM Reference'!$B$5</f>
        <v>0</v>
      </c>
      <c r="L98" s="43">
        <v>0</v>
      </c>
      <c r="M98" s="189">
        <f>[2]!Table3[[#This Row],[CLM $ Collected ]]/'[2]1.) CLM Reference'!$B$4</f>
        <v>1.3676011501209359E-5</v>
      </c>
      <c r="N98" s="45">
        <v>0</v>
      </c>
      <c r="O98" s="190">
        <f>[2]!Table3[[#This Row],[Incentive Disbursements]]/'[2]1.) CLM Reference'!$B$5</f>
        <v>0</v>
      </c>
      <c r="P98" t="str">
        <f t="shared" si="1"/>
        <v>NO</v>
      </c>
      <c r="Q98" t="str">
        <f>VLOOKUP(Table8[[#This Row],[Census Tract]],'UI EnergyBurden'!$A$2:$B$184,2,FALSE)</f>
        <v>No</v>
      </c>
      <c r="R98">
        <f>VLOOKUP(Table8[[#This Row],[Census Tract]],'Population and Diversity Data'!$B$2:$K$823,10,FALSE)</f>
        <v>1</v>
      </c>
    </row>
    <row r="99" spans="1:18" ht="17" thickBot="1" x14ac:dyDescent="0.25">
      <c r="A99" s="144">
        <v>9001090100</v>
      </c>
      <c r="B99" s="144" t="s">
        <v>2984</v>
      </c>
      <c r="C99" s="139" t="s">
        <v>3886</v>
      </c>
      <c r="D99" s="186">
        <f>[2]!Table3[[#This Row],[Residential CLM $ Collected]]+[2]!Table3[[#This Row],[C&amp;I CLM $ Collected]]</f>
        <v>86059.044571883453</v>
      </c>
      <c r="E99" s="187">
        <f>[2]!Table3[[#This Row],[CLM $ Collected ]]/'[2]1.) CLM Reference'!$B$4</f>
        <v>3.8188850592781125E-3</v>
      </c>
      <c r="F99" s="188">
        <f>[2]!Table3[[#This Row],[Residential Incentive Disbursements]]+[2]!Table3[[#This Row],[C&amp;I Incentive Disbursements]]</f>
        <v>100310.84999999999</v>
      </c>
      <c r="G99" s="187">
        <f>[2]!Table3[[#This Row],[Incentive Disbursements]]/'[2]1.) CLM Reference'!$B$5</f>
        <v>3.0969145873072554E-3</v>
      </c>
      <c r="H99" s="43">
        <v>67347.88256436745</v>
      </c>
      <c r="I99" s="44">
        <f>[2]!Table3[[#This Row],[CLM $ Collected ]]/'[2]1.) CLM Reference'!$B$4</f>
        <v>3.8188850592781125E-3</v>
      </c>
      <c r="J99" s="45">
        <v>76745.219999999987</v>
      </c>
      <c r="K99" s="44">
        <f>[2]!Table3[[#This Row],[Incentive Disbursements]]/'[2]1.) CLM Reference'!$B$5</f>
        <v>3.0969145873072554E-3</v>
      </c>
      <c r="L99" s="43">
        <v>18711.162007516003</v>
      </c>
      <c r="M99" s="189">
        <f>[2]!Table3[[#This Row],[CLM $ Collected ]]/'[2]1.) CLM Reference'!$B$4</f>
        <v>3.8188850592781125E-3</v>
      </c>
      <c r="N99" s="45">
        <v>23565.63</v>
      </c>
      <c r="O99" s="190">
        <f>[2]!Table3[[#This Row],[Incentive Disbursements]]/'[2]1.) CLM Reference'!$B$5</f>
        <v>3.0969145873072554E-3</v>
      </c>
      <c r="P99" t="str">
        <f t="shared" si="1"/>
        <v>NO</v>
      </c>
      <c r="Q99" t="str">
        <f>VLOOKUP(Table8[[#This Row],[Census Tract]],'UI EnergyBurden'!$A$2:$B$184,2,FALSE)</f>
        <v>No</v>
      </c>
      <c r="R99">
        <f>VLOOKUP(Table8[[#This Row],[Census Tract]],'Population and Diversity Data'!$B$2:$K$823,10,FALSE)</f>
        <v>1</v>
      </c>
    </row>
    <row r="100" spans="1:18" ht="17" thickBot="1" x14ac:dyDescent="0.25">
      <c r="A100" s="144">
        <v>9001090200</v>
      </c>
      <c r="B100" s="144" t="s">
        <v>934</v>
      </c>
      <c r="C100" s="139" t="s">
        <v>3886</v>
      </c>
      <c r="D100" s="186">
        <f>[2]!Table3[[#This Row],[Residential CLM $ Collected]]+[2]!Table3[[#This Row],[C&amp;I CLM $ Collected]]</f>
        <v>29.809855498614301</v>
      </c>
      <c r="E100" s="187">
        <f>[2]!Table3[[#This Row],[CLM $ Collected ]]/'[2]1.) CLM Reference'!$B$4</f>
        <v>1.3228175184748762E-6</v>
      </c>
      <c r="F100" s="188">
        <f>[2]!Table3[[#This Row],[Residential Incentive Disbursements]]+[2]!Table3[[#This Row],[C&amp;I Incentive Disbursements]]</f>
        <v>0</v>
      </c>
      <c r="G100" s="187">
        <f>[2]!Table3[[#This Row],[Incentive Disbursements]]/'[2]1.) CLM Reference'!$B$5</f>
        <v>0</v>
      </c>
      <c r="H100" s="43">
        <v>0</v>
      </c>
      <c r="I100" s="44">
        <f>[2]!Table3[[#This Row],[CLM $ Collected ]]/'[2]1.) CLM Reference'!$B$4</f>
        <v>1.3228175184748762E-6</v>
      </c>
      <c r="J100" s="45">
        <v>0</v>
      </c>
      <c r="K100" s="44">
        <f>[2]!Table3[[#This Row],[Incentive Disbursements]]/'[2]1.) CLM Reference'!$B$5</f>
        <v>0</v>
      </c>
      <c r="L100" s="43">
        <v>29.809855498614301</v>
      </c>
      <c r="M100" s="189">
        <f>[2]!Table3[[#This Row],[CLM $ Collected ]]/'[2]1.) CLM Reference'!$B$4</f>
        <v>1.3228175184748762E-6</v>
      </c>
      <c r="N100" s="45">
        <v>0</v>
      </c>
      <c r="O100" s="190">
        <f>[2]!Table3[[#This Row],[Incentive Disbursements]]/'[2]1.) CLM Reference'!$B$5</f>
        <v>0</v>
      </c>
      <c r="P100" t="str">
        <f t="shared" si="1"/>
        <v>N/A</v>
      </c>
      <c r="Q100" t="str">
        <f>VLOOKUP(Table8[[#This Row],[Census Tract]],'UI EnergyBurden'!$A$2:$B$184,2,FALSE)</f>
        <v>No</v>
      </c>
      <c r="R100">
        <f>VLOOKUP(Table8[[#This Row],[Census Tract]],'Population and Diversity Data'!$B$2:$K$823,10,FALSE)</f>
        <v>3</v>
      </c>
    </row>
    <row r="101" spans="1:18" ht="17" thickBot="1" x14ac:dyDescent="0.25">
      <c r="A101" s="144">
        <v>9001090200</v>
      </c>
      <c r="B101" s="144" t="s">
        <v>2984</v>
      </c>
      <c r="C101" s="139" t="s">
        <v>3886</v>
      </c>
      <c r="D101" s="186">
        <f>[2]!Table3[[#This Row],[Residential CLM $ Collected]]+[2]!Table3[[#This Row],[C&amp;I CLM $ Collected]]</f>
        <v>137719.38103412912</v>
      </c>
      <c r="E101" s="187">
        <f>[2]!Table3[[#This Row],[CLM $ Collected ]]/'[2]1.) CLM Reference'!$B$4</f>
        <v>6.1113214679598526E-3</v>
      </c>
      <c r="F101" s="188">
        <f>[2]!Table3[[#This Row],[Residential Incentive Disbursements]]+[2]!Table3[[#This Row],[C&amp;I Incentive Disbursements]]</f>
        <v>133826.9</v>
      </c>
      <c r="G101" s="187">
        <f>[2]!Table3[[#This Row],[Incentive Disbursements]]/'[2]1.) CLM Reference'!$B$5</f>
        <v>4.1316615180123526E-3</v>
      </c>
      <c r="H101" s="43">
        <v>119838.83692528808</v>
      </c>
      <c r="I101" s="44">
        <f>[2]!Table3[[#This Row],[CLM $ Collected ]]/'[2]1.) CLM Reference'!$B$4</f>
        <v>6.1113214679598526E-3</v>
      </c>
      <c r="J101" s="45">
        <v>125336.9</v>
      </c>
      <c r="K101" s="44">
        <f>[2]!Table3[[#This Row],[Incentive Disbursements]]/'[2]1.) CLM Reference'!$B$5</f>
        <v>4.1316615180123526E-3</v>
      </c>
      <c r="L101" s="43">
        <v>17880.544108841048</v>
      </c>
      <c r="M101" s="189">
        <f>[2]!Table3[[#This Row],[CLM $ Collected ]]/'[2]1.) CLM Reference'!$B$4</f>
        <v>6.1113214679598526E-3</v>
      </c>
      <c r="N101" s="45">
        <v>8490</v>
      </c>
      <c r="O101" s="190">
        <f>[2]!Table3[[#This Row],[Incentive Disbursements]]/'[2]1.) CLM Reference'!$B$5</f>
        <v>4.1316615180123526E-3</v>
      </c>
      <c r="P101" t="str">
        <f t="shared" si="1"/>
        <v>NO</v>
      </c>
      <c r="Q101" t="str">
        <f>VLOOKUP(Table8[[#This Row],[Census Tract]],'UI EnergyBurden'!$A$2:$B$184,2,FALSE)</f>
        <v>No</v>
      </c>
      <c r="R101">
        <f>VLOOKUP(Table8[[#This Row],[Census Tract]],'Population and Diversity Data'!$B$2:$K$823,10,FALSE)</f>
        <v>3</v>
      </c>
    </row>
    <row r="102" spans="1:18" ht="17" thickBot="1" x14ac:dyDescent="0.25">
      <c r="A102" s="144">
        <v>9001090300</v>
      </c>
      <c r="B102" s="144" t="s">
        <v>934</v>
      </c>
      <c r="C102" s="139" t="s">
        <v>3886</v>
      </c>
      <c r="D102" s="186">
        <f>[2]!Table3[[#This Row],[Residential CLM $ Collected]]+[2]!Table3[[#This Row],[C&amp;I CLM $ Collected]]</f>
        <v>139.73283202362688</v>
      </c>
      <c r="E102" s="187">
        <f>[2]!Table3[[#This Row],[CLM $ Collected ]]/'[2]1.) CLM Reference'!$B$4</f>
        <v>6.2006687055411288E-6</v>
      </c>
      <c r="F102" s="188">
        <f>[2]!Table3[[#This Row],[Residential Incentive Disbursements]]+[2]!Table3[[#This Row],[C&amp;I Incentive Disbursements]]</f>
        <v>0</v>
      </c>
      <c r="G102" s="187">
        <f>[2]!Table3[[#This Row],[Incentive Disbursements]]/'[2]1.) CLM Reference'!$B$5</f>
        <v>0</v>
      </c>
      <c r="H102" s="43">
        <v>139.73283202362688</v>
      </c>
      <c r="I102" s="44">
        <f>[2]!Table3[[#This Row],[CLM $ Collected ]]/'[2]1.) CLM Reference'!$B$4</f>
        <v>6.2006687055411288E-6</v>
      </c>
      <c r="J102" s="45">
        <v>0</v>
      </c>
      <c r="K102" s="44">
        <f>[2]!Table3[[#This Row],[Incentive Disbursements]]/'[2]1.) CLM Reference'!$B$5</f>
        <v>0</v>
      </c>
      <c r="L102" s="43">
        <v>0</v>
      </c>
      <c r="M102" s="189">
        <f>[2]!Table3[[#This Row],[CLM $ Collected ]]/'[2]1.) CLM Reference'!$B$4</f>
        <v>6.2006687055411288E-6</v>
      </c>
      <c r="N102" s="45">
        <v>0</v>
      </c>
      <c r="O102" s="190">
        <f>[2]!Table3[[#This Row],[Incentive Disbursements]]/'[2]1.) CLM Reference'!$B$5</f>
        <v>0</v>
      </c>
      <c r="P102" t="str">
        <f t="shared" si="1"/>
        <v>NO</v>
      </c>
      <c r="Q102" t="str">
        <f>VLOOKUP(Table8[[#This Row],[Census Tract]],'UI EnergyBurden'!$A$2:$B$184,2,FALSE)</f>
        <v>No</v>
      </c>
      <c r="R102">
        <f>VLOOKUP(Table8[[#This Row],[Census Tract]],'Population and Diversity Data'!$B$2:$K$823,10,FALSE)</f>
        <v>3</v>
      </c>
    </row>
    <row r="103" spans="1:18" ht="17" thickBot="1" x14ac:dyDescent="0.25">
      <c r="A103" s="144">
        <v>9001090300</v>
      </c>
      <c r="B103" s="144" t="s">
        <v>2984</v>
      </c>
      <c r="C103" s="139" t="s">
        <v>3886</v>
      </c>
      <c r="D103" s="186">
        <f>[2]!Table3[[#This Row],[Residential CLM $ Collected]]+[2]!Table3[[#This Row],[C&amp;I CLM $ Collected]]</f>
        <v>112987.48691701148</v>
      </c>
      <c r="E103" s="187">
        <f>[2]!Table3[[#This Row],[CLM $ Collected ]]/'[2]1.) CLM Reference'!$B$4</f>
        <v>5.0138393682995662E-3</v>
      </c>
      <c r="F103" s="188">
        <f>[2]!Table3[[#This Row],[Residential Incentive Disbursements]]+[2]!Table3[[#This Row],[C&amp;I Incentive Disbursements]]</f>
        <v>158909.91999999998</v>
      </c>
      <c r="G103" s="187">
        <f>[2]!Table3[[#This Row],[Incentive Disbursements]]/'[2]1.) CLM Reference'!$B$5</f>
        <v>4.90605402422399E-3</v>
      </c>
      <c r="H103" s="43">
        <v>74756.275681612096</v>
      </c>
      <c r="I103" s="44">
        <f>[2]!Table3[[#This Row],[CLM $ Collected ]]/'[2]1.) CLM Reference'!$B$4</f>
        <v>5.0138393682995662E-3</v>
      </c>
      <c r="J103" s="45">
        <v>106738.91999999997</v>
      </c>
      <c r="K103" s="44">
        <f>[2]!Table3[[#This Row],[Incentive Disbursements]]/'[2]1.) CLM Reference'!$B$5</f>
        <v>4.90605402422399E-3</v>
      </c>
      <c r="L103" s="43">
        <v>38231.211235399387</v>
      </c>
      <c r="M103" s="189">
        <f>[2]!Table3[[#This Row],[CLM $ Collected ]]/'[2]1.) CLM Reference'!$B$4</f>
        <v>5.0138393682995662E-3</v>
      </c>
      <c r="N103" s="45">
        <v>52171</v>
      </c>
      <c r="O103" s="190">
        <f>[2]!Table3[[#This Row],[Incentive Disbursements]]/'[2]1.) CLM Reference'!$B$5</f>
        <v>4.90605402422399E-3</v>
      </c>
      <c r="P103" t="str">
        <f t="shared" si="1"/>
        <v>NO</v>
      </c>
      <c r="Q103" t="str">
        <f>VLOOKUP(Table8[[#This Row],[Census Tract]],'UI EnergyBurden'!$A$2:$B$184,2,FALSE)</f>
        <v>No</v>
      </c>
      <c r="R103">
        <f>VLOOKUP(Table8[[#This Row],[Census Tract]],'Population and Diversity Data'!$B$2:$K$823,10,FALSE)</f>
        <v>3</v>
      </c>
    </row>
    <row r="104" spans="1:18" ht="17" thickBot="1" x14ac:dyDescent="0.25">
      <c r="A104" s="144">
        <v>9001090400</v>
      </c>
      <c r="B104" s="144" t="s">
        <v>934</v>
      </c>
      <c r="C104" s="139" t="s">
        <v>3886</v>
      </c>
      <c r="D104" s="186">
        <f>[2]!Table3[[#This Row],[Residential CLM $ Collected]]+[2]!Table3[[#This Row],[C&amp;I CLM $ Collected]]</f>
        <v>9.4041622503759221</v>
      </c>
      <c r="E104" s="187">
        <f>[2]!Table3[[#This Row],[CLM $ Collected ]]/'[2]1.) CLM Reference'!$B$4</f>
        <v>4.1731133423158166E-7</v>
      </c>
      <c r="F104" s="188">
        <f>[2]!Table3[[#This Row],[Residential Incentive Disbursements]]+[2]!Table3[[#This Row],[C&amp;I Incentive Disbursements]]</f>
        <v>0</v>
      </c>
      <c r="G104" s="187">
        <f>[2]!Table3[[#This Row],[Incentive Disbursements]]/'[2]1.) CLM Reference'!$B$5</f>
        <v>0</v>
      </c>
      <c r="H104" s="43">
        <v>0</v>
      </c>
      <c r="I104" s="44">
        <f>[2]!Table3[[#This Row],[CLM $ Collected ]]/'[2]1.) CLM Reference'!$B$4</f>
        <v>4.1731133423158166E-7</v>
      </c>
      <c r="J104" s="45">
        <v>0</v>
      </c>
      <c r="K104" s="44">
        <f>[2]!Table3[[#This Row],[Incentive Disbursements]]/'[2]1.) CLM Reference'!$B$5</f>
        <v>0</v>
      </c>
      <c r="L104" s="43">
        <v>9.4041622503759221</v>
      </c>
      <c r="M104" s="189">
        <f>[2]!Table3[[#This Row],[CLM $ Collected ]]/'[2]1.) CLM Reference'!$B$4</f>
        <v>4.1731133423158166E-7</v>
      </c>
      <c r="N104" s="45">
        <v>0</v>
      </c>
      <c r="O104" s="190">
        <f>[2]!Table3[[#This Row],[Incentive Disbursements]]/'[2]1.) CLM Reference'!$B$5</f>
        <v>0</v>
      </c>
      <c r="P104" t="str">
        <f t="shared" si="1"/>
        <v>N/A</v>
      </c>
      <c r="Q104" t="str">
        <f>VLOOKUP(Table8[[#This Row],[Census Tract]],'UI EnergyBurden'!$A$2:$B$184,2,FALSE)</f>
        <v>No</v>
      </c>
      <c r="R104">
        <f>VLOOKUP(Table8[[#This Row],[Census Tract]],'Population and Diversity Data'!$B$2:$K$823,10,FALSE)</f>
        <v>4</v>
      </c>
    </row>
    <row r="105" spans="1:18" ht="17" thickBot="1" x14ac:dyDescent="0.25">
      <c r="A105" s="144">
        <v>9001090400</v>
      </c>
      <c r="B105" s="144" t="s">
        <v>2984</v>
      </c>
      <c r="C105" s="139" t="s">
        <v>3886</v>
      </c>
      <c r="D105" s="186">
        <f>[2]!Table3[[#This Row],[Residential CLM $ Collected]]+[2]!Table3[[#This Row],[C&amp;I CLM $ Collected]]</f>
        <v>125371.72523273056</v>
      </c>
      <c r="E105" s="187">
        <f>[2]!Table3[[#This Row],[CLM $ Collected ]]/'[2]1.) CLM Reference'!$B$4</f>
        <v>5.5633920958450753E-3</v>
      </c>
      <c r="F105" s="188">
        <f>[2]!Table3[[#This Row],[Residential Incentive Disbursements]]+[2]!Table3[[#This Row],[C&amp;I Incentive Disbursements]]</f>
        <v>252476.45</v>
      </c>
      <c r="G105" s="187">
        <f>[2]!Table3[[#This Row],[Incentive Disbursements]]/'[2]1.) CLM Reference'!$B$5</f>
        <v>7.7947500291000527E-3</v>
      </c>
      <c r="H105" s="43">
        <v>93212.389606888319</v>
      </c>
      <c r="I105" s="44">
        <f>[2]!Table3[[#This Row],[CLM $ Collected ]]/'[2]1.) CLM Reference'!$B$4</f>
        <v>5.5633920958450753E-3</v>
      </c>
      <c r="J105" s="45">
        <v>114029.45</v>
      </c>
      <c r="K105" s="44">
        <f>[2]!Table3[[#This Row],[Incentive Disbursements]]/'[2]1.) CLM Reference'!$B$5</f>
        <v>7.7947500291000527E-3</v>
      </c>
      <c r="L105" s="43">
        <v>32159.335625842239</v>
      </c>
      <c r="M105" s="189">
        <f>[2]!Table3[[#This Row],[CLM $ Collected ]]/'[2]1.) CLM Reference'!$B$4</f>
        <v>5.5633920958450753E-3</v>
      </c>
      <c r="N105" s="45">
        <v>138447</v>
      </c>
      <c r="O105" s="190">
        <f>[2]!Table3[[#This Row],[Incentive Disbursements]]/'[2]1.) CLM Reference'!$B$5</f>
        <v>7.7947500291000527E-3</v>
      </c>
      <c r="P105" t="str">
        <f t="shared" si="1"/>
        <v>YES</v>
      </c>
      <c r="Q105" t="str">
        <f>VLOOKUP(Table8[[#This Row],[Census Tract]],'UI EnergyBurden'!$A$2:$B$184,2,FALSE)</f>
        <v>No</v>
      </c>
      <c r="R105">
        <f>VLOOKUP(Table8[[#This Row],[Census Tract]],'Population and Diversity Data'!$B$2:$K$823,10,FALSE)</f>
        <v>4</v>
      </c>
    </row>
    <row r="106" spans="1:18" ht="17" thickBot="1" x14ac:dyDescent="0.25">
      <c r="A106" s="144">
        <v>9001090500</v>
      </c>
      <c r="B106" s="144" t="s">
        <v>934</v>
      </c>
      <c r="C106" s="139" t="s">
        <v>3886</v>
      </c>
      <c r="D106" s="186">
        <f>[2]!Table3[[#This Row],[Residential CLM $ Collected]]+[2]!Table3[[#This Row],[C&amp;I CLM $ Collected]]</f>
        <v>335.0411697762795</v>
      </c>
      <c r="E106" s="187">
        <f>[2]!Table3[[#This Row],[CLM $ Collected ]]/'[2]1.) CLM Reference'!$B$4</f>
        <v>1.4867510136403703E-5</v>
      </c>
      <c r="F106" s="188">
        <f>[2]!Table3[[#This Row],[Residential Incentive Disbursements]]+[2]!Table3[[#This Row],[C&amp;I Incentive Disbursements]]</f>
        <v>0</v>
      </c>
      <c r="G106" s="187">
        <f>[2]!Table3[[#This Row],[Incentive Disbursements]]/'[2]1.) CLM Reference'!$B$5</f>
        <v>0</v>
      </c>
      <c r="H106" s="43">
        <v>335.0411697762795</v>
      </c>
      <c r="I106" s="44">
        <f>[2]!Table3[[#This Row],[CLM $ Collected ]]/'[2]1.) CLM Reference'!$B$4</f>
        <v>1.4867510136403703E-5</v>
      </c>
      <c r="J106" s="45">
        <v>0</v>
      </c>
      <c r="K106" s="44">
        <f>[2]!Table3[[#This Row],[Incentive Disbursements]]/'[2]1.) CLM Reference'!$B$5</f>
        <v>0</v>
      </c>
      <c r="L106" s="43">
        <v>0</v>
      </c>
      <c r="M106" s="189">
        <f>[2]!Table3[[#This Row],[CLM $ Collected ]]/'[2]1.) CLM Reference'!$B$4</f>
        <v>1.4867510136403703E-5</v>
      </c>
      <c r="N106" s="45">
        <v>0</v>
      </c>
      <c r="O106" s="190">
        <f>[2]!Table3[[#This Row],[Incentive Disbursements]]/'[2]1.) CLM Reference'!$B$5</f>
        <v>0</v>
      </c>
      <c r="P106" t="str">
        <f t="shared" si="1"/>
        <v>NO</v>
      </c>
      <c r="Q106" t="str">
        <f>VLOOKUP(Table8[[#This Row],[Census Tract]],'UI EnergyBurden'!$A$2:$B$184,2,FALSE)</f>
        <v>No</v>
      </c>
      <c r="R106">
        <f>VLOOKUP(Table8[[#This Row],[Census Tract]],'Population and Diversity Data'!$B$2:$K$823,10,FALSE)</f>
        <v>3</v>
      </c>
    </row>
    <row r="107" spans="1:18" ht="17" thickBot="1" x14ac:dyDescent="0.25">
      <c r="A107" s="144">
        <v>9001090500</v>
      </c>
      <c r="B107" s="144" t="s">
        <v>3005</v>
      </c>
      <c r="C107" s="139" t="s">
        <v>944</v>
      </c>
      <c r="D107" s="186">
        <f>[2]!Table3[[#This Row],[Residential CLM $ Collected]]+[2]!Table3[[#This Row],[C&amp;I CLM $ Collected]]</f>
        <v>0</v>
      </c>
      <c r="E107" s="187">
        <f>[2]!Table3[[#This Row],[CLM $ Collected ]]/'[2]1.) CLM Reference'!$B$4</f>
        <v>0</v>
      </c>
      <c r="F107" s="188">
        <f>[2]!Table3[[#This Row],[Residential Incentive Disbursements]]+[2]!Table3[[#This Row],[C&amp;I Incentive Disbursements]]</f>
        <v>605</v>
      </c>
      <c r="G107" s="187">
        <f>[2]!Table3[[#This Row],[Incentive Disbursements]]/'[2]1.) CLM Reference'!$B$5</f>
        <v>1.8678271845178163E-5</v>
      </c>
      <c r="H107" s="43">
        <v>0</v>
      </c>
      <c r="I107" s="44">
        <f>[2]!Table3[[#This Row],[CLM $ Collected ]]/'[2]1.) CLM Reference'!$B$4</f>
        <v>0</v>
      </c>
      <c r="J107" s="45">
        <v>605</v>
      </c>
      <c r="K107" s="44">
        <f>[2]!Table3[[#This Row],[Incentive Disbursements]]/'[2]1.) CLM Reference'!$B$5</f>
        <v>1.8678271845178163E-5</v>
      </c>
      <c r="L107" s="43">
        <v>0</v>
      </c>
      <c r="M107" s="189">
        <f>[2]!Table3[[#This Row],[CLM $ Collected ]]/'[2]1.) CLM Reference'!$B$4</f>
        <v>0</v>
      </c>
      <c r="N107" s="45">
        <v>0</v>
      </c>
      <c r="O107" s="190">
        <f>[2]!Table3[[#This Row],[Incentive Disbursements]]/'[2]1.) CLM Reference'!$B$5</f>
        <v>1.8678271845178163E-5</v>
      </c>
      <c r="P107" t="str">
        <f t="shared" si="1"/>
        <v>N/A</v>
      </c>
      <c r="Q107" t="str">
        <f>VLOOKUP(Table8[[#This Row],[Census Tract]],'UI EnergyBurden'!$A$2:$B$184,2,FALSE)</f>
        <v>No</v>
      </c>
      <c r="R107">
        <f>VLOOKUP(Table8[[#This Row],[Census Tract]],'Population and Diversity Data'!$B$2:$K$823,10,FALSE)</f>
        <v>3</v>
      </c>
    </row>
    <row r="108" spans="1:18" ht="17" thickBot="1" x14ac:dyDescent="0.25">
      <c r="A108" s="144">
        <v>9001090500</v>
      </c>
      <c r="B108" s="144" t="s">
        <v>2989</v>
      </c>
      <c r="C108" s="139" t="s">
        <v>3886</v>
      </c>
      <c r="D108" s="186">
        <f>[2]!Table3[[#This Row],[Residential CLM $ Collected]]+[2]!Table3[[#This Row],[C&amp;I CLM $ Collected]]</f>
        <v>31.642674552811282</v>
      </c>
      <c r="E108" s="187">
        <f>[2]!Table3[[#This Row],[CLM $ Collected ]]/'[2]1.) CLM Reference'!$B$4</f>
        <v>1.404149182534738E-6</v>
      </c>
      <c r="F108" s="188">
        <f>[2]!Table3[[#This Row],[Residential Incentive Disbursements]]+[2]!Table3[[#This Row],[C&amp;I Incentive Disbursements]]</f>
        <v>0</v>
      </c>
      <c r="G108" s="187">
        <f>[2]!Table3[[#This Row],[Incentive Disbursements]]/'[2]1.) CLM Reference'!$B$5</f>
        <v>0</v>
      </c>
      <c r="H108" s="43">
        <v>0</v>
      </c>
      <c r="I108" s="44">
        <f>[2]!Table3[[#This Row],[CLM $ Collected ]]/'[2]1.) CLM Reference'!$B$4</f>
        <v>1.404149182534738E-6</v>
      </c>
      <c r="J108" s="45">
        <v>0</v>
      </c>
      <c r="K108" s="44">
        <f>[2]!Table3[[#This Row],[Incentive Disbursements]]/'[2]1.) CLM Reference'!$B$5</f>
        <v>0</v>
      </c>
      <c r="L108" s="43">
        <v>31.642674552811282</v>
      </c>
      <c r="M108" s="189">
        <f>[2]!Table3[[#This Row],[CLM $ Collected ]]/'[2]1.) CLM Reference'!$B$4</f>
        <v>1.404149182534738E-6</v>
      </c>
      <c r="N108" s="45">
        <v>0</v>
      </c>
      <c r="O108" s="190">
        <f>[2]!Table3[[#This Row],[Incentive Disbursements]]/'[2]1.) CLM Reference'!$B$5</f>
        <v>0</v>
      </c>
      <c r="P108" t="str">
        <f t="shared" si="1"/>
        <v>N/A</v>
      </c>
      <c r="Q108" t="str">
        <f>VLOOKUP(Table8[[#This Row],[Census Tract]],'UI EnergyBurden'!$A$2:$B$184,2,FALSE)</f>
        <v>No</v>
      </c>
      <c r="R108">
        <f>VLOOKUP(Table8[[#This Row],[Census Tract]],'Population and Diversity Data'!$B$2:$K$823,10,FALSE)</f>
        <v>3</v>
      </c>
    </row>
    <row r="109" spans="1:18" ht="17" thickBot="1" x14ac:dyDescent="0.25">
      <c r="A109" s="144">
        <v>9001090500</v>
      </c>
      <c r="B109" s="144" t="s">
        <v>956</v>
      </c>
      <c r="C109" s="139" t="s">
        <v>3886</v>
      </c>
      <c r="D109" s="186">
        <f>[2]!Table3[[#This Row],[Residential CLM $ Collected]]+[2]!Table3[[#This Row],[C&amp;I CLM $ Collected]]</f>
        <v>126.75074844578836</v>
      </c>
      <c r="E109" s="187">
        <f>[2]!Table3[[#This Row],[CLM $ Collected ]]/'[2]1.) CLM Reference'!$B$4</f>
        <v>5.6245864905881553E-6</v>
      </c>
      <c r="F109" s="188">
        <f>[2]!Table3[[#This Row],[Residential Incentive Disbursements]]+[2]!Table3[[#This Row],[C&amp;I Incentive Disbursements]]</f>
        <v>0</v>
      </c>
      <c r="G109" s="187">
        <f>[2]!Table3[[#This Row],[Incentive Disbursements]]/'[2]1.) CLM Reference'!$B$5</f>
        <v>0</v>
      </c>
      <c r="H109" s="43">
        <v>116.30321816959754</v>
      </c>
      <c r="I109" s="44">
        <f>[2]!Table3[[#This Row],[CLM $ Collected ]]/'[2]1.) CLM Reference'!$B$4</f>
        <v>5.6245864905881553E-6</v>
      </c>
      <c r="J109" s="45">
        <v>0</v>
      </c>
      <c r="K109" s="44">
        <f>[2]!Table3[[#This Row],[Incentive Disbursements]]/'[2]1.) CLM Reference'!$B$5</f>
        <v>0</v>
      </c>
      <c r="L109" s="43">
        <v>10.447530276190825</v>
      </c>
      <c r="M109" s="189">
        <f>[2]!Table3[[#This Row],[CLM $ Collected ]]/'[2]1.) CLM Reference'!$B$4</f>
        <v>5.6245864905881553E-6</v>
      </c>
      <c r="N109" s="45">
        <v>0</v>
      </c>
      <c r="O109" s="190">
        <f>[2]!Table3[[#This Row],[Incentive Disbursements]]/'[2]1.) CLM Reference'!$B$5</f>
        <v>0</v>
      </c>
      <c r="P109" t="str">
        <f t="shared" si="1"/>
        <v>NO</v>
      </c>
      <c r="Q109" t="str">
        <f>VLOOKUP(Table8[[#This Row],[Census Tract]],'UI EnergyBurden'!$A$2:$B$184,2,FALSE)</f>
        <v>No</v>
      </c>
      <c r="R109">
        <f>VLOOKUP(Table8[[#This Row],[Census Tract]],'Population and Diversity Data'!$B$2:$K$823,10,FALSE)</f>
        <v>3</v>
      </c>
    </row>
    <row r="110" spans="1:18" ht="17" thickBot="1" x14ac:dyDescent="0.25">
      <c r="A110" s="144">
        <v>9001090500</v>
      </c>
      <c r="B110" s="144" t="s">
        <v>2984</v>
      </c>
      <c r="C110" s="139" t="s">
        <v>3886</v>
      </c>
      <c r="D110" s="186">
        <f>[2]!Table3[[#This Row],[Residential CLM $ Collected]]+[2]!Table3[[#This Row],[C&amp;I CLM $ Collected]]</f>
        <v>91929.70711932941</v>
      </c>
      <c r="E110" s="187">
        <f>[2]!Table3[[#This Row],[CLM $ Collected ]]/'[2]1.) CLM Reference'!$B$4</f>
        <v>4.0793967300970756E-3</v>
      </c>
      <c r="F110" s="188">
        <f>[2]!Table3[[#This Row],[Residential Incentive Disbursements]]+[2]!Table3[[#This Row],[C&amp;I Incentive Disbursements]]</f>
        <v>179603.24</v>
      </c>
      <c r="G110" s="187">
        <f>[2]!Table3[[#This Row],[Incentive Disbursements]]/'[2]1.) CLM Reference'!$B$5</f>
        <v>5.5449225470988036E-3</v>
      </c>
      <c r="H110" s="43">
        <v>73956.746456768175</v>
      </c>
      <c r="I110" s="44">
        <f>[2]!Table3[[#This Row],[CLM $ Collected ]]/'[2]1.) CLM Reference'!$B$4</f>
        <v>4.0793967300970756E-3</v>
      </c>
      <c r="J110" s="45">
        <v>136646.46</v>
      </c>
      <c r="K110" s="44">
        <f>[2]!Table3[[#This Row],[Incentive Disbursements]]/'[2]1.) CLM Reference'!$B$5</f>
        <v>5.5449225470988036E-3</v>
      </c>
      <c r="L110" s="43">
        <v>17972.960662561236</v>
      </c>
      <c r="M110" s="189">
        <f>[2]!Table3[[#This Row],[CLM $ Collected ]]/'[2]1.) CLM Reference'!$B$4</f>
        <v>4.0793967300970756E-3</v>
      </c>
      <c r="N110" s="45">
        <v>42956.78</v>
      </c>
      <c r="O110" s="190">
        <f>[2]!Table3[[#This Row],[Incentive Disbursements]]/'[2]1.) CLM Reference'!$B$5</f>
        <v>5.5449225470988036E-3</v>
      </c>
      <c r="P110" t="str">
        <f t="shared" si="1"/>
        <v>YES</v>
      </c>
      <c r="Q110" t="str">
        <f>VLOOKUP(Table8[[#This Row],[Census Tract]],'UI EnergyBurden'!$A$2:$B$184,2,FALSE)</f>
        <v>No</v>
      </c>
      <c r="R110">
        <f>VLOOKUP(Table8[[#This Row],[Census Tract]],'Population and Diversity Data'!$B$2:$K$823,10,FALSE)</f>
        <v>3</v>
      </c>
    </row>
    <row r="111" spans="1:18" ht="17" thickBot="1" x14ac:dyDescent="0.25">
      <c r="A111" s="144">
        <v>9001090600</v>
      </c>
      <c r="B111" s="144" t="s">
        <v>2989</v>
      </c>
      <c r="C111" s="139" t="s">
        <v>3886</v>
      </c>
      <c r="D111" s="186">
        <f>[2]!Table3[[#This Row],[Residential CLM $ Collected]]+[2]!Table3[[#This Row],[C&amp;I CLM $ Collected]]</f>
        <v>39.186317712906629</v>
      </c>
      <c r="E111" s="187">
        <f>[2]!Table3[[#This Row],[CLM $ Collected ]]/'[2]1.) CLM Reference'!$B$4</f>
        <v>1.7388996587911949E-6</v>
      </c>
      <c r="F111" s="188">
        <f>[2]!Table3[[#This Row],[Residential Incentive Disbursements]]+[2]!Table3[[#This Row],[C&amp;I Incentive Disbursements]]</f>
        <v>0</v>
      </c>
      <c r="G111" s="187">
        <f>[2]!Table3[[#This Row],[Incentive Disbursements]]/'[2]1.) CLM Reference'!$B$5</f>
        <v>0</v>
      </c>
      <c r="H111" s="43">
        <v>39.186317712906629</v>
      </c>
      <c r="I111" s="44">
        <f>[2]!Table3[[#This Row],[CLM $ Collected ]]/'[2]1.) CLM Reference'!$B$4</f>
        <v>1.7388996587911949E-6</v>
      </c>
      <c r="J111" s="45">
        <v>0</v>
      </c>
      <c r="K111" s="44">
        <f>[2]!Table3[[#This Row],[Incentive Disbursements]]/'[2]1.) CLM Reference'!$B$5</f>
        <v>0</v>
      </c>
      <c r="L111" s="43">
        <v>0</v>
      </c>
      <c r="M111" s="189">
        <f>[2]!Table3[[#This Row],[CLM $ Collected ]]/'[2]1.) CLM Reference'!$B$4</f>
        <v>1.7388996587911949E-6</v>
      </c>
      <c r="N111" s="45">
        <v>0</v>
      </c>
      <c r="O111" s="190">
        <f>[2]!Table3[[#This Row],[Incentive Disbursements]]/'[2]1.) CLM Reference'!$B$5</f>
        <v>0</v>
      </c>
      <c r="P111" t="str">
        <f t="shared" si="1"/>
        <v>N/A</v>
      </c>
      <c r="Q111" t="str">
        <f>VLOOKUP(Table8[[#This Row],[Census Tract]],'UI EnergyBurden'!$A$2:$B$184,2,FALSE)</f>
        <v>No</v>
      </c>
      <c r="R111">
        <f>VLOOKUP(Table8[[#This Row],[Census Tract]],'Population and Diversity Data'!$B$2:$K$823,10,FALSE)</f>
        <v>2</v>
      </c>
    </row>
    <row r="112" spans="1:18" ht="17" thickBot="1" x14ac:dyDescent="0.25">
      <c r="A112" s="144">
        <v>9001090600</v>
      </c>
      <c r="B112" s="144" t="s">
        <v>2984</v>
      </c>
      <c r="C112" s="139" t="s">
        <v>3886</v>
      </c>
      <c r="D112" s="186">
        <f>[2]!Table3[[#This Row],[Residential CLM $ Collected]]+[2]!Table3[[#This Row],[C&amp;I CLM $ Collected]]</f>
        <v>65847.690160134778</v>
      </c>
      <c r="E112" s="187">
        <f>[2]!Table3[[#This Row],[CLM $ Collected ]]/'[2]1.) CLM Reference'!$B$4</f>
        <v>2.9220026946786453E-3</v>
      </c>
      <c r="F112" s="188">
        <f>[2]!Table3[[#This Row],[Residential Incentive Disbursements]]+[2]!Table3[[#This Row],[C&amp;I Incentive Disbursements]]</f>
        <v>163569.98000000001</v>
      </c>
      <c r="G112" s="187">
        <f>[2]!Table3[[#This Row],[Incentive Disbursements]]/'[2]1.) CLM Reference'!$B$5</f>
        <v>5.0499248795873638E-3</v>
      </c>
      <c r="H112" s="43">
        <v>63026.30298484159</v>
      </c>
      <c r="I112" s="44">
        <f>[2]!Table3[[#This Row],[CLM $ Collected ]]/'[2]1.) CLM Reference'!$B$4</f>
        <v>2.9220026946786453E-3</v>
      </c>
      <c r="J112" s="45">
        <v>149705.74000000002</v>
      </c>
      <c r="K112" s="44">
        <f>[2]!Table3[[#This Row],[Incentive Disbursements]]/'[2]1.) CLM Reference'!$B$5</f>
        <v>5.0499248795873638E-3</v>
      </c>
      <c r="L112" s="43">
        <v>2821.387175293195</v>
      </c>
      <c r="M112" s="189">
        <f>[2]!Table3[[#This Row],[CLM $ Collected ]]/'[2]1.) CLM Reference'!$B$4</f>
        <v>2.9220026946786453E-3</v>
      </c>
      <c r="N112" s="45">
        <v>13864.24</v>
      </c>
      <c r="O112" s="190">
        <f>[2]!Table3[[#This Row],[Incentive Disbursements]]/'[2]1.) CLM Reference'!$B$5</f>
        <v>5.0499248795873638E-3</v>
      </c>
      <c r="P112" t="str">
        <f t="shared" si="1"/>
        <v>YES</v>
      </c>
      <c r="Q112" t="str">
        <f>VLOOKUP(Table8[[#This Row],[Census Tract]],'UI EnergyBurden'!$A$2:$B$184,2,FALSE)</f>
        <v>No</v>
      </c>
      <c r="R112">
        <f>VLOOKUP(Table8[[#This Row],[Census Tract]],'Population and Diversity Data'!$B$2:$K$823,10,FALSE)</f>
        <v>2</v>
      </c>
    </row>
    <row r="113" spans="1:18" ht="17" thickBot="1" x14ac:dyDescent="0.25">
      <c r="A113" s="144">
        <v>9001090700</v>
      </c>
      <c r="B113" s="144" t="s">
        <v>934</v>
      </c>
      <c r="C113" s="139" t="s">
        <v>3886</v>
      </c>
      <c r="D113" s="186">
        <f>[2]!Table3[[#This Row],[Residential CLM $ Collected]]+[2]!Table3[[#This Row],[C&amp;I CLM $ Collected]]</f>
        <v>25.137782745850224</v>
      </c>
      <c r="E113" s="187">
        <f>[2]!Table3[[#This Row],[CLM $ Collected ]]/'[2]1.) CLM Reference'!$B$4</f>
        <v>1.1154934781006199E-6</v>
      </c>
      <c r="F113" s="188">
        <f>[2]!Table3[[#This Row],[Residential Incentive Disbursements]]+[2]!Table3[[#This Row],[C&amp;I Incentive Disbursements]]</f>
        <v>0</v>
      </c>
      <c r="G113" s="187">
        <f>[2]!Table3[[#This Row],[Incentive Disbursements]]/'[2]1.) CLM Reference'!$B$5</f>
        <v>0</v>
      </c>
      <c r="H113" s="43">
        <v>0</v>
      </c>
      <c r="I113" s="44">
        <f>[2]!Table3[[#This Row],[CLM $ Collected ]]/'[2]1.) CLM Reference'!$B$4</f>
        <v>1.1154934781006199E-6</v>
      </c>
      <c r="J113" s="45">
        <v>0</v>
      </c>
      <c r="K113" s="44">
        <f>[2]!Table3[[#This Row],[Incentive Disbursements]]/'[2]1.) CLM Reference'!$B$5</f>
        <v>0</v>
      </c>
      <c r="L113" s="43">
        <v>25.137782745850224</v>
      </c>
      <c r="M113" s="189">
        <f>[2]!Table3[[#This Row],[CLM $ Collected ]]/'[2]1.) CLM Reference'!$B$4</f>
        <v>1.1154934781006199E-6</v>
      </c>
      <c r="N113" s="45">
        <v>0</v>
      </c>
      <c r="O113" s="190">
        <f>[2]!Table3[[#This Row],[Incentive Disbursements]]/'[2]1.) CLM Reference'!$B$5</f>
        <v>0</v>
      </c>
      <c r="P113" t="str">
        <f t="shared" si="1"/>
        <v>N/A</v>
      </c>
      <c r="Q113" t="str">
        <f>VLOOKUP(Table8[[#This Row],[Census Tract]],'UI EnergyBurden'!$A$2:$B$184,2,FALSE)</f>
        <v>No</v>
      </c>
      <c r="R113">
        <f>VLOOKUP(Table8[[#This Row],[Census Tract]],'Population and Diversity Data'!$B$2:$K$823,10,FALSE)</f>
        <v>3</v>
      </c>
    </row>
    <row r="114" spans="1:18" ht="17" thickBot="1" x14ac:dyDescent="0.25">
      <c r="A114" s="144">
        <v>9001090700</v>
      </c>
      <c r="B114" s="144" t="s">
        <v>2989</v>
      </c>
      <c r="C114" s="139" t="s">
        <v>3886</v>
      </c>
      <c r="D114" s="186">
        <f>[2]!Table3[[#This Row],[Residential CLM $ Collected]]+[2]!Table3[[#This Row],[C&amp;I CLM $ Collected]]</f>
        <v>326.23255830170064</v>
      </c>
      <c r="E114" s="187">
        <f>[2]!Table3[[#This Row],[CLM $ Collected ]]/'[2]1.) CLM Reference'!$B$4</f>
        <v>1.4476626471350265E-5</v>
      </c>
      <c r="F114" s="188">
        <f>[2]!Table3[[#This Row],[Residential Incentive Disbursements]]+[2]!Table3[[#This Row],[C&amp;I Incentive Disbursements]]</f>
        <v>0</v>
      </c>
      <c r="G114" s="187">
        <f>[2]!Table3[[#This Row],[Incentive Disbursements]]/'[2]1.) CLM Reference'!$B$5</f>
        <v>0</v>
      </c>
      <c r="H114" s="43">
        <v>326.23255830170064</v>
      </c>
      <c r="I114" s="44">
        <f>[2]!Table3[[#This Row],[CLM $ Collected ]]/'[2]1.) CLM Reference'!$B$4</f>
        <v>1.4476626471350265E-5</v>
      </c>
      <c r="J114" s="45">
        <v>0</v>
      </c>
      <c r="K114" s="44">
        <f>[2]!Table3[[#This Row],[Incentive Disbursements]]/'[2]1.) CLM Reference'!$B$5</f>
        <v>0</v>
      </c>
      <c r="L114" s="43">
        <v>0</v>
      </c>
      <c r="M114" s="189">
        <f>[2]!Table3[[#This Row],[CLM $ Collected ]]/'[2]1.) CLM Reference'!$B$4</f>
        <v>1.4476626471350265E-5</v>
      </c>
      <c r="N114" s="45">
        <v>0</v>
      </c>
      <c r="O114" s="190">
        <f>[2]!Table3[[#This Row],[Incentive Disbursements]]/'[2]1.) CLM Reference'!$B$5</f>
        <v>0</v>
      </c>
      <c r="P114" t="str">
        <f t="shared" si="1"/>
        <v>NO</v>
      </c>
      <c r="Q114" t="str">
        <f>VLOOKUP(Table8[[#This Row],[Census Tract]],'UI EnergyBurden'!$A$2:$B$184,2,FALSE)</f>
        <v>No</v>
      </c>
      <c r="R114">
        <f>VLOOKUP(Table8[[#This Row],[Census Tract]],'Population and Diversity Data'!$B$2:$K$823,10,FALSE)</f>
        <v>3</v>
      </c>
    </row>
    <row r="115" spans="1:18" ht="17" thickBot="1" x14ac:dyDescent="0.25">
      <c r="A115" s="144">
        <v>9001090700</v>
      </c>
      <c r="B115" s="144" t="s">
        <v>2984</v>
      </c>
      <c r="C115" s="139" t="s">
        <v>3886</v>
      </c>
      <c r="D115" s="186">
        <f>[2]!Table3[[#This Row],[Residential CLM $ Collected]]+[2]!Table3[[#This Row],[C&amp;I CLM $ Collected]]</f>
        <v>110934.24482567937</v>
      </c>
      <c r="E115" s="187">
        <f>[2]!Table3[[#This Row],[CLM $ Collected ]]/'[2]1.) CLM Reference'!$B$4</f>
        <v>4.9227263936590026E-3</v>
      </c>
      <c r="F115" s="188">
        <f>[2]!Table3[[#This Row],[Residential Incentive Disbursements]]+[2]!Table3[[#This Row],[C&amp;I Incentive Disbursements]]</f>
        <v>169287.08</v>
      </c>
      <c r="G115" s="187">
        <f>[2]!Table3[[#This Row],[Incentive Disbursements]]/'[2]1.) CLM Reference'!$B$5</f>
        <v>5.2264299175478063E-3</v>
      </c>
      <c r="H115" s="43">
        <v>92919.858759155148</v>
      </c>
      <c r="I115" s="44">
        <f>[2]!Table3[[#This Row],[CLM $ Collected ]]/'[2]1.) CLM Reference'!$B$4</f>
        <v>4.9227263936590026E-3</v>
      </c>
      <c r="J115" s="45">
        <v>164257.07999999999</v>
      </c>
      <c r="K115" s="44">
        <f>[2]!Table3[[#This Row],[Incentive Disbursements]]/'[2]1.) CLM Reference'!$B$5</f>
        <v>5.2264299175478063E-3</v>
      </c>
      <c r="L115" s="43">
        <v>18014.386066524232</v>
      </c>
      <c r="M115" s="189">
        <f>[2]!Table3[[#This Row],[CLM $ Collected ]]/'[2]1.) CLM Reference'!$B$4</f>
        <v>4.9227263936590026E-3</v>
      </c>
      <c r="N115" s="45">
        <v>5030</v>
      </c>
      <c r="O115" s="190">
        <f>[2]!Table3[[#This Row],[Incentive Disbursements]]/'[2]1.) CLM Reference'!$B$5</f>
        <v>5.2264299175478063E-3</v>
      </c>
      <c r="P115" t="str">
        <f t="shared" si="1"/>
        <v>YES</v>
      </c>
      <c r="Q115" t="str">
        <f>VLOOKUP(Table8[[#This Row],[Census Tract]],'UI EnergyBurden'!$A$2:$B$184,2,FALSE)</f>
        <v>No</v>
      </c>
      <c r="R115">
        <f>VLOOKUP(Table8[[#This Row],[Census Tract]],'Population and Diversity Data'!$B$2:$K$823,10,FALSE)</f>
        <v>3</v>
      </c>
    </row>
    <row r="116" spans="1:18" ht="17" thickBot="1" x14ac:dyDescent="0.25">
      <c r="A116" s="144">
        <v>9001100100</v>
      </c>
      <c r="B116" s="144" t="s">
        <v>2989</v>
      </c>
      <c r="C116" s="139" t="s">
        <v>944</v>
      </c>
      <c r="D116" s="186">
        <f>[2]!Table3[[#This Row],[Residential CLM $ Collected]]+[2]!Table3[[#This Row],[C&amp;I CLM $ Collected]]</f>
        <v>233.10503698869957</v>
      </c>
      <c r="E116" s="187">
        <f>[2]!Table3[[#This Row],[CLM $ Collected ]]/'[2]1.) CLM Reference'!$B$4</f>
        <v>1.0344076528238105E-5</v>
      </c>
      <c r="F116" s="188">
        <f>[2]!Table3[[#This Row],[Residential Incentive Disbursements]]+[2]!Table3[[#This Row],[C&amp;I Incentive Disbursements]]</f>
        <v>0</v>
      </c>
      <c r="G116" s="187">
        <f>[2]!Table3[[#This Row],[Incentive Disbursements]]/'[2]1.) CLM Reference'!$B$5</f>
        <v>0</v>
      </c>
      <c r="H116" s="43">
        <v>233.10503698869957</v>
      </c>
      <c r="I116" s="44">
        <f>[2]!Table3[[#This Row],[CLM $ Collected ]]/'[2]1.) CLM Reference'!$B$4</f>
        <v>1.0344076528238105E-5</v>
      </c>
      <c r="J116" s="45">
        <v>0</v>
      </c>
      <c r="K116" s="44">
        <f>[2]!Table3[[#This Row],[Incentive Disbursements]]/'[2]1.) CLM Reference'!$B$5</f>
        <v>0</v>
      </c>
      <c r="L116" s="43">
        <v>0</v>
      </c>
      <c r="M116" s="189">
        <f>[2]!Table3[[#This Row],[CLM $ Collected ]]/'[2]1.) CLM Reference'!$B$4</f>
        <v>1.0344076528238105E-5</v>
      </c>
      <c r="N116" s="45">
        <v>0</v>
      </c>
      <c r="O116" s="190">
        <f>[2]!Table3[[#This Row],[Incentive Disbursements]]/'[2]1.) CLM Reference'!$B$5</f>
        <v>0</v>
      </c>
      <c r="P116" t="str">
        <f t="shared" si="1"/>
        <v>NO</v>
      </c>
      <c r="Q116" t="str">
        <f>VLOOKUP(Table8[[#This Row],[Census Tract]],'UI EnergyBurden'!$A$2:$B$184,2,FALSE)</f>
        <v>No</v>
      </c>
      <c r="R116">
        <f>VLOOKUP(Table8[[#This Row],[Census Tract]],'Population and Diversity Data'!$B$2:$K$823,10,FALSE)</f>
        <v>3</v>
      </c>
    </row>
    <row r="117" spans="1:18" ht="17" thickBot="1" x14ac:dyDescent="0.25">
      <c r="A117" s="144">
        <v>9001100100</v>
      </c>
      <c r="B117" s="144" t="s">
        <v>2984</v>
      </c>
      <c r="C117" s="139" t="s">
        <v>944</v>
      </c>
      <c r="D117" s="186">
        <f>[2]!Table3[[#This Row],[Residential CLM $ Collected]]+[2]!Table3[[#This Row],[C&amp;I CLM $ Collected]]</f>
        <v>485.14304864052718</v>
      </c>
      <c r="E117" s="187">
        <f>[2]!Table3[[#This Row],[CLM $ Collected ]]/'[2]1.) CLM Reference'!$B$4</f>
        <v>2.1528307097558057E-5</v>
      </c>
      <c r="F117" s="188">
        <f>[2]!Table3[[#This Row],[Residential Incentive Disbursements]]+[2]!Table3[[#This Row],[C&amp;I Incentive Disbursements]]</f>
        <v>0</v>
      </c>
      <c r="G117" s="187">
        <f>[2]!Table3[[#This Row],[Incentive Disbursements]]/'[2]1.) CLM Reference'!$B$5</f>
        <v>0</v>
      </c>
      <c r="H117" s="43">
        <v>51.194283355139227</v>
      </c>
      <c r="I117" s="44">
        <f>[2]!Table3[[#This Row],[CLM $ Collected ]]/'[2]1.) CLM Reference'!$B$4</f>
        <v>2.1528307097558057E-5</v>
      </c>
      <c r="J117" s="45">
        <v>0</v>
      </c>
      <c r="K117" s="44">
        <f>[2]!Table3[[#This Row],[Incentive Disbursements]]/'[2]1.) CLM Reference'!$B$5</f>
        <v>0</v>
      </c>
      <c r="L117" s="43">
        <v>433.94876528538794</v>
      </c>
      <c r="M117" s="189">
        <f>[2]!Table3[[#This Row],[CLM $ Collected ]]/'[2]1.) CLM Reference'!$B$4</f>
        <v>2.1528307097558057E-5</v>
      </c>
      <c r="N117" s="45">
        <v>0</v>
      </c>
      <c r="O117" s="190">
        <f>[2]!Table3[[#This Row],[Incentive Disbursements]]/'[2]1.) CLM Reference'!$B$5</f>
        <v>0</v>
      </c>
      <c r="P117" t="str">
        <f t="shared" si="1"/>
        <v>NO</v>
      </c>
      <c r="Q117" t="str">
        <f>VLOOKUP(Table8[[#This Row],[Census Tract]],'UI EnergyBurden'!$A$2:$B$184,2,FALSE)</f>
        <v>No</v>
      </c>
      <c r="R117">
        <f>VLOOKUP(Table8[[#This Row],[Census Tract]],'Population and Diversity Data'!$B$2:$K$823,10,FALSE)</f>
        <v>3</v>
      </c>
    </row>
    <row r="118" spans="1:18" ht="17" thickBot="1" x14ac:dyDescent="0.25">
      <c r="A118" s="144">
        <v>9001100200</v>
      </c>
      <c r="B118" s="144" t="s">
        <v>2989</v>
      </c>
      <c r="C118" s="139" t="s">
        <v>944</v>
      </c>
      <c r="D118" s="186">
        <f>[2]!Table3[[#This Row],[Residential CLM $ Collected]]+[2]!Table3[[#This Row],[C&amp;I CLM $ Collected]]</f>
        <v>463.14921999016332</v>
      </c>
      <c r="E118" s="187">
        <f>[2]!Table3[[#This Row],[CLM $ Collected ]]/'[2]1.) CLM Reference'!$B$4</f>
        <v>2.0552327128839712E-5</v>
      </c>
      <c r="F118" s="188">
        <f>[2]!Table3[[#This Row],[Residential Incentive Disbursements]]+[2]!Table3[[#This Row],[C&amp;I Incentive Disbursements]]</f>
        <v>0</v>
      </c>
      <c r="G118" s="187">
        <f>[2]!Table3[[#This Row],[Incentive Disbursements]]/'[2]1.) CLM Reference'!$B$5</f>
        <v>0</v>
      </c>
      <c r="H118" s="43">
        <v>463.14921999016332</v>
      </c>
      <c r="I118" s="44">
        <f>[2]!Table3[[#This Row],[CLM $ Collected ]]/'[2]1.) CLM Reference'!$B$4</f>
        <v>2.0552327128839712E-5</v>
      </c>
      <c r="J118" s="45">
        <v>0</v>
      </c>
      <c r="K118" s="44">
        <f>[2]!Table3[[#This Row],[Incentive Disbursements]]/'[2]1.) CLM Reference'!$B$5</f>
        <v>0</v>
      </c>
      <c r="L118" s="43">
        <v>0</v>
      </c>
      <c r="M118" s="189">
        <f>[2]!Table3[[#This Row],[CLM $ Collected ]]/'[2]1.) CLM Reference'!$B$4</f>
        <v>2.0552327128839712E-5</v>
      </c>
      <c r="N118" s="45">
        <v>0</v>
      </c>
      <c r="O118" s="190">
        <f>[2]!Table3[[#This Row],[Incentive Disbursements]]/'[2]1.) CLM Reference'!$B$5</f>
        <v>0</v>
      </c>
      <c r="P118" t="str">
        <f t="shared" si="1"/>
        <v>NO</v>
      </c>
      <c r="Q118" t="str">
        <f>VLOOKUP(Table8[[#This Row],[Census Tract]],'UI EnergyBurden'!$A$2:$B$184,2,FALSE)</f>
        <v>No</v>
      </c>
      <c r="R118">
        <f>VLOOKUP(Table8[[#This Row],[Census Tract]],'Population and Diversity Data'!$B$2:$K$823,10,FALSE)</f>
        <v>4</v>
      </c>
    </row>
    <row r="119" spans="1:18" ht="17" thickBot="1" x14ac:dyDescent="0.25">
      <c r="A119" s="144">
        <v>9001105100</v>
      </c>
      <c r="B119" s="144" t="s">
        <v>2982</v>
      </c>
      <c r="C119" s="139" t="s">
        <v>3886</v>
      </c>
      <c r="D119" s="186">
        <f>[2]!Table3[[#This Row],[Residential CLM $ Collected]]+[2]!Table3[[#This Row],[C&amp;I CLM $ Collected]]</f>
        <v>95916.213212370261</v>
      </c>
      <c r="E119" s="187">
        <f>[2]!Table3[[#This Row],[CLM $ Collected ]]/'[2]1.) CLM Reference'!$B$4</f>
        <v>4.2562986307998953E-3</v>
      </c>
      <c r="F119" s="188">
        <f>[2]!Table3[[#This Row],[Residential Incentive Disbursements]]+[2]!Table3[[#This Row],[C&amp;I Incentive Disbursements]]</f>
        <v>48319.200000000012</v>
      </c>
      <c r="G119" s="187">
        <f>[2]!Table3[[#This Row],[Incentive Disbursements]]/'[2]1.) CLM Reference'!$B$5</f>
        <v>1.4917671949446823E-3</v>
      </c>
      <c r="H119" s="43">
        <v>91277.40358626988</v>
      </c>
      <c r="I119" s="44">
        <f>[2]!Table3[[#This Row],[CLM $ Collected ]]/'[2]1.) CLM Reference'!$B$4</f>
        <v>4.2562986307998953E-3</v>
      </c>
      <c r="J119" s="45">
        <v>47999.200000000012</v>
      </c>
      <c r="K119" s="44">
        <f>[2]!Table3[[#This Row],[Incentive Disbursements]]/'[2]1.) CLM Reference'!$B$5</f>
        <v>1.4917671949446823E-3</v>
      </c>
      <c r="L119" s="43">
        <v>4638.8096261003811</v>
      </c>
      <c r="M119" s="189">
        <f>[2]!Table3[[#This Row],[CLM $ Collected ]]/'[2]1.) CLM Reference'!$B$4</f>
        <v>4.2562986307998953E-3</v>
      </c>
      <c r="N119" s="45">
        <v>320</v>
      </c>
      <c r="O119" s="190">
        <f>[2]!Table3[[#This Row],[Incentive Disbursements]]/'[2]1.) CLM Reference'!$B$5</f>
        <v>1.4917671949446823E-3</v>
      </c>
      <c r="P119" t="str">
        <f t="shared" si="1"/>
        <v>NO</v>
      </c>
      <c r="Q119" t="str">
        <f>VLOOKUP(Table8[[#This Row],[Census Tract]],'UI EnergyBurden'!$A$2:$B$184,2,FALSE)</f>
        <v>No</v>
      </c>
      <c r="R119">
        <f>VLOOKUP(Table8[[#This Row],[Census Tract]],'Population and Diversity Data'!$B$2:$K$823,10,FALSE)</f>
        <v>1</v>
      </c>
    </row>
    <row r="120" spans="1:18" ht="17" thickBot="1" x14ac:dyDescent="0.25">
      <c r="A120" s="144">
        <v>9001105100</v>
      </c>
      <c r="B120" s="144" t="s">
        <v>2983</v>
      </c>
      <c r="C120" s="139" t="s">
        <v>3886</v>
      </c>
      <c r="D120" s="186">
        <f>[2]!Table3[[#This Row],[Residential CLM $ Collected]]+[2]!Table3[[#This Row],[C&amp;I CLM $ Collected]]</f>
        <v>95.842124849192004</v>
      </c>
      <c r="E120" s="187">
        <f>[2]!Table3[[#This Row],[CLM $ Collected ]]/'[2]1.) CLM Reference'!$B$4</f>
        <v>4.2530109468078715E-6</v>
      </c>
      <c r="F120" s="188">
        <f>[2]!Table3[[#This Row],[Residential Incentive Disbursements]]+[2]!Table3[[#This Row],[C&amp;I Incentive Disbursements]]</f>
        <v>0</v>
      </c>
      <c r="G120" s="187">
        <f>[2]!Table3[[#This Row],[Incentive Disbursements]]/'[2]1.) CLM Reference'!$B$5</f>
        <v>0</v>
      </c>
      <c r="H120" s="43">
        <v>95.842124849192004</v>
      </c>
      <c r="I120" s="44">
        <f>[2]!Table3[[#This Row],[CLM $ Collected ]]/'[2]1.) CLM Reference'!$B$4</f>
        <v>4.2530109468078715E-6</v>
      </c>
      <c r="J120" s="45">
        <v>0</v>
      </c>
      <c r="K120" s="44">
        <f>[2]!Table3[[#This Row],[Incentive Disbursements]]/'[2]1.) CLM Reference'!$B$5</f>
        <v>0</v>
      </c>
      <c r="L120" s="43">
        <v>0</v>
      </c>
      <c r="M120" s="189">
        <f>[2]!Table3[[#This Row],[CLM $ Collected ]]/'[2]1.) CLM Reference'!$B$4</f>
        <v>4.2530109468078715E-6</v>
      </c>
      <c r="N120" s="45">
        <v>0</v>
      </c>
      <c r="O120" s="190">
        <f>[2]!Table3[[#This Row],[Incentive Disbursements]]/'[2]1.) CLM Reference'!$B$5</f>
        <v>0</v>
      </c>
      <c r="P120" t="str">
        <f t="shared" si="1"/>
        <v>N/A</v>
      </c>
      <c r="Q120" t="str">
        <f>VLOOKUP(Table8[[#This Row],[Census Tract]],'UI EnergyBurden'!$A$2:$B$184,2,FALSE)</f>
        <v>No</v>
      </c>
      <c r="R120">
        <f>VLOOKUP(Table8[[#This Row],[Census Tract]],'Population and Diversity Data'!$B$2:$K$823,10,FALSE)</f>
        <v>1</v>
      </c>
    </row>
    <row r="121" spans="1:18" ht="17" thickBot="1" x14ac:dyDescent="0.25">
      <c r="A121" s="144">
        <v>9001105100</v>
      </c>
      <c r="B121" s="144" t="s">
        <v>2984</v>
      </c>
      <c r="C121" s="139" t="s">
        <v>3886</v>
      </c>
      <c r="D121" s="186">
        <f>[2]!Table3[[#This Row],[Residential CLM $ Collected]]+[2]!Table3[[#This Row],[C&amp;I CLM $ Collected]]</f>
        <v>340.90896075331818</v>
      </c>
      <c r="E121" s="187">
        <f>[2]!Table3[[#This Row],[CLM $ Collected ]]/'[2]1.) CLM Reference'!$B$4</f>
        <v>1.5127894380786785E-5</v>
      </c>
      <c r="F121" s="188">
        <f>[2]!Table3[[#This Row],[Residential Incentive Disbursements]]+[2]!Table3[[#This Row],[C&amp;I Incentive Disbursements]]</f>
        <v>0</v>
      </c>
      <c r="G121" s="187">
        <f>[2]!Table3[[#This Row],[Incentive Disbursements]]/'[2]1.) CLM Reference'!$B$5</f>
        <v>0</v>
      </c>
      <c r="H121" s="43">
        <v>340.90896075331818</v>
      </c>
      <c r="I121" s="44">
        <f>[2]!Table3[[#This Row],[CLM $ Collected ]]/'[2]1.) CLM Reference'!$B$4</f>
        <v>1.5127894380786785E-5</v>
      </c>
      <c r="J121" s="45">
        <v>0</v>
      </c>
      <c r="K121" s="44">
        <f>[2]!Table3[[#This Row],[Incentive Disbursements]]/'[2]1.) CLM Reference'!$B$5</f>
        <v>0</v>
      </c>
      <c r="L121" s="43">
        <v>0</v>
      </c>
      <c r="M121" s="189">
        <f>[2]!Table3[[#This Row],[CLM $ Collected ]]/'[2]1.) CLM Reference'!$B$4</f>
        <v>1.5127894380786785E-5</v>
      </c>
      <c r="N121" s="45">
        <v>0</v>
      </c>
      <c r="O121" s="190">
        <f>[2]!Table3[[#This Row],[Incentive Disbursements]]/'[2]1.) CLM Reference'!$B$5</f>
        <v>0</v>
      </c>
      <c r="P121" t="str">
        <f t="shared" si="1"/>
        <v>NO</v>
      </c>
      <c r="Q121" t="str">
        <f>VLOOKUP(Table8[[#This Row],[Census Tract]],'UI EnergyBurden'!$A$2:$B$184,2,FALSE)</f>
        <v>No</v>
      </c>
      <c r="R121">
        <f>VLOOKUP(Table8[[#This Row],[Census Tract]],'Population and Diversity Data'!$B$2:$K$823,10,FALSE)</f>
        <v>1</v>
      </c>
    </row>
    <row r="122" spans="1:18" ht="17" thickBot="1" x14ac:dyDescent="0.25">
      <c r="A122" s="144">
        <v>9001105200</v>
      </c>
      <c r="B122" s="144" t="s">
        <v>2982</v>
      </c>
      <c r="C122" s="139" t="s">
        <v>3886</v>
      </c>
      <c r="D122" s="186">
        <f>[2]!Table3[[#This Row],[Residential CLM $ Collected]]+[2]!Table3[[#This Row],[C&amp;I CLM $ Collected]]</f>
        <v>88771.053538027831</v>
      </c>
      <c r="E122" s="187">
        <f>[2]!Table3[[#This Row],[CLM $ Collected ]]/'[2]1.) CLM Reference'!$B$4</f>
        <v>3.9392309284770922E-3</v>
      </c>
      <c r="F122" s="188">
        <f>[2]!Table3[[#This Row],[Residential Incentive Disbursements]]+[2]!Table3[[#This Row],[C&amp;I Incentive Disbursements]]</f>
        <v>209169.02999999997</v>
      </c>
      <c r="G122" s="187">
        <f>[2]!Table3[[#This Row],[Incentive Disbursements]]/'[2]1.) CLM Reference'!$B$5</f>
        <v>6.4577124031937614E-3</v>
      </c>
      <c r="H122" s="43">
        <v>81860.277719006728</v>
      </c>
      <c r="I122" s="44">
        <f>[2]!Table3[[#This Row],[CLM $ Collected ]]/'[2]1.) CLM Reference'!$B$4</f>
        <v>3.9392309284770922E-3</v>
      </c>
      <c r="J122" s="45">
        <v>105440.02999999998</v>
      </c>
      <c r="K122" s="44">
        <f>[2]!Table3[[#This Row],[Incentive Disbursements]]/'[2]1.) CLM Reference'!$B$5</f>
        <v>6.4577124031937614E-3</v>
      </c>
      <c r="L122" s="43">
        <v>6910.775819021098</v>
      </c>
      <c r="M122" s="189">
        <f>[2]!Table3[[#This Row],[CLM $ Collected ]]/'[2]1.) CLM Reference'!$B$4</f>
        <v>3.9392309284770922E-3</v>
      </c>
      <c r="N122" s="45">
        <v>103729</v>
      </c>
      <c r="O122" s="190">
        <f>[2]!Table3[[#This Row],[Incentive Disbursements]]/'[2]1.) CLM Reference'!$B$5</f>
        <v>6.4577124031937614E-3</v>
      </c>
      <c r="P122" t="str">
        <f t="shared" si="1"/>
        <v>YES</v>
      </c>
      <c r="Q122" t="str">
        <f>VLOOKUP(Table8[[#This Row],[Census Tract]],'UI EnergyBurden'!$A$2:$B$184,2,FALSE)</f>
        <v>No</v>
      </c>
      <c r="R122">
        <f>VLOOKUP(Table8[[#This Row],[Census Tract]],'Population and Diversity Data'!$B$2:$K$823,10,FALSE)</f>
        <v>3</v>
      </c>
    </row>
    <row r="123" spans="1:18" ht="17" thickBot="1" x14ac:dyDescent="0.25">
      <c r="A123" s="144">
        <v>9001105200</v>
      </c>
      <c r="B123" s="144" t="s">
        <v>2984</v>
      </c>
      <c r="C123" s="139" t="s">
        <v>3886</v>
      </c>
      <c r="D123" s="186">
        <f>[2]!Table3[[#This Row],[Residential CLM $ Collected]]+[2]!Table3[[#This Row],[C&amp;I CLM $ Collected]]</f>
        <v>62.052697499903168</v>
      </c>
      <c r="E123" s="187">
        <f>[2]!Table3[[#This Row],[CLM $ Collected ]]/'[2]1.) CLM Reference'!$B$4</f>
        <v>2.7535992358402987E-6</v>
      </c>
      <c r="F123" s="188">
        <f>[2]!Table3[[#This Row],[Residential Incentive Disbursements]]+[2]!Table3[[#This Row],[C&amp;I Incentive Disbursements]]</f>
        <v>0</v>
      </c>
      <c r="G123" s="187">
        <f>[2]!Table3[[#This Row],[Incentive Disbursements]]/'[2]1.) CLM Reference'!$B$5</f>
        <v>0</v>
      </c>
      <c r="H123" s="43">
        <v>62.052697499903168</v>
      </c>
      <c r="I123" s="44">
        <f>[2]!Table3[[#This Row],[CLM $ Collected ]]/'[2]1.) CLM Reference'!$B$4</f>
        <v>2.7535992358402987E-6</v>
      </c>
      <c r="J123" s="45">
        <v>0</v>
      </c>
      <c r="K123" s="44">
        <f>[2]!Table3[[#This Row],[Incentive Disbursements]]/'[2]1.) CLM Reference'!$B$5</f>
        <v>0</v>
      </c>
      <c r="L123" s="43">
        <v>0</v>
      </c>
      <c r="M123" s="189">
        <f>[2]!Table3[[#This Row],[CLM $ Collected ]]/'[2]1.) CLM Reference'!$B$4</f>
        <v>2.7535992358402987E-6</v>
      </c>
      <c r="N123" s="45">
        <v>0</v>
      </c>
      <c r="O123" s="190">
        <f>[2]!Table3[[#This Row],[Incentive Disbursements]]/'[2]1.) CLM Reference'!$B$5</f>
        <v>0</v>
      </c>
      <c r="P123" t="str">
        <f t="shared" si="1"/>
        <v>N/A</v>
      </c>
      <c r="Q123" t="str">
        <f>VLOOKUP(Table8[[#This Row],[Census Tract]],'UI EnergyBurden'!$A$2:$B$184,2,FALSE)</f>
        <v>No</v>
      </c>
      <c r="R123">
        <f>VLOOKUP(Table8[[#This Row],[Census Tract]],'Population and Diversity Data'!$B$2:$K$823,10,FALSE)</f>
        <v>3</v>
      </c>
    </row>
    <row r="124" spans="1:18" ht="17" thickBot="1" x14ac:dyDescent="0.25">
      <c r="A124" s="144">
        <v>9001110100</v>
      </c>
      <c r="B124" s="144" t="s">
        <v>2989</v>
      </c>
      <c r="C124" s="139" t="s">
        <v>3886</v>
      </c>
      <c r="D124" s="186">
        <f>[2]!Table3[[#This Row],[Residential CLM $ Collected]]+[2]!Table3[[#This Row],[C&amp;I CLM $ Collected]]</f>
        <v>60502.663497410831</v>
      </c>
      <c r="E124" s="187">
        <f>[2]!Table3[[#This Row],[CLM $ Collected ]]/'[2]1.) CLM Reference'!$B$4</f>
        <v>2.6848162075957002E-3</v>
      </c>
      <c r="F124" s="188">
        <f>[2]!Table3[[#This Row],[Residential Incentive Disbursements]]+[2]!Table3[[#This Row],[C&amp;I Incentive Disbursements]]</f>
        <v>299190.18000000005</v>
      </c>
      <c r="G124" s="187">
        <f>[2]!Table3[[#This Row],[Incentive Disbursements]]/'[2]1.) CLM Reference'!$B$5</f>
        <v>9.2369512652029535E-3</v>
      </c>
      <c r="H124" s="43">
        <v>40533.075000599682</v>
      </c>
      <c r="I124" s="44">
        <f>[2]!Table3[[#This Row],[CLM $ Collected ]]/'[2]1.) CLM Reference'!$B$4</f>
        <v>2.6848162075957002E-3</v>
      </c>
      <c r="J124" s="45">
        <v>215606.02000000002</v>
      </c>
      <c r="K124" s="44">
        <f>[2]!Table3[[#This Row],[Incentive Disbursements]]/'[2]1.) CLM Reference'!$B$5</f>
        <v>9.2369512652029535E-3</v>
      </c>
      <c r="L124" s="43">
        <v>19969.588496811153</v>
      </c>
      <c r="M124" s="189">
        <f>[2]!Table3[[#This Row],[CLM $ Collected ]]/'[2]1.) CLM Reference'!$B$4</f>
        <v>2.6848162075957002E-3</v>
      </c>
      <c r="N124" s="45">
        <v>83584.160000000003</v>
      </c>
      <c r="O124" s="190">
        <f>[2]!Table3[[#This Row],[Incentive Disbursements]]/'[2]1.) CLM Reference'!$B$5</f>
        <v>9.2369512652029535E-3</v>
      </c>
      <c r="P124" t="str">
        <f t="shared" si="1"/>
        <v>YES</v>
      </c>
      <c r="Q124" t="str">
        <f>VLOOKUP(Table8[[#This Row],[Census Tract]],'UI EnergyBurden'!$A$2:$B$184,2,FALSE)</f>
        <v>No</v>
      </c>
      <c r="R124">
        <f>VLOOKUP(Table8[[#This Row],[Census Tract]],'Population and Diversity Data'!$B$2:$K$823,10,FALSE)</f>
        <v>3</v>
      </c>
    </row>
    <row r="125" spans="1:18" ht="17" thickBot="1" x14ac:dyDescent="0.25">
      <c r="A125" s="144">
        <v>9001110201</v>
      </c>
      <c r="B125" s="144" t="s">
        <v>2989</v>
      </c>
      <c r="C125" s="139" t="s">
        <v>3886</v>
      </c>
      <c r="D125" s="186">
        <f>[2]!Table3[[#This Row],[Residential CLM $ Collected]]+[2]!Table3[[#This Row],[C&amp;I CLM $ Collected]]</f>
        <v>83717.449721593832</v>
      </c>
      <c r="E125" s="187">
        <f>[2]!Table3[[#This Row],[CLM $ Collected ]]/'[2]1.) CLM Reference'!$B$4</f>
        <v>3.714976380845315E-3</v>
      </c>
      <c r="F125" s="188">
        <f>[2]!Table3[[#This Row],[Residential Incentive Disbursements]]+[2]!Table3[[#This Row],[C&amp;I Incentive Disbursements]]</f>
        <v>33343.149999999994</v>
      </c>
      <c r="G125" s="187">
        <f>[2]!Table3[[#This Row],[Incentive Disbursements]]/'[2]1.) CLM Reference'!$B$5</f>
        <v>1.029408958470334E-3</v>
      </c>
      <c r="H125" s="43">
        <v>77778.838985634793</v>
      </c>
      <c r="I125" s="44">
        <f>[2]!Table3[[#This Row],[CLM $ Collected ]]/'[2]1.) CLM Reference'!$B$4</f>
        <v>3.714976380845315E-3</v>
      </c>
      <c r="J125" s="45">
        <v>24135.449999999997</v>
      </c>
      <c r="K125" s="44">
        <f>[2]!Table3[[#This Row],[Incentive Disbursements]]/'[2]1.) CLM Reference'!$B$5</f>
        <v>1.029408958470334E-3</v>
      </c>
      <c r="L125" s="43">
        <v>5938.6107359590396</v>
      </c>
      <c r="M125" s="189">
        <f>[2]!Table3[[#This Row],[CLM $ Collected ]]/'[2]1.) CLM Reference'!$B$4</f>
        <v>3.714976380845315E-3</v>
      </c>
      <c r="N125" s="45">
        <v>9207.7000000000007</v>
      </c>
      <c r="O125" s="190">
        <f>[2]!Table3[[#This Row],[Incentive Disbursements]]/'[2]1.) CLM Reference'!$B$5</f>
        <v>1.029408958470334E-3</v>
      </c>
      <c r="P125" t="str">
        <f t="shared" si="1"/>
        <v>NO</v>
      </c>
      <c r="Q125" t="str">
        <f>VLOOKUP(Table8[[#This Row],[Census Tract]],'UI EnergyBurden'!$A$2:$B$184,2,FALSE)</f>
        <v>No</v>
      </c>
      <c r="R125">
        <f>VLOOKUP(Table8[[#This Row],[Census Tract]],'Population and Diversity Data'!$B$2:$K$823,10,FALSE)</f>
        <v>4</v>
      </c>
    </row>
    <row r="126" spans="1:18" ht="17" thickBot="1" x14ac:dyDescent="0.25">
      <c r="A126" s="144">
        <v>9001110202</v>
      </c>
      <c r="B126" s="144" t="s">
        <v>2989</v>
      </c>
      <c r="C126" s="139" t="s">
        <v>3886</v>
      </c>
      <c r="D126" s="186">
        <f>[2]!Table3[[#This Row],[Residential CLM $ Collected]]+[2]!Table3[[#This Row],[C&amp;I CLM $ Collected]]</f>
        <v>137683.99885470467</v>
      </c>
      <c r="E126" s="187">
        <f>[2]!Table3[[#This Row],[CLM $ Collected ]]/'[2]1.) CLM Reference'!$B$4</f>
        <v>6.1097513775987414E-3</v>
      </c>
      <c r="F126" s="188">
        <f>[2]!Table3[[#This Row],[Residential Incentive Disbursements]]+[2]!Table3[[#This Row],[C&amp;I Incentive Disbursements]]</f>
        <v>174876.86000000002</v>
      </c>
      <c r="G126" s="187">
        <f>[2]!Table3[[#This Row],[Incentive Disbursements]]/'[2]1.) CLM Reference'!$B$5</f>
        <v>5.3990041826630798E-3</v>
      </c>
      <c r="H126" s="43">
        <v>80784.412934193053</v>
      </c>
      <c r="I126" s="44">
        <f>[2]!Table3[[#This Row],[CLM $ Collected ]]/'[2]1.) CLM Reference'!$B$4</f>
        <v>6.1097513775987414E-3</v>
      </c>
      <c r="J126" s="45">
        <v>75108.860000000015</v>
      </c>
      <c r="K126" s="44">
        <f>[2]!Table3[[#This Row],[Incentive Disbursements]]/'[2]1.) CLM Reference'!$B$5</f>
        <v>5.3990041826630798E-3</v>
      </c>
      <c r="L126" s="43">
        <v>56899.585920511614</v>
      </c>
      <c r="M126" s="189">
        <f>[2]!Table3[[#This Row],[CLM $ Collected ]]/'[2]1.) CLM Reference'!$B$4</f>
        <v>6.1097513775987414E-3</v>
      </c>
      <c r="N126" s="45">
        <v>99768</v>
      </c>
      <c r="O126" s="190">
        <f>[2]!Table3[[#This Row],[Incentive Disbursements]]/'[2]1.) CLM Reference'!$B$5</f>
        <v>5.3990041826630798E-3</v>
      </c>
      <c r="P126" t="str">
        <f t="shared" si="1"/>
        <v>NO</v>
      </c>
      <c r="Q126" t="str">
        <f>VLOOKUP(Table8[[#This Row],[Census Tract]],'UI EnergyBurden'!$A$2:$B$184,2,FALSE)</f>
        <v>No</v>
      </c>
      <c r="R126">
        <f>VLOOKUP(Table8[[#This Row],[Census Tract]],'Population and Diversity Data'!$B$2:$K$823,10,FALSE)</f>
        <v>2</v>
      </c>
    </row>
    <row r="127" spans="1:18" ht="17" thickBot="1" x14ac:dyDescent="0.25">
      <c r="A127" s="144">
        <v>9001110202</v>
      </c>
      <c r="B127" s="144" t="s">
        <v>956</v>
      </c>
      <c r="C127" s="139" t="s">
        <v>3886</v>
      </c>
      <c r="D127" s="186">
        <f>[2]!Table3[[#This Row],[Residential CLM $ Collected]]+[2]!Table3[[#This Row],[C&amp;I CLM $ Collected]]</f>
        <v>65.409018538697126</v>
      </c>
      <c r="E127" s="187">
        <f>[2]!Table3[[#This Row],[CLM $ Collected ]]/'[2]1.) CLM Reference'!$B$4</f>
        <v>2.9025365652395919E-6</v>
      </c>
      <c r="F127" s="188">
        <f>[2]!Table3[[#This Row],[Residential Incentive Disbursements]]+[2]!Table3[[#This Row],[C&amp;I Incentive Disbursements]]</f>
        <v>0</v>
      </c>
      <c r="G127" s="187">
        <f>[2]!Table3[[#This Row],[Incentive Disbursements]]/'[2]1.) CLM Reference'!$B$5</f>
        <v>0</v>
      </c>
      <c r="H127" s="43">
        <v>65.409018538697126</v>
      </c>
      <c r="I127" s="44">
        <f>[2]!Table3[[#This Row],[CLM $ Collected ]]/'[2]1.) CLM Reference'!$B$4</f>
        <v>2.9025365652395919E-6</v>
      </c>
      <c r="J127" s="45">
        <v>0</v>
      </c>
      <c r="K127" s="44">
        <f>[2]!Table3[[#This Row],[Incentive Disbursements]]/'[2]1.) CLM Reference'!$B$5</f>
        <v>0</v>
      </c>
      <c r="L127" s="43">
        <v>0</v>
      </c>
      <c r="M127" s="189">
        <f>[2]!Table3[[#This Row],[CLM $ Collected ]]/'[2]1.) CLM Reference'!$B$4</f>
        <v>2.9025365652395919E-6</v>
      </c>
      <c r="N127" s="45">
        <v>0</v>
      </c>
      <c r="O127" s="190">
        <f>[2]!Table3[[#This Row],[Incentive Disbursements]]/'[2]1.) CLM Reference'!$B$5</f>
        <v>0</v>
      </c>
      <c r="P127" t="str">
        <f t="shared" si="1"/>
        <v>N/A</v>
      </c>
      <c r="Q127" t="str">
        <f>VLOOKUP(Table8[[#This Row],[Census Tract]],'UI EnergyBurden'!$A$2:$B$184,2,FALSE)</f>
        <v>No</v>
      </c>
      <c r="R127">
        <f>VLOOKUP(Table8[[#This Row],[Census Tract]],'Population and Diversity Data'!$B$2:$K$823,10,FALSE)</f>
        <v>2</v>
      </c>
    </row>
    <row r="128" spans="1:18" ht="17" thickBot="1" x14ac:dyDescent="0.25">
      <c r="A128" s="144">
        <v>9001110301</v>
      </c>
      <c r="B128" s="144" t="s">
        <v>2989</v>
      </c>
      <c r="C128" s="139" t="s">
        <v>3886</v>
      </c>
      <c r="D128" s="186">
        <f>[2]!Table3[[#This Row],[Residential CLM $ Collected]]+[2]!Table3[[#This Row],[C&amp;I CLM $ Collected]]</f>
        <v>128318.61665484587</v>
      </c>
      <c r="E128" s="187">
        <f>[2]!Table3[[#This Row],[CLM $ Collected ]]/'[2]1.) CLM Reference'!$B$4</f>
        <v>5.6941609148485313E-3</v>
      </c>
      <c r="F128" s="188">
        <f>[2]!Table3[[#This Row],[Residential Incentive Disbursements]]+[2]!Table3[[#This Row],[C&amp;I Incentive Disbursements]]</f>
        <v>92330.06</v>
      </c>
      <c r="G128" s="187">
        <f>[2]!Table3[[#This Row],[Incentive Disbursements]]/'[2]1.) CLM Reference'!$B$5</f>
        <v>2.8505222482010087E-3</v>
      </c>
      <c r="H128" s="43">
        <v>98318.59117517242</v>
      </c>
      <c r="I128" s="44">
        <f>[2]!Table3[[#This Row],[CLM $ Collected ]]/'[2]1.) CLM Reference'!$B$4</f>
        <v>5.6941609148485313E-3</v>
      </c>
      <c r="J128" s="45">
        <v>50390.939999999995</v>
      </c>
      <c r="K128" s="44">
        <f>[2]!Table3[[#This Row],[Incentive Disbursements]]/'[2]1.) CLM Reference'!$B$5</f>
        <v>2.8505222482010087E-3</v>
      </c>
      <c r="L128" s="43">
        <v>30000.025479673452</v>
      </c>
      <c r="M128" s="189">
        <f>[2]!Table3[[#This Row],[CLM $ Collected ]]/'[2]1.) CLM Reference'!$B$4</f>
        <v>5.6941609148485313E-3</v>
      </c>
      <c r="N128" s="45">
        <v>41939.120000000003</v>
      </c>
      <c r="O128" s="190">
        <f>[2]!Table3[[#This Row],[Incentive Disbursements]]/'[2]1.) CLM Reference'!$B$5</f>
        <v>2.8505222482010087E-3</v>
      </c>
      <c r="P128" t="str">
        <f t="shared" si="1"/>
        <v>NO</v>
      </c>
      <c r="Q128" t="str">
        <f>VLOOKUP(Table8[[#This Row],[Census Tract]],'UI EnergyBurden'!$A$2:$B$184,2,FALSE)</f>
        <v>No</v>
      </c>
      <c r="R128">
        <f>VLOOKUP(Table8[[#This Row],[Census Tract]],'Population and Diversity Data'!$B$2:$K$823,10,FALSE)</f>
        <v>3</v>
      </c>
    </row>
    <row r="129" spans="1:18" ht="17" thickBot="1" x14ac:dyDescent="0.25">
      <c r="A129" s="144">
        <v>9001110302</v>
      </c>
      <c r="B129" s="144" t="s">
        <v>2989</v>
      </c>
      <c r="C129" s="139" t="s">
        <v>3886</v>
      </c>
      <c r="D129" s="186">
        <f>[2]!Table3[[#This Row],[Residential CLM $ Collected]]+[2]!Table3[[#This Row],[C&amp;I CLM $ Collected]]</f>
        <v>118491.09628631391</v>
      </c>
      <c r="E129" s="187">
        <f>[2]!Table3[[#This Row],[CLM $ Collected ]]/'[2]1.) CLM Reference'!$B$4</f>
        <v>5.258062990547388E-3</v>
      </c>
      <c r="F129" s="188">
        <f>[2]!Table3[[#This Row],[Residential Incentive Disbursements]]+[2]!Table3[[#This Row],[C&amp;I Incentive Disbursements]]</f>
        <v>104559.1</v>
      </c>
      <c r="G129" s="187">
        <f>[2]!Table3[[#This Row],[Incentive Disbursements]]/'[2]1.) CLM Reference'!$B$5</f>
        <v>3.228071559813501E-3</v>
      </c>
      <c r="H129" s="43">
        <v>54515.513064887993</v>
      </c>
      <c r="I129" s="44">
        <f>[2]!Table3[[#This Row],[CLM $ Collected ]]/'[2]1.) CLM Reference'!$B$4</f>
        <v>5.258062990547388E-3</v>
      </c>
      <c r="J129" s="45">
        <v>64532.740000000005</v>
      </c>
      <c r="K129" s="44">
        <f>[2]!Table3[[#This Row],[Incentive Disbursements]]/'[2]1.) CLM Reference'!$B$5</f>
        <v>3.228071559813501E-3</v>
      </c>
      <c r="L129" s="43">
        <v>63975.583221425921</v>
      </c>
      <c r="M129" s="189">
        <f>[2]!Table3[[#This Row],[CLM $ Collected ]]/'[2]1.) CLM Reference'!$B$4</f>
        <v>5.258062990547388E-3</v>
      </c>
      <c r="N129" s="45">
        <v>40026.36</v>
      </c>
      <c r="O129" s="190">
        <f>[2]!Table3[[#This Row],[Incentive Disbursements]]/'[2]1.) CLM Reference'!$B$5</f>
        <v>3.228071559813501E-3</v>
      </c>
      <c r="P129" t="str">
        <f t="shared" si="1"/>
        <v>NO</v>
      </c>
      <c r="Q129" t="str">
        <f>VLOOKUP(Table8[[#This Row],[Census Tract]],'UI EnergyBurden'!$A$2:$B$184,2,FALSE)</f>
        <v>No</v>
      </c>
      <c r="R129">
        <f>VLOOKUP(Table8[[#This Row],[Census Tract]],'Population and Diversity Data'!$B$2:$K$823,10,FALSE)</f>
        <v>3</v>
      </c>
    </row>
    <row r="130" spans="1:18" ht="17" thickBot="1" x14ac:dyDescent="0.25">
      <c r="A130" s="144">
        <v>9001110302</v>
      </c>
      <c r="B130" s="144" t="s">
        <v>956</v>
      </c>
      <c r="C130" s="139" t="s">
        <v>3886</v>
      </c>
      <c r="D130" s="186">
        <f>[2]!Table3[[#This Row],[Residential CLM $ Collected]]+[2]!Table3[[#This Row],[C&amp;I CLM $ Collected]]</f>
        <v>74.748547371544674</v>
      </c>
      <c r="E130" s="187">
        <f>[2]!Table3[[#This Row],[CLM $ Collected ]]/'[2]1.) CLM Reference'!$B$4</f>
        <v>3.3169797803355602E-6</v>
      </c>
      <c r="F130" s="188">
        <f>[2]!Table3[[#This Row],[Residential Incentive Disbursements]]+[2]!Table3[[#This Row],[C&amp;I Incentive Disbursements]]</f>
        <v>0</v>
      </c>
      <c r="G130" s="187">
        <f>[2]!Table3[[#This Row],[Incentive Disbursements]]/'[2]1.) CLM Reference'!$B$5</f>
        <v>0</v>
      </c>
      <c r="H130" s="43">
        <v>74.748547371544674</v>
      </c>
      <c r="I130" s="44">
        <f>[2]!Table3[[#This Row],[CLM $ Collected ]]/'[2]1.) CLM Reference'!$B$4</f>
        <v>3.3169797803355602E-6</v>
      </c>
      <c r="J130" s="45">
        <v>0</v>
      </c>
      <c r="K130" s="44">
        <f>[2]!Table3[[#This Row],[Incentive Disbursements]]/'[2]1.) CLM Reference'!$B$5</f>
        <v>0</v>
      </c>
      <c r="L130" s="43">
        <v>0</v>
      </c>
      <c r="M130" s="189">
        <f>[2]!Table3[[#This Row],[CLM $ Collected ]]/'[2]1.) CLM Reference'!$B$4</f>
        <v>3.3169797803355602E-6</v>
      </c>
      <c r="N130" s="45">
        <v>0</v>
      </c>
      <c r="O130" s="190">
        <f>[2]!Table3[[#This Row],[Incentive Disbursements]]/'[2]1.) CLM Reference'!$B$5</f>
        <v>0</v>
      </c>
      <c r="P130" t="str">
        <f t="shared" si="1"/>
        <v>N/A</v>
      </c>
      <c r="Q130" t="str">
        <f>VLOOKUP(Table8[[#This Row],[Census Tract]],'UI EnergyBurden'!$A$2:$B$184,2,FALSE)</f>
        <v>No</v>
      </c>
      <c r="R130">
        <f>VLOOKUP(Table8[[#This Row],[Census Tract]],'Population and Diversity Data'!$B$2:$K$823,10,FALSE)</f>
        <v>3</v>
      </c>
    </row>
    <row r="131" spans="1:18" ht="17" thickBot="1" x14ac:dyDescent="0.25">
      <c r="A131" s="144">
        <v>9001110302</v>
      </c>
      <c r="B131" s="144" t="s">
        <v>2984</v>
      </c>
      <c r="C131" s="139" t="s">
        <v>3886</v>
      </c>
      <c r="D131" s="186">
        <f>[2]!Table3[[#This Row],[Residential CLM $ Collected]]+[2]!Table3[[#This Row],[C&amp;I CLM $ Collected]]</f>
        <v>115.66150066699457</v>
      </c>
      <c r="E131" s="187">
        <f>[2]!Table3[[#This Row],[CLM $ Collected ]]/'[2]1.) CLM Reference'!$B$4</f>
        <v>5.1324991931781119E-6</v>
      </c>
      <c r="F131" s="188">
        <f>[2]!Table3[[#This Row],[Residential Incentive Disbursements]]+[2]!Table3[[#This Row],[C&amp;I Incentive Disbursements]]</f>
        <v>0</v>
      </c>
      <c r="G131" s="187">
        <f>[2]!Table3[[#This Row],[Incentive Disbursements]]/'[2]1.) CLM Reference'!$B$5</f>
        <v>0</v>
      </c>
      <c r="H131" s="43">
        <v>115.66150066699457</v>
      </c>
      <c r="I131" s="44">
        <f>[2]!Table3[[#This Row],[CLM $ Collected ]]/'[2]1.) CLM Reference'!$B$4</f>
        <v>5.1324991931781119E-6</v>
      </c>
      <c r="J131" s="45">
        <v>0</v>
      </c>
      <c r="K131" s="44">
        <f>[2]!Table3[[#This Row],[Incentive Disbursements]]/'[2]1.) CLM Reference'!$B$5</f>
        <v>0</v>
      </c>
      <c r="L131" s="43">
        <v>0</v>
      </c>
      <c r="M131" s="189">
        <f>[2]!Table3[[#This Row],[CLM $ Collected ]]/'[2]1.) CLM Reference'!$B$4</f>
        <v>5.1324991931781119E-6</v>
      </c>
      <c r="N131" s="45">
        <v>0</v>
      </c>
      <c r="O131" s="190">
        <f>[2]!Table3[[#This Row],[Incentive Disbursements]]/'[2]1.) CLM Reference'!$B$5</f>
        <v>0</v>
      </c>
      <c r="P131" t="str">
        <f t="shared" si="1"/>
        <v>NO</v>
      </c>
      <c r="Q131" t="str">
        <f>VLOOKUP(Table8[[#This Row],[Census Tract]],'UI EnergyBurden'!$A$2:$B$184,2,FALSE)</f>
        <v>No</v>
      </c>
      <c r="R131">
        <f>VLOOKUP(Table8[[#This Row],[Census Tract]],'Population and Diversity Data'!$B$2:$K$823,10,FALSE)</f>
        <v>3</v>
      </c>
    </row>
    <row r="132" spans="1:18" ht="17" thickBot="1" x14ac:dyDescent="0.25">
      <c r="A132" s="144">
        <v>9001110400</v>
      </c>
      <c r="B132" s="144" t="s">
        <v>2989</v>
      </c>
      <c r="C132" s="139" t="s">
        <v>3886</v>
      </c>
      <c r="D132" s="186">
        <f>[2]!Table3[[#This Row],[Residential CLM $ Collected]]+[2]!Table3[[#This Row],[C&amp;I CLM $ Collected]]</f>
        <v>89253.371182987845</v>
      </c>
      <c r="E132" s="187">
        <f>[2]!Table3[[#This Row],[CLM $ Collected ]]/'[2]1.) CLM Reference'!$B$4</f>
        <v>3.9606338577952939E-3</v>
      </c>
      <c r="F132" s="188">
        <f>[2]!Table3[[#This Row],[Residential Incentive Disbursements]]+[2]!Table3[[#This Row],[C&amp;I Incentive Disbursements]]</f>
        <v>188879.72000000003</v>
      </c>
      <c r="G132" s="187">
        <f>[2]!Table3[[#This Row],[Incentive Disbursements]]/'[2]1.) CLM Reference'!$B$5</f>
        <v>5.8313169523985702E-3</v>
      </c>
      <c r="H132" s="43">
        <v>80588.232045303826</v>
      </c>
      <c r="I132" s="44">
        <f>[2]!Table3[[#This Row],[CLM $ Collected ]]/'[2]1.) CLM Reference'!$B$4</f>
        <v>3.9606338577952939E-3</v>
      </c>
      <c r="J132" s="45">
        <v>145776.72000000003</v>
      </c>
      <c r="K132" s="44">
        <f>[2]!Table3[[#This Row],[Incentive Disbursements]]/'[2]1.) CLM Reference'!$B$5</f>
        <v>5.8313169523985702E-3</v>
      </c>
      <c r="L132" s="43">
        <v>8665.1391376840111</v>
      </c>
      <c r="M132" s="189">
        <f>[2]!Table3[[#This Row],[CLM $ Collected ]]/'[2]1.) CLM Reference'!$B$4</f>
        <v>3.9606338577952939E-3</v>
      </c>
      <c r="N132" s="45">
        <v>43103</v>
      </c>
      <c r="O132" s="190">
        <f>[2]!Table3[[#This Row],[Incentive Disbursements]]/'[2]1.) CLM Reference'!$B$5</f>
        <v>5.8313169523985702E-3</v>
      </c>
      <c r="P132" t="str">
        <f t="shared" si="1"/>
        <v>YES</v>
      </c>
      <c r="Q132" t="str">
        <f>VLOOKUP(Table8[[#This Row],[Census Tract]],'UI EnergyBurden'!$A$2:$B$184,2,FALSE)</f>
        <v>No</v>
      </c>
      <c r="R132">
        <f>VLOOKUP(Table8[[#This Row],[Census Tract]],'Population and Diversity Data'!$B$2:$K$823,10,FALSE)</f>
        <v>2</v>
      </c>
    </row>
    <row r="133" spans="1:18" ht="17" thickBot="1" x14ac:dyDescent="0.25">
      <c r="A133" s="144">
        <v>9001110500</v>
      </c>
      <c r="B133" s="144" t="s">
        <v>2989</v>
      </c>
      <c r="C133" s="139" t="s">
        <v>3886</v>
      </c>
      <c r="D133" s="186">
        <f>[2]!Table3[[#This Row],[Residential CLM $ Collected]]+[2]!Table3[[#This Row],[C&amp;I CLM $ Collected]]</f>
        <v>105214.53824154356</v>
      </c>
      <c r="E133" s="187">
        <f>[2]!Table3[[#This Row],[CLM $ Collected ]]/'[2]1.) CLM Reference'!$B$4</f>
        <v>4.6689134199469143E-3</v>
      </c>
      <c r="F133" s="188">
        <f>[2]!Table3[[#This Row],[Residential Incentive Disbursements]]+[2]!Table3[[#This Row],[C&amp;I Incentive Disbursements]]</f>
        <v>115200.59999999999</v>
      </c>
      <c r="G133" s="187">
        <f>[2]!Table3[[#This Row],[Incentive Disbursements]]/'[2]1.) CLM Reference'!$B$5</f>
        <v>3.5566084686407128E-3</v>
      </c>
      <c r="H133" s="43">
        <v>98781.001727533803</v>
      </c>
      <c r="I133" s="44">
        <f>[2]!Table3[[#This Row],[CLM $ Collected ]]/'[2]1.) CLM Reference'!$B$4</f>
        <v>4.6689134199469143E-3</v>
      </c>
      <c r="J133" s="45">
        <v>82446.599999999991</v>
      </c>
      <c r="K133" s="44">
        <f>[2]!Table3[[#This Row],[Incentive Disbursements]]/'[2]1.) CLM Reference'!$B$5</f>
        <v>3.5566084686407128E-3</v>
      </c>
      <c r="L133" s="43">
        <v>6433.536514009751</v>
      </c>
      <c r="M133" s="189">
        <f>[2]!Table3[[#This Row],[CLM $ Collected ]]/'[2]1.) CLM Reference'!$B$4</f>
        <v>4.6689134199469143E-3</v>
      </c>
      <c r="N133" s="45">
        <v>32754</v>
      </c>
      <c r="O133" s="190">
        <f>[2]!Table3[[#This Row],[Incentive Disbursements]]/'[2]1.) CLM Reference'!$B$5</f>
        <v>3.5566084686407128E-3</v>
      </c>
      <c r="P133" t="str">
        <f t="shared" si="1"/>
        <v>NO</v>
      </c>
      <c r="Q133" t="str">
        <f>VLOOKUP(Table8[[#This Row],[Census Tract]],'UI EnergyBurden'!$A$2:$B$184,2,FALSE)</f>
        <v>No</v>
      </c>
      <c r="R133">
        <f>VLOOKUP(Table8[[#This Row],[Census Tract]],'Population and Diversity Data'!$B$2:$K$823,10,FALSE)</f>
        <v>1</v>
      </c>
    </row>
    <row r="134" spans="1:18" ht="17" thickBot="1" x14ac:dyDescent="0.25">
      <c r="A134" s="144">
        <v>9001110500</v>
      </c>
      <c r="B134" s="144" t="s">
        <v>2984</v>
      </c>
      <c r="C134" s="139" t="s">
        <v>3886</v>
      </c>
      <c r="D134" s="186">
        <f>[2]!Table3[[#This Row],[Residential CLM $ Collected]]+[2]!Table3[[#This Row],[C&amp;I CLM $ Collected]]</f>
        <v>53.317952788213802</v>
      </c>
      <c r="E134" s="187">
        <f>[2]!Table3[[#This Row],[CLM $ Collected ]]/'[2]1.) CLM Reference'!$B$4</f>
        <v>2.3659934212275584E-6</v>
      </c>
      <c r="F134" s="188">
        <f>[2]!Table3[[#This Row],[Residential Incentive Disbursements]]+[2]!Table3[[#This Row],[C&amp;I Incentive Disbursements]]</f>
        <v>0</v>
      </c>
      <c r="G134" s="187">
        <f>[2]!Table3[[#This Row],[Incentive Disbursements]]/'[2]1.) CLM Reference'!$B$5</f>
        <v>0</v>
      </c>
      <c r="H134" s="43">
        <v>53.317952788213802</v>
      </c>
      <c r="I134" s="44">
        <f>[2]!Table3[[#This Row],[CLM $ Collected ]]/'[2]1.) CLM Reference'!$B$4</f>
        <v>2.3659934212275584E-6</v>
      </c>
      <c r="J134" s="45">
        <v>0</v>
      </c>
      <c r="K134" s="44">
        <f>[2]!Table3[[#This Row],[Incentive Disbursements]]/'[2]1.) CLM Reference'!$B$5</f>
        <v>0</v>
      </c>
      <c r="L134" s="43">
        <v>0</v>
      </c>
      <c r="M134" s="189">
        <f>[2]!Table3[[#This Row],[CLM $ Collected ]]/'[2]1.) CLM Reference'!$B$4</f>
        <v>2.3659934212275584E-6</v>
      </c>
      <c r="N134" s="45">
        <v>0</v>
      </c>
      <c r="O134" s="190">
        <f>[2]!Table3[[#This Row],[Incentive Disbursements]]/'[2]1.) CLM Reference'!$B$5</f>
        <v>0</v>
      </c>
      <c r="P134" t="str">
        <f t="shared" ref="P134:P197" si="2">IF(ROUND(M134,5)&lt;0.00001,"N/A",IF(ROUND(M134,5)&lt;=ROUND(O134,5),"YES","NO"))</f>
        <v>N/A</v>
      </c>
      <c r="Q134" t="str">
        <f>VLOOKUP(Table8[[#This Row],[Census Tract]],'UI EnergyBurden'!$A$2:$B$184,2,FALSE)</f>
        <v>No</v>
      </c>
      <c r="R134">
        <f>VLOOKUP(Table8[[#This Row],[Census Tract]],'Population and Diversity Data'!$B$2:$K$823,10,FALSE)</f>
        <v>1</v>
      </c>
    </row>
    <row r="135" spans="1:18" ht="17" thickBot="1" x14ac:dyDescent="0.25">
      <c r="A135" s="144">
        <v>9001110600</v>
      </c>
      <c r="B135" s="144" t="s">
        <v>2983</v>
      </c>
      <c r="C135" s="139" t="s">
        <v>3886</v>
      </c>
      <c r="D135" s="186">
        <f>[2]!Table3[[#This Row],[Residential CLM $ Collected]]+[2]!Table3[[#This Row],[C&amp;I CLM $ Collected]]</f>
        <v>613.88358301165283</v>
      </c>
      <c r="E135" s="187">
        <f>[2]!Table3[[#This Row],[CLM $ Collected ]]/'[2]1.) CLM Reference'!$B$4</f>
        <v>2.7241190684392564E-5</v>
      </c>
      <c r="F135" s="188">
        <f>[2]!Table3[[#This Row],[Residential Incentive Disbursements]]+[2]!Table3[[#This Row],[C&amp;I Incentive Disbursements]]</f>
        <v>0</v>
      </c>
      <c r="G135" s="187">
        <f>[2]!Table3[[#This Row],[Incentive Disbursements]]/'[2]1.) CLM Reference'!$B$5</f>
        <v>0</v>
      </c>
      <c r="H135" s="43">
        <v>613.88358301165283</v>
      </c>
      <c r="I135" s="44">
        <f>[2]!Table3[[#This Row],[CLM $ Collected ]]/'[2]1.) CLM Reference'!$B$4</f>
        <v>2.7241190684392564E-5</v>
      </c>
      <c r="J135" s="45">
        <v>0</v>
      </c>
      <c r="K135" s="44">
        <f>[2]!Table3[[#This Row],[Incentive Disbursements]]/'[2]1.) CLM Reference'!$B$5</f>
        <v>0</v>
      </c>
      <c r="L135" s="43">
        <v>0</v>
      </c>
      <c r="M135" s="189">
        <f>[2]!Table3[[#This Row],[CLM $ Collected ]]/'[2]1.) CLM Reference'!$B$4</f>
        <v>2.7241190684392564E-5</v>
      </c>
      <c r="N135" s="45">
        <v>0</v>
      </c>
      <c r="O135" s="190">
        <f>[2]!Table3[[#This Row],[Incentive Disbursements]]/'[2]1.) CLM Reference'!$B$5</f>
        <v>0</v>
      </c>
      <c r="P135" t="str">
        <f t="shared" si="2"/>
        <v>NO</v>
      </c>
      <c r="Q135" t="str">
        <f>VLOOKUP(Table8[[#This Row],[Census Tract]],'UI EnergyBurden'!$A$2:$B$184,2,FALSE)</f>
        <v>No</v>
      </c>
      <c r="R135">
        <f>VLOOKUP(Table8[[#This Row],[Census Tract]],'Population and Diversity Data'!$B$2:$K$823,10,FALSE)</f>
        <v>2</v>
      </c>
    </row>
    <row r="136" spans="1:18" ht="17" thickBot="1" x14ac:dyDescent="0.25">
      <c r="A136" s="144">
        <v>9001110600</v>
      </c>
      <c r="B136" s="144" t="s">
        <v>2989</v>
      </c>
      <c r="C136" s="139" t="s">
        <v>3886</v>
      </c>
      <c r="D136" s="186">
        <f>[2]!Table3[[#This Row],[Residential CLM $ Collected]]+[2]!Table3[[#This Row],[C&amp;I CLM $ Collected]]</f>
        <v>137570.49795685214</v>
      </c>
      <c r="E136" s="187">
        <f>[2]!Table3[[#This Row],[CLM $ Collected ]]/'[2]1.) CLM Reference'!$B$4</f>
        <v>6.104714755530951E-3</v>
      </c>
      <c r="F136" s="188">
        <f>[2]!Table3[[#This Row],[Residential Incentive Disbursements]]+[2]!Table3[[#This Row],[C&amp;I Incentive Disbursements]]</f>
        <v>85086.320000000022</v>
      </c>
      <c r="G136" s="187">
        <f>[2]!Table3[[#This Row],[Incentive Disbursements]]/'[2]1.) CLM Reference'!$B$5</f>
        <v>2.6268849839104461E-3</v>
      </c>
      <c r="H136" s="43">
        <v>126960.47926899503</v>
      </c>
      <c r="I136" s="44">
        <f>[2]!Table3[[#This Row],[CLM $ Collected ]]/'[2]1.) CLM Reference'!$B$4</f>
        <v>6.104714755530951E-3</v>
      </c>
      <c r="J136" s="45">
        <v>83346.320000000022</v>
      </c>
      <c r="K136" s="44">
        <f>[2]!Table3[[#This Row],[Incentive Disbursements]]/'[2]1.) CLM Reference'!$B$5</f>
        <v>2.6268849839104461E-3</v>
      </c>
      <c r="L136" s="43">
        <v>10610.018687857115</v>
      </c>
      <c r="M136" s="189">
        <f>[2]!Table3[[#This Row],[CLM $ Collected ]]/'[2]1.) CLM Reference'!$B$4</f>
        <v>6.104714755530951E-3</v>
      </c>
      <c r="N136" s="45">
        <v>1740</v>
      </c>
      <c r="O136" s="190">
        <f>[2]!Table3[[#This Row],[Incentive Disbursements]]/'[2]1.) CLM Reference'!$B$5</f>
        <v>2.6268849839104461E-3</v>
      </c>
      <c r="P136" t="str">
        <f t="shared" si="2"/>
        <v>NO</v>
      </c>
      <c r="Q136" t="str">
        <f>VLOOKUP(Table8[[#This Row],[Census Tract]],'UI EnergyBurden'!$A$2:$B$184,2,FALSE)</f>
        <v>No</v>
      </c>
      <c r="R136">
        <f>VLOOKUP(Table8[[#This Row],[Census Tract]],'Population and Diversity Data'!$B$2:$K$823,10,FALSE)</f>
        <v>2</v>
      </c>
    </row>
    <row r="137" spans="1:18" ht="17" thickBot="1" x14ac:dyDescent="0.25">
      <c r="A137" s="144">
        <v>9001240200</v>
      </c>
      <c r="B137" s="144" t="s">
        <v>2982</v>
      </c>
      <c r="C137" s="139" t="s">
        <v>944</v>
      </c>
      <c r="D137" s="186">
        <f>[2]!Table3[[#This Row],[Residential CLM $ Collected]]+[2]!Table3[[#This Row],[C&amp;I CLM $ Collected]]</f>
        <v>1316.5734817072678</v>
      </c>
      <c r="E137" s="187">
        <f>[2]!Table3[[#This Row],[CLM $ Collected ]]/'[2]1.) CLM Reference'!$B$4</f>
        <v>5.8423177061116338E-5</v>
      </c>
      <c r="F137" s="188">
        <f>[2]!Table3[[#This Row],[Residential Incentive Disbursements]]+[2]!Table3[[#This Row],[C&amp;I Incentive Disbursements]]</f>
        <v>2461.4</v>
      </c>
      <c r="G137" s="187">
        <f>[2]!Table3[[#This Row],[Incentive Disbursements]]/'[2]1.) CLM Reference'!$B$5</f>
        <v>7.5991236892101704E-5</v>
      </c>
      <c r="H137" s="43">
        <v>1285.6602414379909</v>
      </c>
      <c r="I137" s="44">
        <f>[2]!Table3[[#This Row],[CLM $ Collected ]]/'[2]1.) CLM Reference'!$B$4</f>
        <v>5.8423177061116338E-5</v>
      </c>
      <c r="J137" s="45">
        <v>2461.4</v>
      </c>
      <c r="K137" s="44">
        <f>[2]!Table3[[#This Row],[Incentive Disbursements]]/'[2]1.) CLM Reference'!$B$5</f>
        <v>7.5991236892101704E-5</v>
      </c>
      <c r="L137" s="43">
        <v>30.913240269276969</v>
      </c>
      <c r="M137" s="189">
        <f>[2]!Table3[[#This Row],[CLM $ Collected ]]/'[2]1.) CLM Reference'!$B$4</f>
        <v>5.8423177061116338E-5</v>
      </c>
      <c r="N137" s="45">
        <v>0</v>
      </c>
      <c r="O137" s="190">
        <f>[2]!Table3[[#This Row],[Incentive Disbursements]]/'[2]1.) CLM Reference'!$B$5</f>
        <v>7.5991236892101704E-5</v>
      </c>
      <c r="P137" t="str">
        <f t="shared" si="2"/>
        <v>YES</v>
      </c>
      <c r="Q137" t="str">
        <f>VLOOKUP(Table8[[#This Row],[Census Tract]],'UI EnergyBurden'!$A$2:$B$184,2,FALSE)</f>
        <v>No</v>
      </c>
      <c r="R137">
        <f>VLOOKUP(Table8[[#This Row],[Census Tract]],'Population and Diversity Data'!$B$2:$K$823,10,FALSE)</f>
        <v>2</v>
      </c>
    </row>
    <row r="138" spans="1:18" ht="17" thickBot="1" x14ac:dyDescent="0.25">
      <c r="A138" s="144">
        <v>9001257200</v>
      </c>
      <c r="B138" s="144" t="s">
        <v>934</v>
      </c>
      <c r="C138" s="139" t="s">
        <v>3886</v>
      </c>
      <c r="D138" s="186">
        <f>[2]!Table3[[#This Row],[Residential CLM $ Collected]]+[2]!Table3[[#This Row],[C&amp;I CLM $ Collected]]</f>
        <v>89262.553744949604</v>
      </c>
      <c r="E138" s="187">
        <f>[2]!Table3[[#This Row],[CLM $ Collected ]]/'[2]1.) CLM Reference'!$B$4</f>
        <v>3.9610413355782061E-3</v>
      </c>
      <c r="F138" s="188">
        <f>[2]!Table3[[#This Row],[Residential Incentive Disbursements]]+[2]!Table3[[#This Row],[C&amp;I Incentive Disbursements]]</f>
        <v>108988.27</v>
      </c>
      <c r="G138" s="187">
        <f>[2]!Table3[[#This Row],[Incentive Disbursements]]/'[2]1.) CLM Reference'!$B$5</f>
        <v>3.3648141074308691E-3</v>
      </c>
      <c r="H138" s="43">
        <v>39915.964363384228</v>
      </c>
      <c r="I138" s="44">
        <f>[2]!Table3[[#This Row],[CLM $ Collected ]]/'[2]1.) CLM Reference'!$B$4</f>
        <v>3.9610413355782061E-3</v>
      </c>
      <c r="J138" s="45">
        <v>5003.92</v>
      </c>
      <c r="K138" s="44">
        <f>[2]!Table3[[#This Row],[Incentive Disbursements]]/'[2]1.) CLM Reference'!$B$5</f>
        <v>3.3648141074308691E-3</v>
      </c>
      <c r="L138" s="43">
        <v>49346.589381565369</v>
      </c>
      <c r="M138" s="189">
        <f>[2]!Table3[[#This Row],[CLM $ Collected ]]/'[2]1.) CLM Reference'!$B$4</f>
        <v>3.9610413355782061E-3</v>
      </c>
      <c r="N138" s="45">
        <v>103984.35</v>
      </c>
      <c r="O138" s="190">
        <f>[2]!Table3[[#This Row],[Incentive Disbursements]]/'[2]1.) CLM Reference'!$B$5</f>
        <v>3.3648141074308691E-3</v>
      </c>
      <c r="P138" t="str">
        <f t="shared" si="2"/>
        <v>NO</v>
      </c>
      <c r="Q138" t="str">
        <f>VLOOKUP(Table8[[#This Row],[Census Tract]],'UI EnergyBurden'!$A$2:$B$184,2,FALSE)</f>
        <v>Yes</v>
      </c>
      <c r="R138">
        <f>VLOOKUP(Table8[[#This Row],[Census Tract]],'Population and Diversity Data'!$B$2:$K$823,10,FALSE)</f>
        <v>4</v>
      </c>
    </row>
    <row r="139" spans="1:18" ht="17" thickBot="1" x14ac:dyDescent="0.25">
      <c r="A139" s="144">
        <v>9009120100</v>
      </c>
      <c r="B139" s="144" t="s">
        <v>2990</v>
      </c>
      <c r="C139" s="139" t="s">
        <v>3886</v>
      </c>
      <c r="D139" s="186">
        <f>[2]!Table3[[#This Row],[Residential CLM $ Collected]]+[2]!Table3[[#This Row],[C&amp;I CLM $ Collected]]</f>
        <v>481.50972724089735</v>
      </c>
      <c r="E139" s="187">
        <f>[2]!Table3[[#This Row],[CLM $ Collected ]]/'[2]1.) CLM Reference'!$B$4</f>
        <v>2.1367077829006139E-5</v>
      </c>
      <c r="F139" s="188">
        <f>[2]!Table3[[#This Row],[Residential Incentive Disbursements]]+[2]!Table3[[#This Row],[C&amp;I Incentive Disbursements]]</f>
        <v>0</v>
      </c>
      <c r="G139" s="187">
        <f>[2]!Table3[[#This Row],[Incentive Disbursements]]/'[2]1.) CLM Reference'!$B$5</f>
        <v>0</v>
      </c>
      <c r="H139" s="43">
        <v>131.01193732997933</v>
      </c>
      <c r="I139" s="44">
        <f>[2]!Table3[[#This Row],[CLM $ Collected ]]/'[2]1.) CLM Reference'!$B$4</f>
        <v>2.1367077829006139E-5</v>
      </c>
      <c r="J139" s="45">
        <v>0</v>
      </c>
      <c r="K139" s="44">
        <f>[2]!Table3[[#This Row],[Incentive Disbursements]]/'[2]1.) CLM Reference'!$B$5</f>
        <v>0</v>
      </c>
      <c r="L139" s="43">
        <v>350.49778991091802</v>
      </c>
      <c r="M139" s="189">
        <f>[2]!Table3[[#This Row],[CLM $ Collected ]]/'[2]1.) CLM Reference'!$B$4</f>
        <v>2.1367077829006139E-5</v>
      </c>
      <c r="N139" s="45">
        <v>0</v>
      </c>
      <c r="O139" s="190">
        <f>[2]!Table3[[#This Row],[Incentive Disbursements]]/'[2]1.) CLM Reference'!$B$5</f>
        <v>0</v>
      </c>
      <c r="P139" t="str">
        <f t="shared" si="2"/>
        <v>NO</v>
      </c>
      <c r="Q139" t="str">
        <f>VLOOKUP(Table8[[#This Row],[Census Tract]],'UI EnergyBurden'!$A$2:$B$184,2,FALSE)</f>
        <v>No</v>
      </c>
      <c r="R139">
        <f>VLOOKUP(Table8[[#This Row],[Census Tract]],'Population and Diversity Data'!$B$2:$K$823,10,FALSE)</f>
        <v>2</v>
      </c>
    </row>
    <row r="140" spans="1:18" ht="17" thickBot="1" x14ac:dyDescent="0.25">
      <c r="A140" s="144">
        <v>9009120100</v>
      </c>
      <c r="B140" s="144" t="s">
        <v>2991</v>
      </c>
      <c r="C140" s="139" t="s">
        <v>3886</v>
      </c>
      <c r="D140" s="186">
        <f>[2]!Table3[[#This Row],[Residential CLM $ Collected]]+[2]!Table3[[#This Row],[C&amp;I CLM $ Collected]]</f>
        <v>122834.69277785352</v>
      </c>
      <c r="E140" s="187">
        <f>[2]!Table3[[#This Row],[CLM $ Collected ]]/'[2]1.) CLM Reference'!$B$4</f>
        <v>5.4508108397431573E-3</v>
      </c>
      <c r="F140" s="188">
        <f>[2]!Table3[[#This Row],[Residential Incentive Disbursements]]+[2]!Table3[[#This Row],[C&amp;I Incentive Disbursements]]</f>
        <v>185561.1</v>
      </c>
      <c r="G140" s="187">
        <f>[2]!Table3[[#This Row],[Incentive Disbursements]]/'[2]1.) CLM Reference'!$B$5</f>
        <v>5.7288606110583295E-3</v>
      </c>
      <c r="H140" s="43">
        <v>95492.725827379109</v>
      </c>
      <c r="I140" s="44">
        <f>[2]!Table3[[#This Row],[CLM $ Collected ]]/'[2]1.) CLM Reference'!$B$4</f>
        <v>5.4508108397431573E-3</v>
      </c>
      <c r="J140" s="45">
        <v>92687.08</v>
      </c>
      <c r="K140" s="44">
        <f>[2]!Table3[[#This Row],[Incentive Disbursements]]/'[2]1.) CLM Reference'!$B$5</f>
        <v>5.7288606110583295E-3</v>
      </c>
      <c r="L140" s="43">
        <v>27341.966950474412</v>
      </c>
      <c r="M140" s="189">
        <f>[2]!Table3[[#This Row],[CLM $ Collected ]]/'[2]1.) CLM Reference'!$B$4</f>
        <v>5.4508108397431573E-3</v>
      </c>
      <c r="N140" s="45">
        <v>92874.02</v>
      </c>
      <c r="O140" s="190">
        <f>[2]!Table3[[#This Row],[Incentive Disbursements]]/'[2]1.) CLM Reference'!$B$5</f>
        <v>5.7288606110583295E-3</v>
      </c>
      <c r="P140" t="str">
        <f t="shared" si="2"/>
        <v>YES</v>
      </c>
      <c r="Q140" t="str">
        <f>VLOOKUP(Table8[[#This Row],[Census Tract]],'UI EnergyBurden'!$A$2:$B$184,2,FALSE)</f>
        <v>No</v>
      </c>
      <c r="R140">
        <f>VLOOKUP(Table8[[#This Row],[Census Tract]],'Population and Diversity Data'!$B$2:$K$823,10,FALSE)</f>
        <v>2</v>
      </c>
    </row>
    <row r="141" spans="1:18" ht="17" thickBot="1" x14ac:dyDescent="0.25">
      <c r="A141" s="144">
        <v>9009120100</v>
      </c>
      <c r="B141" s="144" t="s">
        <v>2992</v>
      </c>
      <c r="C141" s="139" t="s">
        <v>3886</v>
      </c>
      <c r="D141" s="186">
        <f>[2]!Table3[[#This Row],[Residential CLM $ Collected]]+[2]!Table3[[#This Row],[C&amp;I CLM $ Collected]]</f>
        <v>80.016170900105777</v>
      </c>
      <c r="E141" s="187">
        <f>[2]!Table3[[#This Row],[CLM $ Collected ]]/'[2]1.) CLM Reference'!$B$4</f>
        <v>3.5507314898879594E-6</v>
      </c>
      <c r="F141" s="188">
        <f>[2]!Table3[[#This Row],[Residential Incentive Disbursements]]+[2]!Table3[[#This Row],[C&amp;I Incentive Disbursements]]</f>
        <v>0</v>
      </c>
      <c r="G141" s="187">
        <f>[2]!Table3[[#This Row],[Incentive Disbursements]]/'[2]1.) CLM Reference'!$B$5</f>
        <v>0</v>
      </c>
      <c r="H141" s="43">
        <v>71.244492806971635</v>
      </c>
      <c r="I141" s="44">
        <f>[2]!Table3[[#This Row],[CLM $ Collected ]]/'[2]1.) CLM Reference'!$B$4</f>
        <v>3.5507314898879594E-6</v>
      </c>
      <c r="J141" s="45">
        <v>0</v>
      </c>
      <c r="K141" s="44">
        <f>[2]!Table3[[#This Row],[Incentive Disbursements]]/'[2]1.) CLM Reference'!$B$5</f>
        <v>0</v>
      </c>
      <c r="L141" s="43">
        <v>8.7716780931341454</v>
      </c>
      <c r="M141" s="189">
        <f>[2]!Table3[[#This Row],[CLM $ Collected ]]/'[2]1.) CLM Reference'!$B$4</f>
        <v>3.5507314898879594E-6</v>
      </c>
      <c r="N141" s="45">
        <v>0</v>
      </c>
      <c r="O141" s="190">
        <f>[2]!Table3[[#This Row],[Incentive Disbursements]]/'[2]1.) CLM Reference'!$B$5</f>
        <v>0</v>
      </c>
      <c r="P141" t="str">
        <f t="shared" si="2"/>
        <v>N/A</v>
      </c>
      <c r="Q141" t="str">
        <f>VLOOKUP(Table8[[#This Row],[Census Tract]],'UI EnergyBurden'!$A$2:$B$184,2,FALSE)</f>
        <v>No</v>
      </c>
      <c r="R141">
        <f>VLOOKUP(Table8[[#This Row],[Census Tract]],'Population and Diversity Data'!$B$2:$K$823,10,FALSE)</f>
        <v>2</v>
      </c>
    </row>
    <row r="142" spans="1:18" ht="17" thickBot="1" x14ac:dyDescent="0.25">
      <c r="A142" s="144">
        <v>9009120200</v>
      </c>
      <c r="B142" s="144" t="s">
        <v>2990</v>
      </c>
      <c r="C142" s="139" t="s">
        <v>3886</v>
      </c>
      <c r="D142" s="186">
        <f>[2]!Table3[[#This Row],[Residential CLM $ Collected]]+[2]!Table3[[#This Row],[C&amp;I CLM $ Collected]]</f>
        <v>36.351680687020128</v>
      </c>
      <c r="E142" s="187">
        <f>[2]!Table3[[#This Row],[CLM $ Collected ]]/'[2]1.) CLM Reference'!$B$4</f>
        <v>1.6131121481293439E-6</v>
      </c>
      <c r="F142" s="188">
        <f>[2]!Table3[[#This Row],[Residential Incentive Disbursements]]+[2]!Table3[[#This Row],[C&amp;I Incentive Disbursements]]</f>
        <v>0</v>
      </c>
      <c r="G142" s="187">
        <f>[2]!Table3[[#This Row],[Incentive Disbursements]]/'[2]1.) CLM Reference'!$B$5</f>
        <v>0</v>
      </c>
      <c r="H142" s="43">
        <v>36.351680687020128</v>
      </c>
      <c r="I142" s="44">
        <f>[2]!Table3[[#This Row],[CLM $ Collected ]]/'[2]1.) CLM Reference'!$B$4</f>
        <v>1.6131121481293439E-6</v>
      </c>
      <c r="J142" s="45">
        <v>0</v>
      </c>
      <c r="K142" s="44">
        <f>[2]!Table3[[#This Row],[Incentive Disbursements]]/'[2]1.) CLM Reference'!$B$5</f>
        <v>0</v>
      </c>
      <c r="L142" s="43">
        <v>0</v>
      </c>
      <c r="M142" s="189">
        <f>[2]!Table3[[#This Row],[CLM $ Collected ]]/'[2]1.) CLM Reference'!$B$4</f>
        <v>1.6131121481293439E-6</v>
      </c>
      <c r="N142" s="45">
        <v>0</v>
      </c>
      <c r="O142" s="190">
        <f>[2]!Table3[[#This Row],[Incentive Disbursements]]/'[2]1.) CLM Reference'!$B$5</f>
        <v>0</v>
      </c>
      <c r="P142" t="str">
        <f t="shared" si="2"/>
        <v>N/A</v>
      </c>
      <c r="Q142" t="str">
        <f>VLOOKUP(Table8[[#This Row],[Census Tract]],'UI EnergyBurden'!$A$2:$B$184,2,FALSE)</f>
        <v>Yes</v>
      </c>
      <c r="R142">
        <f>VLOOKUP(Table8[[#This Row],[Census Tract]],'Population and Diversity Data'!$B$2:$K$823,10,FALSE)</f>
        <v>4</v>
      </c>
    </row>
    <row r="143" spans="1:18" ht="17" thickBot="1" x14ac:dyDescent="0.25">
      <c r="A143" s="144">
        <v>9009120200</v>
      </c>
      <c r="B143" s="144" t="s">
        <v>2991</v>
      </c>
      <c r="C143" s="139" t="s">
        <v>3886</v>
      </c>
      <c r="D143" s="186">
        <f>[2]!Table3[[#This Row],[Residential CLM $ Collected]]+[2]!Table3[[#This Row],[C&amp;I CLM $ Collected]]</f>
        <v>127844.56747065691</v>
      </c>
      <c r="E143" s="187">
        <f>[2]!Table3[[#This Row],[CLM $ Collected ]]/'[2]1.) CLM Reference'!$B$4</f>
        <v>5.6731248999140407E-3</v>
      </c>
      <c r="F143" s="188">
        <f>[2]!Table3[[#This Row],[Residential Incentive Disbursements]]+[2]!Table3[[#This Row],[C&amp;I Incentive Disbursements]]</f>
        <v>253318.83000000002</v>
      </c>
      <c r="G143" s="187">
        <f>[2]!Table3[[#This Row],[Incentive Disbursements]]/'[2]1.) CLM Reference'!$B$5</f>
        <v>7.8207569756073934E-3</v>
      </c>
      <c r="H143" s="43">
        <v>83654.921506807994</v>
      </c>
      <c r="I143" s="44">
        <f>[2]!Table3[[#This Row],[CLM $ Collected ]]/'[2]1.) CLM Reference'!$B$4</f>
        <v>5.6731248999140407E-3</v>
      </c>
      <c r="J143" s="45">
        <v>29716.130000000005</v>
      </c>
      <c r="K143" s="44">
        <f>[2]!Table3[[#This Row],[Incentive Disbursements]]/'[2]1.) CLM Reference'!$B$5</f>
        <v>7.8207569756073934E-3</v>
      </c>
      <c r="L143" s="43">
        <v>44189.645963848918</v>
      </c>
      <c r="M143" s="189">
        <f>[2]!Table3[[#This Row],[CLM $ Collected ]]/'[2]1.) CLM Reference'!$B$4</f>
        <v>5.6731248999140407E-3</v>
      </c>
      <c r="N143" s="45">
        <v>223602.7</v>
      </c>
      <c r="O143" s="190">
        <f>[2]!Table3[[#This Row],[Incentive Disbursements]]/'[2]1.) CLM Reference'!$B$5</f>
        <v>7.8207569756073934E-3</v>
      </c>
      <c r="P143" t="str">
        <f t="shared" si="2"/>
        <v>YES</v>
      </c>
      <c r="Q143" t="str">
        <f>VLOOKUP(Table8[[#This Row],[Census Tract]],'UI EnergyBurden'!$A$2:$B$184,2,FALSE)</f>
        <v>Yes</v>
      </c>
      <c r="R143">
        <f>VLOOKUP(Table8[[#This Row],[Census Tract]],'Population and Diversity Data'!$B$2:$K$823,10,FALSE)</f>
        <v>4</v>
      </c>
    </row>
    <row r="144" spans="1:18" ht="17" thickBot="1" x14ac:dyDescent="0.25">
      <c r="A144" s="144">
        <v>9009120200</v>
      </c>
      <c r="B144" s="144" t="s">
        <v>2989</v>
      </c>
      <c r="C144" s="139" t="s">
        <v>3886</v>
      </c>
      <c r="D144" s="186">
        <f>[2]!Table3[[#This Row],[Residential CLM $ Collected]]+[2]!Table3[[#This Row],[C&amp;I CLM $ Collected]]</f>
        <v>3.4902045465312699</v>
      </c>
      <c r="E144" s="187">
        <f>[2]!Table3[[#This Row],[CLM $ Collected ]]/'[2]1.) CLM Reference'!$B$4</f>
        <v>1.5487843332306123E-7</v>
      </c>
      <c r="F144" s="188">
        <f>[2]!Table3[[#This Row],[Residential Incentive Disbursements]]+[2]!Table3[[#This Row],[C&amp;I Incentive Disbursements]]</f>
        <v>0</v>
      </c>
      <c r="G144" s="187">
        <f>[2]!Table3[[#This Row],[Incentive Disbursements]]/'[2]1.) CLM Reference'!$B$5</f>
        <v>0</v>
      </c>
      <c r="H144" s="43">
        <v>0</v>
      </c>
      <c r="I144" s="44">
        <f>[2]!Table3[[#This Row],[CLM $ Collected ]]/'[2]1.) CLM Reference'!$B$4</f>
        <v>1.5487843332306123E-7</v>
      </c>
      <c r="J144" s="45">
        <v>0</v>
      </c>
      <c r="K144" s="44">
        <f>[2]!Table3[[#This Row],[Incentive Disbursements]]/'[2]1.) CLM Reference'!$B$5</f>
        <v>0</v>
      </c>
      <c r="L144" s="43">
        <v>3.4902045465312699</v>
      </c>
      <c r="M144" s="189">
        <f>[2]!Table3[[#This Row],[CLM $ Collected ]]/'[2]1.) CLM Reference'!$B$4</f>
        <v>1.5487843332306123E-7</v>
      </c>
      <c r="N144" s="45">
        <v>0</v>
      </c>
      <c r="O144" s="190">
        <f>[2]!Table3[[#This Row],[Incentive Disbursements]]/'[2]1.) CLM Reference'!$B$5</f>
        <v>0</v>
      </c>
      <c r="P144" t="str">
        <f t="shared" si="2"/>
        <v>N/A</v>
      </c>
      <c r="Q144" t="str">
        <f>VLOOKUP(Table8[[#This Row],[Census Tract]],'UI EnergyBurden'!$A$2:$B$184,2,FALSE)</f>
        <v>Yes</v>
      </c>
      <c r="R144">
        <f>VLOOKUP(Table8[[#This Row],[Census Tract]],'Population and Diversity Data'!$B$2:$K$823,10,FALSE)</f>
        <v>4</v>
      </c>
    </row>
    <row r="145" spans="1:18" ht="17" thickBot="1" x14ac:dyDescent="0.25">
      <c r="A145" s="144">
        <v>9009125100</v>
      </c>
      <c r="B145" s="144" t="s">
        <v>2990</v>
      </c>
      <c r="C145" s="139" t="s">
        <v>3886</v>
      </c>
      <c r="D145" s="186">
        <f>[2]!Table3[[#This Row],[Residential CLM $ Collected]]+[2]!Table3[[#This Row],[C&amp;I CLM $ Collected]]</f>
        <v>64897.772822720493</v>
      </c>
      <c r="E145" s="187">
        <f>[2]!Table3[[#This Row],[CLM $ Collected ]]/'[2]1.) CLM Reference'!$B$4</f>
        <v>2.879849947742551E-3</v>
      </c>
      <c r="F145" s="188">
        <f>[2]!Table3[[#This Row],[Residential Incentive Disbursements]]+[2]!Table3[[#This Row],[C&amp;I Incentive Disbursements]]</f>
        <v>43017.49</v>
      </c>
      <c r="G145" s="187">
        <f>[2]!Table3[[#This Row],[Incentive Disbursements]]/'[2]1.) CLM Reference'!$B$5</f>
        <v>1.3280865658136084E-3</v>
      </c>
      <c r="H145" s="43">
        <v>62366.298841750744</v>
      </c>
      <c r="I145" s="44">
        <f>[2]!Table3[[#This Row],[CLM $ Collected ]]/'[2]1.) CLM Reference'!$B$4</f>
        <v>2.879849947742551E-3</v>
      </c>
      <c r="J145" s="45">
        <v>42217.49</v>
      </c>
      <c r="K145" s="44">
        <f>[2]!Table3[[#This Row],[Incentive Disbursements]]/'[2]1.) CLM Reference'!$B$5</f>
        <v>1.3280865658136084E-3</v>
      </c>
      <c r="L145" s="43">
        <v>2531.4739809697498</v>
      </c>
      <c r="M145" s="189">
        <f>[2]!Table3[[#This Row],[CLM $ Collected ]]/'[2]1.) CLM Reference'!$B$4</f>
        <v>2.879849947742551E-3</v>
      </c>
      <c r="N145" s="45">
        <v>800</v>
      </c>
      <c r="O145" s="190">
        <f>[2]!Table3[[#This Row],[Incentive Disbursements]]/'[2]1.) CLM Reference'!$B$5</f>
        <v>1.3280865658136084E-3</v>
      </c>
      <c r="P145" t="str">
        <f t="shared" si="2"/>
        <v>NO</v>
      </c>
      <c r="Q145" t="str">
        <f>VLOOKUP(Table8[[#This Row],[Census Tract]],'UI EnergyBurden'!$A$2:$B$184,2,FALSE)</f>
        <v>No</v>
      </c>
      <c r="R145">
        <f>VLOOKUP(Table8[[#This Row],[Census Tract]],'Population and Diversity Data'!$B$2:$K$823,10,FALSE)</f>
        <v>1</v>
      </c>
    </row>
    <row r="146" spans="1:18" ht="17" thickBot="1" x14ac:dyDescent="0.25">
      <c r="A146" s="144">
        <v>9009125100</v>
      </c>
      <c r="B146" s="144" t="s">
        <v>2991</v>
      </c>
      <c r="C146" s="139" t="s">
        <v>3886</v>
      </c>
      <c r="D146" s="186">
        <f>[2]!Table3[[#This Row],[Residential CLM $ Collected]]+[2]!Table3[[#This Row],[C&amp;I CLM $ Collected]]</f>
        <v>588.58883339466206</v>
      </c>
      <c r="E146" s="187">
        <f>[2]!Table3[[#This Row],[CLM $ Collected ]]/'[2]1.) CLM Reference'!$B$4</f>
        <v>2.6118731774105446E-5</v>
      </c>
      <c r="F146" s="188">
        <f>[2]!Table3[[#This Row],[Residential Incentive Disbursements]]+[2]!Table3[[#This Row],[C&amp;I Incentive Disbursements]]</f>
        <v>0</v>
      </c>
      <c r="G146" s="187">
        <f>[2]!Table3[[#This Row],[Incentive Disbursements]]/'[2]1.) CLM Reference'!$B$5</f>
        <v>0</v>
      </c>
      <c r="H146" s="43">
        <v>570.21909279856698</v>
      </c>
      <c r="I146" s="44">
        <f>[2]!Table3[[#This Row],[CLM $ Collected ]]/'[2]1.) CLM Reference'!$B$4</f>
        <v>2.6118731774105446E-5</v>
      </c>
      <c r="J146" s="45">
        <v>0</v>
      </c>
      <c r="K146" s="44">
        <f>[2]!Table3[[#This Row],[Incentive Disbursements]]/'[2]1.) CLM Reference'!$B$5</f>
        <v>0</v>
      </c>
      <c r="L146" s="43">
        <v>18.369740596095138</v>
      </c>
      <c r="M146" s="189">
        <f>[2]!Table3[[#This Row],[CLM $ Collected ]]/'[2]1.) CLM Reference'!$B$4</f>
        <v>2.6118731774105446E-5</v>
      </c>
      <c r="N146" s="45">
        <v>0</v>
      </c>
      <c r="O146" s="190">
        <f>[2]!Table3[[#This Row],[Incentive Disbursements]]/'[2]1.) CLM Reference'!$B$5</f>
        <v>0</v>
      </c>
      <c r="P146" t="str">
        <f t="shared" si="2"/>
        <v>NO</v>
      </c>
      <c r="Q146" t="str">
        <f>VLOOKUP(Table8[[#This Row],[Census Tract]],'UI EnergyBurden'!$A$2:$B$184,2,FALSE)</f>
        <v>No</v>
      </c>
      <c r="R146">
        <f>VLOOKUP(Table8[[#This Row],[Census Tract]],'Population and Diversity Data'!$B$2:$K$823,10,FALSE)</f>
        <v>1</v>
      </c>
    </row>
    <row r="147" spans="1:18" ht="17" thickBot="1" x14ac:dyDescent="0.25">
      <c r="A147" s="144">
        <v>9009125200</v>
      </c>
      <c r="B147" s="144" t="s">
        <v>2990</v>
      </c>
      <c r="C147" s="139" t="s">
        <v>3886</v>
      </c>
      <c r="D147" s="186">
        <f>[2]!Table3[[#This Row],[Residential CLM $ Collected]]+[2]!Table3[[#This Row],[C&amp;I CLM $ Collected]]</f>
        <v>105097.51482243567</v>
      </c>
      <c r="E147" s="187">
        <f>[2]!Table3[[#This Row],[CLM $ Collected ]]/'[2]1.) CLM Reference'!$B$4</f>
        <v>4.66372048538623E-3</v>
      </c>
      <c r="F147" s="188">
        <f>[2]!Table3[[#This Row],[Residential Incentive Disbursements]]+[2]!Table3[[#This Row],[C&amp;I Incentive Disbursements]]</f>
        <v>183169.5</v>
      </c>
      <c r="G147" s="187">
        <f>[2]!Table3[[#This Row],[Incentive Disbursements]]/'[2]1.) CLM Reference'!$B$5</f>
        <v>5.6550243218931595E-3</v>
      </c>
      <c r="H147" s="43">
        <v>72990.430697992429</v>
      </c>
      <c r="I147" s="44">
        <f>[2]!Table3[[#This Row],[CLM $ Collected ]]/'[2]1.) CLM Reference'!$B$4</f>
        <v>4.66372048538623E-3</v>
      </c>
      <c r="J147" s="45">
        <v>16644.32</v>
      </c>
      <c r="K147" s="44">
        <f>[2]!Table3[[#This Row],[Incentive Disbursements]]/'[2]1.) CLM Reference'!$B$5</f>
        <v>5.6550243218931595E-3</v>
      </c>
      <c r="L147" s="43">
        <v>32107.084124443241</v>
      </c>
      <c r="M147" s="189">
        <f>[2]!Table3[[#This Row],[CLM $ Collected ]]/'[2]1.) CLM Reference'!$B$4</f>
        <v>4.66372048538623E-3</v>
      </c>
      <c r="N147" s="45">
        <v>166525.18</v>
      </c>
      <c r="O147" s="190">
        <f>[2]!Table3[[#This Row],[Incentive Disbursements]]/'[2]1.) CLM Reference'!$B$5</f>
        <v>5.6550243218931595E-3</v>
      </c>
      <c r="P147" t="str">
        <f t="shared" si="2"/>
        <v>YES</v>
      </c>
      <c r="Q147" t="str">
        <f>VLOOKUP(Table8[[#This Row],[Census Tract]],'UI EnergyBurden'!$A$2:$B$184,2,FALSE)</f>
        <v>No</v>
      </c>
      <c r="R147">
        <f>VLOOKUP(Table8[[#This Row],[Census Tract]],'Population and Diversity Data'!$B$2:$K$823,10,FALSE)</f>
        <v>3</v>
      </c>
    </row>
    <row r="148" spans="1:18" ht="17" thickBot="1" x14ac:dyDescent="0.25">
      <c r="A148" s="144">
        <v>9009125300</v>
      </c>
      <c r="B148" s="144" t="s">
        <v>2990</v>
      </c>
      <c r="C148" s="139" t="s">
        <v>3887</v>
      </c>
      <c r="D148" s="186">
        <f>[2]!Table3[[#This Row],[Residential CLM $ Collected]]+[2]!Table3[[#This Row],[C&amp;I CLM $ Collected]]</f>
        <v>90009.596018087686</v>
      </c>
      <c r="E148" s="187">
        <f>[2]!Table3[[#This Row],[CLM $ Collected ]]/'[2]1.) CLM Reference'!$B$4</f>
        <v>3.9941914662789159E-3</v>
      </c>
      <c r="F148" s="188">
        <f>[2]!Table3[[#This Row],[Residential Incentive Disbursements]]+[2]!Table3[[#This Row],[C&amp;I Incentive Disbursements]]</f>
        <v>48652.79</v>
      </c>
      <c r="G148" s="187">
        <f>[2]!Table3[[#This Row],[Incentive Disbursements]]/'[2]1.) CLM Reference'!$B$5</f>
        <v>1.5020661779278771E-3</v>
      </c>
      <c r="H148" s="43">
        <v>62628.382733155522</v>
      </c>
      <c r="I148" s="44">
        <f>[2]!Table3[[#This Row],[CLM $ Collected ]]/'[2]1.) CLM Reference'!$B$4</f>
        <v>3.9941914662789159E-3</v>
      </c>
      <c r="J148" s="45">
        <v>30193.84</v>
      </c>
      <c r="K148" s="44">
        <f>[2]!Table3[[#This Row],[Incentive Disbursements]]/'[2]1.) CLM Reference'!$B$5</f>
        <v>1.5020661779278771E-3</v>
      </c>
      <c r="L148" s="43">
        <v>27381.213284932168</v>
      </c>
      <c r="M148" s="189">
        <f>[2]!Table3[[#This Row],[CLM $ Collected ]]/'[2]1.) CLM Reference'!$B$4</f>
        <v>3.9941914662789159E-3</v>
      </c>
      <c r="N148" s="45">
        <v>18458.95</v>
      </c>
      <c r="O148" s="190">
        <f>[2]!Table3[[#This Row],[Incentive Disbursements]]/'[2]1.) CLM Reference'!$B$5</f>
        <v>1.5020661779278771E-3</v>
      </c>
      <c r="P148" t="str">
        <f t="shared" si="2"/>
        <v>NO</v>
      </c>
      <c r="Q148" t="str">
        <f>VLOOKUP(Table8[[#This Row],[Census Tract]],'UI EnergyBurden'!$A$2:$B$184,2,FALSE)</f>
        <v>No</v>
      </c>
      <c r="R148">
        <f>VLOOKUP(Table8[[#This Row],[Census Tract]],'Population and Diversity Data'!$B$2:$K$823,10,FALSE)</f>
        <v>5</v>
      </c>
    </row>
    <row r="149" spans="1:18" ht="17" thickBot="1" x14ac:dyDescent="0.25">
      <c r="A149" s="144">
        <v>9009125400</v>
      </c>
      <c r="B149" s="144" t="s">
        <v>2990</v>
      </c>
      <c r="C149" s="139" t="s">
        <v>3886</v>
      </c>
      <c r="D149" s="186">
        <f>[2]!Table3[[#This Row],[Residential CLM $ Collected]]+[2]!Table3[[#This Row],[C&amp;I CLM $ Collected]]</f>
        <v>48540.9799988011</v>
      </c>
      <c r="E149" s="187">
        <f>[2]!Table3[[#This Row],[CLM $ Collected ]]/'[2]1.) CLM Reference'!$B$4</f>
        <v>2.1540144234961987E-3</v>
      </c>
      <c r="F149" s="188">
        <f>[2]!Table3[[#This Row],[Residential Incentive Disbursements]]+[2]!Table3[[#This Row],[C&amp;I Incentive Disbursements]]</f>
        <v>43541.44999999999</v>
      </c>
      <c r="G149" s="187">
        <f>[2]!Table3[[#This Row],[Incentive Disbursements]]/'[2]1.) CLM Reference'!$B$5</f>
        <v>1.3442628754268306E-3</v>
      </c>
      <c r="H149" s="43">
        <v>43723.814457031222</v>
      </c>
      <c r="I149" s="44">
        <f>[2]!Table3[[#This Row],[CLM $ Collected ]]/'[2]1.) CLM Reference'!$B$4</f>
        <v>2.1540144234961987E-3</v>
      </c>
      <c r="J149" s="45">
        <v>39063.44999999999</v>
      </c>
      <c r="K149" s="44">
        <f>[2]!Table3[[#This Row],[Incentive Disbursements]]/'[2]1.) CLM Reference'!$B$5</f>
        <v>1.3442628754268306E-3</v>
      </c>
      <c r="L149" s="43">
        <v>4817.1655417698812</v>
      </c>
      <c r="M149" s="189">
        <f>[2]!Table3[[#This Row],[CLM $ Collected ]]/'[2]1.) CLM Reference'!$B$4</f>
        <v>2.1540144234961987E-3</v>
      </c>
      <c r="N149" s="45">
        <v>4478</v>
      </c>
      <c r="O149" s="190">
        <f>[2]!Table3[[#This Row],[Incentive Disbursements]]/'[2]1.) CLM Reference'!$B$5</f>
        <v>1.3442628754268306E-3</v>
      </c>
      <c r="P149" t="str">
        <f t="shared" si="2"/>
        <v>NO</v>
      </c>
      <c r="Q149" t="str">
        <f>VLOOKUP(Table8[[#This Row],[Census Tract]],'UI EnergyBurden'!$A$2:$B$184,2,FALSE)</f>
        <v>No</v>
      </c>
      <c r="R149">
        <f>VLOOKUP(Table8[[#This Row],[Census Tract]],'Population and Diversity Data'!$B$2:$K$823,10,FALSE)</f>
        <v>3</v>
      </c>
    </row>
    <row r="150" spans="1:18" ht="17" thickBot="1" x14ac:dyDescent="0.25">
      <c r="A150" s="144">
        <v>9009130101</v>
      </c>
      <c r="B150" s="144" t="s">
        <v>2994</v>
      </c>
      <c r="C150" s="139" t="s">
        <v>944</v>
      </c>
      <c r="D150" s="186">
        <f>[2]!Table3[[#This Row],[Residential CLM $ Collected]]+[2]!Table3[[#This Row],[C&amp;I CLM $ Collected]]</f>
        <v>222.77292352952367</v>
      </c>
      <c r="E150" s="187">
        <f>[2]!Table3[[#This Row],[CLM $ Collected ]]/'[2]1.) CLM Reference'!$B$4</f>
        <v>9.8855871978452329E-6</v>
      </c>
      <c r="F150" s="188">
        <f>[2]!Table3[[#This Row],[Residential Incentive Disbursements]]+[2]!Table3[[#This Row],[C&amp;I Incentive Disbursements]]</f>
        <v>0</v>
      </c>
      <c r="G150" s="187">
        <f>[2]!Table3[[#This Row],[Incentive Disbursements]]/'[2]1.) CLM Reference'!$B$5</f>
        <v>0</v>
      </c>
      <c r="H150" s="43">
        <v>222.77292352952367</v>
      </c>
      <c r="I150" s="44">
        <f>[2]!Table3[[#This Row],[CLM $ Collected ]]/'[2]1.) CLM Reference'!$B$4</f>
        <v>9.8855871978452329E-6</v>
      </c>
      <c r="J150" s="45">
        <v>0</v>
      </c>
      <c r="K150" s="44">
        <f>[2]!Table3[[#This Row],[Incentive Disbursements]]/'[2]1.) CLM Reference'!$B$5</f>
        <v>0</v>
      </c>
      <c r="L150" s="43">
        <v>0</v>
      </c>
      <c r="M150" s="189">
        <f>[2]!Table3[[#This Row],[CLM $ Collected ]]/'[2]1.) CLM Reference'!$B$4</f>
        <v>9.8855871978452329E-6</v>
      </c>
      <c r="N150" s="45">
        <v>0</v>
      </c>
      <c r="O150" s="190">
        <f>[2]!Table3[[#This Row],[Incentive Disbursements]]/'[2]1.) CLM Reference'!$B$5</f>
        <v>0</v>
      </c>
      <c r="P150" t="str">
        <f t="shared" si="2"/>
        <v>NO</v>
      </c>
      <c r="Q150" t="str">
        <f>VLOOKUP(Table8[[#This Row],[Census Tract]],'UI EnergyBurden'!$A$2:$B$184,2,FALSE)</f>
        <v>No</v>
      </c>
      <c r="R150">
        <f>VLOOKUP(Table8[[#This Row],[Census Tract]],'Population and Diversity Data'!$B$2:$K$823,10,FALSE)</f>
        <v>2</v>
      </c>
    </row>
    <row r="151" spans="1:18" ht="17" thickBot="1" x14ac:dyDescent="0.25">
      <c r="A151" s="144">
        <v>9009130102</v>
      </c>
      <c r="B151" s="144" t="s">
        <v>2990</v>
      </c>
      <c r="C151" s="139" t="s">
        <v>944</v>
      </c>
      <c r="D151" s="186">
        <f>[2]!Table3[[#This Row],[Residential CLM $ Collected]]+[2]!Table3[[#This Row],[C&amp;I CLM $ Collected]]</f>
        <v>162.66384522815179</v>
      </c>
      <c r="E151" s="187">
        <f>[2]!Table3[[#This Row],[CLM $ Collected ]]/'[2]1.) CLM Reference'!$B$4</f>
        <v>7.2182364017258454E-6</v>
      </c>
      <c r="F151" s="188">
        <f>[2]!Table3[[#This Row],[Residential Incentive Disbursements]]+[2]!Table3[[#This Row],[C&amp;I Incentive Disbursements]]</f>
        <v>0</v>
      </c>
      <c r="G151" s="187">
        <f>[2]!Table3[[#This Row],[Incentive Disbursements]]/'[2]1.) CLM Reference'!$B$5</f>
        <v>0</v>
      </c>
      <c r="H151" s="43">
        <v>162.66384522815179</v>
      </c>
      <c r="I151" s="44">
        <f>[2]!Table3[[#This Row],[CLM $ Collected ]]/'[2]1.) CLM Reference'!$B$4</f>
        <v>7.2182364017258454E-6</v>
      </c>
      <c r="J151" s="45">
        <v>0</v>
      </c>
      <c r="K151" s="44">
        <f>[2]!Table3[[#This Row],[Incentive Disbursements]]/'[2]1.) CLM Reference'!$B$5</f>
        <v>0</v>
      </c>
      <c r="L151" s="43">
        <v>0</v>
      </c>
      <c r="M151" s="189">
        <f>[2]!Table3[[#This Row],[CLM $ Collected ]]/'[2]1.) CLM Reference'!$B$4</f>
        <v>7.2182364017258454E-6</v>
      </c>
      <c r="N151" s="45">
        <v>0</v>
      </c>
      <c r="O151" s="190">
        <f>[2]!Table3[[#This Row],[Incentive Disbursements]]/'[2]1.) CLM Reference'!$B$5</f>
        <v>0</v>
      </c>
      <c r="P151" t="str">
        <f t="shared" si="2"/>
        <v>NO</v>
      </c>
      <c r="Q151" t="str">
        <f>VLOOKUP(Table8[[#This Row],[Census Tract]],'UI EnergyBurden'!$A$2:$B$184,2,FALSE)</f>
        <v>No</v>
      </c>
      <c r="R151">
        <f>VLOOKUP(Table8[[#This Row],[Census Tract]],'Population and Diversity Data'!$B$2:$K$823,10,FALSE)</f>
        <v>2</v>
      </c>
    </row>
    <row r="152" spans="1:18" ht="17" thickBot="1" x14ac:dyDescent="0.25">
      <c r="A152" s="144">
        <v>9009130200</v>
      </c>
      <c r="B152" s="144" t="s">
        <v>2990</v>
      </c>
      <c r="C152" s="139" t="s">
        <v>944</v>
      </c>
      <c r="D152" s="186">
        <f>[2]!Table3[[#This Row],[Residential CLM $ Collected]]+[2]!Table3[[#This Row],[C&amp;I CLM $ Collected]]</f>
        <v>487.82071879527336</v>
      </c>
      <c r="E152" s="187">
        <f>[2]!Table3[[#This Row],[CLM $ Collected ]]/'[2]1.) CLM Reference'!$B$4</f>
        <v>2.164712917603342E-5</v>
      </c>
      <c r="F152" s="188">
        <f>[2]!Table3[[#This Row],[Residential Incentive Disbursements]]+[2]!Table3[[#This Row],[C&amp;I Incentive Disbursements]]</f>
        <v>0</v>
      </c>
      <c r="G152" s="187">
        <f>[2]!Table3[[#This Row],[Incentive Disbursements]]/'[2]1.) CLM Reference'!$B$5</f>
        <v>0</v>
      </c>
      <c r="H152" s="43">
        <v>42.958139292954321</v>
      </c>
      <c r="I152" s="44">
        <f>[2]!Table3[[#This Row],[CLM $ Collected ]]/'[2]1.) CLM Reference'!$B$4</f>
        <v>2.164712917603342E-5</v>
      </c>
      <c r="J152" s="45">
        <v>0</v>
      </c>
      <c r="K152" s="44">
        <f>[2]!Table3[[#This Row],[Incentive Disbursements]]/'[2]1.) CLM Reference'!$B$5</f>
        <v>0</v>
      </c>
      <c r="L152" s="43">
        <v>444.86257950231902</v>
      </c>
      <c r="M152" s="189">
        <f>[2]!Table3[[#This Row],[CLM $ Collected ]]/'[2]1.) CLM Reference'!$B$4</f>
        <v>2.164712917603342E-5</v>
      </c>
      <c r="N152" s="45">
        <v>0</v>
      </c>
      <c r="O152" s="190">
        <f>[2]!Table3[[#This Row],[Incentive Disbursements]]/'[2]1.) CLM Reference'!$B$5</f>
        <v>0</v>
      </c>
      <c r="P152" t="str">
        <f t="shared" si="2"/>
        <v>NO</v>
      </c>
      <c r="Q152" t="str">
        <f>VLOOKUP(Table8[[#This Row],[Census Tract]],'UI EnergyBurden'!$A$2:$B$184,2,FALSE)</f>
        <v>No</v>
      </c>
      <c r="R152">
        <f>VLOOKUP(Table8[[#This Row],[Census Tract]],'Population and Diversity Data'!$B$2:$K$823,10,FALSE)</f>
        <v>3</v>
      </c>
    </row>
    <row r="153" spans="1:18" ht="17" thickBot="1" x14ac:dyDescent="0.25">
      <c r="A153" s="144">
        <v>9009130200</v>
      </c>
      <c r="B153" s="144" t="s">
        <v>2991</v>
      </c>
      <c r="C153" s="139" t="s">
        <v>944</v>
      </c>
      <c r="D153" s="186">
        <f>[2]!Table3[[#This Row],[Residential CLM $ Collected]]+[2]!Table3[[#This Row],[C&amp;I CLM $ Collected]]</f>
        <v>137.62762928127472</v>
      </c>
      <c r="E153" s="187">
        <f>[2]!Table3[[#This Row],[CLM $ Collected ]]/'[2]1.) CLM Reference'!$B$4</f>
        <v>6.1072499679811888E-6</v>
      </c>
      <c r="F153" s="188">
        <f>[2]!Table3[[#This Row],[Residential Incentive Disbursements]]+[2]!Table3[[#This Row],[C&amp;I Incentive Disbursements]]</f>
        <v>0</v>
      </c>
      <c r="G153" s="187">
        <f>[2]!Table3[[#This Row],[Incentive Disbursements]]/'[2]1.) CLM Reference'!$B$5</f>
        <v>0</v>
      </c>
      <c r="H153" s="43">
        <v>137.62762928127472</v>
      </c>
      <c r="I153" s="44">
        <f>[2]!Table3[[#This Row],[CLM $ Collected ]]/'[2]1.) CLM Reference'!$B$4</f>
        <v>6.1072499679811888E-6</v>
      </c>
      <c r="J153" s="45">
        <v>0</v>
      </c>
      <c r="K153" s="44">
        <f>[2]!Table3[[#This Row],[Incentive Disbursements]]/'[2]1.) CLM Reference'!$B$5</f>
        <v>0</v>
      </c>
      <c r="L153" s="43">
        <v>0</v>
      </c>
      <c r="M153" s="189">
        <f>[2]!Table3[[#This Row],[CLM $ Collected ]]/'[2]1.) CLM Reference'!$B$4</f>
        <v>6.1072499679811888E-6</v>
      </c>
      <c r="N153" s="45">
        <v>0</v>
      </c>
      <c r="O153" s="190">
        <f>[2]!Table3[[#This Row],[Incentive Disbursements]]/'[2]1.) CLM Reference'!$B$5</f>
        <v>0</v>
      </c>
      <c r="P153" t="str">
        <f t="shared" si="2"/>
        <v>NO</v>
      </c>
      <c r="Q153" t="str">
        <f>VLOOKUP(Table8[[#This Row],[Census Tract]],'UI EnergyBurden'!$A$2:$B$184,2,FALSE)</f>
        <v>No</v>
      </c>
      <c r="R153">
        <f>VLOOKUP(Table8[[#This Row],[Census Tract]],'Population and Diversity Data'!$B$2:$K$823,10,FALSE)</f>
        <v>3</v>
      </c>
    </row>
    <row r="154" spans="1:18" ht="17" thickBot="1" x14ac:dyDescent="0.25">
      <c r="A154" s="144">
        <v>9009140100</v>
      </c>
      <c r="B154" s="144" t="s">
        <v>943</v>
      </c>
      <c r="C154" s="139" t="s">
        <v>3887</v>
      </c>
      <c r="D154" s="186">
        <f>[2]!Table3[[#This Row],[Residential CLM $ Collected]]+[2]!Table3[[#This Row],[C&amp;I CLM $ Collected]]</f>
        <v>162576.62243119726</v>
      </c>
      <c r="E154" s="187">
        <f>[2]!Table3[[#This Row],[CLM $ Collected ]]/'[2]1.) CLM Reference'!$B$4</f>
        <v>7.2143658749523358E-3</v>
      </c>
      <c r="F154" s="188">
        <f>[2]!Table3[[#This Row],[Residential Incentive Disbursements]]+[2]!Table3[[#This Row],[C&amp;I Incentive Disbursements]]</f>
        <v>246681.88</v>
      </c>
      <c r="G154" s="187">
        <f>[2]!Table3[[#This Row],[Incentive Disbursements]]/'[2]1.) CLM Reference'!$B$5</f>
        <v>7.6158532461481285E-3</v>
      </c>
      <c r="H154" s="43">
        <v>46531.45779775433</v>
      </c>
      <c r="I154" s="44">
        <f>[2]!Table3[[#This Row],[CLM $ Collected ]]/'[2]1.) CLM Reference'!$B$4</f>
        <v>7.2143658749523358E-3</v>
      </c>
      <c r="J154" s="45">
        <v>94655.95</v>
      </c>
      <c r="K154" s="44">
        <f>[2]!Table3[[#This Row],[Incentive Disbursements]]/'[2]1.) CLM Reference'!$B$5</f>
        <v>7.6158532461481285E-3</v>
      </c>
      <c r="L154" s="43">
        <v>116045.16463344294</v>
      </c>
      <c r="M154" s="189">
        <f>[2]!Table3[[#This Row],[CLM $ Collected ]]/'[2]1.) CLM Reference'!$B$4</f>
        <v>7.2143658749523358E-3</v>
      </c>
      <c r="N154" s="45">
        <v>152025.93</v>
      </c>
      <c r="O154" s="190">
        <f>[2]!Table3[[#This Row],[Incentive Disbursements]]/'[2]1.) CLM Reference'!$B$5</f>
        <v>7.6158532461481285E-3</v>
      </c>
      <c r="P154" t="str">
        <f t="shared" si="2"/>
        <v>YES</v>
      </c>
      <c r="Q154" t="str">
        <f>VLOOKUP(Table8[[#This Row],[Census Tract]],'UI EnergyBurden'!$A$2:$B$184,2,FALSE)</f>
        <v>No</v>
      </c>
      <c r="R154">
        <f>VLOOKUP(Table8[[#This Row],[Census Tract]],'Population and Diversity Data'!$B$2:$K$823,10,FALSE)</f>
        <v>5</v>
      </c>
    </row>
    <row r="155" spans="1:18" ht="17" thickBot="1" x14ac:dyDescent="0.25">
      <c r="A155" s="144">
        <v>9009140100</v>
      </c>
      <c r="B155" s="144" t="s">
        <v>3004</v>
      </c>
      <c r="C155" s="139" t="s">
        <v>3887</v>
      </c>
      <c r="D155" s="186">
        <f>[2]!Table3[[#This Row],[Residential CLM $ Collected]]+[2]!Table3[[#This Row],[C&amp;I CLM $ Collected]]</f>
        <v>25.248582890184547</v>
      </c>
      <c r="E155" s="187">
        <f>[2]!Table3[[#This Row],[CLM $ Collected ]]/'[2]1.) CLM Reference'!$B$4</f>
        <v>1.1204102537616693E-6</v>
      </c>
      <c r="F155" s="188">
        <f>[2]!Table3[[#This Row],[Residential Incentive Disbursements]]+[2]!Table3[[#This Row],[C&amp;I Incentive Disbursements]]</f>
        <v>0</v>
      </c>
      <c r="G155" s="187">
        <f>[2]!Table3[[#This Row],[Incentive Disbursements]]/'[2]1.) CLM Reference'!$B$5</f>
        <v>0</v>
      </c>
      <c r="H155" s="43">
        <v>0</v>
      </c>
      <c r="I155" s="44">
        <f>[2]!Table3[[#This Row],[CLM $ Collected ]]/'[2]1.) CLM Reference'!$B$4</f>
        <v>1.1204102537616693E-6</v>
      </c>
      <c r="J155" s="45">
        <v>0</v>
      </c>
      <c r="K155" s="44">
        <f>[2]!Table3[[#This Row],[Incentive Disbursements]]/'[2]1.) CLM Reference'!$B$5</f>
        <v>0</v>
      </c>
      <c r="L155" s="43">
        <v>25.248582890184547</v>
      </c>
      <c r="M155" s="189">
        <f>[2]!Table3[[#This Row],[CLM $ Collected ]]/'[2]1.) CLM Reference'!$B$4</f>
        <v>1.1204102537616693E-6</v>
      </c>
      <c r="N155" s="45">
        <v>0</v>
      </c>
      <c r="O155" s="190">
        <f>[2]!Table3[[#This Row],[Incentive Disbursements]]/'[2]1.) CLM Reference'!$B$5</f>
        <v>0</v>
      </c>
      <c r="P155" t="str">
        <f t="shared" si="2"/>
        <v>N/A</v>
      </c>
      <c r="Q155" t="str">
        <f>VLOOKUP(Table8[[#This Row],[Census Tract]],'UI EnergyBurden'!$A$2:$B$184,2,FALSE)</f>
        <v>No</v>
      </c>
      <c r="R155">
        <f>VLOOKUP(Table8[[#This Row],[Census Tract]],'Population and Diversity Data'!$B$2:$K$823,10,FALSE)</f>
        <v>5</v>
      </c>
    </row>
    <row r="156" spans="1:18" ht="17" thickBot="1" x14ac:dyDescent="0.25">
      <c r="A156" s="144">
        <v>9009140200</v>
      </c>
      <c r="B156" s="144" t="s">
        <v>943</v>
      </c>
      <c r="C156" s="139" t="s">
        <v>3887</v>
      </c>
      <c r="D156" s="186">
        <f>[2]!Table3[[#This Row],[Residential CLM $ Collected]]+[2]!Table3[[#This Row],[C&amp;I CLM $ Collected]]</f>
        <v>64375.816426124904</v>
      </c>
      <c r="E156" s="187">
        <f>[2]!Table3[[#This Row],[CLM $ Collected ]]/'[2]1.) CLM Reference'!$B$4</f>
        <v>2.8566880419316101E-3</v>
      </c>
      <c r="F156" s="188">
        <f>[2]!Table3[[#This Row],[Residential Incentive Disbursements]]+[2]!Table3[[#This Row],[C&amp;I Incentive Disbursements]]</f>
        <v>323104.08999999997</v>
      </c>
      <c r="G156" s="187">
        <f>[2]!Table3[[#This Row],[Incentive Disbursements]]/'[2]1.) CLM Reference'!$B$5</f>
        <v>9.9752496319155531E-3</v>
      </c>
      <c r="H156" s="43">
        <v>8099.6844510918154</v>
      </c>
      <c r="I156" s="44">
        <f>[2]!Table3[[#This Row],[CLM $ Collected ]]/'[2]1.) CLM Reference'!$B$4</f>
        <v>2.8566880419316101E-3</v>
      </c>
      <c r="J156" s="45">
        <v>214.68</v>
      </c>
      <c r="K156" s="44">
        <f>[2]!Table3[[#This Row],[Incentive Disbursements]]/'[2]1.) CLM Reference'!$B$5</f>
        <v>9.9752496319155531E-3</v>
      </c>
      <c r="L156" s="43">
        <v>56276.131975033088</v>
      </c>
      <c r="M156" s="189">
        <f>[2]!Table3[[#This Row],[CLM $ Collected ]]/'[2]1.) CLM Reference'!$B$4</f>
        <v>2.8566880419316101E-3</v>
      </c>
      <c r="N156" s="45">
        <v>322889.40999999997</v>
      </c>
      <c r="O156" s="190">
        <f>[2]!Table3[[#This Row],[Incentive Disbursements]]/'[2]1.) CLM Reference'!$B$5</f>
        <v>9.9752496319155531E-3</v>
      </c>
      <c r="P156" t="str">
        <f t="shared" si="2"/>
        <v>YES</v>
      </c>
      <c r="Q156" t="str">
        <f>VLOOKUP(Table8[[#This Row],[Census Tract]],'UI EnergyBurden'!$A$2:$B$184,2,FALSE)</f>
        <v>Yes</v>
      </c>
      <c r="R156">
        <f>VLOOKUP(Table8[[#This Row],[Census Tract]],'Population and Diversity Data'!$B$2:$K$823,10,FALSE)</f>
        <v>3</v>
      </c>
    </row>
    <row r="157" spans="1:18" ht="17" thickBot="1" x14ac:dyDescent="0.25">
      <c r="A157" s="144">
        <v>9009140300</v>
      </c>
      <c r="B157" s="144" t="s">
        <v>943</v>
      </c>
      <c r="C157" s="139" t="s">
        <v>3887</v>
      </c>
      <c r="D157" s="186">
        <f>[2]!Table3[[#This Row],[Residential CLM $ Collected]]+[2]!Table3[[#This Row],[C&amp;I CLM $ Collected]]</f>
        <v>44820.186501892174</v>
      </c>
      <c r="E157" s="187">
        <f>[2]!Table3[[#This Row],[CLM $ Collected ]]/'[2]1.) CLM Reference'!$B$4</f>
        <v>1.9889035654255408E-3</v>
      </c>
      <c r="F157" s="188">
        <f>[2]!Table3[[#This Row],[Residential Incentive Disbursements]]+[2]!Table3[[#This Row],[C&amp;I Incentive Disbursements]]</f>
        <v>373825.36</v>
      </c>
      <c r="G157" s="187">
        <f>[2]!Table3[[#This Row],[Incentive Disbursements]]/'[2]1.) CLM Reference'!$B$5</f>
        <v>1.1541176358184446E-2</v>
      </c>
      <c r="H157" s="43">
        <v>25373.607003047804</v>
      </c>
      <c r="I157" s="44">
        <f>[2]!Table3[[#This Row],[CLM $ Collected ]]/'[2]1.) CLM Reference'!$B$4</f>
        <v>1.9889035654255408E-3</v>
      </c>
      <c r="J157" s="45">
        <v>61389.36</v>
      </c>
      <c r="K157" s="44">
        <f>[2]!Table3[[#This Row],[Incentive Disbursements]]/'[2]1.) CLM Reference'!$B$5</f>
        <v>1.1541176358184446E-2</v>
      </c>
      <c r="L157" s="43">
        <v>19446.57949884437</v>
      </c>
      <c r="M157" s="189">
        <f>[2]!Table3[[#This Row],[CLM $ Collected ]]/'[2]1.) CLM Reference'!$B$4</f>
        <v>1.9889035654255408E-3</v>
      </c>
      <c r="N157" s="45">
        <v>312436</v>
      </c>
      <c r="O157" s="190">
        <f>[2]!Table3[[#This Row],[Incentive Disbursements]]/'[2]1.) CLM Reference'!$B$5</f>
        <v>1.1541176358184446E-2</v>
      </c>
      <c r="P157" t="str">
        <f t="shared" si="2"/>
        <v>YES</v>
      </c>
      <c r="Q157" t="str">
        <f>VLOOKUP(Table8[[#This Row],[Census Tract]],'UI EnergyBurden'!$A$2:$B$184,2,FALSE)</f>
        <v>Yes</v>
      </c>
      <c r="R157">
        <f>VLOOKUP(Table8[[#This Row],[Census Tract]],'Population and Diversity Data'!$B$2:$K$823,10,FALSE)</f>
        <v>5</v>
      </c>
    </row>
    <row r="158" spans="1:18" ht="17" thickBot="1" x14ac:dyDescent="0.25">
      <c r="A158" s="144">
        <v>9009140400</v>
      </c>
      <c r="B158" s="144" t="s">
        <v>943</v>
      </c>
      <c r="C158" s="139" t="s">
        <v>3887</v>
      </c>
      <c r="D158" s="186">
        <f>[2]!Table3[[#This Row],[Residential CLM $ Collected]]+[2]!Table3[[#This Row],[C&amp;I CLM $ Collected]]</f>
        <v>48809.324098360914</v>
      </c>
      <c r="E158" s="187">
        <f>[2]!Table3[[#This Row],[CLM $ Collected ]]/'[2]1.) CLM Reference'!$B$4</f>
        <v>2.1659222395503082E-3</v>
      </c>
      <c r="F158" s="188">
        <f>[2]!Table3[[#This Row],[Residential Incentive Disbursements]]+[2]!Table3[[#This Row],[C&amp;I Incentive Disbursements]]</f>
        <v>112494.14</v>
      </c>
      <c r="G158" s="187">
        <f>[2]!Table3[[#This Row],[Incentive Disbursements]]/'[2]1.) CLM Reference'!$B$5</f>
        <v>3.4730514510901331E-3</v>
      </c>
      <c r="H158" s="43">
        <v>35035.037955222673</v>
      </c>
      <c r="I158" s="44">
        <f>[2]!Table3[[#This Row],[CLM $ Collected ]]/'[2]1.) CLM Reference'!$B$4</f>
        <v>2.1659222395503082E-3</v>
      </c>
      <c r="J158" s="45">
        <v>5144.1399999999994</v>
      </c>
      <c r="K158" s="44">
        <f>[2]!Table3[[#This Row],[Incentive Disbursements]]/'[2]1.) CLM Reference'!$B$5</f>
        <v>3.4730514510901331E-3</v>
      </c>
      <c r="L158" s="43">
        <v>13774.286143138244</v>
      </c>
      <c r="M158" s="189">
        <f>[2]!Table3[[#This Row],[CLM $ Collected ]]/'[2]1.) CLM Reference'!$B$4</f>
        <v>2.1659222395503082E-3</v>
      </c>
      <c r="N158" s="45">
        <v>107350</v>
      </c>
      <c r="O158" s="190">
        <f>[2]!Table3[[#This Row],[Incentive Disbursements]]/'[2]1.) CLM Reference'!$B$5</f>
        <v>3.4730514510901331E-3</v>
      </c>
      <c r="P158" t="str">
        <f t="shared" si="2"/>
        <v>YES</v>
      </c>
      <c r="Q158" t="str">
        <f>VLOOKUP(Table8[[#This Row],[Census Tract]],'UI EnergyBurden'!$A$2:$B$184,2,FALSE)</f>
        <v>No</v>
      </c>
      <c r="R158">
        <f>VLOOKUP(Table8[[#This Row],[Census Tract]],'Population and Diversity Data'!$B$2:$K$823,10,FALSE)</f>
        <v>5</v>
      </c>
    </row>
    <row r="159" spans="1:18" ht="17" thickBot="1" x14ac:dyDescent="0.25">
      <c r="A159" s="144">
        <v>9009140500</v>
      </c>
      <c r="B159" s="144" t="s">
        <v>943</v>
      </c>
      <c r="C159" s="139" t="s">
        <v>3887</v>
      </c>
      <c r="D159" s="186">
        <f>[2]!Table3[[#This Row],[Residential CLM $ Collected]]+[2]!Table3[[#This Row],[C&amp;I CLM $ Collected]]</f>
        <v>51277.757413877123</v>
      </c>
      <c r="E159" s="187">
        <f>[2]!Table3[[#This Row],[CLM $ Collected ]]/'[2]1.) CLM Reference'!$B$4</f>
        <v>2.2754593969210864E-3</v>
      </c>
      <c r="F159" s="188">
        <f>[2]!Table3[[#This Row],[Residential Incentive Disbursements]]+[2]!Table3[[#This Row],[C&amp;I Incentive Disbursements]]</f>
        <v>191387.2</v>
      </c>
      <c r="G159" s="187">
        <f>[2]!Table3[[#This Row],[Incentive Disbursements]]/'[2]1.) CLM Reference'!$B$5</f>
        <v>5.9087308252685653E-3</v>
      </c>
      <c r="H159" s="43">
        <v>35292.83757437989</v>
      </c>
      <c r="I159" s="44">
        <f>[2]!Table3[[#This Row],[CLM $ Collected ]]/'[2]1.) CLM Reference'!$B$4</f>
        <v>2.2754593969210864E-3</v>
      </c>
      <c r="J159" s="45">
        <v>12947.480000000001</v>
      </c>
      <c r="K159" s="44">
        <f>[2]!Table3[[#This Row],[Incentive Disbursements]]/'[2]1.) CLM Reference'!$B$5</f>
        <v>5.9087308252685653E-3</v>
      </c>
      <c r="L159" s="43">
        <v>15984.919839497232</v>
      </c>
      <c r="M159" s="189">
        <f>[2]!Table3[[#This Row],[CLM $ Collected ]]/'[2]1.) CLM Reference'!$B$4</f>
        <v>2.2754593969210864E-3</v>
      </c>
      <c r="N159" s="45">
        <v>178439.72</v>
      </c>
      <c r="O159" s="190">
        <f>[2]!Table3[[#This Row],[Incentive Disbursements]]/'[2]1.) CLM Reference'!$B$5</f>
        <v>5.9087308252685653E-3</v>
      </c>
      <c r="P159" t="str">
        <f t="shared" si="2"/>
        <v>YES</v>
      </c>
      <c r="Q159" t="str">
        <f>VLOOKUP(Table8[[#This Row],[Census Tract]],'UI EnergyBurden'!$A$2:$B$184,2,FALSE)</f>
        <v>Yes</v>
      </c>
      <c r="R159">
        <f>VLOOKUP(Table8[[#This Row],[Census Tract]],'Population and Diversity Data'!$B$2:$K$823,10,FALSE)</f>
        <v>5</v>
      </c>
    </row>
    <row r="160" spans="1:18" ht="17" thickBot="1" x14ac:dyDescent="0.25">
      <c r="A160" s="144">
        <v>9009140600</v>
      </c>
      <c r="B160" s="144" t="s">
        <v>943</v>
      </c>
      <c r="C160" s="139" t="s">
        <v>3887</v>
      </c>
      <c r="D160" s="186">
        <f>[2]!Table3[[#This Row],[Residential CLM $ Collected]]+[2]!Table3[[#This Row],[C&amp;I CLM $ Collected]]</f>
        <v>62240.088244008628</v>
      </c>
      <c r="E160" s="187">
        <f>[2]!Table3[[#This Row],[CLM $ Collected ]]/'[2]1.) CLM Reference'!$B$4</f>
        <v>2.7619147326770504E-3</v>
      </c>
      <c r="F160" s="188">
        <f>[2]!Table3[[#This Row],[Residential Incentive Disbursements]]+[2]!Table3[[#This Row],[C&amp;I Incentive Disbursements]]</f>
        <v>26056.71</v>
      </c>
      <c r="G160" s="187">
        <f>[2]!Table3[[#This Row],[Incentive Disbursements]]/'[2]1.) CLM Reference'!$B$5</f>
        <v>8.0445340953879708E-4</v>
      </c>
      <c r="H160" s="43">
        <v>43737.51212487468</v>
      </c>
      <c r="I160" s="44">
        <f>[2]!Table3[[#This Row],[CLM $ Collected ]]/'[2]1.) CLM Reference'!$B$4</f>
        <v>2.7619147326770504E-3</v>
      </c>
      <c r="J160" s="45">
        <v>625.41</v>
      </c>
      <c r="K160" s="44">
        <f>[2]!Table3[[#This Row],[Incentive Disbursements]]/'[2]1.) CLM Reference'!$B$5</f>
        <v>8.0445340953879708E-4</v>
      </c>
      <c r="L160" s="43">
        <v>18502.576119133952</v>
      </c>
      <c r="M160" s="189">
        <f>[2]!Table3[[#This Row],[CLM $ Collected ]]/'[2]1.) CLM Reference'!$B$4</f>
        <v>2.7619147326770504E-3</v>
      </c>
      <c r="N160" s="45">
        <v>25431.3</v>
      </c>
      <c r="O160" s="190">
        <f>[2]!Table3[[#This Row],[Incentive Disbursements]]/'[2]1.) CLM Reference'!$B$5</f>
        <v>8.0445340953879708E-4</v>
      </c>
      <c r="P160" t="str">
        <f t="shared" si="2"/>
        <v>NO</v>
      </c>
      <c r="Q160" t="str">
        <f>VLOOKUP(Table8[[#This Row],[Census Tract]],'UI EnergyBurden'!$A$2:$B$184,2,FALSE)</f>
        <v>Yes</v>
      </c>
      <c r="R160">
        <f>VLOOKUP(Table8[[#This Row],[Census Tract]],'Population and Diversity Data'!$B$2:$K$823,10,FALSE)</f>
        <v>5</v>
      </c>
    </row>
    <row r="161" spans="1:18" ht="17" thickBot="1" x14ac:dyDescent="0.25">
      <c r="A161" s="144">
        <v>9009140700</v>
      </c>
      <c r="B161" s="144" t="s">
        <v>943</v>
      </c>
      <c r="C161" s="139" t="s">
        <v>3887</v>
      </c>
      <c r="D161" s="186">
        <f>[2]!Table3[[#This Row],[Residential CLM $ Collected]]+[2]!Table3[[#This Row],[C&amp;I CLM $ Collected]]</f>
        <v>63864.422976622525</v>
      </c>
      <c r="E161" s="187">
        <f>[2]!Table3[[#This Row],[CLM $ Collected ]]/'[2]1.) CLM Reference'!$B$4</f>
        <v>2.833994868733689E-3</v>
      </c>
      <c r="F161" s="188">
        <f>[2]!Table3[[#This Row],[Residential Incentive Disbursements]]+[2]!Table3[[#This Row],[C&amp;I Incentive Disbursements]]</f>
        <v>11176.130000000001</v>
      </c>
      <c r="G161" s="187">
        <f>[2]!Table3[[#This Row],[Incentive Disbursements]]/'[2]1.) CLM Reference'!$B$5</f>
        <v>3.450426352347951E-4</v>
      </c>
      <c r="H161" s="43">
        <v>39184.120176710698</v>
      </c>
      <c r="I161" s="44">
        <f>[2]!Table3[[#This Row],[CLM $ Collected ]]/'[2]1.) CLM Reference'!$B$4</f>
        <v>2.833994868733689E-3</v>
      </c>
      <c r="J161" s="45">
        <v>8071.130000000001</v>
      </c>
      <c r="K161" s="44">
        <f>[2]!Table3[[#This Row],[Incentive Disbursements]]/'[2]1.) CLM Reference'!$B$5</f>
        <v>3.450426352347951E-4</v>
      </c>
      <c r="L161" s="43">
        <v>24680.302799911828</v>
      </c>
      <c r="M161" s="189">
        <f>[2]!Table3[[#This Row],[CLM $ Collected ]]/'[2]1.) CLM Reference'!$B$4</f>
        <v>2.833994868733689E-3</v>
      </c>
      <c r="N161" s="45">
        <v>3105</v>
      </c>
      <c r="O161" s="190">
        <f>[2]!Table3[[#This Row],[Incentive Disbursements]]/'[2]1.) CLM Reference'!$B$5</f>
        <v>3.450426352347951E-4</v>
      </c>
      <c r="P161" t="str">
        <f t="shared" si="2"/>
        <v>NO</v>
      </c>
      <c r="Q161" t="str">
        <f>VLOOKUP(Table8[[#This Row],[Census Tract]],'UI EnergyBurden'!$A$2:$B$184,2,FALSE)</f>
        <v>No</v>
      </c>
      <c r="R161">
        <f>VLOOKUP(Table8[[#This Row],[Census Tract]],'Population and Diversity Data'!$B$2:$K$823,10,FALSE)</f>
        <v>5</v>
      </c>
    </row>
    <row r="162" spans="1:18" ht="17" thickBot="1" x14ac:dyDescent="0.25">
      <c r="A162" s="144">
        <v>9009140800</v>
      </c>
      <c r="B162" s="144" t="s">
        <v>943</v>
      </c>
      <c r="C162" s="139" t="s">
        <v>3887</v>
      </c>
      <c r="D162" s="186">
        <f>[2]!Table3[[#This Row],[Residential CLM $ Collected]]+[2]!Table3[[#This Row],[C&amp;I CLM $ Collected]]</f>
        <v>61134.718304093316</v>
      </c>
      <c r="E162" s="187">
        <f>[2]!Table3[[#This Row],[CLM $ Collected ]]/'[2]1.) CLM Reference'!$B$4</f>
        <v>2.7128637494885049E-3</v>
      </c>
      <c r="F162" s="188">
        <f>[2]!Table3[[#This Row],[Residential Incentive Disbursements]]+[2]!Table3[[#This Row],[C&amp;I Incentive Disbursements]]</f>
        <v>16050.259999999998</v>
      </c>
      <c r="G162" s="187">
        <f>[2]!Table3[[#This Row],[Incentive Disbursements]]/'[2]1.) CLM Reference'!$B$5</f>
        <v>4.9552251151370116E-4</v>
      </c>
      <c r="H162" s="43">
        <v>42340.433104963166</v>
      </c>
      <c r="I162" s="44">
        <f>[2]!Table3[[#This Row],[CLM $ Collected ]]/'[2]1.) CLM Reference'!$B$4</f>
        <v>2.7128637494885049E-3</v>
      </c>
      <c r="J162" s="45">
        <v>4095.2599999999993</v>
      </c>
      <c r="K162" s="44">
        <f>[2]!Table3[[#This Row],[Incentive Disbursements]]/'[2]1.) CLM Reference'!$B$5</f>
        <v>4.9552251151370116E-4</v>
      </c>
      <c r="L162" s="43">
        <v>18794.28519913015</v>
      </c>
      <c r="M162" s="189">
        <f>[2]!Table3[[#This Row],[CLM $ Collected ]]/'[2]1.) CLM Reference'!$B$4</f>
        <v>2.7128637494885049E-3</v>
      </c>
      <c r="N162" s="45">
        <v>11955</v>
      </c>
      <c r="O162" s="190">
        <f>[2]!Table3[[#This Row],[Incentive Disbursements]]/'[2]1.) CLM Reference'!$B$5</f>
        <v>4.9552251151370116E-4</v>
      </c>
      <c r="P162" t="str">
        <f t="shared" si="2"/>
        <v>NO</v>
      </c>
      <c r="Q162" t="str">
        <f>VLOOKUP(Table8[[#This Row],[Census Tract]],'UI EnergyBurden'!$A$2:$B$184,2,FALSE)</f>
        <v>No</v>
      </c>
      <c r="R162">
        <f>VLOOKUP(Table8[[#This Row],[Census Tract]],'Population and Diversity Data'!$B$2:$K$823,10,FALSE)</f>
        <v>4</v>
      </c>
    </row>
    <row r="163" spans="1:18" ht="17" thickBot="1" x14ac:dyDescent="0.25">
      <c r="A163" s="144">
        <v>9009140800</v>
      </c>
      <c r="B163" s="144" t="s">
        <v>950</v>
      </c>
      <c r="C163" s="139" t="s">
        <v>3887</v>
      </c>
      <c r="D163" s="186">
        <f>[2]!Table3[[#This Row],[Residential CLM $ Collected]]+[2]!Table3[[#This Row],[C&amp;I CLM $ Collected]]</f>
        <v>43.290539725957295</v>
      </c>
      <c r="E163" s="187">
        <f>[2]!Table3[[#This Row],[CLM $ Collected ]]/'[2]1.) CLM Reference'!$B$4</f>
        <v>1.9210252239025729E-6</v>
      </c>
      <c r="F163" s="188">
        <f>[2]!Table3[[#This Row],[Residential Incentive Disbursements]]+[2]!Table3[[#This Row],[C&amp;I Incentive Disbursements]]</f>
        <v>0</v>
      </c>
      <c r="G163" s="187">
        <f>[2]!Table3[[#This Row],[Incentive Disbursements]]/'[2]1.) CLM Reference'!$B$5</f>
        <v>0</v>
      </c>
      <c r="H163" s="43">
        <v>43.290539725957295</v>
      </c>
      <c r="I163" s="44">
        <f>[2]!Table3[[#This Row],[CLM $ Collected ]]/'[2]1.) CLM Reference'!$B$4</f>
        <v>1.9210252239025729E-6</v>
      </c>
      <c r="J163" s="45">
        <v>0</v>
      </c>
      <c r="K163" s="44">
        <f>[2]!Table3[[#This Row],[Incentive Disbursements]]/'[2]1.) CLM Reference'!$B$5</f>
        <v>0</v>
      </c>
      <c r="L163" s="43">
        <v>0</v>
      </c>
      <c r="M163" s="189">
        <f>[2]!Table3[[#This Row],[CLM $ Collected ]]/'[2]1.) CLM Reference'!$B$4</f>
        <v>1.9210252239025729E-6</v>
      </c>
      <c r="N163" s="45">
        <v>0</v>
      </c>
      <c r="O163" s="190">
        <f>[2]!Table3[[#This Row],[Incentive Disbursements]]/'[2]1.) CLM Reference'!$B$5</f>
        <v>0</v>
      </c>
      <c r="P163" t="str">
        <f t="shared" si="2"/>
        <v>N/A</v>
      </c>
      <c r="Q163" t="str">
        <f>VLOOKUP(Table8[[#This Row],[Census Tract]],'UI EnergyBurden'!$A$2:$B$184,2,FALSE)</f>
        <v>No</v>
      </c>
      <c r="R163">
        <f>VLOOKUP(Table8[[#This Row],[Census Tract]],'Population and Diversity Data'!$B$2:$K$823,10,FALSE)</f>
        <v>4</v>
      </c>
    </row>
    <row r="164" spans="1:18" ht="17" thickBot="1" x14ac:dyDescent="0.25">
      <c r="A164" s="144">
        <v>9009140900</v>
      </c>
      <c r="B164" s="144" t="s">
        <v>943</v>
      </c>
      <c r="C164" s="139" t="s">
        <v>3887</v>
      </c>
      <c r="D164" s="186">
        <f>[2]!Table3[[#This Row],[Residential CLM $ Collected]]+[2]!Table3[[#This Row],[C&amp;I CLM $ Collected]]</f>
        <v>58352.78059685578</v>
      </c>
      <c r="E164" s="187">
        <f>[2]!Table3[[#This Row],[CLM $ Collected ]]/'[2]1.) CLM Reference'!$B$4</f>
        <v>2.5894147802504384E-3</v>
      </c>
      <c r="F164" s="188">
        <f>[2]!Table3[[#This Row],[Residential Incentive Disbursements]]+[2]!Table3[[#This Row],[C&amp;I Incentive Disbursements]]</f>
        <v>67181.52</v>
      </c>
      <c r="G164" s="187">
        <f>[2]!Table3[[#This Row],[Incentive Disbursements]]/'[2]1.) CLM Reference'!$B$5</f>
        <v>2.0741069314583033E-3</v>
      </c>
      <c r="H164" s="43">
        <v>48936.578064128866</v>
      </c>
      <c r="I164" s="44">
        <f>[2]!Table3[[#This Row],[CLM $ Collected ]]/'[2]1.) CLM Reference'!$B$4</f>
        <v>2.5894147802504384E-3</v>
      </c>
      <c r="J164" s="45">
        <v>54961.520000000004</v>
      </c>
      <c r="K164" s="44">
        <f>[2]!Table3[[#This Row],[Incentive Disbursements]]/'[2]1.) CLM Reference'!$B$5</f>
        <v>2.0741069314583033E-3</v>
      </c>
      <c r="L164" s="43">
        <v>9416.2025327269184</v>
      </c>
      <c r="M164" s="189">
        <f>[2]!Table3[[#This Row],[CLM $ Collected ]]/'[2]1.) CLM Reference'!$B$4</f>
        <v>2.5894147802504384E-3</v>
      </c>
      <c r="N164" s="45">
        <v>12220</v>
      </c>
      <c r="O164" s="190">
        <f>[2]!Table3[[#This Row],[Incentive Disbursements]]/'[2]1.) CLM Reference'!$B$5</f>
        <v>2.0741069314583033E-3</v>
      </c>
      <c r="P164" t="str">
        <f t="shared" si="2"/>
        <v>NO</v>
      </c>
      <c r="Q164" t="str">
        <f>VLOOKUP(Table8[[#This Row],[Census Tract]],'UI EnergyBurden'!$A$2:$B$184,2,FALSE)</f>
        <v>No</v>
      </c>
      <c r="R164">
        <f>VLOOKUP(Table8[[#This Row],[Census Tract]],'Population and Diversity Data'!$B$2:$K$823,10,FALSE)</f>
        <v>3</v>
      </c>
    </row>
    <row r="165" spans="1:18" ht="17" thickBot="1" x14ac:dyDescent="0.25">
      <c r="A165" s="144">
        <v>9009141000</v>
      </c>
      <c r="B165" s="144" t="s">
        <v>943</v>
      </c>
      <c r="C165" s="139" t="s">
        <v>3886</v>
      </c>
      <c r="D165" s="186">
        <f>[2]!Table3[[#This Row],[Residential CLM $ Collected]]+[2]!Table3[[#This Row],[C&amp;I CLM $ Collected]]</f>
        <v>51340.179445191425</v>
      </c>
      <c r="E165" s="187">
        <f>[2]!Table3[[#This Row],[CLM $ Collected ]]/'[2]1.) CLM Reference'!$B$4</f>
        <v>2.2782293854091279E-3</v>
      </c>
      <c r="F165" s="188">
        <f>[2]!Table3[[#This Row],[Residential Incentive Disbursements]]+[2]!Table3[[#This Row],[C&amp;I Incentive Disbursements]]</f>
        <v>88739.510000000009</v>
      </c>
      <c r="G165" s="187">
        <f>[2]!Table3[[#This Row],[Incentive Disbursements]]/'[2]1.) CLM Reference'!$B$5</f>
        <v>2.7396705639469521E-3</v>
      </c>
      <c r="H165" s="43">
        <v>46361.264159384147</v>
      </c>
      <c r="I165" s="44">
        <f>[2]!Table3[[#This Row],[CLM $ Collected ]]/'[2]1.) CLM Reference'!$B$4</f>
        <v>2.2782293854091279E-3</v>
      </c>
      <c r="J165" s="45">
        <v>88211.510000000009</v>
      </c>
      <c r="K165" s="44">
        <f>[2]!Table3[[#This Row],[Incentive Disbursements]]/'[2]1.) CLM Reference'!$B$5</f>
        <v>2.7396705639469521E-3</v>
      </c>
      <c r="L165" s="43">
        <v>4978.9152858072748</v>
      </c>
      <c r="M165" s="189">
        <f>[2]!Table3[[#This Row],[CLM $ Collected ]]/'[2]1.) CLM Reference'!$B$4</f>
        <v>2.2782293854091279E-3</v>
      </c>
      <c r="N165" s="45">
        <v>528</v>
      </c>
      <c r="O165" s="190">
        <f>[2]!Table3[[#This Row],[Incentive Disbursements]]/'[2]1.) CLM Reference'!$B$5</f>
        <v>2.7396705639469521E-3</v>
      </c>
      <c r="P165" t="str">
        <f t="shared" si="2"/>
        <v>YES</v>
      </c>
      <c r="Q165" t="str">
        <f>VLOOKUP(Table8[[#This Row],[Census Tract]],'UI EnergyBurden'!$A$2:$B$184,2,FALSE)</f>
        <v>No</v>
      </c>
      <c r="R165">
        <f>VLOOKUP(Table8[[#This Row],[Census Tract]],'Population and Diversity Data'!$B$2:$K$823,10,FALSE)</f>
        <v>4</v>
      </c>
    </row>
    <row r="166" spans="1:18" ht="17" thickBot="1" x14ac:dyDescent="0.25">
      <c r="A166" s="144">
        <v>9009141100</v>
      </c>
      <c r="B166" s="144" t="s">
        <v>943</v>
      </c>
      <c r="C166" s="139" t="s">
        <v>3886</v>
      </c>
      <c r="D166" s="186">
        <f>[2]!Table3[[#This Row],[Residential CLM $ Collected]]+[2]!Table3[[#This Row],[C&amp;I CLM $ Collected]]</f>
        <v>39067.05982422152</v>
      </c>
      <c r="E166" s="187">
        <f>[2]!Table3[[#This Row],[CLM $ Collected ]]/'[2]1.) CLM Reference'!$B$4</f>
        <v>1.7336075692546884E-3</v>
      </c>
      <c r="F166" s="188">
        <f>[2]!Table3[[#This Row],[Residential Incentive Disbursements]]+[2]!Table3[[#This Row],[C&amp;I Incentive Disbursements]]</f>
        <v>156937.90999999997</v>
      </c>
      <c r="G166" s="187">
        <f>[2]!Table3[[#This Row],[Incentive Disbursements]]/'[2]1.) CLM Reference'!$B$5</f>
        <v>4.8451718112299232E-3</v>
      </c>
      <c r="H166" s="43">
        <v>38589.25728514314</v>
      </c>
      <c r="I166" s="44">
        <f>[2]!Table3[[#This Row],[CLM $ Collected ]]/'[2]1.) CLM Reference'!$B$4</f>
        <v>1.7336075692546884E-3</v>
      </c>
      <c r="J166" s="45">
        <v>121501.10999999999</v>
      </c>
      <c r="K166" s="44">
        <f>[2]!Table3[[#This Row],[Incentive Disbursements]]/'[2]1.) CLM Reference'!$B$5</f>
        <v>4.8451718112299232E-3</v>
      </c>
      <c r="L166" s="43">
        <v>477.80253907837806</v>
      </c>
      <c r="M166" s="189">
        <f>[2]!Table3[[#This Row],[CLM $ Collected ]]/'[2]1.) CLM Reference'!$B$4</f>
        <v>1.7336075692546884E-3</v>
      </c>
      <c r="N166" s="45">
        <v>35436.800000000003</v>
      </c>
      <c r="O166" s="190">
        <f>[2]!Table3[[#This Row],[Incentive Disbursements]]/'[2]1.) CLM Reference'!$B$5</f>
        <v>4.8451718112299232E-3</v>
      </c>
      <c r="P166" t="str">
        <f t="shared" si="2"/>
        <v>YES</v>
      </c>
      <c r="Q166" t="str">
        <f>VLOOKUP(Table8[[#This Row],[Census Tract]],'UI EnergyBurden'!$A$2:$B$184,2,FALSE)</f>
        <v>No</v>
      </c>
      <c r="R166">
        <f>VLOOKUP(Table8[[#This Row],[Census Tract]],'Population and Diversity Data'!$B$2:$K$823,10,FALSE)</f>
        <v>4</v>
      </c>
    </row>
    <row r="167" spans="1:18" ht="17" thickBot="1" x14ac:dyDescent="0.25">
      <c r="A167" s="144">
        <v>9009141100</v>
      </c>
      <c r="B167" s="144" t="s">
        <v>950</v>
      </c>
      <c r="C167" s="139" t="s">
        <v>3886</v>
      </c>
      <c r="D167" s="186">
        <f>[2]!Table3[[#This Row],[Residential CLM $ Collected]]+[2]!Table3[[#This Row],[C&amp;I CLM $ Collected]]</f>
        <v>22.243128975115955</v>
      </c>
      <c r="E167" s="187">
        <f>[2]!Table3[[#This Row],[CLM $ Collected ]]/'[2]1.) CLM Reference'!$B$4</f>
        <v>9.8704271395569994E-7</v>
      </c>
      <c r="F167" s="188">
        <f>[2]!Table3[[#This Row],[Residential Incentive Disbursements]]+[2]!Table3[[#This Row],[C&amp;I Incentive Disbursements]]</f>
        <v>0</v>
      </c>
      <c r="G167" s="187">
        <f>[2]!Table3[[#This Row],[Incentive Disbursements]]/'[2]1.) CLM Reference'!$B$5</f>
        <v>0</v>
      </c>
      <c r="H167" s="43">
        <v>0</v>
      </c>
      <c r="I167" s="44">
        <f>[2]!Table3[[#This Row],[CLM $ Collected ]]/'[2]1.) CLM Reference'!$B$4</f>
        <v>9.8704271395569994E-7</v>
      </c>
      <c r="J167" s="45">
        <v>0</v>
      </c>
      <c r="K167" s="44">
        <f>[2]!Table3[[#This Row],[Incentive Disbursements]]/'[2]1.) CLM Reference'!$B$5</f>
        <v>0</v>
      </c>
      <c r="L167" s="43">
        <v>22.243128975115955</v>
      </c>
      <c r="M167" s="189">
        <f>[2]!Table3[[#This Row],[CLM $ Collected ]]/'[2]1.) CLM Reference'!$B$4</f>
        <v>9.8704271395569994E-7</v>
      </c>
      <c r="N167" s="45">
        <v>0</v>
      </c>
      <c r="O167" s="190">
        <f>[2]!Table3[[#This Row],[Incentive Disbursements]]/'[2]1.) CLM Reference'!$B$5</f>
        <v>0</v>
      </c>
      <c r="P167" t="str">
        <f t="shared" si="2"/>
        <v>N/A</v>
      </c>
      <c r="Q167" t="str">
        <f>VLOOKUP(Table8[[#This Row],[Census Tract]],'UI EnergyBurden'!$A$2:$B$184,2,FALSE)</f>
        <v>No</v>
      </c>
      <c r="R167">
        <f>VLOOKUP(Table8[[#This Row],[Census Tract]],'Population and Diversity Data'!$B$2:$K$823,10,FALSE)</f>
        <v>4</v>
      </c>
    </row>
    <row r="168" spans="1:18" ht="17" thickBot="1" x14ac:dyDescent="0.25">
      <c r="A168" s="144">
        <v>9009141200</v>
      </c>
      <c r="B168" s="144" t="s">
        <v>943</v>
      </c>
      <c r="C168" s="139" t="s">
        <v>3886</v>
      </c>
      <c r="D168" s="186">
        <f>[2]!Table3[[#This Row],[Residential CLM $ Collected]]+[2]!Table3[[#This Row],[C&amp;I CLM $ Collected]]</f>
        <v>84495.10515127705</v>
      </c>
      <c r="E168" s="187">
        <f>[2]!Table3[[#This Row],[CLM $ Collected ]]/'[2]1.) CLM Reference'!$B$4</f>
        <v>3.7494849756880473E-3</v>
      </c>
      <c r="F168" s="188">
        <f>[2]!Table3[[#This Row],[Residential Incentive Disbursements]]+[2]!Table3[[#This Row],[C&amp;I Incentive Disbursements]]</f>
        <v>175063.79999999996</v>
      </c>
      <c r="G168" s="187">
        <f>[2]!Table3[[#This Row],[Incentive Disbursements]]/'[2]1.) CLM Reference'!$B$5</f>
        <v>5.4047756142973549E-3</v>
      </c>
      <c r="H168" s="43">
        <v>52887.572710910477</v>
      </c>
      <c r="I168" s="44">
        <f>[2]!Table3[[#This Row],[CLM $ Collected ]]/'[2]1.) CLM Reference'!$B$4</f>
        <v>3.7494849756880473E-3</v>
      </c>
      <c r="J168" s="45">
        <v>156693.26999999996</v>
      </c>
      <c r="K168" s="44">
        <f>[2]!Table3[[#This Row],[Incentive Disbursements]]/'[2]1.) CLM Reference'!$B$5</f>
        <v>5.4047756142973549E-3</v>
      </c>
      <c r="L168" s="43">
        <v>31607.532440366576</v>
      </c>
      <c r="M168" s="189">
        <f>[2]!Table3[[#This Row],[CLM $ Collected ]]/'[2]1.) CLM Reference'!$B$4</f>
        <v>3.7494849756880473E-3</v>
      </c>
      <c r="N168" s="45">
        <v>18370.53</v>
      </c>
      <c r="O168" s="190">
        <f>[2]!Table3[[#This Row],[Incentive Disbursements]]/'[2]1.) CLM Reference'!$B$5</f>
        <v>5.4047756142973549E-3</v>
      </c>
      <c r="P168" t="str">
        <f t="shared" si="2"/>
        <v>YES</v>
      </c>
      <c r="Q168" t="str">
        <f>VLOOKUP(Table8[[#This Row],[Census Tract]],'UI EnergyBurden'!$A$2:$B$184,2,FALSE)</f>
        <v>No</v>
      </c>
      <c r="R168">
        <f>VLOOKUP(Table8[[#This Row],[Census Tract]],'Population and Diversity Data'!$B$2:$K$823,10,FALSE)</f>
        <v>5</v>
      </c>
    </row>
    <row r="169" spans="1:18" ht="17" thickBot="1" x14ac:dyDescent="0.25">
      <c r="A169" s="144">
        <v>9009141200</v>
      </c>
      <c r="B169" s="144" t="s">
        <v>956</v>
      </c>
      <c r="C169" s="139" t="s">
        <v>3886</v>
      </c>
      <c r="D169" s="186">
        <f>[2]!Table3[[#This Row],[Residential CLM $ Collected]]+[2]!Table3[[#This Row],[C&amp;I CLM $ Collected]]</f>
        <v>386.36933663915607</v>
      </c>
      <c r="E169" s="187">
        <f>[2]!Table3[[#This Row],[CLM $ Collected ]]/'[2]1.) CLM Reference'!$B$4</f>
        <v>1.7145206461384914E-5</v>
      </c>
      <c r="F169" s="188">
        <f>[2]!Table3[[#This Row],[Residential Incentive Disbursements]]+[2]!Table3[[#This Row],[C&amp;I Incentive Disbursements]]</f>
        <v>0</v>
      </c>
      <c r="G169" s="187">
        <f>[2]!Table3[[#This Row],[Incentive Disbursements]]/'[2]1.) CLM Reference'!$B$5</f>
        <v>0</v>
      </c>
      <c r="H169" s="43">
        <v>386.36933663915607</v>
      </c>
      <c r="I169" s="44">
        <f>[2]!Table3[[#This Row],[CLM $ Collected ]]/'[2]1.) CLM Reference'!$B$4</f>
        <v>1.7145206461384914E-5</v>
      </c>
      <c r="J169" s="45">
        <v>0</v>
      </c>
      <c r="K169" s="44">
        <f>[2]!Table3[[#This Row],[Incentive Disbursements]]/'[2]1.) CLM Reference'!$B$5</f>
        <v>0</v>
      </c>
      <c r="L169" s="43">
        <v>0</v>
      </c>
      <c r="M169" s="189">
        <f>[2]!Table3[[#This Row],[CLM $ Collected ]]/'[2]1.) CLM Reference'!$B$4</f>
        <v>1.7145206461384914E-5</v>
      </c>
      <c r="N169" s="45">
        <v>0</v>
      </c>
      <c r="O169" s="190">
        <f>[2]!Table3[[#This Row],[Incentive Disbursements]]/'[2]1.) CLM Reference'!$B$5</f>
        <v>0</v>
      </c>
      <c r="P169" t="str">
        <f t="shared" si="2"/>
        <v>NO</v>
      </c>
      <c r="Q169" t="str">
        <f>VLOOKUP(Table8[[#This Row],[Census Tract]],'UI EnergyBurden'!$A$2:$B$184,2,FALSE)</f>
        <v>No</v>
      </c>
      <c r="R169">
        <f>VLOOKUP(Table8[[#This Row],[Census Tract]],'Population and Diversity Data'!$B$2:$K$823,10,FALSE)</f>
        <v>5</v>
      </c>
    </row>
    <row r="170" spans="1:18" ht="17" thickBot="1" x14ac:dyDescent="0.25">
      <c r="A170" s="144">
        <v>9009141200</v>
      </c>
      <c r="B170" s="144" t="s">
        <v>2994</v>
      </c>
      <c r="C170" s="139" t="s">
        <v>3886</v>
      </c>
      <c r="D170" s="186">
        <f>[2]!Table3[[#This Row],[Residential CLM $ Collected]]+[2]!Table3[[#This Row],[C&amp;I CLM $ Collected]]</f>
        <v>525.81593495658603</v>
      </c>
      <c r="E170" s="187">
        <f>[2]!Table3[[#This Row],[CLM $ Collected ]]/'[2]1.) CLM Reference'!$B$4</f>
        <v>2.3333173496468336E-5</v>
      </c>
      <c r="F170" s="188">
        <f>[2]!Table3[[#This Row],[Residential Incentive Disbursements]]+[2]!Table3[[#This Row],[C&amp;I Incentive Disbursements]]</f>
        <v>200</v>
      </c>
      <c r="G170" s="187">
        <f>[2]!Table3[[#This Row],[Incentive Disbursements]]/'[2]1.) CLM Reference'!$B$5</f>
        <v>6.1746353207200538E-6</v>
      </c>
      <c r="H170" s="43">
        <v>0</v>
      </c>
      <c r="I170" s="44">
        <f>[2]!Table3[[#This Row],[CLM $ Collected ]]/'[2]1.) CLM Reference'!$B$4</f>
        <v>2.3333173496468336E-5</v>
      </c>
      <c r="J170" s="45">
        <v>0</v>
      </c>
      <c r="K170" s="44">
        <f>[2]!Table3[[#This Row],[Incentive Disbursements]]/'[2]1.) CLM Reference'!$B$5</f>
        <v>6.1746353207200538E-6</v>
      </c>
      <c r="L170" s="43">
        <v>525.81593495658603</v>
      </c>
      <c r="M170" s="189">
        <f>[2]!Table3[[#This Row],[CLM $ Collected ]]/'[2]1.) CLM Reference'!$B$4</f>
        <v>2.3333173496468336E-5</v>
      </c>
      <c r="N170" s="45">
        <v>200</v>
      </c>
      <c r="O170" s="190">
        <f>[2]!Table3[[#This Row],[Incentive Disbursements]]/'[2]1.) CLM Reference'!$B$5</f>
        <v>6.1746353207200538E-6</v>
      </c>
      <c r="P170" t="str">
        <f t="shared" si="2"/>
        <v>NO</v>
      </c>
      <c r="Q170" t="str">
        <f>VLOOKUP(Table8[[#This Row],[Census Tract]],'UI EnergyBurden'!$A$2:$B$184,2,FALSE)</f>
        <v>No</v>
      </c>
      <c r="R170">
        <f>VLOOKUP(Table8[[#This Row],[Census Tract]],'Population and Diversity Data'!$B$2:$K$823,10,FALSE)</f>
        <v>5</v>
      </c>
    </row>
    <row r="171" spans="1:18" ht="17" thickBot="1" x14ac:dyDescent="0.25">
      <c r="A171" s="144">
        <v>9009141300</v>
      </c>
      <c r="B171" s="144" t="s">
        <v>953</v>
      </c>
      <c r="C171" s="139" t="s">
        <v>3887</v>
      </c>
      <c r="D171" s="186">
        <f>[2]!Table3[[#This Row],[Residential CLM $ Collected]]+[2]!Table3[[#This Row],[C&amp;I CLM $ Collected]]</f>
        <v>160.44784234146528</v>
      </c>
      <c r="E171" s="187">
        <f>[2]!Table3[[#This Row],[CLM $ Collected ]]/'[2]1.) CLM Reference'!$B$4</f>
        <v>7.1199008885048546E-6</v>
      </c>
      <c r="F171" s="188">
        <f>[2]!Table3[[#This Row],[Residential Incentive Disbursements]]+[2]!Table3[[#This Row],[C&amp;I Incentive Disbursements]]</f>
        <v>0</v>
      </c>
      <c r="G171" s="187">
        <f>[2]!Table3[[#This Row],[Incentive Disbursements]]/'[2]1.) CLM Reference'!$B$5</f>
        <v>0</v>
      </c>
      <c r="H171" s="43">
        <v>137.23521210342398</v>
      </c>
      <c r="I171" s="44">
        <f>[2]!Table3[[#This Row],[CLM $ Collected ]]/'[2]1.) CLM Reference'!$B$4</f>
        <v>7.1199008885048546E-6</v>
      </c>
      <c r="J171" s="45">
        <v>0</v>
      </c>
      <c r="K171" s="44">
        <f>[2]!Table3[[#This Row],[Incentive Disbursements]]/'[2]1.) CLM Reference'!$B$5</f>
        <v>0</v>
      </c>
      <c r="L171" s="43">
        <v>23.212630238041307</v>
      </c>
      <c r="M171" s="189">
        <f>[2]!Table3[[#This Row],[CLM $ Collected ]]/'[2]1.) CLM Reference'!$B$4</f>
        <v>7.1199008885048546E-6</v>
      </c>
      <c r="N171" s="45">
        <v>0</v>
      </c>
      <c r="O171" s="190">
        <f>[2]!Table3[[#This Row],[Incentive Disbursements]]/'[2]1.) CLM Reference'!$B$5</f>
        <v>0</v>
      </c>
      <c r="P171" t="str">
        <f t="shared" si="2"/>
        <v>NO</v>
      </c>
      <c r="Q171" t="str">
        <f>VLOOKUP(Table8[[#This Row],[Census Tract]],'UI EnergyBurden'!$A$2:$B$184,2,FALSE)</f>
        <v>No</v>
      </c>
      <c r="R171">
        <f>VLOOKUP(Table8[[#This Row],[Census Tract]],'Population and Diversity Data'!$B$2:$K$823,10,FALSE)</f>
        <v>3</v>
      </c>
    </row>
    <row r="172" spans="1:18" ht="17" thickBot="1" x14ac:dyDescent="0.25">
      <c r="A172" s="144">
        <v>9009141300</v>
      </c>
      <c r="B172" s="144" t="s">
        <v>943</v>
      </c>
      <c r="C172" s="139" t="s">
        <v>3887</v>
      </c>
      <c r="D172" s="186">
        <f>[2]!Table3[[#This Row],[Residential CLM $ Collected]]+[2]!Table3[[#This Row],[C&amp;I CLM $ Collected]]</f>
        <v>91716.481474903412</v>
      </c>
      <c r="E172" s="187">
        <f>[2]!Table3[[#This Row],[CLM $ Collected ]]/'[2]1.) CLM Reference'!$B$4</f>
        <v>4.069934805068693E-3</v>
      </c>
      <c r="F172" s="188">
        <f>[2]!Table3[[#This Row],[Residential Incentive Disbursements]]+[2]!Table3[[#This Row],[C&amp;I Incentive Disbursements]]</f>
        <v>98231.86</v>
      </c>
      <c r="G172" s="187">
        <f>[2]!Table3[[#This Row],[Incentive Disbursements]]/'[2]1.) CLM Reference'!$B$5</f>
        <v>3.0327295618801371E-3</v>
      </c>
      <c r="H172" s="43">
        <v>58797.59239295865</v>
      </c>
      <c r="I172" s="44">
        <f>[2]!Table3[[#This Row],[CLM $ Collected ]]/'[2]1.) CLM Reference'!$B$4</f>
        <v>4.069934805068693E-3</v>
      </c>
      <c r="J172" s="45">
        <v>13128.220000000001</v>
      </c>
      <c r="K172" s="44">
        <f>[2]!Table3[[#This Row],[Incentive Disbursements]]/'[2]1.) CLM Reference'!$B$5</f>
        <v>3.0327295618801371E-3</v>
      </c>
      <c r="L172" s="43">
        <v>32918.88908194477</v>
      </c>
      <c r="M172" s="189">
        <f>[2]!Table3[[#This Row],[CLM $ Collected ]]/'[2]1.) CLM Reference'!$B$4</f>
        <v>4.069934805068693E-3</v>
      </c>
      <c r="N172" s="45">
        <v>85103.64</v>
      </c>
      <c r="O172" s="190">
        <f>[2]!Table3[[#This Row],[Incentive Disbursements]]/'[2]1.) CLM Reference'!$B$5</f>
        <v>3.0327295618801371E-3</v>
      </c>
      <c r="P172" t="str">
        <f t="shared" si="2"/>
        <v>NO</v>
      </c>
      <c r="Q172" t="str">
        <f>VLOOKUP(Table8[[#This Row],[Census Tract]],'UI EnergyBurden'!$A$2:$B$184,2,FALSE)</f>
        <v>No</v>
      </c>
      <c r="R172">
        <f>VLOOKUP(Table8[[#This Row],[Census Tract]],'Population and Diversity Data'!$B$2:$K$823,10,FALSE)</f>
        <v>3</v>
      </c>
    </row>
    <row r="173" spans="1:18" ht="17" thickBot="1" x14ac:dyDescent="0.25">
      <c r="A173" s="144">
        <v>9009141400</v>
      </c>
      <c r="B173" s="144" t="s">
        <v>953</v>
      </c>
      <c r="C173" s="139" t="s">
        <v>3886</v>
      </c>
      <c r="D173" s="186">
        <f>[2]!Table3[[#This Row],[Residential CLM $ Collected]]+[2]!Table3[[#This Row],[C&amp;I CLM $ Collected]]</f>
        <v>106.86212253777688</v>
      </c>
      <c r="E173" s="187">
        <f>[2]!Table3[[#This Row],[CLM $ Collected ]]/'[2]1.) CLM Reference'!$B$4</f>
        <v>4.7420252594297607E-6</v>
      </c>
      <c r="F173" s="188">
        <f>[2]!Table3[[#This Row],[Residential Incentive Disbursements]]+[2]!Table3[[#This Row],[C&amp;I Incentive Disbursements]]</f>
        <v>0</v>
      </c>
      <c r="G173" s="187">
        <f>[2]!Table3[[#This Row],[Incentive Disbursements]]/'[2]1.) CLM Reference'!$B$5</f>
        <v>0</v>
      </c>
      <c r="H173" s="43">
        <v>106.86212253777688</v>
      </c>
      <c r="I173" s="44">
        <f>[2]!Table3[[#This Row],[CLM $ Collected ]]/'[2]1.) CLM Reference'!$B$4</f>
        <v>4.7420252594297607E-6</v>
      </c>
      <c r="J173" s="45">
        <v>0</v>
      </c>
      <c r="K173" s="44">
        <f>[2]!Table3[[#This Row],[Incentive Disbursements]]/'[2]1.) CLM Reference'!$B$5</f>
        <v>0</v>
      </c>
      <c r="L173" s="43">
        <v>0</v>
      </c>
      <c r="M173" s="189">
        <f>[2]!Table3[[#This Row],[CLM $ Collected ]]/'[2]1.) CLM Reference'!$B$4</f>
        <v>4.7420252594297607E-6</v>
      </c>
      <c r="N173" s="45">
        <v>0</v>
      </c>
      <c r="O173" s="190">
        <f>[2]!Table3[[#This Row],[Incentive Disbursements]]/'[2]1.) CLM Reference'!$B$5</f>
        <v>0</v>
      </c>
      <c r="P173" t="str">
        <f t="shared" si="2"/>
        <v>N/A</v>
      </c>
      <c r="Q173" t="str">
        <f>VLOOKUP(Table8[[#This Row],[Census Tract]],'UI EnergyBurden'!$A$2:$B$184,2,FALSE)</f>
        <v>No</v>
      </c>
      <c r="R173">
        <f>VLOOKUP(Table8[[#This Row],[Census Tract]],'Population and Diversity Data'!$B$2:$K$823,10,FALSE)</f>
        <v>5</v>
      </c>
    </row>
    <row r="174" spans="1:18" ht="17" thickBot="1" x14ac:dyDescent="0.25">
      <c r="A174" s="144">
        <v>9009141400</v>
      </c>
      <c r="B174" s="144" t="s">
        <v>943</v>
      </c>
      <c r="C174" s="139" t="s">
        <v>3886</v>
      </c>
      <c r="D174" s="186">
        <f>[2]!Table3[[#This Row],[Residential CLM $ Collected]]+[2]!Table3[[#This Row],[C&amp;I CLM $ Collected]]</f>
        <v>68885.760867691744</v>
      </c>
      <c r="E174" s="187">
        <f>[2]!Table3[[#This Row],[CLM $ Collected ]]/'[2]1.) CLM Reference'!$B$4</f>
        <v>3.056817610319834E-3</v>
      </c>
      <c r="F174" s="188">
        <f>[2]!Table3[[#This Row],[Residential Incentive Disbursements]]+[2]!Table3[[#This Row],[C&amp;I Incentive Disbursements]]</f>
        <v>24032.21</v>
      </c>
      <c r="G174" s="187">
        <f>[2]!Table3[[#This Row],[Incentive Disbursements]]/'[2]1.) CLM Reference'!$B$5</f>
        <v>7.419506635048084E-4</v>
      </c>
      <c r="H174" s="43">
        <v>57643.950523494932</v>
      </c>
      <c r="I174" s="44">
        <f>[2]!Table3[[#This Row],[CLM $ Collected ]]/'[2]1.) CLM Reference'!$B$4</f>
        <v>3.056817610319834E-3</v>
      </c>
      <c r="J174" s="45">
        <v>21939.71</v>
      </c>
      <c r="K174" s="44">
        <f>[2]!Table3[[#This Row],[Incentive Disbursements]]/'[2]1.) CLM Reference'!$B$5</f>
        <v>7.419506635048084E-4</v>
      </c>
      <c r="L174" s="43">
        <v>11241.810344196805</v>
      </c>
      <c r="M174" s="189">
        <f>[2]!Table3[[#This Row],[CLM $ Collected ]]/'[2]1.) CLM Reference'!$B$4</f>
        <v>3.056817610319834E-3</v>
      </c>
      <c r="N174" s="45">
        <v>2092.5</v>
      </c>
      <c r="O174" s="190">
        <f>[2]!Table3[[#This Row],[Incentive Disbursements]]/'[2]1.) CLM Reference'!$B$5</f>
        <v>7.419506635048084E-4</v>
      </c>
      <c r="P174" t="str">
        <f t="shared" si="2"/>
        <v>NO</v>
      </c>
      <c r="Q174" t="str">
        <f>VLOOKUP(Table8[[#This Row],[Census Tract]],'UI EnergyBurden'!$A$2:$B$184,2,FALSE)</f>
        <v>No</v>
      </c>
      <c r="R174">
        <f>VLOOKUP(Table8[[#This Row],[Census Tract]],'Population and Diversity Data'!$B$2:$K$823,10,FALSE)</f>
        <v>5</v>
      </c>
    </row>
    <row r="175" spans="1:18" ht="17" thickBot="1" x14ac:dyDescent="0.25">
      <c r="A175" s="144">
        <v>9009141500</v>
      </c>
      <c r="B175" s="144" t="s">
        <v>953</v>
      </c>
      <c r="C175" s="139" t="s">
        <v>3887</v>
      </c>
      <c r="D175" s="186">
        <f>[2]!Table3[[#This Row],[Residential CLM $ Collected]]+[2]!Table3[[#This Row],[C&amp;I CLM $ Collected]]</f>
        <v>72.546394502899958</v>
      </c>
      <c r="E175" s="187">
        <f>[2]!Table3[[#This Row],[CLM $ Collected ]]/'[2]1.) CLM Reference'!$B$4</f>
        <v>3.2192588640722008E-6</v>
      </c>
      <c r="F175" s="188">
        <f>[2]!Table3[[#This Row],[Residential Incentive Disbursements]]+[2]!Table3[[#This Row],[C&amp;I Incentive Disbursements]]</f>
        <v>0</v>
      </c>
      <c r="G175" s="187">
        <f>[2]!Table3[[#This Row],[Incentive Disbursements]]/'[2]1.) CLM Reference'!$B$5</f>
        <v>0</v>
      </c>
      <c r="H175" s="43">
        <v>72.546394502899958</v>
      </c>
      <c r="I175" s="44">
        <f>[2]!Table3[[#This Row],[CLM $ Collected ]]/'[2]1.) CLM Reference'!$B$4</f>
        <v>3.2192588640722008E-6</v>
      </c>
      <c r="J175" s="45">
        <v>0</v>
      </c>
      <c r="K175" s="44">
        <f>[2]!Table3[[#This Row],[Incentive Disbursements]]/'[2]1.) CLM Reference'!$B$5</f>
        <v>0</v>
      </c>
      <c r="L175" s="43">
        <v>0</v>
      </c>
      <c r="M175" s="189">
        <f>[2]!Table3[[#This Row],[CLM $ Collected ]]/'[2]1.) CLM Reference'!$B$4</f>
        <v>3.2192588640722008E-6</v>
      </c>
      <c r="N175" s="45">
        <v>0</v>
      </c>
      <c r="O175" s="190">
        <f>[2]!Table3[[#This Row],[Incentive Disbursements]]/'[2]1.) CLM Reference'!$B$5</f>
        <v>0</v>
      </c>
      <c r="P175" t="str">
        <f t="shared" si="2"/>
        <v>N/A</v>
      </c>
      <c r="Q175" t="str">
        <f>VLOOKUP(Table8[[#This Row],[Census Tract]],'UI EnergyBurden'!$A$2:$B$184,2,FALSE)</f>
        <v>Yes</v>
      </c>
      <c r="R175">
        <f>VLOOKUP(Table8[[#This Row],[Census Tract]],'Population and Diversity Data'!$B$2:$K$823,10,FALSE)</f>
        <v>3</v>
      </c>
    </row>
    <row r="176" spans="1:18" ht="17" thickBot="1" x14ac:dyDescent="0.25">
      <c r="A176" s="144">
        <v>9009141500</v>
      </c>
      <c r="B176" s="144" t="s">
        <v>943</v>
      </c>
      <c r="C176" s="139" t="s">
        <v>3887</v>
      </c>
      <c r="D176" s="186">
        <f>[2]!Table3[[#This Row],[Residential CLM $ Collected]]+[2]!Table3[[#This Row],[C&amp;I CLM $ Collected]]</f>
        <v>86652.799462007606</v>
      </c>
      <c r="E176" s="187">
        <f>[2]!Table3[[#This Row],[CLM $ Collected ]]/'[2]1.) CLM Reference'!$B$4</f>
        <v>3.8452330357174099E-3</v>
      </c>
      <c r="F176" s="188">
        <f>[2]!Table3[[#This Row],[Residential Incentive Disbursements]]+[2]!Table3[[#This Row],[C&amp;I Incentive Disbursements]]</f>
        <v>406474.04</v>
      </c>
      <c r="G176" s="187">
        <f>[2]!Table3[[#This Row],[Incentive Disbursements]]/'[2]1.) CLM Reference'!$B$5</f>
        <v>1.2549144821698879E-2</v>
      </c>
      <c r="H176" s="43">
        <v>76444.735997759344</v>
      </c>
      <c r="I176" s="44">
        <f>[2]!Table3[[#This Row],[CLM $ Collected ]]/'[2]1.) CLM Reference'!$B$4</f>
        <v>3.8452330357174099E-3</v>
      </c>
      <c r="J176" s="45">
        <v>387080.04</v>
      </c>
      <c r="K176" s="44">
        <f>[2]!Table3[[#This Row],[Incentive Disbursements]]/'[2]1.) CLM Reference'!$B$5</f>
        <v>1.2549144821698879E-2</v>
      </c>
      <c r="L176" s="43">
        <v>10208.063464248266</v>
      </c>
      <c r="M176" s="189">
        <f>[2]!Table3[[#This Row],[CLM $ Collected ]]/'[2]1.) CLM Reference'!$B$4</f>
        <v>3.8452330357174099E-3</v>
      </c>
      <c r="N176" s="45">
        <v>19394</v>
      </c>
      <c r="O176" s="190">
        <f>[2]!Table3[[#This Row],[Incentive Disbursements]]/'[2]1.) CLM Reference'!$B$5</f>
        <v>1.2549144821698879E-2</v>
      </c>
      <c r="P176" t="str">
        <f t="shared" si="2"/>
        <v>YES</v>
      </c>
      <c r="Q176" t="str">
        <f>VLOOKUP(Table8[[#This Row],[Census Tract]],'UI EnergyBurden'!$A$2:$B$184,2,FALSE)</f>
        <v>Yes</v>
      </c>
      <c r="R176">
        <f>VLOOKUP(Table8[[#This Row],[Census Tract]],'Population and Diversity Data'!$B$2:$K$823,10,FALSE)</f>
        <v>3</v>
      </c>
    </row>
    <row r="177" spans="1:18" ht="17" thickBot="1" x14ac:dyDescent="0.25">
      <c r="A177" s="144">
        <v>9009141600</v>
      </c>
      <c r="B177" s="144" t="s">
        <v>943</v>
      </c>
      <c r="C177" s="139" t="s">
        <v>3887</v>
      </c>
      <c r="D177" s="186">
        <f>[2]!Table3[[#This Row],[Residential CLM $ Collected]]+[2]!Table3[[#This Row],[C&amp;I CLM $ Collected]]</f>
        <v>73215.082607303033</v>
      </c>
      <c r="E177" s="187">
        <f>[2]!Table3[[#This Row],[CLM $ Collected ]]/'[2]1.) CLM Reference'!$B$4</f>
        <v>3.2489320149179427E-3</v>
      </c>
      <c r="F177" s="188">
        <f>[2]!Table3[[#This Row],[Residential Incentive Disbursements]]+[2]!Table3[[#This Row],[C&amp;I Incentive Disbursements]]</f>
        <v>246638.64</v>
      </c>
      <c r="G177" s="187">
        <f>[2]!Table3[[#This Row],[Incentive Disbursements]]/'[2]1.) CLM Reference'!$B$5</f>
        <v>7.6145182899917891E-3</v>
      </c>
      <c r="H177" s="43">
        <v>49034.474608320976</v>
      </c>
      <c r="I177" s="44">
        <f>[2]!Table3[[#This Row],[CLM $ Collected ]]/'[2]1.) CLM Reference'!$B$4</f>
        <v>3.2489320149179427E-3</v>
      </c>
      <c r="J177" s="45">
        <v>147072.87000000002</v>
      </c>
      <c r="K177" s="44">
        <f>[2]!Table3[[#This Row],[Incentive Disbursements]]/'[2]1.) CLM Reference'!$B$5</f>
        <v>7.6145182899917891E-3</v>
      </c>
      <c r="L177" s="43">
        <v>24180.607998982061</v>
      </c>
      <c r="M177" s="189">
        <f>[2]!Table3[[#This Row],[CLM $ Collected ]]/'[2]1.) CLM Reference'!$B$4</f>
        <v>3.2489320149179427E-3</v>
      </c>
      <c r="N177" s="45">
        <v>99565.76999999999</v>
      </c>
      <c r="O177" s="190">
        <f>[2]!Table3[[#This Row],[Incentive Disbursements]]/'[2]1.) CLM Reference'!$B$5</f>
        <v>7.6145182899917891E-3</v>
      </c>
      <c r="P177" t="str">
        <f t="shared" si="2"/>
        <v>YES</v>
      </c>
      <c r="Q177" t="str">
        <f>VLOOKUP(Table8[[#This Row],[Census Tract]],'UI EnergyBurden'!$A$2:$B$184,2,FALSE)</f>
        <v>Yes</v>
      </c>
      <c r="R177">
        <f>VLOOKUP(Table8[[#This Row],[Census Tract]],'Population and Diversity Data'!$B$2:$K$823,10,FALSE)</f>
        <v>4</v>
      </c>
    </row>
    <row r="178" spans="1:18" ht="17" thickBot="1" x14ac:dyDescent="0.25">
      <c r="A178" s="144">
        <v>9009141800</v>
      </c>
      <c r="B178" s="144" t="s">
        <v>953</v>
      </c>
      <c r="C178" s="139" t="s">
        <v>3886</v>
      </c>
      <c r="D178" s="186">
        <f>[2]!Table3[[#This Row],[Residential CLM $ Collected]]+[2]!Table3[[#This Row],[C&amp;I CLM $ Collected]]</f>
        <v>205.0449004360315</v>
      </c>
      <c r="E178" s="187">
        <f>[2]!Table3[[#This Row],[CLM $ Collected ]]/'[2]1.) CLM Reference'!$B$4</f>
        <v>9.0989030920773028E-6</v>
      </c>
      <c r="F178" s="188">
        <f>[2]!Table3[[#This Row],[Residential Incentive Disbursements]]+[2]!Table3[[#This Row],[C&amp;I Incentive Disbursements]]</f>
        <v>0</v>
      </c>
      <c r="G178" s="187">
        <f>[2]!Table3[[#This Row],[Incentive Disbursements]]/'[2]1.) CLM Reference'!$B$5</f>
        <v>0</v>
      </c>
      <c r="H178" s="43">
        <v>199.04322595125549</v>
      </c>
      <c r="I178" s="44">
        <f>[2]!Table3[[#This Row],[CLM $ Collected ]]/'[2]1.) CLM Reference'!$B$4</f>
        <v>9.0989030920773028E-6</v>
      </c>
      <c r="J178" s="45">
        <v>0</v>
      </c>
      <c r="K178" s="44">
        <f>[2]!Table3[[#This Row],[Incentive Disbursements]]/'[2]1.) CLM Reference'!$B$5</f>
        <v>0</v>
      </c>
      <c r="L178" s="43">
        <v>6.001674484775994</v>
      </c>
      <c r="M178" s="189">
        <f>[2]!Table3[[#This Row],[CLM $ Collected ]]/'[2]1.) CLM Reference'!$B$4</f>
        <v>9.0989030920773028E-6</v>
      </c>
      <c r="N178" s="45">
        <v>0</v>
      </c>
      <c r="O178" s="190">
        <f>[2]!Table3[[#This Row],[Incentive Disbursements]]/'[2]1.) CLM Reference'!$B$5</f>
        <v>0</v>
      </c>
      <c r="P178" t="str">
        <f t="shared" si="2"/>
        <v>NO</v>
      </c>
      <c r="Q178" t="str">
        <f>VLOOKUP(Table8[[#This Row],[Census Tract]],'UI EnergyBurden'!$A$2:$B$184,2,FALSE)</f>
        <v>No</v>
      </c>
      <c r="R178">
        <f>VLOOKUP(Table8[[#This Row],[Census Tract]],'Population and Diversity Data'!$B$2:$K$823,10,FALSE)</f>
        <v>5</v>
      </c>
    </row>
    <row r="179" spans="1:18" ht="17" thickBot="1" x14ac:dyDescent="0.25">
      <c r="A179" s="144">
        <v>9009141800</v>
      </c>
      <c r="B179" s="144" t="s">
        <v>943</v>
      </c>
      <c r="C179" s="139" t="s">
        <v>3886</v>
      </c>
      <c r="D179" s="186">
        <f>[2]!Table3[[#This Row],[Residential CLM $ Collected]]+[2]!Table3[[#This Row],[C&amp;I CLM $ Collected]]</f>
        <v>61977.805835678599</v>
      </c>
      <c r="E179" s="187">
        <f>[2]!Table3[[#This Row],[CLM $ Collected ]]/'[2]1.) CLM Reference'!$B$4</f>
        <v>2.7502759052247376E-3</v>
      </c>
      <c r="F179" s="188">
        <f>[2]!Table3[[#This Row],[Residential Incentive Disbursements]]+[2]!Table3[[#This Row],[C&amp;I Incentive Disbursements]]</f>
        <v>13184.75</v>
      </c>
      <c r="G179" s="187">
        <f>[2]!Table3[[#This Row],[Incentive Disbursements]]/'[2]1.) CLM Reference'!$B$5</f>
        <v>4.0705511522431861E-4</v>
      </c>
      <c r="H179" s="43">
        <v>45653.154286961602</v>
      </c>
      <c r="I179" s="44">
        <f>[2]!Table3[[#This Row],[CLM $ Collected ]]/'[2]1.) CLM Reference'!$B$4</f>
        <v>2.7502759052247376E-3</v>
      </c>
      <c r="J179" s="45">
        <v>6789.7499999999991</v>
      </c>
      <c r="K179" s="44">
        <f>[2]!Table3[[#This Row],[Incentive Disbursements]]/'[2]1.) CLM Reference'!$B$5</f>
        <v>4.0705511522431861E-4</v>
      </c>
      <c r="L179" s="43">
        <v>16324.651548716996</v>
      </c>
      <c r="M179" s="189">
        <f>[2]!Table3[[#This Row],[CLM $ Collected ]]/'[2]1.) CLM Reference'!$B$4</f>
        <v>2.7502759052247376E-3</v>
      </c>
      <c r="N179" s="45">
        <v>6395</v>
      </c>
      <c r="O179" s="190">
        <f>[2]!Table3[[#This Row],[Incentive Disbursements]]/'[2]1.) CLM Reference'!$B$5</f>
        <v>4.0705511522431861E-4</v>
      </c>
      <c r="P179" t="str">
        <f t="shared" si="2"/>
        <v>NO</v>
      </c>
      <c r="Q179" t="str">
        <f>VLOOKUP(Table8[[#This Row],[Census Tract]],'UI EnergyBurden'!$A$2:$B$184,2,FALSE)</f>
        <v>No</v>
      </c>
      <c r="R179">
        <f>VLOOKUP(Table8[[#This Row],[Census Tract]],'Population and Diversity Data'!$B$2:$K$823,10,FALSE)</f>
        <v>5</v>
      </c>
    </row>
    <row r="180" spans="1:18" ht="17" thickBot="1" x14ac:dyDescent="0.25">
      <c r="A180" s="144">
        <v>9009141900</v>
      </c>
      <c r="B180" s="144" t="s">
        <v>953</v>
      </c>
      <c r="C180" s="139" t="s">
        <v>3886</v>
      </c>
      <c r="D180" s="186">
        <f>[2]!Table3[[#This Row],[Residential CLM $ Collected]]+[2]!Table3[[#This Row],[C&amp;I CLM $ Collected]]</f>
        <v>35.820763328751482</v>
      </c>
      <c r="E180" s="187">
        <f>[2]!Table3[[#This Row],[CLM $ Collected ]]/'[2]1.) CLM Reference'!$B$4</f>
        <v>1.5895525980868147E-6</v>
      </c>
      <c r="F180" s="188">
        <f>[2]!Table3[[#This Row],[Residential Incentive Disbursements]]+[2]!Table3[[#This Row],[C&amp;I Incentive Disbursements]]</f>
        <v>0</v>
      </c>
      <c r="G180" s="187">
        <f>[2]!Table3[[#This Row],[Incentive Disbursements]]/'[2]1.) CLM Reference'!$B$5</f>
        <v>0</v>
      </c>
      <c r="H180" s="43">
        <v>35.820763328751482</v>
      </c>
      <c r="I180" s="44">
        <f>[2]!Table3[[#This Row],[CLM $ Collected ]]/'[2]1.) CLM Reference'!$B$4</f>
        <v>1.5895525980868147E-6</v>
      </c>
      <c r="J180" s="45">
        <v>0</v>
      </c>
      <c r="K180" s="44">
        <f>[2]!Table3[[#This Row],[Incentive Disbursements]]/'[2]1.) CLM Reference'!$B$5</f>
        <v>0</v>
      </c>
      <c r="L180" s="43">
        <v>0</v>
      </c>
      <c r="M180" s="189">
        <f>[2]!Table3[[#This Row],[CLM $ Collected ]]/'[2]1.) CLM Reference'!$B$4</f>
        <v>1.5895525980868147E-6</v>
      </c>
      <c r="N180" s="45">
        <v>0</v>
      </c>
      <c r="O180" s="190">
        <f>[2]!Table3[[#This Row],[Incentive Disbursements]]/'[2]1.) CLM Reference'!$B$5</f>
        <v>0</v>
      </c>
      <c r="P180" t="str">
        <f t="shared" si="2"/>
        <v>N/A</v>
      </c>
      <c r="Q180" t="str">
        <f>VLOOKUP(Table8[[#This Row],[Census Tract]],'UI EnergyBurden'!$A$2:$B$184,2,FALSE)</f>
        <v>No</v>
      </c>
      <c r="R180">
        <f>VLOOKUP(Table8[[#This Row],[Census Tract]],'Population and Diversity Data'!$B$2:$K$823,10,FALSE)</f>
        <v>5</v>
      </c>
    </row>
    <row r="181" spans="1:18" ht="17" thickBot="1" x14ac:dyDescent="0.25">
      <c r="A181" s="144">
        <v>9009141900</v>
      </c>
      <c r="B181" s="144" t="s">
        <v>943</v>
      </c>
      <c r="C181" s="139" t="s">
        <v>3886</v>
      </c>
      <c r="D181" s="186">
        <f>[2]!Table3[[#This Row],[Residential CLM $ Collected]]+[2]!Table3[[#This Row],[C&amp;I CLM $ Collected]]</f>
        <v>78492.793565671309</v>
      </c>
      <c r="E181" s="187">
        <f>[2]!Table3[[#This Row],[CLM $ Collected ]]/'[2]1.) CLM Reference'!$B$4</f>
        <v>3.4831313559211523E-3</v>
      </c>
      <c r="F181" s="188">
        <f>[2]!Table3[[#This Row],[Residential Incentive Disbursements]]+[2]!Table3[[#This Row],[C&amp;I Incentive Disbursements]]</f>
        <v>61558.439999999995</v>
      </c>
      <c r="G181" s="187">
        <f>[2]!Table3[[#This Row],[Incentive Disbursements]]/'[2]1.) CLM Reference'!$B$5</f>
        <v>1.9005045895621306E-3</v>
      </c>
      <c r="H181" s="43">
        <v>62574.880113460269</v>
      </c>
      <c r="I181" s="44">
        <f>[2]!Table3[[#This Row],[CLM $ Collected ]]/'[2]1.) CLM Reference'!$B$4</f>
        <v>3.4831313559211523E-3</v>
      </c>
      <c r="J181" s="45">
        <v>42454.439999999995</v>
      </c>
      <c r="K181" s="44">
        <f>[2]!Table3[[#This Row],[Incentive Disbursements]]/'[2]1.) CLM Reference'!$B$5</f>
        <v>1.9005045895621306E-3</v>
      </c>
      <c r="L181" s="43">
        <v>15917.913452211045</v>
      </c>
      <c r="M181" s="189">
        <f>[2]!Table3[[#This Row],[CLM $ Collected ]]/'[2]1.) CLM Reference'!$B$4</f>
        <v>3.4831313559211523E-3</v>
      </c>
      <c r="N181" s="45">
        <v>19104</v>
      </c>
      <c r="O181" s="190">
        <f>[2]!Table3[[#This Row],[Incentive Disbursements]]/'[2]1.) CLM Reference'!$B$5</f>
        <v>1.9005045895621306E-3</v>
      </c>
      <c r="P181" t="str">
        <f t="shared" si="2"/>
        <v>NO</v>
      </c>
      <c r="Q181" t="str">
        <f>VLOOKUP(Table8[[#This Row],[Census Tract]],'UI EnergyBurden'!$A$2:$B$184,2,FALSE)</f>
        <v>No</v>
      </c>
      <c r="R181">
        <f>VLOOKUP(Table8[[#This Row],[Census Tract]],'Population and Diversity Data'!$B$2:$K$823,10,FALSE)</f>
        <v>5</v>
      </c>
    </row>
    <row r="182" spans="1:18" ht="17" thickBot="1" x14ac:dyDescent="0.25">
      <c r="A182" s="144">
        <v>9009142000</v>
      </c>
      <c r="B182" s="144" t="s">
        <v>943</v>
      </c>
      <c r="C182" s="139" t="s">
        <v>3886</v>
      </c>
      <c r="D182" s="186">
        <f>[2]!Table3[[#This Row],[Residential CLM $ Collected]]+[2]!Table3[[#This Row],[C&amp;I CLM $ Collected]]</f>
        <v>89671.59094445032</v>
      </c>
      <c r="E182" s="187">
        <f>[2]!Table3[[#This Row],[CLM $ Collected ]]/'[2]1.) CLM Reference'!$B$4</f>
        <v>3.9791924323935727E-3</v>
      </c>
      <c r="F182" s="188">
        <f>[2]!Table3[[#This Row],[Residential Incentive Disbursements]]+[2]!Table3[[#This Row],[C&amp;I Incentive Disbursements]]</f>
        <v>56862.51</v>
      </c>
      <c r="G182" s="187">
        <f>[2]!Table3[[#This Row],[Incentive Disbursements]]/'[2]1.) CLM Reference'!$B$5</f>
        <v>1.7555263133539863E-3</v>
      </c>
      <c r="H182" s="43">
        <v>44277.376594798101</v>
      </c>
      <c r="I182" s="44">
        <f>[2]!Table3[[#This Row],[CLM $ Collected ]]/'[2]1.) CLM Reference'!$B$4</f>
        <v>3.9791924323935727E-3</v>
      </c>
      <c r="J182" s="45">
        <v>6260.79</v>
      </c>
      <c r="K182" s="44">
        <f>[2]!Table3[[#This Row],[Incentive Disbursements]]/'[2]1.) CLM Reference'!$B$5</f>
        <v>1.7555263133539863E-3</v>
      </c>
      <c r="L182" s="43">
        <v>45394.214349652219</v>
      </c>
      <c r="M182" s="189">
        <f>[2]!Table3[[#This Row],[CLM $ Collected ]]/'[2]1.) CLM Reference'!$B$4</f>
        <v>3.9791924323935727E-3</v>
      </c>
      <c r="N182" s="45">
        <v>50601.72</v>
      </c>
      <c r="O182" s="190">
        <f>[2]!Table3[[#This Row],[Incentive Disbursements]]/'[2]1.) CLM Reference'!$B$5</f>
        <v>1.7555263133539863E-3</v>
      </c>
      <c r="P182" t="str">
        <f t="shared" si="2"/>
        <v>NO</v>
      </c>
      <c r="Q182" t="str">
        <f>VLOOKUP(Table8[[#This Row],[Census Tract]],'UI EnergyBurden'!$A$2:$B$184,2,FALSE)</f>
        <v>No</v>
      </c>
      <c r="R182">
        <f>VLOOKUP(Table8[[#This Row],[Census Tract]],'Population and Diversity Data'!$B$2:$K$823,10,FALSE)</f>
        <v>5</v>
      </c>
    </row>
    <row r="183" spans="1:18" ht="17" thickBot="1" x14ac:dyDescent="0.25">
      <c r="A183" s="144">
        <v>9009142100</v>
      </c>
      <c r="B183" s="144" t="s">
        <v>943</v>
      </c>
      <c r="C183" s="139" t="s">
        <v>3887</v>
      </c>
      <c r="D183" s="186">
        <f>[2]!Table3[[#This Row],[Residential CLM $ Collected]]+[2]!Table3[[#This Row],[C&amp;I CLM $ Collected]]</f>
        <v>33517.417611620775</v>
      </c>
      <c r="E183" s="187">
        <f>[2]!Table3[[#This Row],[CLM $ Collected ]]/'[2]1.) CLM Reference'!$B$4</f>
        <v>1.4873412315853497E-3</v>
      </c>
      <c r="F183" s="188">
        <f>[2]!Table3[[#This Row],[Residential Incentive Disbursements]]+[2]!Table3[[#This Row],[C&amp;I Incentive Disbursements]]</f>
        <v>26571.13</v>
      </c>
      <c r="G183" s="187">
        <f>[2]!Table3[[#This Row],[Incentive Disbursements]]/'[2]1.) CLM Reference'!$B$5</f>
        <v>8.2033518904722118E-4</v>
      </c>
      <c r="H183" s="43">
        <v>13446.054565565863</v>
      </c>
      <c r="I183" s="44">
        <f>[2]!Table3[[#This Row],[CLM $ Collected ]]/'[2]1.) CLM Reference'!$B$4</f>
        <v>1.4873412315853497E-3</v>
      </c>
      <c r="J183" s="45">
        <v>6610.13</v>
      </c>
      <c r="K183" s="44">
        <f>[2]!Table3[[#This Row],[Incentive Disbursements]]/'[2]1.) CLM Reference'!$B$5</f>
        <v>8.2033518904722118E-4</v>
      </c>
      <c r="L183" s="43">
        <v>20071.36304605491</v>
      </c>
      <c r="M183" s="189">
        <f>[2]!Table3[[#This Row],[CLM $ Collected ]]/'[2]1.) CLM Reference'!$B$4</f>
        <v>1.4873412315853497E-3</v>
      </c>
      <c r="N183" s="45">
        <v>19961</v>
      </c>
      <c r="O183" s="190">
        <f>[2]!Table3[[#This Row],[Incentive Disbursements]]/'[2]1.) CLM Reference'!$B$5</f>
        <v>8.2033518904722118E-4</v>
      </c>
      <c r="P183" t="str">
        <f t="shared" si="2"/>
        <v>NO</v>
      </c>
      <c r="Q183" t="str">
        <f>VLOOKUP(Table8[[#This Row],[Census Tract]],'UI EnergyBurden'!$A$2:$B$184,2,FALSE)</f>
        <v>No</v>
      </c>
      <c r="R183">
        <f>VLOOKUP(Table8[[#This Row],[Census Tract]],'Population and Diversity Data'!$B$2:$K$823,10,FALSE)</f>
        <v>5</v>
      </c>
    </row>
    <row r="184" spans="1:18" ht="17" thickBot="1" x14ac:dyDescent="0.25">
      <c r="A184" s="144">
        <v>9009142200</v>
      </c>
      <c r="B184" s="144" t="s">
        <v>943</v>
      </c>
      <c r="C184" s="139" t="s">
        <v>3886</v>
      </c>
      <c r="D184" s="186">
        <f>[2]!Table3[[#This Row],[Residential CLM $ Collected]]+[2]!Table3[[#This Row],[C&amp;I CLM $ Collected]]</f>
        <v>48252.982723640198</v>
      </c>
      <c r="E184" s="187">
        <f>[2]!Table3[[#This Row],[CLM $ Collected ]]/'[2]1.) CLM Reference'!$B$4</f>
        <v>2.1412344943592199E-3</v>
      </c>
      <c r="F184" s="188">
        <f>[2]!Table3[[#This Row],[Residential Incentive Disbursements]]+[2]!Table3[[#This Row],[C&amp;I Incentive Disbursements]]</f>
        <v>41583.020000000004</v>
      </c>
      <c r="G184" s="187">
        <f>[2]!Table3[[#This Row],[Incentive Disbursements]]/'[2]1.) CLM Reference'!$B$5</f>
        <v>1.2837999201710422E-3</v>
      </c>
      <c r="H184" s="43">
        <v>24301.232422780689</v>
      </c>
      <c r="I184" s="44">
        <f>[2]!Table3[[#This Row],[CLM $ Collected ]]/'[2]1.) CLM Reference'!$B$4</f>
        <v>2.1412344943592199E-3</v>
      </c>
      <c r="J184" s="45">
        <v>16554.62</v>
      </c>
      <c r="K184" s="44">
        <f>[2]!Table3[[#This Row],[Incentive Disbursements]]/'[2]1.) CLM Reference'!$B$5</f>
        <v>1.2837999201710422E-3</v>
      </c>
      <c r="L184" s="43">
        <v>23951.750300859509</v>
      </c>
      <c r="M184" s="189">
        <f>[2]!Table3[[#This Row],[CLM $ Collected ]]/'[2]1.) CLM Reference'!$B$4</f>
        <v>2.1412344943592199E-3</v>
      </c>
      <c r="N184" s="45">
        <v>25028.400000000001</v>
      </c>
      <c r="O184" s="190">
        <f>[2]!Table3[[#This Row],[Incentive Disbursements]]/'[2]1.) CLM Reference'!$B$5</f>
        <v>1.2837999201710422E-3</v>
      </c>
      <c r="P184" t="str">
        <f t="shared" si="2"/>
        <v>NO</v>
      </c>
      <c r="Q184" t="str">
        <f>VLOOKUP(Table8[[#This Row],[Census Tract]],'UI EnergyBurden'!$A$2:$B$184,2,FALSE)</f>
        <v>No</v>
      </c>
      <c r="R184">
        <f>VLOOKUP(Table8[[#This Row],[Census Tract]],'Population and Diversity Data'!$B$2:$K$823,10,FALSE)</f>
        <v>4</v>
      </c>
    </row>
    <row r="185" spans="1:18" ht="17" thickBot="1" x14ac:dyDescent="0.25">
      <c r="A185" s="144">
        <v>9009142300</v>
      </c>
      <c r="B185" s="144" t="s">
        <v>3880</v>
      </c>
      <c r="C185" s="139" t="s">
        <v>3887</v>
      </c>
      <c r="D185" s="186">
        <f>[2]!Table3[[#This Row],[Residential CLM $ Collected]]+[2]!Table3[[#This Row],[C&amp;I CLM $ Collected]]</f>
        <v>20.2210263410145</v>
      </c>
      <c r="E185" s="187">
        <f>[2]!Table3[[#This Row],[CLM $ Collected ]]/'[2]1.) CLM Reference'!$B$4</f>
        <v>8.9731155814154521E-7</v>
      </c>
      <c r="F185" s="188">
        <f>[2]!Table3[[#This Row],[Residential Incentive Disbursements]]+[2]!Table3[[#This Row],[C&amp;I Incentive Disbursements]]</f>
        <v>0</v>
      </c>
      <c r="G185" s="187">
        <f>[2]!Table3[[#This Row],[Incentive Disbursements]]/'[2]1.) CLM Reference'!$B$5</f>
        <v>0</v>
      </c>
      <c r="H185" s="43">
        <v>0</v>
      </c>
      <c r="I185" s="44">
        <f>[2]!Table3[[#This Row],[CLM $ Collected ]]/'[2]1.) CLM Reference'!$B$4</f>
        <v>8.9731155814154521E-7</v>
      </c>
      <c r="J185" s="45">
        <v>0</v>
      </c>
      <c r="K185" s="44">
        <f>[2]!Table3[[#This Row],[Incentive Disbursements]]/'[2]1.) CLM Reference'!$B$5</f>
        <v>0</v>
      </c>
      <c r="L185" s="43">
        <v>20.2210263410145</v>
      </c>
      <c r="M185" s="189">
        <f>[2]!Table3[[#This Row],[CLM $ Collected ]]/'[2]1.) CLM Reference'!$B$4</f>
        <v>8.9731155814154521E-7</v>
      </c>
      <c r="N185" s="45">
        <v>0</v>
      </c>
      <c r="O185" s="190">
        <f>[2]!Table3[[#This Row],[Incentive Disbursements]]/'[2]1.) CLM Reference'!$B$5</f>
        <v>0</v>
      </c>
      <c r="P185" t="str">
        <f t="shared" si="2"/>
        <v>N/A</v>
      </c>
      <c r="Q185" t="str">
        <f>VLOOKUP(Table8[[#This Row],[Census Tract]],'UI EnergyBurden'!$A$2:$B$184,2,FALSE)</f>
        <v>Yes</v>
      </c>
      <c r="R185">
        <f>VLOOKUP(Table8[[#This Row],[Census Tract]],'Population and Diversity Data'!$B$2:$K$823,10,FALSE)</f>
        <v>5</v>
      </c>
    </row>
    <row r="186" spans="1:18" ht="17" thickBot="1" x14ac:dyDescent="0.25">
      <c r="A186" s="144">
        <v>9009142300</v>
      </c>
      <c r="B186" s="144" t="s">
        <v>943</v>
      </c>
      <c r="C186" s="139" t="s">
        <v>3887</v>
      </c>
      <c r="D186" s="186">
        <f>[2]!Table3[[#This Row],[Residential CLM $ Collected]]+[2]!Table3[[#This Row],[C&amp;I CLM $ Collected]]</f>
        <v>74280.301344915191</v>
      </c>
      <c r="E186" s="187">
        <f>[2]!Table3[[#This Row],[CLM $ Collected ]]/'[2]1.) CLM Reference'!$B$4</f>
        <v>3.2962012815263152E-3</v>
      </c>
      <c r="F186" s="188">
        <f>[2]!Table3[[#This Row],[Residential Incentive Disbursements]]+[2]!Table3[[#This Row],[C&amp;I Incentive Disbursements]]</f>
        <v>61659.97</v>
      </c>
      <c r="G186" s="187">
        <f>[2]!Table3[[#This Row],[Incentive Disbursements]]/'[2]1.) CLM Reference'!$B$5</f>
        <v>1.9036391431826944E-3</v>
      </c>
      <c r="H186" s="43">
        <v>45610.38543124852</v>
      </c>
      <c r="I186" s="44">
        <f>[2]!Table3[[#This Row],[CLM $ Collected ]]/'[2]1.) CLM Reference'!$B$4</f>
        <v>3.2962012815263152E-3</v>
      </c>
      <c r="J186" s="45">
        <v>3306.3100000000004</v>
      </c>
      <c r="K186" s="44">
        <f>[2]!Table3[[#This Row],[Incentive Disbursements]]/'[2]1.) CLM Reference'!$B$5</f>
        <v>1.9036391431826944E-3</v>
      </c>
      <c r="L186" s="43">
        <v>28669.915913666671</v>
      </c>
      <c r="M186" s="189">
        <f>[2]!Table3[[#This Row],[CLM $ Collected ]]/'[2]1.) CLM Reference'!$B$4</f>
        <v>3.2962012815263152E-3</v>
      </c>
      <c r="N186" s="45">
        <v>58353.66</v>
      </c>
      <c r="O186" s="190">
        <f>[2]!Table3[[#This Row],[Incentive Disbursements]]/'[2]1.) CLM Reference'!$B$5</f>
        <v>1.9036391431826944E-3</v>
      </c>
      <c r="P186" t="str">
        <f t="shared" si="2"/>
        <v>NO</v>
      </c>
      <c r="Q186" t="str">
        <f>VLOOKUP(Table8[[#This Row],[Census Tract]],'UI EnergyBurden'!$A$2:$B$184,2,FALSE)</f>
        <v>Yes</v>
      </c>
      <c r="R186">
        <f>VLOOKUP(Table8[[#This Row],[Census Tract]],'Population and Diversity Data'!$B$2:$K$823,10,FALSE)</f>
        <v>5</v>
      </c>
    </row>
    <row r="187" spans="1:18" ht="17" thickBot="1" x14ac:dyDescent="0.25">
      <c r="A187" s="144">
        <v>9009142400</v>
      </c>
      <c r="B187" s="144" t="s">
        <v>943</v>
      </c>
      <c r="C187" s="139" t="s">
        <v>3887</v>
      </c>
      <c r="D187" s="186">
        <f>[2]!Table3[[#This Row],[Residential CLM $ Collected]]+[2]!Table3[[#This Row],[C&amp;I CLM $ Collected]]</f>
        <v>72688.980438640225</v>
      </c>
      <c r="E187" s="187">
        <f>[2]!Table3[[#This Row],[CLM $ Collected ]]/'[2]1.) CLM Reference'!$B$4</f>
        <v>3.2255861397510154E-3</v>
      </c>
      <c r="F187" s="188">
        <f>[2]!Table3[[#This Row],[Residential Incentive Disbursements]]+[2]!Table3[[#This Row],[C&amp;I Incentive Disbursements]]</f>
        <v>49797.91</v>
      </c>
      <c r="G187" s="187">
        <f>[2]!Table3[[#This Row],[Incentive Disbursements]]/'[2]1.) CLM Reference'!$B$5</f>
        <v>1.537419669920192E-3</v>
      </c>
      <c r="H187" s="43">
        <v>46443.265499536952</v>
      </c>
      <c r="I187" s="44">
        <f>[2]!Table3[[#This Row],[CLM $ Collected ]]/'[2]1.) CLM Reference'!$B$4</f>
        <v>3.2255861397510154E-3</v>
      </c>
      <c r="J187" s="45">
        <v>7860.9100000000035</v>
      </c>
      <c r="K187" s="44">
        <f>[2]!Table3[[#This Row],[Incentive Disbursements]]/'[2]1.) CLM Reference'!$B$5</f>
        <v>1.537419669920192E-3</v>
      </c>
      <c r="L187" s="43">
        <v>26245.714939103276</v>
      </c>
      <c r="M187" s="189">
        <f>[2]!Table3[[#This Row],[CLM $ Collected ]]/'[2]1.) CLM Reference'!$B$4</f>
        <v>3.2255861397510154E-3</v>
      </c>
      <c r="N187" s="45">
        <v>41937</v>
      </c>
      <c r="O187" s="190">
        <f>[2]!Table3[[#This Row],[Incentive Disbursements]]/'[2]1.) CLM Reference'!$B$5</f>
        <v>1.537419669920192E-3</v>
      </c>
      <c r="P187" t="str">
        <f t="shared" si="2"/>
        <v>NO</v>
      </c>
      <c r="Q187" t="str">
        <f>VLOOKUP(Table8[[#This Row],[Census Tract]],'UI EnergyBurden'!$A$2:$B$184,2,FALSE)</f>
        <v>Yes</v>
      </c>
      <c r="R187">
        <f>VLOOKUP(Table8[[#This Row],[Census Tract]],'Population and Diversity Data'!$B$2:$K$823,10,FALSE)</f>
        <v>5</v>
      </c>
    </row>
    <row r="188" spans="1:18" ht="17" thickBot="1" x14ac:dyDescent="0.25">
      <c r="A188" s="144">
        <v>9009142500</v>
      </c>
      <c r="B188" s="144" t="s">
        <v>3880</v>
      </c>
      <c r="C188" s="139" t="s">
        <v>3887</v>
      </c>
      <c r="D188" s="186">
        <f>[2]!Table3[[#This Row],[Residential CLM $ Collected]]+[2]!Table3[[#This Row],[C&amp;I CLM $ Collected]]</f>
        <v>607.64184154748591</v>
      </c>
      <c r="E188" s="187">
        <f>[2]!Table3[[#This Row],[CLM $ Collected ]]/'[2]1.) CLM Reference'!$B$4</f>
        <v>2.6964212322153441E-5</v>
      </c>
      <c r="F188" s="188">
        <f>[2]!Table3[[#This Row],[Residential Incentive Disbursements]]+[2]!Table3[[#This Row],[C&amp;I Incentive Disbursements]]</f>
        <v>0</v>
      </c>
      <c r="G188" s="187">
        <f>[2]!Table3[[#This Row],[Incentive Disbursements]]/'[2]1.) CLM Reference'!$B$5</f>
        <v>0</v>
      </c>
      <c r="H188" s="43">
        <v>293.88814950143865</v>
      </c>
      <c r="I188" s="44">
        <f>[2]!Table3[[#This Row],[CLM $ Collected ]]/'[2]1.) CLM Reference'!$B$4</f>
        <v>2.6964212322153441E-5</v>
      </c>
      <c r="J188" s="45">
        <v>0</v>
      </c>
      <c r="K188" s="44">
        <f>[2]!Table3[[#This Row],[Incentive Disbursements]]/'[2]1.) CLM Reference'!$B$5</f>
        <v>0</v>
      </c>
      <c r="L188" s="43">
        <v>313.75369204604721</v>
      </c>
      <c r="M188" s="189">
        <f>[2]!Table3[[#This Row],[CLM $ Collected ]]/'[2]1.) CLM Reference'!$B$4</f>
        <v>2.6964212322153441E-5</v>
      </c>
      <c r="N188" s="45">
        <v>0</v>
      </c>
      <c r="O188" s="190">
        <f>[2]!Table3[[#This Row],[Incentive Disbursements]]/'[2]1.) CLM Reference'!$B$5</f>
        <v>0</v>
      </c>
      <c r="P188" t="str">
        <f t="shared" si="2"/>
        <v>NO</v>
      </c>
      <c r="Q188" t="str">
        <f>VLOOKUP(Table8[[#This Row],[Census Tract]],'UI EnergyBurden'!$A$2:$B$184,2,FALSE)</f>
        <v>Yes</v>
      </c>
      <c r="R188">
        <f>VLOOKUP(Table8[[#This Row],[Census Tract]],'Population and Diversity Data'!$B$2:$K$823,10,FALSE)</f>
        <v>5</v>
      </c>
    </row>
    <row r="189" spans="1:18" ht="17" thickBot="1" x14ac:dyDescent="0.25">
      <c r="A189" s="144">
        <v>9009142500</v>
      </c>
      <c r="B189" s="144" t="s">
        <v>953</v>
      </c>
      <c r="C189" s="139" t="s">
        <v>3887</v>
      </c>
      <c r="D189" s="186">
        <f>[2]!Table3[[#This Row],[Residential CLM $ Collected]]+[2]!Table3[[#This Row],[C&amp;I CLM $ Collected]]</f>
        <v>508.73424603837736</v>
      </c>
      <c r="E189" s="187">
        <f>[2]!Table3[[#This Row],[CLM $ Collected ]]/'[2]1.) CLM Reference'!$B$4</f>
        <v>2.2575170582056523E-5</v>
      </c>
      <c r="F189" s="188">
        <f>[2]!Table3[[#This Row],[Residential Incentive Disbursements]]+[2]!Table3[[#This Row],[C&amp;I Incentive Disbursements]]</f>
        <v>0</v>
      </c>
      <c r="G189" s="187">
        <f>[2]!Table3[[#This Row],[Incentive Disbursements]]/'[2]1.) CLM Reference'!$B$5</f>
        <v>0</v>
      </c>
      <c r="H189" s="43">
        <v>167.34053465359651</v>
      </c>
      <c r="I189" s="44">
        <f>[2]!Table3[[#This Row],[CLM $ Collected ]]/'[2]1.) CLM Reference'!$B$4</f>
        <v>2.2575170582056523E-5</v>
      </c>
      <c r="J189" s="45">
        <v>0</v>
      </c>
      <c r="K189" s="44">
        <f>[2]!Table3[[#This Row],[Incentive Disbursements]]/'[2]1.) CLM Reference'!$B$5</f>
        <v>0</v>
      </c>
      <c r="L189" s="43">
        <v>341.39371138478089</v>
      </c>
      <c r="M189" s="189">
        <f>[2]!Table3[[#This Row],[CLM $ Collected ]]/'[2]1.) CLM Reference'!$B$4</f>
        <v>2.2575170582056523E-5</v>
      </c>
      <c r="N189" s="45">
        <v>0</v>
      </c>
      <c r="O189" s="190">
        <f>[2]!Table3[[#This Row],[Incentive Disbursements]]/'[2]1.) CLM Reference'!$B$5</f>
        <v>0</v>
      </c>
      <c r="P189" t="str">
        <f t="shared" si="2"/>
        <v>NO</v>
      </c>
      <c r="Q189" t="str">
        <f>VLOOKUP(Table8[[#This Row],[Census Tract]],'UI EnergyBurden'!$A$2:$B$184,2,FALSE)</f>
        <v>Yes</v>
      </c>
      <c r="R189">
        <f>VLOOKUP(Table8[[#This Row],[Census Tract]],'Population and Diversity Data'!$B$2:$K$823,10,FALSE)</f>
        <v>5</v>
      </c>
    </row>
    <row r="190" spans="1:18" ht="17" thickBot="1" x14ac:dyDescent="0.25">
      <c r="A190" s="144">
        <v>9009142500</v>
      </c>
      <c r="B190" s="144" t="s">
        <v>943</v>
      </c>
      <c r="C190" s="139" t="s">
        <v>3887</v>
      </c>
      <c r="D190" s="186">
        <f>[2]!Table3[[#This Row],[Residential CLM $ Collected]]+[2]!Table3[[#This Row],[C&amp;I CLM $ Collected]]</f>
        <v>74194.897516996731</v>
      </c>
      <c r="E190" s="187">
        <f>[2]!Table3[[#This Row],[CLM $ Collected ]]/'[2]1.) CLM Reference'!$B$4</f>
        <v>3.2924114718199042E-3</v>
      </c>
      <c r="F190" s="188">
        <f>[2]!Table3[[#This Row],[Residential Incentive Disbursements]]+[2]!Table3[[#This Row],[C&amp;I Incentive Disbursements]]</f>
        <v>70927.76999999999</v>
      </c>
      <c r="G190" s="187">
        <f>[2]!Table3[[#This Row],[Incentive Disbursements]]/'[2]1.) CLM Reference'!$B$5</f>
        <v>2.1897655693095407E-3</v>
      </c>
      <c r="H190" s="43">
        <v>55140.48127900566</v>
      </c>
      <c r="I190" s="44">
        <f>[2]!Table3[[#This Row],[CLM $ Collected ]]/'[2]1.) CLM Reference'!$B$4</f>
        <v>3.2924114718199042E-3</v>
      </c>
      <c r="J190" s="45">
        <v>4573.8099999999995</v>
      </c>
      <c r="K190" s="44">
        <f>[2]!Table3[[#This Row],[Incentive Disbursements]]/'[2]1.) CLM Reference'!$B$5</f>
        <v>2.1897655693095407E-3</v>
      </c>
      <c r="L190" s="43">
        <v>19054.416237991067</v>
      </c>
      <c r="M190" s="189">
        <f>[2]!Table3[[#This Row],[CLM $ Collected ]]/'[2]1.) CLM Reference'!$B$4</f>
        <v>3.2924114718199042E-3</v>
      </c>
      <c r="N190" s="45">
        <v>66353.959999999992</v>
      </c>
      <c r="O190" s="190">
        <f>[2]!Table3[[#This Row],[Incentive Disbursements]]/'[2]1.) CLM Reference'!$B$5</f>
        <v>2.1897655693095407E-3</v>
      </c>
      <c r="P190" t="str">
        <f t="shared" si="2"/>
        <v>NO</v>
      </c>
      <c r="Q190" t="str">
        <f>VLOOKUP(Table8[[#This Row],[Census Tract]],'UI EnergyBurden'!$A$2:$B$184,2,FALSE)</f>
        <v>Yes</v>
      </c>
      <c r="R190">
        <f>VLOOKUP(Table8[[#This Row],[Census Tract]],'Population and Diversity Data'!$B$2:$K$823,10,FALSE)</f>
        <v>5</v>
      </c>
    </row>
    <row r="191" spans="1:18" ht="17" thickBot="1" x14ac:dyDescent="0.25">
      <c r="A191" s="144">
        <v>9009142601</v>
      </c>
      <c r="B191" s="144" t="s">
        <v>3880</v>
      </c>
      <c r="C191" s="139" t="s">
        <v>3886</v>
      </c>
      <c r="D191" s="186">
        <f>[2]!Table3[[#This Row],[Residential CLM $ Collected]]+[2]!Table3[[#This Row],[C&amp;I CLM $ Collected]]</f>
        <v>45.626576102339328</v>
      </c>
      <c r="E191" s="187">
        <f>[2]!Table3[[#This Row],[CLM $ Collected ]]/'[2]1.) CLM Reference'!$B$4</f>
        <v>2.024687244089701E-6</v>
      </c>
      <c r="F191" s="188">
        <f>[2]!Table3[[#This Row],[Residential Incentive Disbursements]]+[2]!Table3[[#This Row],[C&amp;I Incentive Disbursements]]</f>
        <v>0</v>
      </c>
      <c r="G191" s="187">
        <f>[2]!Table3[[#This Row],[Incentive Disbursements]]/'[2]1.) CLM Reference'!$B$5</f>
        <v>0</v>
      </c>
      <c r="H191" s="43">
        <v>45.626576102339328</v>
      </c>
      <c r="I191" s="44">
        <f>[2]!Table3[[#This Row],[CLM $ Collected ]]/'[2]1.) CLM Reference'!$B$4</f>
        <v>2.024687244089701E-6</v>
      </c>
      <c r="J191" s="45">
        <v>0</v>
      </c>
      <c r="K191" s="44">
        <f>[2]!Table3[[#This Row],[Incentive Disbursements]]/'[2]1.) CLM Reference'!$B$5</f>
        <v>0</v>
      </c>
      <c r="L191" s="43">
        <v>0</v>
      </c>
      <c r="M191" s="189">
        <f>[2]!Table3[[#This Row],[CLM $ Collected ]]/'[2]1.) CLM Reference'!$B$4</f>
        <v>2.024687244089701E-6</v>
      </c>
      <c r="N191" s="45">
        <v>0</v>
      </c>
      <c r="O191" s="190">
        <f>[2]!Table3[[#This Row],[Incentive Disbursements]]/'[2]1.) CLM Reference'!$B$5</f>
        <v>0</v>
      </c>
      <c r="P191" t="str">
        <f t="shared" si="2"/>
        <v>N/A</v>
      </c>
      <c r="Q191" t="str">
        <f>VLOOKUP(Table8[[#This Row],[Census Tract]],'UI EnergyBurden'!$A$2:$B$184,2,FALSE)</f>
        <v>No</v>
      </c>
      <c r="R191">
        <f>VLOOKUP(Table8[[#This Row],[Census Tract]],'Population and Diversity Data'!$B$2:$K$823,10,FALSE)</f>
        <v>5</v>
      </c>
    </row>
    <row r="192" spans="1:18" ht="17" thickBot="1" x14ac:dyDescent="0.25">
      <c r="A192" s="144">
        <v>9009142601</v>
      </c>
      <c r="B192" s="144" t="s">
        <v>943</v>
      </c>
      <c r="C192" s="139" t="s">
        <v>3886</v>
      </c>
      <c r="D192" s="186">
        <f>[2]!Table3[[#This Row],[Residential CLM $ Collected]]+[2]!Table3[[#This Row],[C&amp;I CLM $ Collected]]</f>
        <v>86318.829360293254</v>
      </c>
      <c r="E192" s="187">
        <f>[2]!Table3[[#This Row],[CLM $ Collected ]]/'[2]1.) CLM Reference'!$B$4</f>
        <v>3.8304130544123977E-3</v>
      </c>
      <c r="F192" s="188">
        <f>[2]!Table3[[#This Row],[Residential Incentive Disbursements]]+[2]!Table3[[#This Row],[C&amp;I Incentive Disbursements]]</f>
        <v>92226.540000000023</v>
      </c>
      <c r="G192" s="187">
        <f>[2]!Table3[[#This Row],[Incentive Disbursements]]/'[2]1.) CLM Reference'!$B$5</f>
        <v>2.8473262569590047E-3</v>
      </c>
      <c r="H192" s="43">
        <v>69196.726089438715</v>
      </c>
      <c r="I192" s="44">
        <f>[2]!Table3[[#This Row],[CLM $ Collected ]]/'[2]1.) CLM Reference'!$B$4</f>
        <v>3.8304130544123977E-3</v>
      </c>
      <c r="J192" s="45">
        <v>78996.540000000023</v>
      </c>
      <c r="K192" s="44">
        <f>[2]!Table3[[#This Row],[Incentive Disbursements]]/'[2]1.) CLM Reference'!$B$5</f>
        <v>2.8473262569590047E-3</v>
      </c>
      <c r="L192" s="43">
        <v>17122.103270854543</v>
      </c>
      <c r="M192" s="189">
        <f>[2]!Table3[[#This Row],[CLM $ Collected ]]/'[2]1.) CLM Reference'!$B$4</f>
        <v>3.8304130544123977E-3</v>
      </c>
      <c r="N192" s="45">
        <v>13230</v>
      </c>
      <c r="O192" s="190">
        <f>[2]!Table3[[#This Row],[Incentive Disbursements]]/'[2]1.) CLM Reference'!$B$5</f>
        <v>2.8473262569590047E-3</v>
      </c>
      <c r="P192" t="str">
        <f t="shared" si="2"/>
        <v>NO</v>
      </c>
      <c r="Q192" t="str">
        <f>VLOOKUP(Table8[[#This Row],[Census Tract]],'UI EnergyBurden'!$A$2:$B$184,2,FALSE)</f>
        <v>No</v>
      </c>
      <c r="R192">
        <f>VLOOKUP(Table8[[#This Row],[Census Tract]],'Population and Diversity Data'!$B$2:$K$823,10,FALSE)</f>
        <v>5</v>
      </c>
    </row>
    <row r="193" spans="1:18" ht="17" thickBot="1" x14ac:dyDescent="0.25">
      <c r="A193" s="144">
        <v>9009142601</v>
      </c>
      <c r="B193" s="144" t="s">
        <v>3004</v>
      </c>
      <c r="C193" s="139" t="s">
        <v>3886</v>
      </c>
      <c r="D193" s="186">
        <f>[2]!Table3[[#This Row],[Residential CLM $ Collected]]+[2]!Table3[[#This Row],[C&amp;I CLM $ Collected]]</f>
        <v>460.22686618334546</v>
      </c>
      <c r="E193" s="187">
        <f>[2]!Table3[[#This Row],[CLM $ Collected ]]/'[2]1.) CLM Reference'!$B$4</f>
        <v>2.042264717077953E-5</v>
      </c>
      <c r="F193" s="188">
        <f>[2]!Table3[[#This Row],[Residential Incentive Disbursements]]+[2]!Table3[[#This Row],[C&amp;I Incentive Disbursements]]</f>
        <v>0</v>
      </c>
      <c r="G193" s="187">
        <f>[2]!Table3[[#This Row],[Incentive Disbursements]]/'[2]1.) CLM Reference'!$B$5</f>
        <v>0</v>
      </c>
      <c r="H193" s="43">
        <v>460.22686618334546</v>
      </c>
      <c r="I193" s="44">
        <f>[2]!Table3[[#This Row],[CLM $ Collected ]]/'[2]1.) CLM Reference'!$B$4</f>
        <v>2.042264717077953E-5</v>
      </c>
      <c r="J193" s="45">
        <v>0</v>
      </c>
      <c r="K193" s="44">
        <f>[2]!Table3[[#This Row],[Incentive Disbursements]]/'[2]1.) CLM Reference'!$B$5</f>
        <v>0</v>
      </c>
      <c r="L193" s="43">
        <v>0</v>
      </c>
      <c r="M193" s="189">
        <f>[2]!Table3[[#This Row],[CLM $ Collected ]]/'[2]1.) CLM Reference'!$B$4</f>
        <v>2.042264717077953E-5</v>
      </c>
      <c r="N193" s="45">
        <v>0</v>
      </c>
      <c r="O193" s="190">
        <f>[2]!Table3[[#This Row],[Incentive Disbursements]]/'[2]1.) CLM Reference'!$B$5</f>
        <v>0</v>
      </c>
      <c r="P193" t="str">
        <f t="shared" si="2"/>
        <v>NO</v>
      </c>
      <c r="Q193" t="str">
        <f>VLOOKUP(Table8[[#This Row],[Census Tract]],'UI EnergyBurden'!$A$2:$B$184,2,FALSE)</f>
        <v>No</v>
      </c>
      <c r="R193">
        <f>VLOOKUP(Table8[[#This Row],[Census Tract]],'Population and Diversity Data'!$B$2:$K$823,10,FALSE)</f>
        <v>5</v>
      </c>
    </row>
    <row r="194" spans="1:18" ht="17" thickBot="1" x14ac:dyDescent="0.25">
      <c r="A194" s="144">
        <v>9009142603</v>
      </c>
      <c r="B194" s="144" t="s">
        <v>3880</v>
      </c>
      <c r="C194" s="139" t="s">
        <v>3887</v>
      </c>
      <c r="D194" s="186">
        <f>[2]!Table3[[#This Row],[Residential CLM $ Collected]]+[2]!Table3[[#This Row],[C&amp;I CLM $ Collected]]</f>
        <v>150.46659600601475</v>
      </c>
      <c r="E194" s="187">
        <f>[2]!Table3[[#This Row],[CLM $ Collected ]]/'[2]1.) CLM Reference'!$B$4</f>
        <v>6.6769813477053065E-6</v>
      </c>
      <c r="F194" s="188">
        <f>[2]!Table3[[#This Row],[Residential Incentive Disbursements]]+[2]!Table3[[#This Row],[C&amp;I Incentive Disbursements]]</f>
        <v>0</v>
      </c>
      <c r="G194" s="187">
        <f>[2]!Table3[[#This Row],[Incentive Disbursements]]/'[2]1.) CLM Reference'!$B$5</f>
        <v>0</v>
      </c>
      <c r="H194" s="43">
        <v>0</v>
      </c>
      <c r="I194" s="44">
        <f>[2]!Table3[[#This Row],[CLM $ Collected ]]/'[2]1.) CLM Reference'!$B$4</f>
        <v>6.6769813477053065E-6</v>
      </c>
      <c r="J194" s="45">
        <v>0</v>
      </c>
      <c r="K194" s="44">
        <f>[2]!Table3[[#This Row],[Incentive Disbursements]]/'[2]1.) CLM Reference'!$B$5</f>
        <v>0</v>
      </c>
      <c r="L194" s="43">
        <v>150.46659600601475</v>
      </c>
      <c r="M194" s="189">
        <f>[2]!Table3[[#This Row],[CLM $ Collected ]]/'[2]1.) CLM Reference'!$B$4</f>
        <v>6.6769813477053065E-6</v>
      </c>
      <c r="N194" s="45">
        <v>0</v>
      </c>
      <c r="O194" s="190">
        <f>[2]!Table3[[#This Row],[Incentive Disbursements]]/'[2]1.) CLM Reference'!$B$5</f>
        <v>0</v>
      </c>
      <c r="P194" t="str">
        <f t="shared" si="2"/>
        <v>NO</v>
      </c>
      <c r="Q194" t="str">
        <f>VLOOKUP(Table8[[#This Row],[Census Tract]],'UI EnergyBurden'!$A$2:$B$184,2,FALSE)</f>
        <v>No</v>
      </c>
      <c r="R194">
        <f>VLOOKUP(Table8[[#This Row],[Census Tract]],'Population and Diversity Data'!$B$2:$K$823,10,FALSE)</f>
        <v>5</v>
      </c>
    </row>
    <row r="195" spans="1:18" ht="17" thickBot="1" x14ac:dyDescent="0.25">
      <c r="A195" s="144">
        <v>9009142603</v>
      </c>
      <c r="B195" s="144" t="s">
        <v>943</v>
      </c>
      <c r="C195" s="139" t="s">
        <v>3887</v>
      </c>
      <c r="D195" s="186">
        <f>[2]!Table3[[#This Row],[Residential CLM $ Collected]]+[2]!Table3[[#This Row],[C&amp;I CLM $ Collected]]</f>
        <v>38607.091491708212</v>
      </c>
      <c r="E195" s="187">
        <f>[2]!Table3[[#This Row],[CLM $ Collected ]]/'[2]1.) CLM Reference'!$B$4</f>
        <v>1.7131963945604481E-3</v>
      </c>
      <c r="F195" s="188">
        <f>[2]!Table3[[#This Row],[Residential Incentive Disbursements]]+[2]!Table3[[#This Row],[C&amp;I Incentive Disbursements]]</f>
        <v>33004.58</v>
      </c>
      <c r="G195" s="187">
        <f>[2]!Table3[[#This Row],[Incentive Disbursements]]/'[2]1.) CLM Reference'!$B$5</f>
        <v>1.0189562270676534E-3</v>
      </c>
      <c r="H195" s="43">
        <v>33054.554625336772</v>
      </c>
      <c r="I195" s="44">
        <f>[2]!Table3[[#This Row],[CLM $ Collected ]]/'[2]1.) CLM Reference'!$B$4</f>
        <v>1.7131963945604481E-3</v>
      </c>
      <c r="J195" s="45">
        <v>20282.580000000002</v>
      </c>
      <c r="K195" s="44">
        <f>[2]!Table3[[#This Row],[Incentive Disbursements]]/'[2]1.) CLM Reference'!$B$5</f>
        <v>1.0189562270676534E-3</v>
      </c>
      <c r="L195" s="43">
        <v>5552.5368663714416</v>
      </c>
      <c r="M195" s="189">
        <f>[2]!Table3[[#This Row],[CLM $ Collected ]]/'[2]1.) CLM Reference'!$B$4</f>
        <v>1.7131963945604481E-3</v>
      </c>
      <c r="N195" s="45">
        <v>12722</v>
      </c>
      <c r="O195" s="190">
        <f>[2]!Table3[[#This Row],[Incentive Disbursements]]/'[2]1.) CLM Reference'!$B$5</f>
        <v>1.0189562270676534E-3</v>
      </c>
      <c r="P195" t="str">
        <f t="shared" si="2"/>
        <v>NO</v>
      </c>
      <c r="Q195" t="str">
        <f>VLOOKUP(Table8[[#This Row],[Census Tract]],'UI EnergyBurden'!$A$2:$B$184,2,FALSE)</f>
        <v>No</v>
      </c>
      <c r="R195">
        <f>VLOOKUP(Table8[[#This Row],[Census Tract]],'Population and Diversity Data'!$B$2:$K$823,10,FALSE)</f>
        <v>5</v>
      </c>
    </row>
    <row r="196" spans="1:18" ht="17" thickBot="1" x14ac:dyDescent="0.25">
      <c r="A196" s="144">
        <v>9009142604</v>
      </c>
      <c r="B196" s="144" t="s">
        <v>3880</v>
      </c>
      <c r="C196" s="139" t="s">
        <v>3886</v>
      </c>
      <c r="D196" s="186">
        <f>[2]!Table3[[#This Row],[Residential CLM $ Collected]]+[2]!Table3[[#This Row],[C&amp;I CLM $ Collected]]</f>
        <v>534.13056245434109</v>
      </c>
      <c r="E196" s="187">
        <f>[2]!Table3[[#This Row],[CLM $ Collected ]]/'[2]1.) CLM Reference'!$B$4</f>
        <v>2.3702136536699598E-5</v>
      </c>
      <c r="F196" s="188">
        <f>[2]!Table3[[#This Row],[Residential Incentive Disbursements]]+[2]!Table3[[#This Row],[C&amp;I Incentive Disbursements]]</f>
        <v>0</v>
      </c>
      <c r="G196" s="187">
        <f>[2]!Table3[[#This Row],[Incentive Disbursements]]/'[2]1.) CLM Reference'!$B$5</f>
        <v>0</v>
      </c>
      <c r="H196" s="43">
        <v>534.13056245434109</v>
      </c>
      <c r="I196" s="44">
        <f>[2]!Table3[[#This Row],[CLM $ Collected ]]/'[2]1.) CLM Reference'!$B$4</f>
        <v>2.3702136536699598E-5</v>
      </c>
      <c r="J196" s="45">
        <v>0</v>
      </c>
      <c r="K196" s="44">
        <f>[2]!Table3[[#This Row],[Incentive Disbursements]]/'[2]1.) CLM Reference'!$B$5</f>
        <v>0</v>
      </c>
      <c r="L196" s="43">
        <v>0</v>
      </c>
      <c r="M196" s="189">
        <f>[2]!Table3[[#This Row],[CLM $ Collected ]]/'[2]1.) CLM Reference'!$B$4</f>
        <v>2.3702136536699598E-5</v>
      </c>
      <c r="N196" s="45">
        <v>0</v>
      </c>
      <c r="O196" s="190">
        <f>[2]!Table3[[#This Row],[Incentive Disbursements]]/'[2]1.) CLM Reference'!$B$5</f>
        <v>0</v>
      </c>
      <c r="P196" t="str">
        <f t="shared" si="2"/>
        <v>NO</v>
      </c>
      <c r="Q196" t="str">
        <f>VLOOKUP(Table8[[#This Row],[Census Tract]],'UI EnergyBurden'!$A$2:$B$184,2,FALSE)</f>
        <v>No</v>
      </c>
      <c r="R196">
        <f>VLOOKUP(Table8[[#This Row],[Census Tract]],'Population and Diversity Data'!$B$2:$K$823,10,FALSE)</f>
        <v>4</v>
      </c>
    </row>
    <row r="197" spans="1:18" ht="17" thickBot="1" x14ac:dyDescent="0.25">
      <c r="A197" s="144">
        <v>9009142604</v>
      </c>
      <c r="B197" s="144" t="s">
        <v>943</v>
      </c>
      <c r="C197" s="139" t="s">
        <v>3886</v>
      </c>
      <c r="D197" s="186">
        <f>[2]!Table3[[#This Row],[Residential CLM $ Collected]]+[2]!Table3[[#This Row],[C&amp;I CLM $ Collected]]</f>
        <v>35142.569495299133</v>
      </c>
      <c r="E197" s="187">
        <f>[2]!Table3[[#This Row],[CLM $ Collected ]]/'[2]1.) CLM Reference'!$B$4</f>
        <v>1.5594576288624888E-3</v>
      </c>
      <c r="F197" s="188">
        <f>[2]!Table3[[#This Row],[Residential Incentive Disbursements]]+[2]!Table3[[#This Row],[C&amp;I Incentive Disbursements]]</f>
        <v>27158.58</v>
      </c>
      <c r="G197" s="187">
        <f>[2]!Table3[[#This Row],[Incentive Disbursements]]/'[2]1.) CLM Reference'!$B$5</f>
        <v>8.3847163664300625E-4</v>
      </c>
      <c r="H197" s="43">
        <v>30290.344941192798</v>
      </c>
      <c r="I197" s="44">
        <f>[2]!Table3[[#This Row],[CLM $ Collected ]]/'[2]1.) CLM Reference'!$B$4</f>
        <v>1.5594576288624888E-3</v>
      </c>
      <c r="J197" s="45">
        <v>26558.58</v>
      </c>
      <c r="K197" s="44">
        <f>[2]!Table3[[#This Row],[Incentive Disbursements]]/'[2]1.) CLM Reference'!$B$5</f>
        <v>8.3847163664300625E-4</v>
      </c>
      <c r="L197" s="43">
        <v>4852.2245541063339</v>
      </c>
      <c r="M197" s="189">
        <f>[2]!Table3[[#This Row],[CLM $ Collected ]]/'[2]1.) CLM Reference'!$B$4</f>
        <v>1.5594576288624888E-3</v>
      </c>
      <c r="N197" s="45">
        <v>600</v>
      </c>
      <c r="O197" s="190">
        <f>[2]!Table3[[#This Row],[Incentive Disbursements]]/'[2]1.) CLM Reference'!$B$5</f>
        <v>8.3847163664300625E-4</v>
      </c>
      <c r="P197" t="str">
        <f t="shared" si="2"/>
        <v>NO</v>
      </c>
      <c r="Q197" t="str">
        <f>VLOOKUP(Table8[[#This Row],[Census Tract]],'UI EnergyBurden'!$A$2:$B$184,2,FALSE)</f>
        <v>No</v>
      </c>
      <c r="R197">
        <f>VLOOKUP(Table8[[#This Row],[Census Tract]],'Population and Diversity Data'!$B$2:$K$823,10,FALSE)</f>
        <v>4</v>
      </c>
    </row>
    <row r="198" spans="1:18" ht="17" thickBot="1" x14ac:dyDescent="0.25">
      <c r="A198" s="144">
        <v>9009142604</v>
      </c>
      <c r="B198" s="144" t="s">
        <v>3004</v>
      </c>
      <c r="C198" s="139" t="s">
        <v>3886</v>
      </c>
      <c r="D198" s="186">
        <f>[2]!Table3[[#This Row],[Residential CLM $ Collected]]+[2]!Table3[[#This Row],[C&amp;I CLM $ Collected]]</f>
        <v>26.596651312918844</v>
      </c>
      <c r="E198" s="187">
        <f>[2]!Table3[[#This Row],[CLM $ Collected ]]/'[2]1.) CLM Reference'!$B$4</f>
        <v>1.1802310243044389E-6</v>
      </c>
      <c r="F198" s="188">
        <f>[2]!Table3[[#This Row],[Residential Incentive Disbursements]]+[2]!Table3[[#This Row],[C&amp;I Incentive Disbursements]]</f>
        <v>0</v>
      </c>
      <c r="G198" s="187">
        <f>[2]!Table3[[#This Row],[Incentive Disbursements]]/'[2]1.) CLM Reference'!$B$5</f>
        <v>0</v>
      </c>
      <c r="H198" s="43">
        <v>26.596651312918844</v>
      </c>
      <c r="I198" s="44">
        <f>[2]!Table3[[#This Row],[CLM $ Collected ]]/'[2]1.) CLM Reference'!$B$4</f>
        <v>1.1802310243044389E-6</v>
      </c>
      <c r="J198" s="45">
        <v>0</v>
      </c>
      <c r="K198" s="44">
        <f>[2]!Table3[[#This Row],[Incentive Disbursements]]/'[2]1.) CLM Reference'!$B$5</f>
        <v>0</v>
      </c>
      <c r="L198" s="43">
        <v>0</v>
      </c>
      <c r="M198" s="189">
        <f>[2]!Table3[[#This Row],[CLM $ Collected ]]/'[2]1.) CLM Reference'!$B$4</f>
        <v>1.1802310243044389E-6</v>
      </c>
      <c r="N198" s="45">
        <v>0</v>
      </c>
      <c r="O198" s="190">
        <f>[2]!Table3[[#This Row],[Incentive Disbursements]]/'[2]1.) CLM Reference'!$B$5</f>
        <v>0</v>
      </c>
      <c r="P198" t="str">
        <f t="shared" ref="P198:P261" si="3">IF(ROUND(M198,5)&lt;0.00001,"N/A",IF(ROUND(M198,5)&lt;=ROUND(O198,5),"YES","NO"))</f>
        <v>N/A</v>
      </c>
      <c r="Q198" t="str">
        <f>VLOOKUP(Table8[[#This Row],[Census Tract]],'UI EnergyBurden'!$A$2:$B$184,2,FALSE)</f>
        <v>No</v>
      </c>
      <c r="R198">
        <f>VLOOKUP(Table8[[#This Row],[Census Tract]],'Population and Diversity Data'!$B$2:$K$823,10,FALSE)</f>
        <v>4</v>
      </c>
    </row>
    <row r="199" spans="1:18" ht="17" thickBot="1" x14ac:dyDescent="0.25">
      <c r="A199" s="144">
        <v>9009142700</v>
      </c>
      <c r="B199" s="144" t="s">
        <v>3880</v>
      </c>
      <c r="C199" s="139" t="s">
        <v>3886</v>
      </c>
      <c r="D199" s="186">
        <f>[2]!Table3[[#This Row],[Residential CLM $ Collected]]+[2]!Table3[[#This Row],[C&amp;I CLM $ Collected]]</f>
        <v>7519.5856787567736</v>
      </c>
      <c r="E199" s="187">
        <f>[2]!Table3[[#This Row],[CLM $ Collected ]]/'[2]1.) CLM Reference'!$B$4</f>
        <v>3.3368292134105236E-4</v>
      </c>
      <c r="F199" s="188">
        <f>[2]!Table3[[#This Row],[Residential Incentive Disbursements]]+[2]!Table3[[#This Row],[C&amp;I Incentive Disbursements]]</f>
        <v>0</v>
      </c>
      <c r="G199" s="187">
        <f>[2]!Table3[[#This Row],[Incentive Disbursements]]/'[2]1.) CLM Reference'!$B$5</f>
        <v>0</v>
      </c>
      <c r="H199" s="43">
        <v>3012.7436412312563</v>
      </c>
      <c r="I199" s="44">
        <f>[2]!Table3[[#This Row],[CLM $ Collected ]]/'[2]1.) CLM Reference'!$B$4</f>
        <v>3.3368292134105236E-4</v>
      </c>
      <c r="J199" s="45">
        <v>0</v>
      </c>
      <c r="K199" s="44">
        <f>[2]!Table3[[#This Row],[Incentive Disbursements]]/'[2]1.) CLM Reference'!$B$5</f>
        <v>0</v>
      </c>
      <c r="L199" s="43">
        <v>4506.8420375255173</v>
      </c>
      <c r="M199" s="189">
        <f>[2]!Table3[[#This Row],[CLM $ Collected ]]/'[2]1.) CLM Reference'!$B$4</f>
        <v>3.3368292134105236E-4</v>
      </c>
      <c r="N199" s="45">
        <v>0</v>
      </c>
      <c r="O199" s="190">
        <f>[2]!Table3[[#This Row],[Incentive Disbursements]]/'[2]1.) CLM Reference'!$B$5</f>
        <v>0</v>
      </c>
      <c r="P199" t="str">
        <f t="shared" si="3"/>
        <v>NO</v>
      </c>
      <c r="Q199" t="str">
        <f>VLOOKUP(Table8[[#This Row],[Census Tract]],'UI EnergyBurden'!$A$2:$B$184,2,FALSE)</f>
        <v>Yes</v>
      </c>
      <c r="R199">
        <f>VLOOKUP(Table8[[#This Row],[Census Tract]],'Population and Diversity Data'!$B$2:$K$823,10,FALSE)</f>
        <v>5</v>
      </c>
    </row>
    <row r="200" spans="1:18" ht="17" thickBot="1" x14ac:dyDescent="0.25">
      <c r="A200" s="144">
        <v>9009142700</v>
      </c>
      <c r="B200" s="144" t="s">
        <v>943</v>
      </c>
      <c r="C200" s="139" t="s">
        <v>3886</v>
      </c>
      <c r="D200" s="186">
        <f>[2]!Table3[[#This Row],[Residential CLM $ Collected]]+[2]!Table3[[#This Row],[C&amp;I CLM $ Collected]]</f>
        <v>92882.865360965414</v>
      </c>
      <c r="E200" s="187">
        <f>[2]!Table3[[#This Row],[CLM $ Collected ]]/'[2]1.) CLM Reference'!$B$4</f>
        <v>4.1216932927212527E-3</v>
      </c>
      <c r="F200" s="188">
        <f>[2]!Table3[[#This Row],[Residential Incentive Disbursements]]+[2]!Table3[[#This Row],[C&amp;I Incentive Disbursements]]</f>
        <v>121205.62</v>
      </c>
      <c r="G200" s="187">
        <f>[2]!Table3[[#This Row],[Incentive Disbursements]]/'[2]1.) CLM Reference'!$B$5</f>
        <v>3.7420025116088646E-3</v>
      </c>
      <c r="H200" s="43">
        <v>63338.011490890058</v>
      </c>
      <c r="I200" s="44">
        <f>[2]!Table3[[#This Row],[CLM $ Collected ]]/'[2]1.) CLM Reference'!$B$4</f>
        <v>4.1216932927212527E-3</v>
      </c>
      <c r="J200" s="45">
        <v>24201.769999999997</v>
      </c>
      <c r="K200" s="44">
        <f>[2]!Table3[[#This Row],[Incentive Disbursements]]/'[2]1.) CLM Reference'!$B$5</f>
        <v>3.7420025116088646E-3</v>
      </c>
      <c r="L200" s="43">
        <v>29544.853870075356</v>
      </c>
      <c r="M200" s="189">
        <f>[2]!Table3[[#This Row],[CLM $ Collected ]]/'[2]1.) CLM Reference'!$B$4</f>
        <v>4.1216932927212527E-3</v>
      </c>
      <c r="N200" s="45">
        <v>97003.85</v>
      </c>
      <c r="O200" s="190">
        <f>[2]!Table3[[#This Row],[Incentive Disbursements]]/'[2]1.) CLM Reference'!$B$5</f>
        <v>3.7420025116088646E-3</v>
      </c>
      <c r="P200" t="str">
        <f t="shared" si="3"/>
        <v>NO</v>
      </c>
      <c r="Q200" t="str">
        <f>VLOOKUP(Table8[[#This Row],[Census Tract]],'UI EnergyBurden'!$A$2:$B$184,2,FALSE)</f>
        <v>Yes</v>
      </c>
      <c r="R200">
        <f>VLOOKUP(Table8[[#This Row],[Census Tract]],'Population and Diversity Data'!$B$2:$K$823,10,FALSE)</f>
        <v>5</v>
      </c>
    </row>
    <row r="201" spans="1:18" ht="17" thickBot="1" x14ac:dyDescent="0.25">
      <c r="A201" s="144">
        <v>9009142800</v>
      </c>
      <c r="B201" s="144" t="s">
        <v>3880</v>
      </c>
      <c r="C201" s="139" t="s">
        <v>944</v>
      </c>
      <c r="D201" s="186">
        <f>[2]!Table3[[#This Row],[Residential CLM $ Collected]]+[2]!Table3[[#This Row],[C&amp;I CLM $ Collected]]</f>
        <v>756.53876884209762</v>
      </c>
      <c r="E201" s="187">
        <f>[2]!Table3[[#This Row],[CLM $ Collected ]]/'[2]1.) CLM Reference'!$B$4</f>
        <v>3.3571539347993873E-5</v>
      </c>
      <c r="F201" s="188">
        <f>[2]!Table3[[#This Row],[Residential Incentive Disbursements]]+[2]!Table3[[#This Row],[C&amp;I Incentive Disbursements]]</f>
        <v>14.780000000000001</v>
      </c>
      <c r="G201" s="187">
        <f>[2]!Table3[[#This Row],[Incentive Disbursements]]/'[2]1.) CLM Reference'!$B$5</f>
        <v>4.5630555020121198E-7</v>
      </c>
      <c r="H201" s="43">
        <v>625.7899818549123</v>
      </c>
      <c r="I201" s="44">
        <f>[2]!Table3[[#This Row],[CLM $ Collected ]]/'[2]1.) CLM Reference'!$B$4</f>
        <v>3.3571539347993873E-5</v>
      </c>
      <c r="J201" s="45">
        <v>14.780000000000001</v>
      </c>
      <c r="K201" s="44">
        <f>[2]!Table3[[#This Row],[Incentive Disbursements]]/'[2]1.) CLM Reference'!$B$5</f>
        <v>4.5630555020121198E-7</v>
      </c>
      <c r="L201" s="43">
        <v>130.74878698718533</v>
      </c>
      <c r="M201" s="189">
        <f>[2]!Table3[[#This Row],[CLM $ Collected ]]/'[2]1.) CLM Reference'!$B$4</f>
        <v>3.3571539347993873E-5</v>
      </c>
      <c r="N201" s="45">
        <v>0</v>
      </c>
      <c r="O201" s="190">
        <f>[2]!Table3[[#This Row],[Incentive Disbursements]]/'[2]1.) CLM Reference'!$B$5</f>
        <v>4.5630555020121198E-7</v>
      </c>
      <c r="P201" t="str">
        <f t="shared" si="3"/>
        <v>NO</v>
      </c>
      <c r="Q201" t="str">
        <f>VLOOKUP(Table8[[#This Row],[Census Tract]],'UI EnergyBurden'!$A$2:$B$184,2,FALSE)</f>
        <v>No</v>
      </c>
      <c r="R201">
        <f>VLOOKUP(Table8[[#This Row],[Census Tract]],'Population and Diversity Data'!$B$2:$K$823,10,FALSE)</f>
        <v>3</v>
      </c>
    </row>
    <row r="202" spans="1:18" ht="17" thickBot="1" x14ac:dyDescent="0.25">
      <c r="A202" s="144">
        <v>9009142800</v>
      </c>
      <c r="B202" s="144" t="s">
        <v>943</v>
      </c>
      <c r="C202" s="139" t="s">
        <v>944</v>
      </c>
      <c r="D202" s="186">
        <f>[2]!Table3[[#This Row],[Residential CLM $ Collected]]+[2]!Table3[[#This Row],[C&amp;I CLM $ Collected]]</f>
        <v>64780.103069437449</v>
      </c>
      <c r="E202" s="187">
        <f>[2]!Table3[[#This Row],[CLM $ Collected ]]/'[2]1.) CLM Reference'!$B$4</f>
        <v>2.8746283319905168E-3</v>
      </c>
      <c r="F202" s="188">
        <f>[2]!Table3[[#This Row],[Residential Incentive Disbursements]]+[2]!Table3[[#This Row],[C&amp;I Incentive Disbursements]]</f>
        <v>63809.87</v>
      </c>
      <c r="G202" s="187">
        <f>[2]!Table3[[#This Row],[Incentive Disbursements]]/'[2]1.) CLM Reference'!$B$5</f>
        <v>1.9700133855627745E-3</v>
      </c>
      <c r="H202" s="43">
        <v>57795.654387779388</v>
      </c>
      <c r="I202" s="44">
        <f>[2]!Table3[[#This Row],[CLM $ Collected ]]/'[2]1.) CLM Reference'!$B$4</f>
        <v>2.8746283319905168E-3</v>
      </c>
      <c r="J202" s="45">
        <v>49734.87</v>
      </c>
      <c r="K202" s="44">
        <f>[2]!Table3[[#This Row],[Incentive Disbursements]]/'[2]1.) CLM Reference'!$B$5</f>
        <v>1.9700133855627745E-3</v>
      </c>
      <c r="L202" s="43">
        <v>6984.4486816580629</v>
      </c>
      <c r="M202" s="189">
        <f>[2]!Table3[[#This Row],[CLM $ Collected ]]/'[2]1.) CLM Reference'!$B$4</f>
        <v>2.8746283319905168E-3</v>
      </c>
      <c r="N202" s="45">
        <v>14075</v>
      </c>
      <c r="O202" s="190">
        <f>[2]!Table3[[#This Row],[Incentive Disbursements]]/'[2]1.) CLM Reference'!$B$5</f>
        <v>1.9700133855627745E-3</v>
      </c>
      <c r="P202" t="str">
        <f t="shared" si="3"/>
        <v>NO</v>
      </c>
      <c r="Q202" t="str">
        <f>VLOOKUP(Table8[[#This Row],[Census Tract]],'UI EnergyBurden'!$A$2:$B$184,2,FALSE)</f>
        <v>No</v>
      </c>
      <c r="R202">
        <f>VLOOKUP(Table8[[#This Row],[Census Tract]],'Population and Diversity Data'!$B$2:$K$823,10,FALSE)</f>
        <v>3</v>
      </c>
    </row>
    <row r="203" spans="1:18" ht="17" thickBot="1" x14ac:dyDescent="0.25">
      <c r="A203" s="144">
        <v>9009150100</v>
      </c>
      <c r="B203" s="144" t="s">
        <v>2988</v>
      </c>
      <c r="C203" s="139" t="s">
        <v>3886</v>
      </c>
      <c r="D203" s="186">
        <f>[2]!Table3[[#This Row],[Residential CLM $ Collected]]+[2]!Table3[[#This Row],[C&amp;I CLM $ Collected]]</f>
        <v>124844.62124609621</v>
      </c>
      <c r="E203" s="187">
        <f>[2]!Table3[[#This Row],[CLM $ Collected ]]/'[2]1.) CLM Reference'!$B$4</f>
        <v>5.5400017648315533E-3</v>
      </c>
      <c r="F203" s="188">
        <f>[2]!Table3[[#This Row],[Residential Incentive Disbursements]]+[2]!Table3[[#This Row],[C&amp;I Incentive Disbursements]]</f>
        <v>373341.21999999991</v>
      </c>
      <c r="G203" s="187">
        <f>[2]!Table3[[#This Row],[Incentive Disbursements]]/'[2]1.) CLM Reference'!$B$5</f>
        <v>1.1526229418463577E-2</v>
      </c>
      <c r="H203" s="43">
        <v>67532.757221861917</v>
      </c>
      <c r="I203" s="44">
        <f>[2]!Table3[[#This Row],[CLM $ Collected ]]/'[2]1.) CLM Reference'!$B$4</f>
        <v>5.5400017648315533E-3</v>
      </c>
      <c r="J203" s="45">
        <v>219708.5199999999</v>
      </c>
      <c r="K203" s="44">
        <f>[2]!Table3[[#This Row],[Incentive Disbursements]]/'[2]1.) CLM Reference'!$B$5</f>
        <v>1.1526229418463577E-2</v>
      </c>
      <c r="L203" s="43">
        <v>57311.864024234288</v>
      </c>
      <c r="M203" s="189">
        <f>[2]!Table3[[#This Row],[CLM $ Collected ]]/'[2]1.) CLM Reference'!$B$4</f>
        <v>5.5400017648315533E-3</v>
      </c>
      <c r="N203" s="45">
        <v>153632.70000000001</v>
      </c>
      <c r="O203" s="190">
        <f>[2]!Table3[[#This Row],[Incentive Disbursements]]/'[2]1.) CLM Reference'!$B$5</f>
        <v>1.1526229418463577E-2</v>
      </c>
      <c r="P203" t="str">
        <f t="shared" si="3"/>
        <v>YES</v>
      </c>
      <c r="Q203" t="str">
        <f>VLOOKUP(Table8[[#This Row],[Census Tract]],'UI EnergyBurden'!$A$2:$B$184,2,FALSE)</f>
        <v>No</v>
      </c>
      <c r="R203">
        <f>VLOOKUP(Table8[[#This Row],[Census Tract]],'Population and Diversity Data'!$B$2:$K$823,10,FALSE)</f>
        <v>3</v>
      </c>
    </row>
    <row r="204" spans="1:18" ht="17" thickBot="1" x14ac:dyDescent="0.25">
      <c r="A204" s="144">
        <v>9009150200</v>
      </c>
      <c r="B204" s="144" t="s">
        <v>2988</v>
      </c>
      <c r="C204" s="139" t="s">
        <v>3886</v>
      </c>
      <c r="D204" s="186">
        <f>[2]!Table3[[#This Row],[Residential CLM $ Collected]]+[2]!Table3[[#This Row],[C&amp;I CLM $ Collected]]</f>
        <v>56786.066555968486</v>
      </c>
      <c r="E204" s="187">
        <f>[2]!Table3[[#This Row],[CLM $ Collected ]]/'[2]1.) CLM Reference'!$B$4</f>
        <v>2.519891572403201E-3</v>
      </c>
      <c r="F204" s="188">
        <f>[2]!Table3[[#This Row],[Residential Incentive Disbursements]]+[2]!Table3[[#This Row],[C&amp;I Incentive Disbursements]]</f>
        <v>21554.269999999997</v>
      </c>
      <c r="G204" s="187">
        <f>[2]!Table3[[#This Row],[Incentive Disbursements]]/'[2]1.) CLM Reference'!$B$5</f>
        <v>6.6544878427168299E-4</v>
      </c>
      <c r="H204" s="43">
        <v>45094.730792861956</v>
      </c>
      <c r="I204" s="44">
        <f>[2]!Table3[[#This Row],[CLM $ Collected ]]/'[2]1.) CLM Reference'!$B$4</f>
        <v>2.519891572403201E-3</v>
      </c>
      <c r="J204" s="45">
        <v>14604.269999999999</v>
      </c>
      <c r="K204" s="44">
        <f>[2]!Table3[[#This Row],[Incentive Disbursements]]/'[2]1.) CLM Reference'!$B$5</f>
        <v>6.6544878427168299E-4</v>
      </c>
      <c r="L204" s="43">
        <v>11691.335763106526</v>
      </c>
      <c r="M204" s="189">
        <f>[2]!Table3[[#This Row],[CLM $ Collected ]]/'[2]1.) CLM Reference'!$B$4</f>
        <v>2.519891572403201E-3</v>
      </c>
      <c r="N204" s="45">
        <v>6950</v>
      </c>
      <c r="O204" s="190">
        <f>[2]!Table3[[#This Row],[Incentive Disbursements]]/'[2]1.) CLM Reference'!$B$5</f>
        <v>6.6544878427168299E-4</v>
      </c>
      <c r="P204" t="str">
        <f t="shared" si="3"/>
        <v>NO</v>
      </c>
      <c r="Q204" t="str">
        <f>VLOOKUP(Table8[[#This Row],[Census Tract]],'UI EnergyBurden'!$A$2:$B$184,2,FALSE)</f>
        <v>No</v>
      </c>
      <c r="R204">
        <f>VLOOKUP(Table8[[#This Row],[Census Tract]],'Population and Diversity Data'!$B$2:$K$823,10,FALSE)</f>
        <v>4</v>
      </c>
    </row>
    <row r="205" spans="1:18" ht="17" thickBot="1" x14ac:dyDescent="0.25">
      <c r="A205" s="144">
        <v>9009150300</v>
      </c>
      <c r="B205" s="144" t="s">
        <v>2988</v>
      </c>
      <c r="C205" s="139" t="s">
        <v>3886</v>
      </c>
      <c r="D205" s="186">
        <f>[2]!Table3[[#This Row],[Residential CLM $ Collected]]+[2]!Table3[[#This Row],[C&amp;I CLM $ Collected]]</f>
        <v>88745.357137887739</v>
      </c>
      <c r="E205" s="187">
        <f>[2]!Table3[[#This Row],[CLM $ Collected ]]/'[2]1.) CLM Reference'!$B$4</f>
        <v>3.9380906462550382E-3</v>
      </c>
      <c r="F205" s="188">
        <f>[2]!Table3[[#This Row],[Residential Incentive Disbursements]]+[2]!Table3[[#This Row],[C&amp;I Incentive Disbursements]]</f>
        <v>218167.23999999996</v>
      </c>
      <c r="G205" s="187">
        <f>[2]!Table3[[#This Row],[Incentive Disbursements]]/'[2]1.) CLM Reference'!$B$5</f>
        <v>6.7355157296400429E-3</v>
      </c>
      <c r="H205" s="43">
        <v>53024.6555728155</v>
      </c>
      <c r="I205" s="44">
        <f>[2]!Table3[[#This Row],[CLM $ Collected ]]/'[2]1.) CLM Reference'!$B$4</f>
        <v>3.9380906462550382E-3</v>
      </c>
      <c r="J205" s="45">
        <v>187241.23999999996</v>
      </c>
      <c r="K205" s="44">
        <f>[2]!Table3[[#This Row],[Incentive Disbursements]]/'[2]1.) CLM Reference'!$B$5</f>
        <v>6.7355157296400429E-3</v>
      </c>
      <c r="L205" s="43">
        <v>35720.701565072231</v>
      </c>
      <c r="M205" s="189">
        <f>[2]!Table3[[#This Row],[CLM $ Collected ]]/'[2]1.) CLM Reference'!$B$4</f>
        <v>3.9380906462550382E-3</v>
      </c>
      <c r="N205" s="45">
        <v>30926</v>
      </c>
      <c r="O205" s="190">
        <f>[2]!Table3[[#This Row],[Incentive Disbursements]]/'[2]1.) CLM Reference'!$B$5</f>
        <v>6.7355157296400429E-3</v>
      </c>
      <c r="P205" t="str">
        <f t="shared" si="3"/>
        <v>YES</v>
      </c>
      <c r="Q205" t="str">
        <f>VLOOKUP(Table8[[#This Row],[Census Tract]],'UI EnergyBurden'!$A$2:$B$184,2,FALSE)</f>
        <v>No</v>
      </c>
      <c r="R205">
        <f>VLOOKUP(Table8[[#This Row],[Census Tract]],'Population and Diversity Data'!$B$2:$K$823,10,FALSE)</f>
        <v>3</v>
      </c>
    </row>
    <row r="206" spans="1:18" ht="17" thickBot="1" x14ac:dyDescent="0.25">
      <c r="A206" s="144">
        <v>9009150400</v>
      </c>
      <c r="B206" s="144" t="s">
        <v>2988</v>
      </c>
      <c r="C206" s="139" t="s">
        <v>3886</v>
      </c>
      <c r="D206" s="186">
        <f>[2]!Table3[[#This Row],[Residential CLM $ Collected]]+[2]!Table3[[#This Row],[C&amp;I CLM $ Collected]]</f>
        <v>59316.437152167418</v>
      </c>
      <c r="E206" s="187">
        <f>[2]!Table3[[#This Row],[CLM $ Collected ]]/'[2]1.) CLM Reference'!$B$4</f>
        <v>2.6321772073684981E-3</v>
      </c>
      <c r="F206" s="188">
        <f>[2]!Table3[[#This Row],[Residential Incentive Disbursements]]+[2]!Table3[[#This Row],[C&amp;I Incentive Disbursements]]</f>
        <v>55317.72</v>
      </c>
      <c r="G206" s="187">
        <f>[2]!Table3[[#This Row],[Incentive Disbursements]]/'[2]1.) CLM Reference'!$B$5</f>
        <v>1.7078337388685106E-3</v>
      </c>
      <c r="H206" s="43">
        <v>53579.741212566965</v>
      </c>
      <c r="I206" s="44">
        <f>[2]!Table3[[#This Row],[CLM $ Collected ]]/'[2]1.) CLM Reference'!$B$4</f>
        <v>2.6321772073684981E-3</v>
      </c>
      <c r="J206" s="45">
        <v>38278.28</v>
      </c>
      <c r="K206" s="44">
        <f>[2]!Table3[[#This Row],[Incentive Disbursements]]/'[2]1.) CLM Reference'!$B$5</f>
        <v>1.7078337388685106E-3</v>
      </c>
      <c r="L206" s="43">
        <v>5736.6959396004531</v>
      </c>
      <c r="M206" s="189">
        <f>[2]!Table3[[#This Row],[CLM $ Collected ]]/'[2]1.) CLM Reference'!$B$4</f>
        <v>2.6321772073684981E-3</v>
      </c>
      <c r="N206" s="45">
        <v>17039.439999999999</v>
      </c>
      <c r="O206" s="190">
        <f>[2]!Table3[[#This Row],[Incentive Disbursements]]/'[2]1.) CLM Reference'!$B$5</f>
        <v>1.7078337388685106E-3</v>
      </c>
      <c r="P206" t="str">
        <f t="shared" si="3"/>
        <v>NO</v>
      </c>
      <c r="Q206" t="str">
        <f>VLOOKUP(Table8[[#This Row],[Census Tract]],'UI EnergyBurden'!$A$2:$B$184,2,FALSE)</f>
        <v>No</v>
      </c>
      <c r="R206">
        <f>VLOOKUP(Table8[[#This Row],[Census Tract]],'Population and Diversity Data'!$B$2:$K$823,10,FALSE)</f>
        <v>4</v>
      </c>
    </row>
    <row r="207" spans="1:18" ht="17" thickBot="1" x14ac:dyDescent="0.25">
      <c r="A207" s="144">
        <v>9009150500</v>
      </c>
      <c r="B207" s="144" t="s">
        <v>2988</v>
      </c>
      <c r="C207" s="139" t="s">
        <v>3886</v>
      </c>
      <c r="D207" s="186">
        <f>[2]!Table3[[#This Row],[Residential CLM $ Collected]]+[2]!Table3[[#This Row],[C&amp;I CLM $ Collected]]</f>
        <v>117970.61260830339</v>
      </c>
      <c r="E207" s="187">
        <f>[2]!Table3[[#This Row],[CLM $ Collected ]]/'[2]1.) CLM Reference'!$B$4</f>
        <v>5.234966436879606E-3</v>
      </c>
      <c r="F207" s="188">
        <f>[2]!Table3[[#This Row],[Residential Incentive Disbursements]]+[2]!Table3[[#This Row],[C&amp;I Incentive Disbursements]]</f>
        <v>62480.15</v>
      </c>
      <c r="G207" s="187">
        <f>[2]!Table3[[#This Row],[Incentive Disbursements]]/'[2]1.) CLM Reference'!$B$5</f>
        <v>1.9289607051694352E-3</v>
      </c>
      <c r="H207" s="43">
        <v>65162.322017336759</v>
      </c>
      <c r="I207" s="44">
        <f>[2]!Table3[[#This Row],[CLM $ Collected ]]/'[2]1.) CLM Reference'!$B$4</f>
        <v>5.234966436879606E-3</v>
      </c>
      <c r="J207" s="45">
        <v>11661.15</v>
      </c>
      <c r="K207" s="44">
        <f>[2]!Table3[[#This Row],[Incentive Disbursements]]/'[2]1.) CLM Reference'!$B$5</f>
        <v>1.9289607051694352E-3</v>
      </c>
      <c r="L207" s="43">
        <v>52808.29059096663</v>
      </c>
      <c r="M207" s="189">
        <f>[2]!Table3[[#This Row],[CLM $ Collected ]]/'[2]1.) CLM Reference'!$B$4</f>
        <v>5.234966436879606E-3</v>
      </c>
      <c r="N207" s="45">
        <v>50819</v>
      </c>
      <c r="O207" s="190">
        <f>[2]!Table3[[#This Row],[Incentive Disbursements]]/'[2]1.) CLM Reference'!$B$5</f>
        <v>1.9289607051694352E-3</v>
      </c>
      <c r="P207" t="str">
        <f t="shared" si="3"/>
        <v>NO</v>
      </c>
      <c r="Q207" t="str">
        <f>VLOOKUP(Table8[[#This Row],[Census Tract]],'UI EnergyBurden'!$A$2:$B$184,2,FALSE)</f>
        <v>No</v>
      </c>
      <c r="R207">
        <f>VLOOKUP(Table8[[#This Row],[Census Tract]],'Population and Diversity Data'!$B$2:$K$823,10,FALSE)</f>
        <v>2</v>
      </c>
    </row>
    <row r="208" spans="1:18" ht="17" thickBot="1" x14ac:dyDescent="0.25">
      <c r="A208" s="144">
        <v>9009150600</v>
      </c>
      <c r="B208" s="144" t="s">
        <v>2988</v>
      </c>
      <c r="C208" s="139" t="s">
        <v>3886</v>
      </c>
      <c r="D208" s="186">
        <f>[2]!Table3[[#This Row],[Residential CLM $ Collected]]+[2]!Table3[[#This Row],[C&amp;I CLM $ Collected]]</f>
        <v>131226.48795946481</v>
      </c>
      <c r="E208" s="187">
        <f>[2]!Table3[[#This Row],[CLM $ Collected ]]/'[2]1.) CLM Reference'!$B$4</f>
        <v>5.8231982093566899E-3</v>
      </c>
      <c r="F208" s="188">
        <f>[2]!Table3[[#This Row],[Residential Incentive Disbursements]]+[2]!Table3[[#This Row],[C&amp;I Incentive Disbursements]]</f>
        <v>175021.16</v>
      </c>
      <c r="G208" s="187">
        <f>[2]!Table3[[#This Row],[Incentive Disbursements]]/'[2]1.) CLM Reference'!$B$5</f>
        <v>5.4034591820469793E-3</v>
      </c>
      <c r="H208" s="43">
        <v>91063.947108209861</v>
      </c>
      <c r="I208" s="44">
        <f>[2]!Table3[[#This Row],[CLM $ Collected ]]/'[2]1.) CLM Reference'!$B$4</f>
        <v>5.8231982093566899E-3</v>
      </c>
      <c r="J208" s="45">
        <v>77311.02</v>
      </c>
      <c r="K208" s="44">
        <f>[2]!Table3[[#This Row],[Incentive Disbursements]]/'[2]1.) CLM Reference'!$B$5</f>
        <v>5.4034591820469793E-3</v>
      </c>
      <c r="L208" s="43">
        <v>40162.540851254947</v>
      </c>
      <c r="M208" s="189">
        <f>[2]!Table3[[#This Row],[CLM $ Collected ]]/'[2]1.) CLM Reference'!$B$4</f>
        <v>5.8231982093566899E-3</v>
      </c>
      <c r="N208" s="45">
        <v>97710.14</v>
      </c>
      <c r="O208" s="190">
        <f>[2]!Table3[[#This Row],[Incentive Disbursements]]/'[2]1.) CLM Reference'!$B$5</f>
        <v>5.4034591820469793E-3</v>
      </c>
      <c r="P208" t="str">
        <f t="shared" si="3"/>
        <v>NO</v>
      </c>
      <c r="Q208" t="str">
        <f>VLOOKUP(Table8[[#This Row],[Census Tract]],'UI EnergyBurden'!$A$2:$B$184,2,FALSE)</f>
        <v>No</v>
      </c>
      <c r="R208">
        <f>VLOOKUP(Table8[[#This Row],[Census Tract]],'Population and Diversity Data'!$B$2:$K$823,10,FALSE)</f>
        <v>3</v>
      </c>
    </row>
    <row r="209" spans="1:18" ht="17" thickBot="1" x14ac:dyDescent="0.25">
      <c r="A209" s="144">
        <v>9009150700</v>
      </c>
      <c r="B209" s="144" t="s">
        <v>2983</v>
      </c>
      <c r="C209" s="139" t="s">
        <v>3886</v>
      </c>
      <c r="D209" s="186">
        <f>[2]!Table3[[#This Row],[Residential CLM $ Collected]]+[2]!Table3[[#This Row],[C&amp;I CLM $ Collected]]</f>
        <v>392.96194522704837</v>
      </c>
      <c r="E209" s="187">
        <f>[2]!Table3[[#This Row],[CLM $ Collected ]]/'[2]1.) CLM Reference'!$B$4</f>
        <v>1.7437754613217358E-5</v>
      </c>
      <c r="F209" s="188">
        <f>[2]!Table3[[#This Row],[Residential Incentive Disbursements]]+[2]!Table3[[#This Row],[C&amp;I Incentive Disbursements]]</f>
        <v>0</v>
      </c>
      <c r="G209" s="187">
        <f>[2]!Table3[[#This Row],[Incentive Disbursements]]/'[2]1.) CLM Reference'!$B$5</f>
        <v>0</v>
      </c>
      <c r="H209" s="43">
        <v>385.81533591748433</v>
      </c>
      <c r="I209" s="44">
        <f>[2]!Table3[[#This Row],[CLM $ Collected ]]/'[2]1.) CLM Reference'!$B$4</f>
        <v>1.7437754613217358E-5</v>
      </c>
      <c r="J209" s="45">
        <v>0</v>
      </c>
      <c r="K209" s="44">
        <f>[2]!Table3[[#This Row],[Incentive Disbursements]]/'[2]1.) CLM Reference'!$B$5</f>
        <v>0</v>
      </c>
      <c r="L209" s="43">
        <v>7.1466093095640293</v>
      </c>
      <c r="M209" s="189">
        <f>[2]!Table3[[#This Row],[CLM $ Collected ]]/'[2]1.) CLM Reference'!$B$4</f>
        <v>1.7437754613217358E-5</v>
      </c>
      <c r="N209" s="45">
        <v>0</v>
      </c>
      <c r="O209" s="190">
        <f>[2]!Table3[[#This Row],[Incentive Disbursements]]/'[2]1.) CLM Reference'!$B$5</f>
        <v>0</v>
      </c>
      <c r="P209" t="str">
        <f t="shared" si="3"/>
        <v>NO</v>
      </c>
      <c r="Q209" t="str">
        <f>VLOOKUP(Table8[[#This Row],[Census Tract]],'UI EnergyBurden'!$A$2:$B$184,2,FALSE)</f>
        <v>No</v>
      </c>
      <c r="R209">
        <f>VLOOKUP(Table8[[#This Row],[Census Tract]],'Population and Diversity Data'!$B$2:$K$823,10,FALSE)</f>
        <v>3</v>
      </c>
    </row>
    <row r="210" spans="1:18" ht="17" thickBot="1" x14ac:dyDescent="0.25">
      <c r="A210" s="144">
        <v>9009150700</v>
      </c>
      <c r="B210" s="144" t="s">
        <v>2988</v>
      </c>
      <c r="C210" s="139" t="s">
        <v>3886</v>
      </c>
      <c r="D210" s="186">
        <f>[2]!Table3[[#This Row],[Residential CLM $ Collected]]+[2]!Table3[[#This Row],[C&amp;I CLM $ Collected]]</f>
        <v>81165.842431064128</v>
      </c>
      <c r="E210" s="187">
        <f>[2]!Table3[[#This Row],[CLM $ Collected ]]/'[2]1.) CLM Reference'!$B$4</f>
        <v>3.6017483638783156E-3</v>
      </c>
      <c r="F210" s="188">
        <f>[2]!Table3[[#This Row],[Residential Incentive Disbursements]]+[2]!Table3[[#This Row],[C&amp;I Incentive Disbursements]]</f>
        <v>50525.819999999992</v>
      </c>
      <c r="G210" s="187">
        <f>[2]!Table3[[#This Row],[Incentive Disbursements]]/'[2]1.) CLM Reference'!$B$5</f>
        <v>1.5598925639017183E-3</v>
      </c>
      <c r="H210" s="43">
        <v>62468.253441229077</v>
      </c>
      <c r="I210" s="44">
        <f>[2]!Table3[[#This Row],[CLM $ Collected ]]/'[2]1.) CLM Reference'!$B$4</f>
        <v>3.6017483638783156E-3</v>
      </c>
      <c r="J210" s="45">
        <v>30235.819999999996</v>
      </c>
      <c r="K210" s="44">
        <f>[2]!Table3[[#This Row],[Incentive Disbursements]]/'[2]1.) CLM Reference'!$B$5</f>
        <v>1.5598925639017183E-3</v>
      </c>
      <c r="L210" s="43">
        <v>18697.588989835047</v>
      </c>
      <c r="M210" s="189">
        <f>[2]!Table3[[#This Row],[CLM $ Collected ]]/'[2]1.) CLM Reference'!$B$4</f>
        <v>3.6017483638783156E-3</v>
      </c>
      <c r="N210" s="45">
        <v>20290</v>
      </c>
      <c r="O210" s="190">
        <f>[2]!Table3[[#This Row],[Incentive Disbursements]]/'[2]1.) CLM Reference'!$B$5</f>
        <v>1.5598925639017183E-3</v>
      </c>
      <c r="P210" t="str">
        <f t="shared" si="3"/>
        <v>NO</v>
      </c>
      <c r="Q210" t="str">
        <f>VLOOKUP(Table8[[#This Row],[Census Tract]],'UI EnergyBurden'!$A$2:$B$184,2,FALSE)</f>
        <v>No</v>
      </c>
      <c r="R210">
        <f>VLOOKUP(Table8[[#This Row],[Census Tract]],'Population and Diversity Data'!$B$2:$K$823,10,FALSE)</f>
        <v>3</v>
      </c>
    </row>
    <row r="211" spans="1:18" ht="17" thickBot="1" x14ac:dyDescent="0.25">
      <c r="A211" s="144">
        <v>9009150700</v>
      </c>
      <c r="B211" s="144" t="s">
        <v>2992</v>
      </c>
      <c r="C211" s="139" t="s">
        <v>3886</v>
      </c>
      <c r="D211" s="186">
        <f>[2]!Table3[[#This Row],[Residential CLM $ Collected]]+[2]!Table3[[#This Row],[C&amp;I CLM $ Collected]]</f>
        <v>561.35046457914041</v>
      </c>
      <c r="E211" s="187">
        <f>[2]!Table3[[#This Row],[CLM $ Collected ]]/'[2]1.) CLM Reference'!$B$4</f>
        <v>2.4910024424097433E-5</v>
      </c>
      <c r="F211" s="188">
        <f>[2]!Table3[[#This Row],[Residential Incentive Disbursements]]+[2]!Table3[[#This Row],[C&amp;I Incentive Disbursements]]</f>
        <v>2057.25</v>
      </c>
      <c r="G211" s="187">
        <f>[2]!Table3[[#This Row],[Incentive Disbursements]]/'[2]1.) CLM Reference'!$B$5</f>
        <v>6.3513842567756654E-5</v>
      </c>
      <c r="H211" s="43">
        <v>561.35046457914041</v>
      </c>
      <c r="I211" s="44">
        <f>[2]!Table3[[#This Row],[CLM $ Collected ]]/'[2]1.) CLM Reference'!$B$4</f>
        <v>2.4910024424097433E-5</v>
      </c>
      <c r="J211" s="45">
        <v>2057.25</v>
      </c>
      <c r="K211" s="44">
        <f>[2]!Table3[[#This Row],[Incentive Disbursements]]/'[2]1.) CLM Reference'!$B$5</f>
        <v>6.3513842567756654E-5</v>
      </c>
      <c r="L211" s="43">
        <v>0</v>
      </c>
      <c r="M211" s="189">
        <f>[2]!Table3[[#This Row],[CLM $ Collected ]]/'[2]1.) CLM Reference'!$B$4</f>
        <v>2.4910024424097433E-5</v>
      </c>
      <c r="N211" s="45">
        <v>0</v>
      </c>
      <c r="O211" s="190">
        <f>[2]!Table3[[#This Row],[Incentive Disbursements]]/'[2]1.) CLM Reference'!$B$5</f>
        <v>6.3513842567756654E-5</v>
      </c>
      <c r="P211" t="str">
        <f t="shared" si="3"/>
        <v>YES</v>
      </c>
      <c r="Q211" t="str">
        <f>VLOOKUP(Table8[[#This Row],[Census Tract]],'UI EnergyBurden'!$A$2:$B$184,2,FALSE)</f>
        <v>No</v>
      </c>
      <c r="R211">
        <f>VLOOKUP(Table8[[#This Row],[Census Tract]],'Population and Diversity Data'!$B$2:$K$823,10,FALSE)</f>
        <v>3</v>
      </c>
    </row>
    <row r="212" spans="1:18" ht="17" thickBot="1" x14ac:dyDescent="0.25">
      <c r="A212" s="144">
        <v>9009150800</v>
      </c>
      <c r="B212" s="144" t="s">
        <v>2988</v>
      </c>
      <c r="C212" s="139" t="s">
        <v>3886</v>
      </c>
      <c r="D212" s="186">
        <f>[2]!Table3[[#This Row],[Residential CLM $ Collected]]+[2]!Table3[[#This Row],[C&amp;I CLM $ Collected]]</f>
        <v>130883.53381271391</v>
      </c>
      <c r="E212" s="187">
        <f>[2]!Table3[[#This Row],[CLM $ Collected ]]/'[2]1.) CLM Reference'!$B$4</f>
        <v>5.8079795594918222E-3</v>
      </c>
      <c r="F212" s="188">
        <f>[2]!Table3[[#This Row],[Residential Incentive Disbursements]]+[2]!Table3[[#This Row],[C&amp;I Incentive Disbursements]]</f>
        <v>53487.77</v>
      </c>
      <c r="G212" s="187">
        <f>[2]!Table3[[#This Row],[Incentive Disbursements]]/'[2]1.) CLM Reference'!$B$5</f>
        <v>1.6513373693427522E-3</v>
      </c>
      <c r="H212" s="43">
        <v>54894.597292037142</v>
      </c>
      <c r="I212" s="44">
        <f>[2]!Table3[[#This Row],[CLM $ Collected ]]/'[2]1.) CLM Reference'!$B$4</f>
        <v>5.8079795594918222E-3</v>
      </c>
      <c r="J212" s="45">
        <v>18256.769999999997</v>
      </c>
      <c r="K212" s="44">
        <f>[2]!Table3[[#This Row],[Incentive Disbursements]]/'[2]1.) CLM Reference'!$B$5</f>
        <v>1.6513373693427522E-3</v>
      </c>
      <c r="L212" s="43">
        <v>75988.936520676769</v>
      </c>
      <c r="M212" s="189">
        <f>[2]!Table3[[#This Row],[CLM $ Collected ]]/'[2]1.) CLM Reference'!$B$4</f>
        <v>5.8079795594918222E-3</v>
      </c>
      <c r="N212" s="45">
        <v>35231</v>
      </c>
      <c r="O212" s="190">
        <f>[2]!Table3[[#This Row],[Incentive Disbursements]]/'[2]1.) CLM Reference'!$B$5</f>
        <v>1.6513373693427522E-3</v>
      </c>
      <c r="P212" t="str">
        <f t="shared" si="3"/>
        <v>NO</v>
      </c>
      <c r="Q212" t="str">
        <f>VLOOKUP(Table8[[#This Row],[Census Tract]],'UI EnergyBurden'!$A$2:$B$184,2,FALSE)</f>
        <v>No</v>
      </c>
      <c r="R212">
        <f>VLOOKUP(Table8[[#This Row],[Census Tract]],'Population and Diversity Data'!$B$2:$K$823,10,FALSE)</f>
        <v>4</v>
      </c>
    </row>
    <row r="213" spans="1:18" ht="17" thickBot="1" x14ac:dyDescent="0.25">
      <c r="A213" s="144">
        <v>9009150900</v>
      </c>
      <c r="B213" s="144" t="s">
        <v>2988</v>
      </c>
      <c r="C213" s="139" t="s">
        <v>3886</v>
      </c>
      <c r="D213" s="186">
        <f>[2]!Table3[[#This Row],[Residential CLM $ Collected]]+[2]!Table3[[#This Row],[C&amp;I CLM $ Collected]]</f>
        <v>90560.817502805658</v>
      </c>
      <c r="E213" s="187">
        <f>[2]!Table3[[#This Row],[CLM $ Collected ]]/'[2]1.) CLM Reference'!$B$4</f>
        <v>4.0186520154613346E-3</v>
      </c>
      <c r="F213" s="188">
        <f>[2]!Table3[[#This Row],[Residential Incentive Disbursements]]+[2]!Table3[[#This Row],[C&amp;I Incentive Disbursements]]</f>
        <v>109610.73000000001</v>
      </c>
      <c r="G213" s="187">
        <f>[2]!Table3[[#This Row],[Incentive Disbursements]]/'[2]1.) CLM Reference'!$B$5</f>
        <v>3.3840314249395462E-3</v>
      </c>
      <c r="H213" s="43">
        <v>61135.179971361358</v>
      </c>
      <c r="I213" s="44">
        <f>[2]!Table3[[#This Row],[CLM $ Collected ]]/'[2]1.) CLM Reference'!$B$4</f>
        <v>4.0186520154613346E-3</v>
      </c>
      <c r="J213" s="45">
        <v>33587.730000000003</v>
      </c>
      <c r="K213" s="44">
        <f>[2]!Table3[[#This Row],[Incentive Disbursements]]/'[2]1.) CLM Reference'!$B$5</f>
        <v>3.3840314249395462E-3</v>
      </c>
      <c r="L213" s="43">
        <v>29425.637531444303</v>
      </c>
      <c r="M213" s="189">
        <f>[2]!Table3[[#This Row],[CLM $ Collected ]]/'[2]1.) CLM Reference'!$B$4</f>
        <v>4.0186520154613346E-3</v>
      </c>
      <c r="N213" s="45">
        <v>76023</v>
      </c>
      <c r="O213" s="190">
        <f>[2]!Table3[[#This Row],[Incentive Disbursements]]/'[2]1.) CLM Reference'!$B$5</f>
        <v>3.3840314249395462E-3</v>
      </c>
      <c r="P213" t="str">
        <f t="shared" si="3"/>
        <v>NO</v>
      </c>
      <c r="Q213" t="str">
        <f>VLOOKUP(Table8[[#This Row],[Census Tract]],'UI EnergyBurden'!$A$2:$B$184,2,FALSE)</f>
        <v>No</v>
      </c>
      <c r="R213">
        <f>VLOOKUP(Table8[[#This Row],[Census Tract]],'Population and Diversity Data'!$B$2:$K$823,10,FALSE)</f>
        <v>1</v>
      </c>
    </row>
    <row r="214" spans="1:18" ht="17" thickBot="1" x14ac:dyDescent="0.25">
      <c r="A214" s="144">
        <v>9009151000</v>
      </c>
      <c r="B214" s="144" t="s">
        <v>2988</v>
      </c>
      <c r="C214" s="139" t="s">
        <v>3886</v>
      </c>
      <c r="D214" s="186">
        <f>[2]!Table3[[#This Row],[Residential CLM $ Collected]]+[2]!Table3[[#This Row],[C&amp;I CLM $ Collected]]</f>
        <v>61965.72861994613</v>
      </c>
      <c r="E214" s="187">
        <f>[2]!Table3[[#This Row],[CLM $ Collected ]]/'[2]1.) CLM Reference'!$B$4</f>
        <v>2.749739976677682E-3</v>
      </c>
      <c r="F214" s="188">
        <f>[2]!Table3[[#This Row],[Residential Incentive Disbursements]]+[2]!Table3[[#This Row],[C&amp;I Incentive Disbursements]]</f>
        <v>29343.5</v>
      </c>
      <c r="G214" s="187">
        <f>[2]!Table3[[#This Row],[Incentive Disbursements]]/'[2]1.) CLM Reference'!$B$5</f>
        <v>9.0592705766774444E-4</v>
      </c>
      <c r="H214" s="43">
        <v>59346.2146909574</v>
      </c>
      <c r="I214" s="44">
        <f>[2]!Table3[[#This Row],[CLM $ Collected ]]/'[2]1.) CLM Reference'!$B$4</f>
        <v>2.749739976677682E-3</v>
      </c>
      <c r="J214" s="45">
        <v>28143.5</v>
      </c>
      <c r="K214" s="44">
        <f>[2]!Table3[[#This Row],[Incentive Disbursements]]/'[2]1.) CLM Reference'!$B$5</f>
        <v>9.0592705766774444E-4</v>
      </c>
      <c r="L214" s="43">
        <v>2619.5139289887334</v>
      </c>
      <c r="M214" s="189">
        <f>[2]!Table3[[#This Row],[CLM $ Collected ]]/'[2]1.) CLM Reference'!$B$4</f>
        <v>2.749739976677682E-3</v>
      </c>
      <c r="N214" s="45">
        <v>1200</v>
      </c>
      <c r="O214" s="190">
        <f>[2]!Table3[[#This Row],[Incentive Disbursements]]/'[2]1.) CLM Reference'!$B$5</f>
        <v>9.0592705766774444E-4</v>
      </c>
      <c r="P214" t="str">
        <f t="shared" si="3"/>
        <v>NO</v>
      </c>
      <c r="Q214" t="str">
        <f>VLOOKUP(Table8[[#This Row],[Census Tract]],'UI EnergyBurden'!$A$2:$B$184,2,FALSE)</f>
        <v>No</v>
      </c>
      <c r="R214">
        <f>VLOOKUP(Table8[[#This Row],[Census Tract]],'Population and Diversity Data'!$B$2:$K$823,10,FALSE)</f>
        <v>3</v>
      </c>
    </row>
    <row r="215" spans="1:18" ht="17" thickBot="1" x14ac:dyDescent="0.25">
      <c r="A215" s="144">
        <v>9009151100</v>
      </c>
      <c r="B215" s="144" t="s">
        <v>2988</v>
      </c>
      <c r="C215" s="139" t="s">
        <v>3886</v>
      </c>
      <c r="D215" s="186">
        <f>[2]!Table3[[#This Row],[Residential CLM $ Collected]]+[2]!Table3[[#This Row],[C&amp;I CLM $ Collected]]</f>
        <v>122135.37766688748</v>
      </c>
      <c r="E215" s="187">
        <f>[2]!Table3[[#This Row],[CLM $ Collected ]]/'[2]1.) CLM Reference'!$B$4</f>
        <v>5.4197786101584456E-3</v>
      </c>
      <c r="F215" s="188">
        <f>[2]!Table3[[#This Row],[Residential Incentive Disbursements]]+[2]!Table3[[#This Row],[C&amp;I Incentive Disbursements]]</f>
        <v>342121.7</v>
      </c>
      <c r="G215" s="187">
        <f>[2]!Table3[[#This Row],[Incentive Disbursements]]/'[2]1.) CLM Reference'!$B$5</f>
        <v>1.056238366402395E-2</v>
      </c>
      <c r="H215" s="43">
        <v>88091.751703132293</v>
      </c>
      <c r="I215" s="44">
        <f>[2]!Table3[[#This Row],[CLM $ Collected ]]/'[2]1.) CLM Reference'!$B$4</f>
        <v>5.4197786101584456E-3</v>
      </c>
      <c r="J215" s="45">
        <v>31956.399999999998</v>
      </c>
      <c r="K215" s="44">
        <f>[2]!Table3[[#This Row],[Incentive Disbursements]]/'[2]1.) CLM Reference'!$B$5</f>
        <v>1.056238366402395E-2</v>
      </c>
      <c r="L215" s="43">
        <v>34043.625963755192</v>
      </c>
      <c r="M215" s="189">
        <f>[2]!Table3[[#This Row],[CLM $ Collected ]]/'[2]1.) CLM Reference'!$B$4</f>
        <v>5.4197786101584456E-3</v>
      </c>
      <c r="N215" s="45">
        <v>310165.3</v>
      </c>
      <c r="O215" s="190">
        <f>[2]!Table3[[#This Row],[Incentive Disbursements]]/'[2]1.) CLM Reference'!$B$5</f>
        <v>1.056238366402395E-2</v>
      </c>
      <c r="P215" t="str">
        <f t="shared" si="3"/>
        <v>YES</v>
      </c>
      <c r="Q215" t="str">
        <f>VLOOKUP(Table8[[#This Row],[Census Tract]],'UI EnergyBurden'!$A$2:$B$184,2,FALSE)</f>
        <v>No</v>
      </c>
      <c r="R215">
        <f>VLOOKUP(Table8[[#This Row],[Census Tract]],'Population and Diversity Data'!$B$2:$K$823,10,FALSE)</f>
        <v>3</v>
      </c>
    </row>
    <row r="216" spans="1:18" ht="17" thickBot="1" x14ac:dyDescent="0.25">
      <c r="A216" s="144">
        <v>9009151200</v>
      </c>
      <c r="B216" s="144" t="s">
        <v>2983</v>
      </c>
      <c r="C216" s="139" t="s">
        <v>3886</v>
      </c>
      <c r="D216" s="186">
        <f>[2]!Table3[[#This Row],[Residential CLM $ Collected]]+[2]!Table3[[#This Row],[C&amp;I CLM $ Collected]]</f>
        <v>3717.6587761589194</v>
      </c>
      <c r="E216" s="187">
        <f>[2]!Table3[[#This Row],[CLM $ Collected ]]/'[2]1.) CLM Reference'!$B$4</f>
        <v>1.6497175429258583E-4</v>
      </c>
      <c r="F216" s="188">
        <f>[2]!Table3[[#This Row],[Residential Incentive Disbursements]]+[2]!Table3[[#This Row],[C&amp;I Incentive Disbursements]]</f>
        <v>0</v>
      </c>
      <c r="G216" s="187">
        <f>[2]!Table3[[#This Row],[Incentive Disbursements]]/'[2]1.) CLM Reference'!$B$5</f>
        <v>0</v>
      </c>
      <c r="H216" s="43">
        <v>0</v>
      </c>
      <c r="I216" s="44">
        <f>[2]!Table3[[#This Row],[CLM $ Collected ]]/'[2]1.) CLM Reference'!$B$4</f>
        <v>1.6497175429258583E-4</v>
      </c>
      <c r="J216" s="45">
        <v>0</v>
      </c>
      <c r="K216" s="44">
        <f>[2]!Table3[[#This Row],[Incentive Disbursements]]/'[2]1.) CLM Reference'!$B$5</f>
        <v>0</v>
      </c>
      <c r="L216" s="43">
        <v>3717.6587761589194</v>
      </c>
      <c r="M216" s="189">
        <f>[2]!Table3[[#This Row],[CLM $ Collected ]]/'[2]1.) CLM Reference'!$B$4</f>
        <v>1.6497175429258583E-4</v>
      </c>
      <c r="N216" s="45">
        <v>0</v>
      </c>
      <c r="O216" s="190">
        <f>[2]!Table3[[#This Row],[Incentive Disbursements]]/'[2]1.) CLM Reference'!$B$5</f>
        <v>0</v>
      </c>
      <c r="P216" t="str">
        <f t="shared" si="3"/>
        <v>NO</v>
      </c>
      <c r="Q216" t="str">
        <f>VLOOKUP(Table8[[#This Row],[Census Tract]],'UI EnergyBurden'!$A$2:$B$184,2,FALSE)</f>
        <v>No</v>
      </c>
      <c r="R216">
        <f>VLOOKUP(Table8[[#This Row],[Census Tract]],'Population and Diversity Data'!$B$2:$K$823,10,FALSE)</f>
        <v>2</v>
      </c>
    </row>
    <row r="217" spans="1:18" ht="17" thickBot="1" x14ac:dyDescent="0.25">
      <c r="A217" s="144">
        <v>9009151200</v>
      </c>
      <c r="B217" s="144" t="s">
        <v>2988</v>
      </c>
      <c r="C217" s="139" t="s">
        <v>3886</v>
      </c>
      <c r="D217" s="186">
        <f>[2]!Table3[[#This Row],[Residential CLM $ Collected]]+[2]!Table3[[#This Row],[C&amp;I CLM $ Collected]]</f>
        <v>73319.160876214417</v>
      </c>
      <c r="E217" s="187">
        <f>[2]!Table3[[#This Row],[CLM $ Collected ]]/'[2]1.) CLM Reference'!$B$4</f>
        <v>3.253550506188889E-3</v>
      </c>
      <c r="F217" s="188">
        <f>[2]!Table3[[#This Row],[Residential Incentive Disbursements]]+[2]!Table3[[#This Row],[C&amp;I Incentive Disbursements]]</f>
        <v>65957.51999999999</v>
      </c>
      <c r="G217" s="187">
        <f>[2]!Table3[[#This Row],[Incentive Disbursements]]/'[2]1.) CLM Reference'!$B$5</f>
        <v>2.0363181632954966E-3</v>
      </c>
      <c r="H217" s="43">
        <v>41802.382987403027</v>
      </c>
      <c r="I217" s="44">
        <f>[2]!Table3[[#This Row],[CLM $ Collected ]]/'[2]1.) CLM Reference'!$B$4</f>
        <v>3.253550506188889E-3</v>
      </c>
      <c r="J217" s="45">
        <v>19954.059999999998</v>
      </c>
      <c r="K217" s="44">
        <f>[2]!Table3[[#This Row],[Incentive Disbursements]]/'[2]1.) CLM Reference'!$B$5</f>
        <v>2.0363181632954966E-3</v>
      </c>
      <c r="L217" s="43">
        <v>31516.777888811397</v>
      </c>
      <c r="M217" s="189">
        <f>[2]!Table3[[#This Row],[CLM $ Collected ]]/'[2]1.) CLM Reference'!$B$4</f>
        <v>3.253550506188889E-3</v>
      </c>
      <c r="N217" s="45">
        <v>46003.46</v>
      </c>
      <c r="O217" s="190">
        <f>[2]!Table3[[#This Row],[Incentive Disbursements]]/'[2]1.) CLM Reference'!$B$5</f>
        <v>2.0363181632954966E-3</v>
      </c>
      <c r="P217" t="str">
        <f t="shared" si="3"/>
        <v>NO</v>
      </c>
      <c r="Q217" t="str">
        <f>VLOOKUP(Table8[[#This Row],[Census Tract]],'UI EnergyBurden'!$A$2:$B$184,2,FALSE)</f>
        <v>No</v>
      </c>
      <c r="R217">
        <f>VLOOKUP(Table8[[#This Row],[Census Tract]],'Population and Diversity Data'!$B$2:$K$823,10,FALSE)</f>
        <v>2</v>
      </c>
    </row>
    <row r="218" spans="1:18" ht="17" thickBot="1" x14ac:dyDescent="0.25">
      <c r="A218" s="144">
        <v>9009151200</v>
      </c>
      <c r="B218" s="144" t="s">
        <v>2992</v>
      </c>
      <c r="C218" s="139" t="s">
        <v>3886</v>
      </c>
      <c r="D218" s="186">
        <f>[2]!Table3[[#This Row],[Residential CLM $ Collected]]+[2]!Table3[[#This Row],[C&amp;I CLM $ Collected]]</f>
        <v>8.3931109333251968</v>
      </c>
      <c r="E218" s="187">
        <f>[2]!Table3[[#This Row],[CLM $ Collected ]]/'[2]1.) CLM Reference'!$B$4</f>
        <v>3.724457563245044E-7</v>
      </c>
      <c r="F218" s="188">
        <f>[2]!Table3[[#This Row],[Residential Incentive Disbursements]]+[2]!Table3[[#This Row],[C&amp;I Incentive Disbursements]]</f>
        <v>0</v>
      </c>
      <c r="G218" s="187">
        <f>[2]!Table3[[#This Row],[Incentive Disbursements]]/'[2]1.) CLM Reference'!$B$5</f>
        <v>0</v>
      </c>
      <c r="H218" s="43">
        <v>0</v>
      </c>
      <c r="I218" s="44">
        <f>[2]!Table3[[#This Row],[CLM $ Collected ]]/'[2]1.) CLM Reference'!$B$4</f>
        <v>3.724457563245044E-7</v>
      </c>
      <c r="J218" s="45">
        <v>0</v>
      </c>
      <c r="K218" s="44">
        <f>[2]!Table3[[#This Row],[Incentive Disbursements]]/'[2]1.) CLM Reference'!$B$5</f>
        <v>0</v>
      </c>
      <c r="L218" s="43">
        <v>8.3931109333251968</v>
      </c>
      <c r="M218" s="189">
        <f>[2]!Table3[[#This Row],[CLM $ Collected ]]/'[2]1.) CLM Reference'!$B$4</f>
        <v>3.724457563245044E-7</v>
      </c>
      <c r="N218" s="45">
        <v>0</v>
      </c>
      <c r="O218" s="190">
        <f>[2]!Table3[[#This Row],[Incentive Disbursements]]/'[2]1.) CLM Reference'!$B$5</f>
        <v>0</v>
      </c>
      <c r="P218" t="str">
        <f t="shared" si="3"/>
        <v>N/A</v>
      </c>
      <c r="Q218" t="str">
        <f>VLOOKUP(Table8[[#This Row],[Census Tract]],'UI EnergyBurden'!$A$2:$B$184,2,FALSE)</f>
        <v>No</v>
      </c>
      <c r="R218">
        <f>VLOOKUP(Table8[[#This Row],[Census Tract]],'Population and Diversity Data'!$B$2:$K$823,10,FALSE)</f>
        <v>2</v>
      </c>
    </row>
    <row r="219" spans="1:18" ht="17" thickBot="1" x14ac:dyDescent="0.25">
      <c r="A219" s="144">
        <v>9009151200</v>
      </c>
      <c r="B219" s="144" t="s">
        <v>950</v>
      </c>
      <c r="C219" s="139" t="s">
        <v>3886</v>
      </c>
      <c r="D219" s="186">
        <f>[2]!Table3[[#This Row],[Residential CLM $ Collected]]+[2]!Table3[[#This Row],[C&amp;I CLM $ Collected]]</f>
        <v>24.468365207163664</v>
      </c>
      <c r="E219" s="187">
        <f>[2]!Table3[[#This Row],[CLM $ Collected ]]/'[2]1.) CLM Reference'!$B$4</f>
        <v>1.0857879584817786E-6</v>
      </c>
      <c r="F219" s="188">
        <f>[2]!Table3[[#This Row],[Residential Incentive Disbursements]]+[2]!Table3[[#This Row],[C&amp;I Incentive Disbursements]]</f>
        <v>0</v>
      </c>
      <c r="G219" s="187">
        <f>[2]!Table3[[#This Row],[Incentive Disbursements]]/'[2]1.) CLM Reference'!$B$5</f>
        <v>0</v>
      </c>
      <c r="H219" s="43">
        <v>24.468365207163664</v>
      </c>
      <c r="I219" s="44">
        <f>[2]!Table3[[#This Row],[CLM $ Collected ]]/'[2]1.) CLM Reference'!$B$4</f>
        <v>1.0857879584817786E-6</v>
      </c>
      <c r="J219" s="45">
        <v>0</v>
      </c>
      <c r="K219" s="44">
        <f>[2]!Table3[[#This Row],[Incentive Disbursements]]/'[2]1.) CLM Reference'!$B$5</f>
        <v>0</v>
      </c>
      <c r="L219" s="43">
        <v>0</v>
      </c>
      <c r="M219" s="189">
        <f>[2]!Table3[[#This Row],[CLM $ Collected ]]/'[2]1.) CLM Reference'!$B$4</f>
        <v>1.0857879584817786E-6</v>
      </c>
      <c r="N219" s="45">
        <v>0</v>
      </c>
      <c r="O219" s="190">
        <f>[2]!Table3[[#This Row],[Incentive Disbursements]]/'[2]1.) CLM Reference'!$B$5</f>
        <v>0</v>
      </c>
      <c r="P219" t="str">
        <f t="shared" si="3"/>
        <v>N/A</v>
      </c>
      <c r="Q219" t="str">
        <f>VLOOKUP(Table8[[#This Row],[Census Tract]],'UI EnergyBurden'!$A$2:$B$184,2,FALSE)</f>
        <v>No</v>
      </c>
      <c r="R219">
        <f>VLOOKUP(Table8[[#This Row],[Census Tract]],'Population and Diversity Data'!$B$2:$K$823,10,FALSE)</f>
        <v>2</v>
      </c>
    </row>
    <row r="220" spans="1:18" ht="17" thickBot="1" x14ac:dyDescent="0.25">
      <c r="A220" s="143">
        <v>9009154100</v>
      </c>
      <c r="B220" s="143" t="s">
        <v>3880</v>
      </c>
      <c r="C220" s="138" t="s">
        <v>3886</v>
      </c>
      <c r="D220" s="186">
        <f>[2]!Table3[[#This Row],[Residential CLM $ Collected]]+[2]!Table3[[#This Row],[C&amp;I CLM $ Collected]]</f>
        <v>78.658869132010295</v>
      </c>
      <c r="E220" s="193">
        <f>[2]!Table3[[#This Row],[CLM $ Collected ]]/'[2]1.) CLM Reference'!$B$4</f>
        <v>3.4905009880401024E-6</v>
      </c>
      <c r="F220" s="188">
        <f>[2]!Table3[[#This Row],[Residential Incentive Disbursements]]+[2]!Table3[[#This Row],[C&amp;I Incentive Disbursements]]</f>
        <v>0</v>
      </c>
      <c r="G220" s="193">
        <f>[2]!Table3[[#This Row],[Incentive Disbursements]]/'[2]1.) CLM Reference'!$B$5</f>
        <v>0</v>
      </c>
      <c r="H220" s="133">
        <v>78.658869132010295</v>
      </c>
      <c r="I220" s="132">
        <f>[2]!Table3[[#This Row],[CLM $ Collected ]]/'[2]1.) CLM Reference'!$B$4</f>
        <v>3.4905009880401024E-6</v>
      </c>
      <c r="J220" s="131">
        <v>0</v>
      </c>
      <c r="K220" s="132">
        <f>[2]!Table3[[#This Row],[Incentive Disbursements]]/'[2]1.) CLM Reference'!$B$5</f>
        <v>0</v>
      </c>
      <c r="L220" s="133">
        <v>0</v>
      </c>
      <c r="M220" s="194">
        <f>[2]!Table3[[#This Row],[CLM $ Collected ]]/'[2]1.) CLM Reference'!$B$4</f>
        <v>3.4905009880401024E-6</v>
      </c>
      <c r="N220" s="131">
        <v>0</v>
      </c>
      <c r="O220" s="195">
        <f>[2]!Table3[[#This Row],[Incentive Disbursements]]/'[2]1.) CLM Reference'!$B$5</f>
        <v>0</v>
      </c>
      <c r="P220" t="str">
        <f t="shared" si="3"/>
        <v>N/A</v>
      </c>
      <c r="Q220" t="str">
        <f>VLOOKUP(Table8[[#This Row],[Census Tract]],'UI EnergyBurden'!$A$2:$B$184,2,FALSE)</f>
        <v>No</v>
      </c>
      <c r="R220">
        <f>VLOOKUP(Table8[[#This Row],[Census Tract]],'Population and Diversity Data'!$B$2:$K$823,10,FALSE)</f>
        <v>4</v>
      </c>
    </row>
    <row r="221" spans="1:18" ht="17" thickBot="1" x14ac:dyDescent="0.25">
      <c r="A221" s="143">
        <v>9009154100</v>
      </c>
      <c r="B221" s="143" t="s">
        <v>943</v>
      </c>
      <c r="C221" s="138" t="s">
        <v>3886</v>
      </c>
      <c r="D221" s="186">
        <f>[2]!Table3[[#This Row],[Residential CLM $ Collected]]+[2]!Table3[[#This Row],[C&amp;I CLM $ Collected]]</f>
        <v>93.67690536199207</v>
      </c>
      <c r="E221" s="193">
        <f>[2]!Table3[[#This Row],[CLM $ Collected ]]/'[2]1.) CLM Reference'!$B$4</f>
        <v>4.1569289557648623E-6</v>
      </c>
      <c r="F221" s="188">
        <f>[2]!Table3[[#This Row],[Residential Incentive Disbursements]]+[2]!Table3[[#This Row],[C&amp;I Incentive Disbursements]]</f>
        <v>0</v>
      </c>
      <c r="G221" s="193">
        <f>[2]!Table3[[#This Row],[Incentive Disbursements]]/'[2]1.) CLM Reference'!$B$5</f>
        <v>0</v>
      </c>
      <c r="H221" s="133">
        <v>93.67690536199207</v>
      </c>
      <c r="I221" s="132">
        <f>[2]!Table3[[#This Row],[CLM $ Collected ]]/'[2]1.) CLM Reference'!$B$4</f>
        <v>4.1569289557648623E-6</v>
      </c>
      <c r="J221" s="131">
        <v>0</v>
      </c>
      <c r="K221" s="132">
        <f>[2]!Table3[[#This Row],[Incentive Disbursements]]/'[2]1.) CLM Reference'!$B$5</f>
        <v>0</v>
      </c>
      <c r="L221" s="133">
        <v>0</v>
      </c>
      <c r="M221" s="194">
        <f>[2]!Table3[[#This Row],[CLM $ Collected ]]/'[2]1.) CLM Reference'!$B$4</f>
        <v>4.1569289557648623E-6</v>
      </c>
      <c r="N221" s="131">
        <v>0</v>
      </c>
      <c r="O221" s="195">
        <f>[2]!Table3[[#This Row],[Incentive Disbursements]]/'[2]1.) CLM Reference'!$B$5</f>
        <v>0</v>
      </c>
      <c r="P221" t="str">
        <f t="shared" si="3"/>
        <v>N/A</v>
      </c>
      <c r="Q221" t="str">
        <f>VLOOKUP(Table8[[#This Row],[Census Tract]],'UI EnergyBurden'!$A$2:$B$184,2,FALSE)</f>
        <v>No</v>
      </c>
      <c r="R221">
        <f>VLOOKUP(Table8[[#This Row],[Census Tract]],'Population and Diversity Data'!$B$2:$K$823,10,FALSE)</f>
        <v>4</v>
      </c>
    </row>
    <row r="222" spans="1:18" ht="17" thickBot="1" x14ac:dyDescent="0.25">
      <c r="A222" s="143">
        <v>9009154100</v>
      </c>
      <c r="B222" s="143" t="s">
        <v>950</v>
      </c>
      <c r="C222" s="138" t="s">
        <v>3886</v>
      </c>
      <c r="D222" s="186">
        <f>[2]!Table3[[#This Row],[Residential CLM $ Collected]]+[2]!Table3[[#This Row],[C&amp;I CLM $ Collected]]</f>
        <v>162628.58308221737</v>
      </c>
      <c r="E222" s="193">
        <f>[2]!Table3[[#This Row],[CLM $ Collected ]]/'[2]1.) CLM Reference'!$B$4</f>
        <v>7.2166716378717155E-3</v>
      </c>
      <c r="F222" s="188">
        <f>[2]!Table3[[#This Row],[Residential Incentive Disbursements]]+[2]!Table3[[#This Row],[C&amp;I Incentive Disbursements]]</f>
        <v>287596.55999999994</v>
      </c>
      <c r="G222" s="193">
        <f>[2]!Table3[[#This Row],[Incentive Disbursements]]/'[2]1.) CLM Reference'!$B$5</f>
        <v>8.879019387467919E-3</v>
      </c>
      <c r="H222" s="133">
        <v>116670.05436412506</v>
      </c>
      <c r="I222" s="132">
        <f>[2]!Table3[[#This Row],[CLM $ Collected ]]/'[2]1.) CLM Reference'!$B$4</f>
        <v>7.2166716378717155E-3</v>
      </c>
      <c r="J222" s="131">
        <v>175384.25999999995</v>
      </c>
      <c r="K222" s="132">
        <f>[2]!Table3[[#This Row],[Incentive Disbursements]]/'[2]1.) CLM Reference'!$B$5</f>
        <v>8.879019387467919E-3</v>
      </c>
      <c r="L222" s="133">
        <v>45958.528718092304</v>
      </c>
      <c r="M222" s="194">
        <f>[2]!Table3[[#This Row],[CLM $ Collected ]]/'[2]1.) CLM Reference'!$B$4</f>
        <v>7.2166716378717155E-3</v>
      </c>
      <c r="N222" s="131">
        <v>112212.3</v>
      </c>
      <c r="O222" s="195">
        <f>[2]!Table3[[#This Row],[Incentive Disbursements]]/'[2]1.) CLM Reference'!$B$5</f>
        <v>8.879019387467919E-3</v>
      </c>
      <c r="P222" t="str">
        <f t="shared" si="3"/>
        <v>YES</v>
      </c>
      <c r="Q222" t="str">
        <f>VLOOKUP(Table8[[#This Row],[Census Tract]],'UI EnergyBurden'!$A$2:$B$184,2,FALSE)</f>
        <v>No</v>
      </c>
      <c r="R222">
        <f>VLOOKUP(Table8[[#This Row],[Census Tract]],'Population and Diversity Data'!$B$2:$K$823,10,FALSE)</f>
        <v>4</v>
      </c>
    </row>
    <row r="223" spans="1:18" ht="17" thickBot="1" x14ac:dyDescent="0.25">
      <c r="A223" s="143">
        <v>9009154200</v>
      </c>
      <c r="B223" s="143" t="s">
        <v>3880</v>
      </c>
      <c r="C223" s="138" t="s">
        <v>3886</v>
      </c>
      <c r="D223" s="186">
        <f>[2]!Table3[[#This Row],[Residential CLM $ Collected]]+[2]!Table3[[#This Row],[C&amp;I CLM $ Collected]]</f>
        <v>459.14656477608588</v>
      </c>
      <c r="E223" s="193">
        <f>[2]!Table3[[#This Row],[CLM $ Collected ]]/'[2]1.) CLM Reference'!$B$4</f>
        <v>2.0374708608084301E-5</v>
      </c>
      <c r="F223" s="188">
        <f>[2]!Table3[[#This Row],[Residential Incentive Disbursements]]+[2]!Table3[[#This Row],[C&amp;I Incentive Disbursements]]</f>
        <v>0</v>
      </c>
      <c r="G223" s="193">
        <f>[2]!Table3[[#This Row],[Incentive Disbursements]]/'[2]1.) CLM Reference'!$B$5</f>
        <v>0</v>
      </c>
      <c r="H223" s="133">
        <v>459.14656477608588</v>
      </c>
      <c r="I223" s="132">
        <f>[2]!Table3[[#This Row],[CLM $ Collected ]]/'[2]1.) CLM Reference'!$B$4</f>
        <v>2.0374708608084301E-5</v>
      </c>
      <c r="J223" s="131">
        <v>0</v>
      </c>
      <c r="K223" s="132">
        <f>[2]!Table3[[#This Row],[Incentive Disbursements]]/'[2]1.) CLM Reference'!$B$5</f>
        <v>0</v>
      </c>
      <c r="L223" s="133">
        <v>0</v>
      </c>
      <c r="M223" s="194">
        <f>[2]!Table3[[#This Row],[CLM $ Collected ]]/'[2]1.) CLM Reference'!$B$4</f>
        <v>2.0374708608084301E-5</v>
      </c>
      <c r="N223" s="131">
        <v>0</v>
      </c>
      <c r="O223" s="195">
        <f>[2]!Table3[[#This Row],[Incentive Disbursements]]/'[2]1.) CLM Reference'!$B$5</f>
        <v>0</v>
      </c>
      <c r="P223" t="str">
        <f t="shared" si="3"/>
        <v>NO</v>
      </c>
      <c r="Q223" t="str">
        <f>VLOOKUP(Table8[[#This Row],[Census Tract]],'UI EnergyBurden'!$A$2:$B$184,2,FALSE)</f>
        <v>No</v>
      </c>
      <c r="R223">
        <f>VLOOKUP(Table8[[#This Row],[Census Tract]],'Population and Diversity Data'!$B$2:$K$823,10,FALSE)</f>
        <v>4</v>
      </c>
    </row>
    <row r="224" spans="1:18" ht="17" thickBot="1" x14ac:dyDescent="0.25">
      <c r="A224" s="143">
        <v>9009154200</v>
      </c>
      <c r="B224" s="143" t="s">
        <v>3004</v>
      </c>
      <c r="C224" s="138" t="s">
        <v>3886</v>
      </c>
      <c r="D224" s="186">
        <f>[2]!Table3[[#This Row],[Residential CLM $ Collected]]+[2]!Table3[[#This Row],[C&amp;I CLM $ Collected]]</f>
        <v>390.47817532488733</v>
      </c>
      <c r="E224" s="193">
        <f>[2]!Table3[[#This Row],[CLM $ Collected ]]/'[2]1.) CLM Reference'!$B$4</f>
        <v>1.7327536892148834E-5</v>
      </c>
      <c r="F224" s="188">
        <f>[2]!Table3[[#This Row],[Residential Incentive Disbursements]]+[2]!Table3[[#This Row],[C&amp;I Incentive Disbursements]]</f>
        <v>0</v>
      </c>
      <c r="G224" s="193">
        <f>[2]!Table3[[#This Row],[Incentive Disbursements]]/'[2]1.) CLM Reference'!$B$5</f>
        <v>0</v>
      </c>
      <c r="H224" s="133">
        <v>375.14620535262497</v>
      </c>
      <c r="I224" s="132">
        <f>[2]!Table3[[#This Row],[CLM $ Collected ]]/'[2]1.) CLM Reference'!$B$4</f>
        <v>1.7327536892148834E-5</v>
      </c>
      <c r="J224" s="131">
        <v>0</v>
      </c>
      <c r="K224" s="132">
        <f>[2]!Table3[[#This Row],[Incentive Disbursements]]/'[2]1.) CLM Reference'!$B$5</f>
        <v>0</v>
      </c>
      <c r="L224" s="133">
        <v>15.331969972262364</v>
      </c>
      <c r="M224" s="194">
        <f>[2]!Table3[[#This Row],[CLM $ Collected ]]/'[2]1.) CLM Reference'!$B$4</f>
        <v>1.7327536892148834E-5</v>
      </c>
      <c r="N224" s="131">
        <v>0</v>
      </c>
      <c r="O224" s="195">
        <f>[2]!Table3[[#This Row],[Incentive Disbursements]]/'[2]1.) CLM Reference'!$B$5</f>
        <v>0</v>
      </c>
      <c r="P224" t="str">
        <f t="shared" si="3"/>
        <v>NO</v>
      </c>
      <c r="Q224" t="str">
        <f>VLOOKUP(Table8[[#This Row],[Census Tract]],'UI EnergyBurden'!$A$2:$B$184,2,FALSE)</f>
        <v>No</v>
      </c>
      <c r="R224">
        <f>VLOOKUP(Table8[[#This Row],[Census Tract]],'Population and Diversity Data'!$B$2:$K$823,10,FALSE)</f>
        <v>4</v>
      </c>
    </row>
    <row r="225" spans="1:18" ht="17" thickBot="1" x14ac:dyDescent="0.25">
      <c r="A225" s="143">
        <v>9009154200</v>
      </c>
      <c r="B225" s="143" t="s">
        <v>950</v>
      </c>
      <c r="C225" s="138" t="s">
        <v>3886</v>
      </c>
      <c r="D225" s="186">
        <f>[2]!Table3[[#This Row],[Residential CLM $ Collected]]+[2]!Table3[[#This Row],[C&amp;I CLM $ Collected]]</f>
        <v>121679.14883924507</v>
      </c>
      <c r="E225" s="193">
        <f>[2]!Table3[[#This Row],[CLM $ Collected ]]/'[2]1.) CLM Reference'!$B$4</f>
        <v>5.3995333766427489E-3</v>
      </c>
      <c r="F225" s="188">
        <f>[2]!Table3[[#This Row],[Residential Incentive Disbursements]]+[2]!Table3[[#This Row],[C&amp;I Incentive Disbursements]]</f>
        <v>237260.91000000003</v>
      </c>
      <c r="G225" s="193">
        <f>[2]!Table3[[#This Row],[Incentive Disbursements]]/'[2]1.) CLM Reference'!$B$5</f>
        <v>7.3249979755609096E-3</v>
      </c>
      <c r="H225" s="133">
        <v>98403.237868770826</v>
      </c>
      <c r="I225" s="132">
        <f>[2]!Table3[[#This Row],[CLM $ Collected ]]/'[2]1.) CLM Reference'!$B$4</f>
        <v>5.3995333766427489E-3</v>
      </c>
      <c r="J225" s="131">
        <v>202180.31000000003</v>
      </c>
      <c r="K225" s="132">
        <f>[2]!Table3[[#This Row],[Incentive Disbursements]]/'[2]1.) CLM Reference'!$B$5</f>
        <v>7.3249979755609096E-3</v>
      </c>
      <c r="L225" s="133">
        <v>23275.910970474244</v>
      </c>
      <c r="M225" s="194">
        <f>[2]!Table3[[#This Row],[CLM $ Collected ]]/'[2]1.) CLM Reference'!$B$4</f>
        <v>5.3995333766427489E-3</v>
      </c>
      <c r="N225" s="131">
        <v>35080.6</v>
      </c>
      <c r="O225" s="195">
        <f>[2]!Table3[[#This Row],[Incentive Disbursements]]/'[2]1.) CLM Reference'!$B$5</f>
        <v>7.3249979755609096E-3</v>
      </c>
      <c r="P225" t="str">
        <f t="shared" si="3"/>
        <v>YES</v>
      </c>
      <c r="Q225" t="str">
        <f>VLOOKUP(Table8[[#This Row],[Census Tract]],'UI EnergyBurden'!$A$2:$B$184,2,FALSE)</f>
        <v>No</v>
      </c>
      <c r="R225">
        <f>VLOOKUP(Table8[[#This Row],[Census Tract]],'Population and Diversity Data'!$B$2:$K$823,10,FALSE)</f>
        <v>4</v>
      </c>
    </row>
    <row r="226" spans="1:18" ht="17" thickBot="1" x14ac:dyDescent="0.25">
      <c r="A226" s="143">
        <v>9009154500</v>
      </c>
      <c r="B226" s="143" t="s">
        <v>3880</v>
      </c>
      <c r="C226" s="138" t="s">
        <v>3887</v>
      </c>
      <c r="D226" s="186">
        <f>[2]!Table3[[#This Row],[Residential CLM $ Collected]]+[2]!Table3[[#This Row],[C&amp;I CLM $ Collected]]</f>
        <v>1470.6087656953841</v>
      </c>
      <c r="E226" s="193">
        <f>[2]!Table3[[#This Row],[CLM $ Collected ]]/'[2]1.) CLM Reference'!$B$4</f>
        <v>6.5258519558237962E-5</v>
      </c>
      <c r="F226" s="188">
        <f>[2]!Table3[[#This Row],[Residential Incentive Disbursements]]+[2]!Table3[[#This Row],[C&amp;I Incentive Disbursements]]</f>
        <v>0</v>
      </c>
      <c r="G226" s="193">
        <f>[2]!Table3[[#This Row],[Incentive Disbursements]]/'[2]1.) CLM Reference'!$B$5</f>
        <v>0</v>
      </c>
      <c r="H226" s="133">
        <v>471.94398144670049</v>
      </c>
      <c r="I226" s="132">
        <f>[2]!Table3[[#This Row],[CLM $ Collected ]]/'[2]1.) CLM Reference'!$B$4</f>
        <v>6.5258519558237962E-5</v>
      </c>
      <c r="J226" s="131">
        <v>0</v>
      </c>
      <c r="K226" s="132">
        <f>[2]!Table3[[#This Row],[Incentive Disbursements]]/'[2]1.) CLM Reference'!$B$5</f>
        <v>0</v>
      </c>
      <c r="L226" s="133">
        <v>998.66478424868365</v>
      </c>
      <c r="M226" s="194">
        <f>[2]!Table3[[#This Row],[CLM $ Collected ]]/'[2]1.) CLM Reference'!$B$4</f>
        <v>6.5258519558237962E-5</v>
      </c>
      <c r="N226" s="131">
        <v>0</v>
      </c>
      <c r="O226" s="195">
        <f>[2]!Table3[[#This Row],[Incentive Disbursements]]/'[2]1.) CLM Reference'!$B$5</f>
        <v>0</v>
      </c>
      <c r="P226" t="str">
        <f t="shared" si="3"/>
        <v>NO</v>
      </c>
      <c r="Q226" t="str">
        <f>VLOOKUP(Table8[[#This Row],[Census Tract]],'UI EnergyBurden'!$A$2:$B$184,2,FALSE)</f>
        <v>No</v>
      </c>
      <c r="R226">
        <f>VLOOKUP(Table8[[#This Row],[Census Tract]],'Population and Diversity Data'!$B$2:$K$823,10,FALSE)</f>
        <v>4</v>
      </c>
    </row>
    <row r="227" spans="1:18" ht="17" thickBot="1" x14ac:dyDescent="0.25">
      <c r="A227" s="143">
        <v>9009154500</v>
      </c>
      <c r="B227" s="143" t="s">
        <v>943</v>
      </c>
      <c r="C227" s="138" t="s">
        <v>3887</v>
      </c>
      <c r="D227" s="186">
        <f>[2]!Table3[[#This Row],[Residential CLM $ Collected]]+[2]!Table3[[#This Row],[C&amp;I CLM $ Collected]]</f>
        <v>6.3756249719043439</v>
      </c>
      <c r="E227" s="193">
        <f>[2]!Table3[[#This Row],[CLM $ Collected ]]/'[2]1.) CLM Reference'!$B$4</f>
        <v>2.8291946616289361E-7</v>
      </c>
      <c r="F227" s="188">
        <f>[2]!Table3[[#This Row],[Residential Incentive Disbursements]]+[2]!Table3[[#This Row],[C&amp;I Incentive Disbursements]]</f>
        <v>0</v>
      </c>
      <c r="G227" s="193">
        <f>[2]!Table3[[#This Row],[Incentive Disbursements]]/'[2]1.) CLM Reference'!$B$5</f>
        <v>0</v>
      </c>
      <c r="H227" s="133">
        <v>0</v>
      </c>
      <c r="I227" s="132">
        <f>[2]!Table3[[#This Row],[CLM $ Collected ]]/'[2]1.) CLM Reference'!$B$4</f>
        <v>2.8291946616289361E-7</v>
      </c>
      <c r="J227" s="131">
        <v>0</v>
      </c>
      <c r="K227" s="132">
        <f>[2]!Table3[[#This Row],[Incentive Disbursements]]/'[2]1.) CLM Reference'!$B$5</f>
        <v>0</v>
      </c>
      <c r="L227" s="133">
        <v>6.3756249719043439</v>
      </c>
      <c r="M227" s="194">
        <f>[2]!Table3[[#This Row],[CLM $ Collected ]]/'[2]1.) CLM Reference'!$B$4</f>
        <v>2.8291946616289361E-7</v>
      </c>
      <c r="N227" s="131">
        <v>0</v>
      </c>
      <c r="O227" s="195">
        <f>[2]!Table3[[#This Row],[Incentive Disbursements]]/'[2]1.) CLM Reference'!$B$5</f>
        <v>0</v>
      </c>
      <c r="P227" t="str">
        <f t="shared" si="3"/>
        <v>N/A</v>
      </c>
      <c r="Q227" t="str">
        <f>VLOOKUP(Table8[[#This Row],[Census Tract]],'UI EnergyBurden'!$A$2:$B$184,2,FALSE)</f>
        <v>No</v>
      </c>
      <c r="R227">
        <f>VLOOKUP(Table8[[#This Row],[Census Tract]],'Population and Diversity Data'!$B$2:$K$823,10,FALSE)</f>
        <v>4</v>
      </c>
    </row>
    <row r="228" spans="1:18" ht="17" thickBot="1" x14ac:dyDescent="0.25">
      <c r="A228" s="143">
        <v>9009154500</v>
      </c>
      <c r="B228" s="143" t="s">
        <v>3004</v>
      </c>
      <c r="C228" s="138" t="s">
        <v>3887</v>
      </c>
      <c r="D228" s="186">
        <f>[2]!Table3[[#This Row],[Residential CLM $ Collected]]+[2]!Table3[[#This Row],[C&amp;I CLM $ Collected]]</f>
        <v>28.632603965062092</v>
      </c>
      <c r="E228" s="193">
        <f>[2]!Table3[[#This Row],[CLM $ Collected ]]/'[2]1.) CLM Reference'!$B$4</f>
        <v>1.2705767770762248E-6</v>
      </c>
      <c r="F228" s="188">
        <f>[2]!Table3[[#This Row],[Residential Incentive Disbursements]]+[2]!Table3[[#This Row],[C&amp;I Incentive Disbursements]]</f>
        <v>0</v>
      </c>
      <c r="G228" s="193">
        <f>[2]!Table3[[#This Row],[Incentive Disbursements]]/'[2]1.) CLM Reference'!$B$5</f>
        <v>0</v>
      </c>
      <c r="H228" s="133">
        <v>0</v>
      </c>
      <c r="I228" s="132">
        <f>[2]!Table3[[#This Row],[CLM $ Collected ]]/'[2]1.) CLM Reference'!$B$4</f>
        <v>1.2705767770762248E-6</v>
      </c>
      <c r="J228" s="131">
        <v>0</v>
      </c>
      <c r="K228" s="132">
        <f>[2]!Table3[[#This Row],[Incentive Disbursements]]/'[2]1.) CLM Reference'!$B$5</f>
        <v>0</v>
      </c>
      <c r="L228" s="133">
        <v>28.632603965062092</v>
      </c>
      <c r="M228" s="194">
        <f>[2]!Table3[[#This Row],[CLM $ Collected ]]/'[2]1.) CLM Reference'!$B$4</f>
        <v>1.2705767770762248E-6</v>
      </c>
      <c r="N228" s="131">
        <v>0</v>
      </c>
      <c r="O228" s="195">
        <f>[2]!Table3[[#This Row],[Incentive Disbursements]]/'[2]1.) CLM Reference'!$B$5</f>
        <v>0</v>
      </c>
      <c r="P228" t="str">
        <f t="shared" si="3"/>
        <v>N/A</v>
      </c>
      <c r="Q228" t="str">
        <f>VLOOKUP(Table8[[#This Row],[Census Tract]],'UI EnergyBurden'!$A$2:$B$184,2,FALSE)</f>
        <v>No</v>
      </c>
      <c r="R228">
        <f>VLOOKUP(Table8[[#This Row],[Census Tract]],'Population and Diversity Data'!$B$2:$K$823,10,FALSE)</f>
        <v>4</v>
      </c>
    </row>
    <row r="229" spans="1:18" ht="17" thickBot="1" x14ac:dyDescent="0.25">
      <c r="A229" s="143">
        <v>9009154500</v>
      </c>
      <c r="B229" s="143" t="s">
        <v>950</v>
      </c>
      <c r="C229" s="138" t="s">
        <v>3887</v>
      </c>
      <c r="D229" s="186">
        <f>[2]!Table3[[#This Row],[Residential CLM $ Collected]]+[2]!Table3[[#This Row],[C&amp;I CLM $ Collected]]</f>
        <v>71915.987848364457</v>
      </c>
      <c r="E229" s="193">
        <f>[2]!Table3[[#This Row],[CLM $ Collected ]]/'[2]1.) CLM Reference'!$B$4</f>
        <v>3.1912844592173546E-3</v>
      </c>
      <c r="F229" s="188">
        <f>[2]!Table3[[#This Row],[Residential Incentive Disbursements]]+[2]!Table3[[#This Row],[C&amp;I Incentive Disbursements]]</f>
        <v>327681.69999999995</v>
      </c>
      <c r="G229" s="193">
        <f>[2]!Table3[[#This Row],[Incentive Disbursements]]/'[2]1.) CLM Reference'!$B$5</f>
        <v>1.011657499386796E-2</v>
      </c>
      <c r="H229" s="133">
        <v>50985.6651500484</v>
      </c>
      <c r="I229" s="132">
        <f>[2]!Table3[[#This Row],[CLM $ Collected ]]/'[2]1.) CLM Reference'!$B$4</f>
        <v>3.1912844592173546E-3</v>
      </c>
      <c r="J229" s="131">
        <v>241944.37</v>
      </c>
      <c r="K229" s="132">
        <f>[2]!Table3[[#This Row],[Incentive Disbursements]]/'[2]1.) CLM Reference'!$B$5</f>
        <v>1.011657499386796E-2</v>
      </c>
      <c r="L229" s="133">
        <v>20930.322698316053</v>
      </c>
      <c r="M229" s="194">
        <f>[2]!Table3[[#This Row],[CLM $ Collected ]]/'[2]1.) CLM Reference'!$B$4</f>
        <v>3.1912844592173546E-3</v>
      </c>
      <c r="N229" s="131">
        <v>85737.329999999987</v>
      </c>
      <c r="O229" s="195">
        <f>[2]!Table3[[#This Row],[Incentive Disbursements]]/'[2]1.) CLM Reference'!$B$5</f>
        <v>1.011657499386796E-2</v>
      </c>
      <c r="P229" t="str">
        <f t="shared" si="3"/>
        <v>YES</v>
      </c>
      <c r="Q229" t="str">
        <f>VLOOKUP(Table8[[#This Row],[Census Tract]],'UI EnergyBurden'!$A$2:$B$184,2,FALSE)</f>
        <v>No</v>
      </c>
      <c r="R229">
        <f>VLOOKUP(Table8[[#This Row],[Census Tract]],'Population and Diversity Data'!$B$2:$K$823,10,FALSE)</f>
        <v>4</v>
      </c>
    </row>
    <row r="230" spans="1:18" ht="17" thickBot="1" x14ac:dyDescent="0.25">
      <c r="A230" s="143">
        <v>9009154600</v>
      </c>
      <c r="B230" s="143" t="s">
        <v>3880</v>
      </c>
      <c r="C230" s="138" t="s">
        <v>3886</v>
      </c>
      <c r="D230" s="186">
        <f>[2]!Table3[[#This Row],[Residential CLM $ Collected]]+[2]!Table3[[#This Row],[C&amp;I CLM $ Collected]]</f>
        <v>505.55797523412679</v>
      </c>
      <c r="E230" s="193">
        <f>[2]!Table3[[#This Row],[CLM $ Collected ]]/'[2]1.) CLM Reference'!$B$4</f>
        <v>2.2434223013106441E-5</v>
      </c>
      <c r="F230" s="188">
        <f>[2]!Table3[[#This Row],[Residential Incentive Disbursements]]+[2]!Table3[[#This Row],[C&amp;I Incentive Disbursements]]</f>
        <v>0</v>
      </c>
      <c r="G230" s="193">
        <f>[2]!Table3[[#This Row],[Incentive Disbursements]]/'[2]1.) CLM Reference'!$B$5</f>
        <v>0</v>
      </c>
      <c r="H230" s="133">
        <v>86.659562887484739</v>
      </c>
      <c r="I230" s="132">
        <f>[2]!Table3[[#This Row],[CLM $ Collected ]]/'[2]1.) CLM Reference'!$B$4</f>
        <v>2.2434223013106441E-5</v>
      </c>
      <c r="J230" s="131">
        <v>0</v>
      </c>
      <c r="K230" s="132">
        <f>[2]!Table3[[#This Row],[Incentive Disbursements]]/'[2]1.) CLM Reference'!$B$5</f>
        <v>0</v>
      </c>
      <c r="L230" s="133">
        <v>418.89841234664203</v>
      </c>
      <c r="M230" s="194">
        <f>[2]!Table3[[#This Row],[CLM $ Collected ]]/'[2]1.) CLM Reference'!$B$4</f>
        <v>2.2434223013106441E-5</v>
      </c>
      <c r="N230" s="131">
        <v>0</v>
      </c>
      <c r="O230" s="195">
        <f>[2]!Table3[[#This Row],[Incentive Disbursements]]/'[2]1.) CLM Reference'!$B$5</f>
        <v>0</v>
      </c>
      <c r="P230" t="str">
        <f t="shared" si="3"/>
        <v>NO</v>
      </c>
      <c r="Q230" t="str">
        <f>VLOOKUP(Table8[[#This Row],[Census Tract]],'UI EnergyBurden'!$A$2:$B$184,2,FALSE)</f>
        <v>No</v>
      </c>
      <c r="R230">
        <f>VLOOKUP(Table8[[#This Row],[Census Tract]],'Population and Diversity Data'!$B$2:$K$823,10,FALSE)</f>
        <v>5</v>
      </c>
    </row>
    <row r="231" spans="1:18" ht="17" thickBot="1" x14ac:dyDescent="0.25">
      <c r="A231" s="143">
        <v>9009154600</v>
      </c>
      <c r="B231" s="143" t="s">
        <v>943</v>
      </c>
      <c r="C231" s="138" t="s">
        <v>3886</v>
      </c>
      <c r="D231" s="186">
        <f>[2]!Table3[[#This Row],[Residential CLM $ Collected]]+[2]!Table3[[#This Row],[C&amp;I CLM $ Collected]]</f>
        <v>13.249850593313154</v>
      </c>
      <c r="E231" s="193">
        <f>[2]!Table3[[#This Row],[CLM $ Collected ]]/'[2]1.) CLM Reference'!$B$4</f>
        <v>5.8796442280051022E-7</v>
      </c>
      <c r="F231" s="188">
        <f>[2]!Table3[[#This Row],[Residential Incentive Disbursements]]+[2]!Table3[[#This Row],[C&amp;I Incentive Disbursements]]</f>
        <v>0</v>
      </c>
      <c r="G231" s="193">
        <f>[2]!Table3[[#This Row],[Incentive Disbursements]]/'[2]1.) CLM Reference'!$B$5</f>
        <v>0</v>
      </c>
      <c r="H231" s="133">
        <v>13.249850593313154</v>
      </c>
      <c r="I231" s="132">
        <f>[2]!Table3[[#This Row],[CLM $ Collected ]]/'[2]1.) CLM Reference'!$B$4</f>
        <v>5.8796442280051022E-7</v>
      </c>
      <c r="J231" s="131">
        <v>0</v>
      </c>
      <c r="K231" s="132">
        <f>[2]!Table3[[#This Row],[Incentive Disbursements]]/'[2]1.) CLM Reference'!$B$5</f>
        <v>0</v>
      </c>
      <c r="L231" s="133">
        <v>0</v>
      </c>
      <c r="M231" s="194">
        <f>[2]!Table3[[#This Row],[CLM $ Collected ]]/'[2]1.) CLM Reference'!$B$4</f>
        <v>5.8796442280051022E-7</v>
      </c>
      <c r="N231" s="131">
        <v>0</v>
      </c>
      <c r="O231" s="195">
        <f>[2]!Table3[[#This Row],[Incentive Disbursements]]/'[2]1.) CLM Reference'!$B$5</f>
        <v>0</v>
      </c>
      <c r="P231" t="str">
        <f t="shared" si="3"/>
        <v>N/A</v>
      </c>
      <c r="Q231" t="str">
        <f>VLOOKUP(Table8[[#This Row],[Census Tract]],'UI EnergyBurden'!$A$2:$B$184,2,FALSE)</f>
        <v>No</v>
      </c>
      <c r="R231">
        <f>VLOOKUP(Table8[[#This Row],[Census Tract]],'Population and Diversity Data'!$B$2:$K$823,10,FALSE)</f>
        <v>5</v>
      </c>
    </row>
    <row r="232" spans="1:18" ht="17" thickBot="1" x14ac:dyDescent="0.25">
      <c r="A232" s="143">
        <v>9009154600</v>
      </c>
      <c r="B232" s="143" t="s">
        <v>3004</v>
      </c>
      <c r="C232" s="138" t="s">
        <v>3886</v>
      </c>
      <c r="D232" s="186">
        <f>[2]!Table3[[#This Row],[Residential CLM $ Collected]]+[2]!Table3[[#This Row],[C&amp;I CLM $ Collected]]</f>
        <v>148.47219340799688</v>
      </c>
      <c r="E232" s="193">
        <f>[2]!Table3[[#This Row],[CLM $ Collected ]]/'[2]1.) CLM Reference'!$B$4</f>
        <v>6.5884793858064141E-6</v>
      </c>
      <c r="F232" s="188">
        <f>[2]!Table3[[#This Row],[Residential Incentive Disbursements]]+[2]!Table3[[#This Row],[C&amp;I Incentive Disbursements]]</f>
        <v>0</v>
      </c>
      <c r="G232" s="193">
        <f>[2]!Table3[[#This Row],[Incentive Disbursements]]/'[2]1.) CLM Reference'!$B$5</f>
        <v>0</v>
      </c>
      <c r="H232" s="133">
        <v>148.47219340799688</v>
      </c>
      <c r="I232" s="132">
        <f>[2]!Table3[[#This Row],[CLM $ Collected ]]/'[2]1.) CLM Reference'!$B$4</f>
        <v>6.5884793858064141E-6</v>
      </c>
      <c r="J232" s="131">
        <v>0</v>
      </c>
      <c r="K232" s="132">
        <f>[2]!Table3[[#This Row],[Incentive Disbursements]]/'[2]1.) CLM Reference'!$B$5</f>
        <v>0</v>
      </c>
      <c r="L232" s="133">
        <v>0</v>
      </c>
      <c r="M232" s="194">
        <f>[2]!Table3[[#This Row],[CLM $ Collected ]]/'[2]1.) CLM Reference'!$B$4</f>
        <v>6.5884793858064141E-6</v>
      </c>
      <c r="N232" s="131">
        <v>0</v>
      </c>
      <c r="O232" s="195">
        <f>[2]!Table3[[#This Row],[Incentive Disbursements]]/'[2]1.) CLM Reference'!$B$5</f>
        <v>0</v>
      </c>
      <c r="P232" t="str">
        <f t="shared" si="3"/>
        <v>NO</v>
      </c>
      <c r="Q232" t="str">
        <f>VLOOKUP(Table8[[#This Row],[Census Tract]],'UI EnergyBurden'!$A$2:$B$184,2,FALSE)</f>
        <v>No</v>
      </c>
      <c r="R232">
        <f>VLOOKUP(Table8[[#This Row],[Census Tract]],'Population and Diversity Data'!$B$2:$K$823,10,FALSE)</f>
        <v>5</v>
      </c>
    </row>
    <row r="233" spans="1:18" ht="17" thickBot="1" x14ac:dyDescent="0.25">
      <c r="A233" s="143">
        <v>9009154600</v>
      </c>
      <c r="B233" s="143" t="s">
        <v>950</v>
      </c>
      <c r="C233" s="138" t="s">
        <v>3886</v>
      </c>
      <c r="D233" s="186">
        <f>[2]!Table3[[#This Row],[Residential CLM $ Collected]]+[2]!Table3[[#This Row],[C&amp;I CLM $ Collected]]</f>
        <v>91982.794238483722</v>
      </c>
      <c r="E233" s="193">
        <f>[2]!Table3[[#This Row],[CLM $ Collected ]]/'[2]1.) CLM Reference'!$B$4</f>
        <v>4.0817524802356812E-3</v>
      </c>
      <c r="F233" s="188">
        <f>[2]!Table3[[#This Row],[Residential Incentive Disbursements]]+[2]!Table3[[#This Row],[C&amp;I Incentive Disbursements]]</f>
        <v>321074.14</v>
      </c>
      <c r="G233" s="193">
        <f>[2]!Table3[[#This Row],[Incentive Disbursements]]/'[2]1.) CLM Reference'!$B$5</f>
        <v>9.9125786270690772E-3</v>
      </c>
      <c r="H233" s="133">
        <v>56425.384386124206</v>
      </c>
      <c r="I233" s="132">
        <f>[2]!Table3[[#This Row],[CLM $ Collected ]]/'[2]1.) CLM Reference'!$B$4</f>
        <v>4.0817524802356812E-3</v>
      </c>
      <c r="J233" s="131">
        <v>45866.709999999977</v>
      </c>
      <c r="K233" s="132">
        <f>[2]!Table3[[#This Row],[Incentive Disbursements]]/'[2]1.) CLM Reference'!$B$5</f>
        <v>9.9125786270690772E-3</v>
      </c>
      <c r="L233" s="133">
        <v>35557.409852359517</v>
      </c>
      <c r="M233" s="194">
        <f>[2]!Table3[[#This Row],[CLM $ Collected ]]/'[2]1.) CLM Reference'!$B$4</f>
        <v>4.0817524802356812E-3</v>
      </c>
      <c r="N233" s="131">
        <v>275207.43000000005</v>
      </c>
      <c r="O233" s="195">
        <f>[2]!Table3[[#This Row],[Incentive Disbursements]]/'[2]1.) CLM Reference'!$B$5</f>
        <v>9.9125786270690772E-3</v>
      </c>
      <c r="P233" t="str">
        <f t="shared" si="3"/>
        <v>YES</v>
      </c>
      <c r="Q233" t="str">
        <f>VLOOKUP(Table8[[#This Row],[Census Tract]],'UI EnergyBurden'!$A$2:$B$184,2,FALSE)</f>
        <v>No</v>
      </c>
      <c r="R233">
        <f>VLOOKUP(Table8[[#This Row],[Census Tract]],'Population and Diversity Data'!$B$2:$K$823,10,FALSE)</f>
        <v>5</v>
      </c>
    </row>
    <row r="234" spans="1:18" ht="17" thickBot="1" x14ac:dyDescent="0.25">
      <c r="A234" s="143">
        <v>9009154700</v>
      </c>
      <c r="B234" s="143" t="s">
        <v>3004</v>
      </c>
      <c r="C234" s="138" t="s">
        <v>3886</v>
      </c>
      <c r="D234" s="186">
        <f>[2]!Table3[[#This Row],[Residential CLM $ Collected]]+[2]!Table3[[#This Row],[C&amp;I CLM $ Collected]]</f>
        <v>259.73862168306323</v>
      </c>
      <c r="E234" s="193">
        <f>[2]!Table3[[#This Row],[CLM $ Collected ]]/'[2]1.) CLM Reference'!$B$4</f>
        <v>1.1525946477762896E-5</v>
      </c>
      <c r="F234" s="188">
        <f>[2]!Table3[[#This Row],[Residential Incentive Disbursements]]+[2]!Table3[[#This Row],[C&amp;I Incentive Disbursements]]</f>
        <v>0</v>
      </c>
      <c r="G234" s="193">
        <f>[2]!Table3[[#This Row],[Incentive Disbursements]]/'[2]1.) CLM Reference'!$B$5</f>
        <v>0</v>
      </c>
      <c r="H234" s="133">
        <v>259.73862168306323</v>
      </c>
      <c r="I234" s="132">
        <f>[2]!Table3[[#This Row],[CLM $ Collected ]]/'[2]1.) CLM Reference'!$B$4</f>
        <v>1.1525946477762896E-5</v>
      </c>
      <c r="J234" s="131">
        <v>0</v>
      </c>
      <c r="K234" s="132">
        <f>[2]!Table3[[#This Row],[Incentive Disbursements]]/'[2]1.) CLM Reference'!$B$5</f>
        <v>0</v>
      </c>
      <c r="L234" s="133">
        <v>0</v>
      </c>
      <c r="M234" s="194">
        <f>[2]!Table3[[#This Row],[CLM $ Collected ]]/'[2]1.) CLM Reference'!$B$4</f>
        <v>1.1525946477762896E-5</v>
      </c>
      <c r="N234" s="131">
        <v>0</v>
      </c>
      <c r="O234" s="195">
        <f>[2]!Table3[[#This Row],[Incentive Disbursements]]/'[2]1.) CLM Reference'!$B$5</f>
        <v>0</v>
      </c>
      <c r="P234" t="str">
        <f t="shared" si="3"/>
        <v>NO</v>
      </c>
      <c r="Q234" t="str">
        <f>VLOOKUP(Table8[[#This Row],[Census Tract]],'UI EnergyBurden'!$A$2:$B$184,2,FALSE)</f>
        <v>No</v>
      </c>
      <c r="R234">
        <f>VLOOKUP(Table8[[#This Row],[Census Tract]],'Population and Diversity Data'!$B$2:$K$823,10,FALSE)</f>
        <v>3</v>
      </c>
    </row>
    <row r="235" spans="1:18" ht="17" thickBot="1" x14ac:dyDescent="0.25">
      <c r="A235" s="143">
        <v>9009154700</v>
      </c>
      <c r="B235" s="143" t="s">
        <v>950</v>
      </c>
      <c r="C235" s="138" t="s">
        <v>3886</v>
      </c>
      <c r="D235" s="186">
        <f>[2]!Table3[[#This Row],[Residential CLM $ Collected]]+[2]!Table3[[#This Row],[C&amp;I CLM $ Collected]]</f>
        <v>99205.264713535245</v>
      </c>
      <c r="E235" s="193">
        <f>[2]!Table3[[#This Row],[CLM $ Collected ]]/'[2]1.) CLM Reference'!$B$4</f>
        <v>4.402250862775973E-3</v>
      </c>
      <c r="F235" s="188">
        <f>[2]!Table3[[#This Row],[Residential Incentive Disbursements]]+[2]!Table3[[#This Row],[C&amp;I Incentive Disbursements]]</f>
        <v>205025.13</v>
      </c>
      <c r="G235" s="193">
        <f>[2]!Table3[[#This Row],[Incentive Disbursements]]/'[2]1.) CLM Reference'!$B$5</f>
        <v>6.3297770466661032E-3</v>
      </c>
      <c r="H235" s="133">
        <v>82681.449905377303</v>
      </c>
      <c r="I235" s="132">
        <f>[2]!Table3[[#This Row],[CLM $ Collected ]]/'[2]1.) CLM Reference'!$B$4</f>
        <v>4.402250862775973E-3</v>
      </c>
      <c r="J235" s="131">
        <v>80348.11</v>
      </c>
      <c r="K235" s="132">
        <f>[2]!Table3[[#This Row],[Incentive Disbursements]]/'[2]1.) CLM Reference'!$B$5</f>
        <v>6.3297770466661032E-3</v>
      </c>
      <c r="L235" s="133">
        <v>16523.814808157946</v>
      </c>
      <c r="M235" s="194">
        <f>[2]!Table3[[#This Row],[CLM $ Collected ]]/'[2]1.) CLM Reference'!$B$4</f>
        <v>4.402250862775973E-3</v>
      </c>
      <c r="N235" s="131">
        <v>124677.02</v>
      </c>
      <c r="O235" s="195">
        <f>[2]!Table3[[#This Row],[Incentive Disbursements]]/'[2]1.) CLM Reference'!$B$5</f>
        <v>6.3297770466661032E-3</v>
      </c>
      <c r="P235" t="str">
        <f t="shared" si="3"/>
        <v>YES</v>
      </c>
      <c r="Q235" t="str">
        <f>VLOOKUP(Table8[[#This Row],[Census Tract]],'UI EnergyBurden'!$A$2:$B$184,2,FALSE)</f>
        <v>No</v>
      </c>
      <c r="R235">
        <f>VLOOKUP(Table8[[#This Row],[Census Tract]],'Population and Diversity Data'!$B$2:$K$823,10,FALSE)</f>
        <v>3</v>
      </c>
    </row>
    <row r="236" spans="1:18" ht="17" thickBot="1" x14ac:dyDescent="0.25">
      <c r="A236" s="143">
        <v>9009154800</v>
      </c>
      <c r="B236" s="143" t="s">
        <v>3880</v>
      </c>
      <c r="C236" s="138" t="s">
        <v>3886</v>
      </c>
      <c r="D236" s="186">
        <f>[2]!Table3[[#This Row],[Residential CLM $ Collected]]+[2]!Table3[[#This Row],[C&amp;I CLM $ Collected]]</f>
        <v>438.76395489125053</v>
      </c>
      <c r="E236" s="193">
        <f>[2]!Table3[[#This Row],[CLM $ Collected ]]/'[2]1.) CLM Reference'!$B$4</f>
        <v>1.9470226752103729E-5</v>
      </c>
      <c r="F236" s="188">
        <f>[2]!Table3[[#This Row],[Residential Incentive Disbursements]]+[2]!Table3[[#This Row],[C&amp;I Incentive Disbursements]]</f>
        <v>0</v>
      </c>
      <c r="G236" s="193">
        <f>[2]!Table3[[#This Row],[Incentive Disbursements]]/'[2]1.) CLM Reference'!$B$5</f>
        <v>0</v>
      </c>
      <c r="H236" s="133">
        <v>114.86743296593193</v>
      </c>
      <c r="I236" s="132">
        <f>[2]!Table3[[#This Row],[CLM $ Collected ]]/'[2]1.) CLM Reference'!$B$4</f>
        <v>1.9470226752103729E-5</v>
      </c>
      <c r="J236" s="131">
        <v>0</v>
      </c>
      <c r="K236" s="132">
        <f>[2]!Table3[[#This Row],[Incentive Disbursements]]/'[2]1.) CLM Reference'!$B$5</f>
        <v>0</v>
      </c>
      <c r="L236" s="133">
        <v>323.89652192531861</v>
      </c>
      <c r="M236" s="194">
        <f>[2]!Table3[[#This Row],[CLM $ Collected ]]/'[2]1.) CLM Reference'!$B$4</f>
        <v>1.9470226752103729E-5</v>
      </c>
      <c r="N236" s="131">
        <v>0</v>
      </c>
      <c r="O236" s="195">
        <f>[2]!Table3[[#This Row],[Incentive Disbursements]]/'[2]1.) CLM Reference'!$B$5</f>
        <v>0</v>
      </c>
      <c r="P236" t="str">
        <f t="shared" si="3"/>
        <v>NO</v>
      </c>
      <c r="Q236" t="str">
        <f>VLOOKUP(Table8[[#This Row],[Census Tract]],'UI EnergyBurden'!$A$2:$B$184,2,FALSE)</f>
        <v>No</v>
      </c>
      <c r="R236">
        <f>VLOOKUP(Table8[[#This Row],[Census Tract]],'Population and Diversity Data'!$B$2:$K$823,10,FALSE)</f>
        <v>2</v>
      </c>
    </row>
    <row r="237" spans="1:18" ht="17" thickBot="1" x14ac:dyDescent="0.25">
      <c r="A237" s="143">
        <v>9009154800</v>
      </c>
      <c r="B237" s="143" t="s">
        <v>3004</v>
      </c>
      <c r="C237" s="138" t="s">
        <v>3886</v>
      </c>
      <c r="D237" s="186">
        <f>[2]!Table3[[#This Row],[Residential CLM $ Collected]]+[2]!Table3[[#This Row],[C&amp;I CLM $ Collected]]</f>
        <v>93.030571186708499</v>
      </c>
      <c r="E237" s="193">
        <f>[2]!Table3[[#This Row],[CLM $ Collected ]]/'[2]1.) CLM Reference'!$B$4</f>
        <v>4.1282477644087397E-6</v>
      </c>
      <c r="F237" s="188">
        <f>[2]!Table3[[#This Row],[Residential Incentive Disbursements]]+[2]!Table3[[#This Row],[C&amp;I Incentive Disbursements]]</f>
        <v>0</v>
      </c>
      <c r="G237" s="193">
        <f>[2]!Table3[[#This Row],[Incentive Disbursements]]/'[2]1.) CLM Reference'!$B$5</f>
        <v>0</v>
      </c>
      <c r="H237" s="133">
        <v>93.030571186708499</v>
      </c>
      <c r="I237" s="132">
        <f>[2]!Table3[[#This Row],[CLM $ Collected ]]/'[2]1.) CLM Reference'!$B$4</f>
        <v>4.1282477644087397E-6</v>
      </c>
      <c r="J237" s="131">
        <v>0</v>
      </c>
      <c r="K237" s="132">
        <f>[2]!Table3[[#This Row],[Incentive Disbursements]]/'[2]1.) CLM Reference'!$B$5</f>
        <v>0</v>
      </c>
      <c r="L237" s="133">
        <v>0</v>
      </c>
      <c r="M237" s="194">
        <f>[2]!Table3[[#This Row],[CLM $ Collected ]]/'[2]1.) CLM Reference'!$B$4</f>
        <v>4.1282477644087397E-6</v>
      </c>
      <c r="N237" s="131">
        <v>0</v>
      </c>
      <c r="O237" s="195">
        <f>[2]!Table3[[#This Row],[Incentive Disbursements]]/'[2]1.) CLM Reference'!$B$5</f>
        <v>0</v>
      </c>
      <c r="P237" t="str">
        <f t="shared" si="3"/>
        <v>N/A</v>
      </c>
      <c r="Q237" t="str">
        <f>VLOOKUP(Table8[[#This Row],[Census Tract]],'UI EnergyBurden'!$A$2:$B$184,2,FALSE)</f>
        <v>No</v>
      </c>
      <c r="R237">
        <f>VLOOKUP(Table8[[#This Row],[Census Tract]],'Population and Diversity Data'!$B$2:$K$823,10,FALSE)</f>
        <v>2</v>
      </c>
    </row>
    <row r="238" spans="1:18" ht="17" thickBot="1" x14ac:dyDescent="0.25">
      <c r="A238" s="143">
        <v>9009154800</v>
      </c>
      <c r="B238" s="143" t="s">
        <v>950</v>
      </c>
      <c r="C238" s="138" t="s">
        <v>3886</v>
      </c>
      <c r="D238" s="186">
        <f>[2]!Table3[[#This Row],[Residential CLM $ Collected]]+[2]!Table3[[#This Row],[C&amp;I CLM $ Collected]]</f>
        <v>70645.087109486252</v>
      </c>
      <c r="E238" s="193">
        <f>[2]!Table3[[#This Row],[CLM $ Collected ]]/'[2]1.) CLM Reference'!$B$4</f>
        <v>3.13488801805685E-3</v>
      </c>
      <c r="F238" s="188">
        <f>[2]!Table3[[#This Row],[Residential Incentive Disbursements]]+[2]!Table3[[#This Row],[C&amp;I Incentive Disbursements]]</f>
        <v>75320.170000000013</v>
      </c>
      <c r="G238" s="193">
        <f>[2]!Table3[[#This Row],[Incentive Disbursements]]/'[2]1.) CLM Reference'!$B$5</f>
        <v>2.325372910223195E-3</v>
      </c>
      <c r="H238" s="133">
        <v>66179.250358709789</v>
      </c>
      <c r="I238" s="132">
        <f>[2]!Table3[[#This Row],[CLM $ Collected ]]/'[2]1.) CLM Reference'!$B$4</f>
        <v>3.13488801805685E-3</v>
      </c>
      <c r="J238" s="131">
        <v>75085.170000000013</v>
      </c>
      <c r="K238" s="132">
        <f>[2]!Table3[[#This Row],[Incentive Disbursements]]/'[2]1.) CLM Reference'!$B$5</f>
        <v>2.325372910223195E-3</v>
      </c>
      <c r="L238" s="133">
        <v>4465.836750776456</v>
      </c>
      <c r="M238" s="194">
        <f>[2]!Table3[[#This Row],[CLM $ Collected ]]/'[2]1.) CLM Reference'!$B$4</f>
        <v>3.13488801805685E-3</v>
      </c>
      <c r="N238" s="131">
        <v>235</v>
      </c>
      <c r="O238" s="195">
        <f>[2]!Table3[[#This Row],[Incentive Disbursements]]/'[2]1.) CLM Reference'!$B$5</f>
        <v>2.325372910223195E-3</v>
      </c>
      <c r="P238" t="str">
        <f t="shared" si="3"/>
        <v>NO</v>
      </c>
      <c r="Q238" t="str">
        <f>VLOOKUP(Table8[[#This Row],[Census Tract]],'UI EnergyBurden'!$A$2:$B$184,2,FALSE)</f>
        <v>No</v>
      </c>
      <c r="R238">
        <f>VLOOKUP(Table8[[#This Row],[Census Tract]],'Population and Diversity Data'!$B$2:$K$823,10,FALSE)</f>
        <v>2</v>
      </c>
    </row>
    <row r="239" spans="1:18" ht="17" thickBot="1" x14ac:dyDescent="0.25">
      <c r="A239" s="143">
        <v>9009154900</v>
      </c>
      <c r="B239" s="143" t="s">
        <v>3880</v>
      </c>
      <c r="C239" s="138" t="s">
        <v>3886</v>
      </c>
      <c r="D239" s="186">
        <f>[2]!Table3[[#This Row],[Residential CLM $ Collected]]+[2]!Table3[[#This Row],[C&amp;I CLM $ Collected]]</f>
        <v>502.21088754069399</v>
      </c>
      <c r="E239" s="193">
        <f>[2]!Table3[[#This Row],[CLM $ Collected ]]/'[2]1.) CLM Reference'!$B$4</f>
        <v>2.2285695415012234E-5</v>
      </c>
      <c r="F239" s="188">
        <f>[2]!Table3[[#This Row],[Residential Incentive Disbursements]]+[2]!Table3[[#This Row],[C&amp;I Incentive Disbursements]]</f>
        <v>0</v>
      </c>
      <c r="G239" s="193">
        <f>[2]!Table3[[#This Row],[Incentive Disbursements]]/'[2]1.) CLM Reference'!$B$5</f>
        <v>0</v>
      </c>
      <c r="H239" s="133">
        <v>42.884272530064763</v>
      </c>
      <c r="I239" s="132">
        <f>[2]!Table3[[#This Row],[CLM $ Collected ]]/'[2]1.) CLM Reference'!$B$4</f>
        <v>2.2285695415012234E-5</v>
      </c>
      <c r="J239" s="131">
        <v>0</v>
      </c>
      <c r="K239" s="132">
        <f>[2]!Table3[[#This Row],[Incentive Disbursements]]/'[2]1.) CLM Reference'!$B$5</f>
        <v>0</v>
      </c>
      <c r="L239" s="133">
        <v>459.32661501062921</v>
      </c>
      <c r="M239" s="194">
        <f>[2]!Table3[[#This Row],[CLM $ Collected ]]/'[2]1.) CLM Reference'!$B$4</f>
        <v>2.2285695415012234E-5</v>
      </c>
      <c r="N239" s="131">
        <v>0</v>
      </c>
      <c r="O239" s="195">
        <f>[2]!Table3[[#This Row],[Incentive Disbursements]]/'[2]1.) CLM Reference'!$B$5</f>
        <v>0</v>
      </c>
      <c r="P239" t="str">
        <f t="shared" si="3"/>
        <v>NO</v>
      </c>
      <c r="Q239" t="str">
        <f>VLOOKUP(Table8[[#This Row],[Census Tract]],'UI EnergyBurden'!$A$2:$B$184,2,FALSE)</f>
        <v>No</v>
      </c>
      <c r="R239">
        <f>VLOOKUP(Table8[[#This Row],[Census Tract]],'Population and Diversity Data'!$B$2:$K$823,10,FALSE)</f>
        <v>2</v>
      </c>
    </row>
    <row r="240" spans="1:18" ht="17" thickBot="1" x14ac:dyDescent="0.25">
      <c r="A240" s="143">
        <v>9009154900</v>
      </c>
      <c r="B240" s="143" t="s">
        <v>950</v>
      </c>
      <c r="C240" s="138" t="s">
        <v>3886</v>
      </c>
      <c r="D240" s="186">
        <f>[2]!Table3[[#This Row],[Residential CLM $ Collected]]+[2]!Table3[[#This Row],[C&amp;I CLM $ Collected]]</f>
        <v>55242.606695373201</v>
      </c>
      <c r="E240" s="193">
        <f>[2]!Table3[[#This Row],[CLM $ Collected ]]/'[2]1.) CLM Reference'!$B$4</f>
        <v>2.4514002728478193E-3</v>
      </c>
      <c r="F240" s="188">
        <f>[2]!Table3[[#This Row],[Residential Incentive Disbursements]]+[2]!Table3[[#This Row],[C&amp;I Incentive Disbursements]]</f>
        <v>71119.87000000001</v>
      </c>
      <c r="G240" s="193">
        <f>[2]!Table3[[#This Row],[Incentive Disbursements]]/'[2]1.) CLM Reference'!$B$5</f>
        <v>2.1956963065350929E-3</v>
      </c>
      <c r="H240" s="133">
        <v>45950.9342915327</v>
      </c>
      <c r="I240" s="132">
        <f>[2]!Table3[[#This Row],[CLM $ Collected ]]/'[2]1.) CLM Reference'!$B$4</f>
        <v>2.4514002728478193E-3</v>
      </c>
      <c r="J240" s="131">
        <v>63864.87000000001</v>
      </c>
      <c r="K240" s="132">
        <f>[2]!Table3[[#This Row],[Incentive Disbursements]]/'[2]1.) CLM Reference'!$B$5</f>
        <v>2.1956963065350929E-3</v>
      </c>
      <c r="L240" s="133">
        <v>9291.6724038404991</v>
      </c>
      <c r="M240" s="194">
        <f>[2]!Table3[[#This Row],[CLM $ Collected ]]/'[2]1.) CLM Reference'!$B$4</f>
        <v>2.4514002728478193E-3</v>
      </c>
      <c r="N240" s="131">
        <v>7255</v>
      </c>
      <c r="O240" s="195">
        <f>[2]!Table3[[#This Row],[Incentive Disbursements]]/'[2]1.) CLM Reference'!$B$5</f>
        <v>2.1956963065350929E-3</v>
      </c>
      <c r="P240" t="str">
        <f t="shared" si="3"/>
        <v>NO</v>
      </c>
      <c r="Q240" t="str">
        <f>VLOOKUP(Table8[[#This Row],[Census Tract]],'UI EnergyBurden'!$A$2:$B$184,2,FALSE)</f>
        <v>No</v>
      </c>
      <c r="R240">
        <f>VLOOKUP(Table8[[#This Row],[Census Tract]],'Population and Diversity Data'!$B$2:$K$823,10,FALSE)</f>
        <v>2</v>
      </c>
    </row>
    <row r="241" spans="1:18" ht="17" thickBot="1" x14ac:dyDescent="0.25">
      <c r="A241" s="143">
        <v>9009155000</v>
      </c>
      <c r="B241" s="143" t="s">
        <v>3880</v>
      </c>
      <c r="C241" s="138" t="s">
        <v>3886</v>
      </c>
      <c r="D241" s="186">
        <f>[2]!Table3[[#This Row],[Residential CLM $ Collected]]+[2]!Table3[[#This Row],[C&amp;I CLM $ Collected]]</f>
        <v>299.0911396124713</v>
      </c>
      <c r="E241" s="193">
        <f>[2]!Table3[[#This Row],[CLM $ Collected ]]/'[2]1.) CLM Reference'!$B$4</f>
        <v>1.3272221300045662E-5</v>
      </c>
      <c r="F241" s="188">
        <f>[2]!Table3[[#This Row],[Residential Incentive Disbursements]]+[2]!Table3[[#This Row],[C&amp;I Incentive Disbursements]]</f>
        <v>0</v>
      </c>
      <c r="G241" s="193">
        <f>[2]!Table3[[#This Row],[Incentive Disbursements]]/'[2]1.) CLM Reference'!$B$5</f>
        <v>0</v>
      </c>
      <c r="H241" s="133">
        <v>157.88097233105336</v>
      </c>
      <c r="I241" s="132">
        <f>[2]!Table3[[#This Row],[CLM $ Collected ]]/'[2]1.) CLM Reference'!$B$4</f>
        <v>1.3272221300045662E-5</v>
      </c>
      <c r="J241" s="131">
        <v>0</v>
      </c>
      <c r="K241" s="132">
        <f>[2]!Table3[[#This Row],[Incentive Disbursements]]/'[2]1.) CLM Reference'!$B$5</f>
        <v>0</v>
      </c>
      <c r="L241" s="133">
        <v>141.21016728141794</v>
      </c>
      <c r="M241" s="194">
        <f>[2]!Table3[[#This Row],[CLM $ Collected ]]/'[2]1.) CLM Reference'!$B$4</f>
        <v>1.3272221300045662E-5</v>
      </c>
      <c r="N241" s="131">
        <v>0</v>
      </c>
      <c r="O241" s="195">
        <f>[2]!Table3[[#This Row],[Incentive Disbursements]]/'[2]1.) CLM Reference'!$B$5</f>
        <v>0</v>
      </c>
      <c r="P241" t="str">
        <f t="shared" si="3"/>
        <v>NO</v>
      </c>
      <c r="Q241" t="str">
        <f>VLOOKUP(Table8[[#This Row],[Census Tract]],'UI EnergyBurden'!$A$2:$B$184,2,FALSE)</f>
        <v>No</v>
      </c>
      <c r="R241">
        <f>VLOOKUP(Table8[[#This Row],[Census Tract]],'Population and Diversity Data'!$B$2:$K$823,10,FALSE)</f>
        <v>5</v>
      </c>
    </row>
    <row r="242" spans="1:18" ht="17" thickBot="1" x14ac:dyDescent="0.25">
      <c r="A242" s="143">
        <v>9009155000</v>
      </c>
      <c r="B242" s="143" t="s">
        <v>3004</v>
      </c>
      <c r="C242" s="138" t="s">
        <v>3886</v>
      </c>
      <c r="D242" s="186">
        <f>[2]!Table3[[#This Row],[Residential CLM $ Collected]]+[2]!Table3[[#This Row],[C&amp;I CLM $ Collected]]</f>
        <v>862.66222375097891</v>
      </c>
      <c r="E242" s="193">
        <f>[2]!Table3[[#This Row],[CLM $ Collected ]]/'[2]1.) CLM Reference'!$B$4</f>
        <v>3.8280786103016638E-5</v>
      </c>
      <c r="F242" s="188">
        <f>[2]!Table3[[#This Row],[Residential Incentive Disbursements]]+[2]!Table3[[#This Row],[C&amp;I Incentive Disbursements]]</f>
        <v>0</v>
      </c>
      <c r="G242" s="193">
        <f>[2]!Table3[[#This Row],[Incentive Disbursements]]/'[2]1.) CLM Reference'!$B$5</f>
        <v>0</v>
      </c>
      <c r="H242" s="133">
        <v>491.95264084440754</v>
      </c>
      <c r="I242" s="132">
        <f>[2]!Table3[[#This Row],[CLM $ Collected ]]/'[2]1.) CLM Reference'!$B$4</f>
        <v>3.8280786103016638E-5</v>
      </c>
      <c r="J242" s="131">
        <v>0</v>
      </c>
      <c r="K242" s="132">
        <f>[2]!Table3[[#This Row],[Incentive Disbursements]]/'[2]1.) CLM Reference'!$B$5</f>
        <v>0</v>
      </c>
      <c r="L242" s="133">
        <v>370.70958290657137</v>
      </c>
      <c r="M242" s="194">
        <f>[2]!Table3[[#This Row],[CLM $ Collected ]]/'[2]1.) CLM Reference'!$B$4</f>
        <v>3.8280786103016638E-5</v>
      </c>
      <c r="N242" s="131">
        <v>0</v>
      </c>
      <c r="O242" s="195">
        <f>[2]!Table3[[#This Row],[Incentive Disbursements]]/'[2]1.) CLM Reference'!$B$5</f>
        <v>0</v>
      </c>
      <c r="P242" t="str">
        <f t="shared" si="3"/>
        <v>NO</v>
      </c>
      <c r="Q242" t="str">
        <f>VLOOKUP(Table8[[#This Row],[Census Tract]],'UI EnergyBurden'!$A$2:$B$184,2,FALSE)</f>
        <v>No</v>
      </c>
      <c r="R242">
        <f>VLOOKUP(Table8[[#This Row],[Census Tract]],'Population and Diversity Data'!$B$2:$K$823,10,FALSE)</f>
        <v>5</v>
      </c>
    </row>
    <row r="243" spans="1:18" ht="17" thickBot="1" x14ac:dyDescent="0.25">
      <c r="A243" s="143">
        <v>9009155000</v>
      </c>
      <c r="B243" s="143" t="s">
        <v>950</v>
      </c>
      <c r="C243" s="138" t="s">
        <v>3886</v>
      </c>
      <c r="D243" s="186">
        <f>[2]!Table3[[#This Row],[Residential CLM $ Collected]]+[2]!Table3[[#This Row],[C&amp;I CLM $ Collected]]</f>
        <v>66925.240030476882</v>
      </c>
      <c r="E243" s="193">
        <f>[2]!Table3[[#This Row],[CLM $ Collected ]]/'[2]1.) CLM Reference'!$B$4</f>
        <v>2.9698191574449649E-3</v>
      </c>
      <c r="F243" s="188">
        <f>[2]!Table3[[#This Row],[Residential Incentive Disbursements]]+[2]!Table3[[#This Row],[C&amp;I Incentive Disbursements]]</f>
        <v>62173.410000000018</v>
      </c>
      <c r="G243" s="193">
        <f>[2]!Table3[[#This Row],[Incentive Disbursements]]/'[2]1.) CLM Reference'!$B$5</f>
        <v>1.9194906669780475E-3</v>
      </c>
      <c r="H243" s="133">
        <v>56068.769504911463</v>
      </c>
      <c r="I243" s="132">
        <f>[2]!Table3[[#This Row],[CLM $ Collected ]]/'[2]1.) CLM Reference'!$B$4</f>
        <v>2.9698191574449649E-3</v>
      </c>
      <c r="J243" s="131">
        <v>53775.530000000013</v>
      </c>
      <c r="K243" s="132">
        <f>[2]!Table3[[#This Row],[Incentive Disbursements]]/'[2]1.) CLM Reference'!$B$5</f>
        <v>1.9194906669780475E-3</v>
      </c>
      <c r="L243" s="133">
        <v>10856.470525565421</v>
      </c>
      <c r="M243" s="194">
        <f>[2]!Table3[[#This Row],[CLM $ Collected ]]/'[2]1.) CLM Reference'!$B$4</f>
        <v>2.9698191574449649E-3</v>
      </c>
      <c r="N243" s="131">
        <v>8397.880000000001</v>
      </c>
      <c r="O243" s="195">
        <f>[2]!Table3[[#This Row],[Incentive Disbursements]]/'[2]1.) CLM Reference'!$B$5</f>
        <v>1.9194906669780475E-3</v>
      </c>
      <c r="P243" t="str">
        <f t="shared" si="3"/>
        <v>NO</v>
      </c>
      <c r="Q243" t="str">
        <f>VLOOKUP(Table8[[#This Row],[Census Tract]],'UI EnergyBurden'!$A$2:$B$184,2,FALSE)</f>
        <v>No</v>
      </c>
      <c r="R243">
        <f>VLOOKUP(Table8[[#This Row],[Census Tract]],'Population and Diversity Data'!$B$2:$K$823,10,FALSE)</f>
        <v>5</v>
      </c>
    </row>
    <row r="244" spans="1:18" ht="17" thickBot="1" x14ac:dyDescent="0.25">
      <c r="A244" s="143">
        <v>9009155100</v>
      </c>
      <c r="B244" s="143" t="s">
        <v>3880</v>
      </c>
      <c r="C244" s="138" t="s">
        <v>3887</v>
      </c>
      <c r="D244" s="186">
        <f>[2]!Table3[[#This Row],[Residential CLM $ Collected]]+[2]!Table3[[#This Row],[C&amp;I CLM $ Collected]]</f>
        <v>639.85698351269116</v>
      </c>
      <c r="E244" s="193">
        <f>[2]!Table3[[#This Row],[CLM $ Collected ]]/'[2]1.) CLM Reference'!$B$4</f>
        <v>2.83937648456036E-5</v>
      </c>
      <c r="F244" s="188">
        <f>[2]!Table3[[#This Row],[Residential Incentive Disbursements]]+[2]!Table3[[#This Row],[C&amp;I Incentive Disbursements]]</f>
        <v>0</v>
      </c>
      <c r="G244" s="193">
        <f>[2]!Table3[[#This Row],[Incentive Disbursements]]/'[2]1.) CLM Reference'!$B$5</f>
        <v>0</v>
      </c>
      <c r="H244" s="133">
        <v>80.616338348583383</v>
      </c>
      <c r="I244" s="132">
        <f>[2]!Table3[[#This Row],[CLM $ Collected ]]/'[2]1.) CLM Reference'!$B$4</f>
        <v>2.83937648456036E-5</v>
      </c>
      <c r="J244" s="131">
        <v>0</v>
      </c>
      <c r="K244" s="132">
        <f>[2]!Table3[[#This Row],[Incentive Disbursements]]/'[2]1.) CLM Reference'!$B$5</f>
        <v>0</v>
      </c>
      <c r="L244" s="133">
        <v>559.24064516410772</v>
      </c>
      <c r="M244" s="194">
        <f>[2]!Table3[[#This Row],[CLM $ Collected ]]/'[2]1.) CLM Reference'!$B$4</f>
        <v>2.83937648456036E-5</v>
      </c>
      <c r="N244" s="131">
        <v>0</v>
      </c>
      <c r="O244" s="195">
        <f>[2]!Table3[[#This Row],[Incentive Disbursements]]/'[2]1.) CLM Reference'!$B$5</f>
        <v>0</v>
      </c>
      <c r="P244" t="str">
        <f t="shared" si="3"/>
        <v>NO</v>
      </c>
      <c r="Q244" t="str">
        <f>VLOOKUP(Table8[[#This Row],[Census Tract]],'UI EnergyBurden'!$A$2:$B$184,2,FALSE)</f>
        <v>No</v>
      </c>
      <c r="R244">
        <f>VLOOKUP(Table8[[#This Row],[Census Tract]],'Population and Diversity Data'!$B$2:$K$823,10,FALSE)</f>
        <v>4</v>
      </c>
    </row>
    <row r="245" spans="1:18" ht="17" thickBot="1" x14ac:dyDescent="0.25">
      <c r="A245" s="143">
        <v>9009155100</v>
      </c>
      <c r="B245" s="143" t="s">
        <v>3004</v>
      </c>
      <c r="C245" s="138" t="s">
        <v>3887</v>
      </c>
      <c r="D245" s="186">
        <f>[2]!Table3[[#This Row],[Residential CLM $ Collected]]+[2]!Table3[[#This Row],[C&amp;I CLM $ Collected]]</f>
        <v>1881.9173681551247</v>
      </c>
      <c r="E245" s="193">
        <f>[2]!Table3[[#This Row],[CLM $ Collected ]]/'[2]1.) CLM Reference'!$B$4</f>
        <v>8.3510410274664114E-5</v>
      </c>
      <c r="F245" s="188">
        <f>[2]!Table3[[#This Row],[Residential Incentive Disbursements]]+[2]!Table3[[#This Row],[C&amp;I Incentive Disbursements]]</f>
        <v>0</v>
      </c>
      <c r="G245" s="193">
        <f>[2]!Table3[[#This Row],[Incentive Disbursements]]/'[2]1.) CLM Reference'!$B$5</f>
        <v>0</v>
      </c>
      <c r="H245" s="133">
        <v>224.89659296259825</v>
      </c>
      <c r="I245" s="132">
        <f>[2]!Table3[[#This Row],[CLM $ Collected ]]/'[2]1.) CLM Reference'!$B$4</f>
        <v>8.3510410274664114E-5</v>
      </c>
      <c r="J245" s="131">
        <v>0</v>
      </c>
      <c r="K245" s="132">
        <f>[2]!Table3[[#This Row],[Incentive Disbursements]]/'[2]1.) CLM Reference'!$B$5</f>
        <v>0</v>
      </c>
      <c r="L245" s="133">
        <v>1657.0207751925263</v>
      </c>
      <c r="M245" s="194">
        <f>[2]!Table3[[#This Row],[CLM $ Collected ]]/'[2]1.) CLM Reference'!$B$4</f>
        <v>8.3510410274664114E-5</v>
      </c>
      <c r="N245" s="131">
        <v>0</v>
      </c>
      <c r="O245" s="195">
        <f>[2]!Table3[[#This Row],[Incentive Disbursements]]/'[2]1.) CLM Reference'!$B$5</f>
        <v>0</v>
      </c>
      <c r="P245" t="str">
        <f t="shared" si="3"/>
        <v>NO</v>
      </c>
      <c r="Q245" t="str">
        <f>VLOOKUP(Table8[[#This Row],[Census Tract]],'UI EnergyBurden'!$A$2:$B$184,2,FALSE)</f>
        <v>No</v>
      </c>
      <c r="R245">
        <f>VLOOKUP(Table8[[#This Row],[Census Tract]],'Population and Diversity Data'!$B$2:$K$823,10,FALSE)</f>
        <v>4</v>
      </c>
    </row>
    <row r="246" spans="1:18" ht="17" thickBot="1" x14ac:dyDescent="0.25">
      <c r="A246" s="143">
        <v>9009155100</v>
      </c>
      <c r="B246" s="143" t="s">
        <v>950</v>
      </c>
      <c r="C246" s="138" t="s">
        <v>3887</v>
      </c>
      <c r="D246" s="186">
        <f>[2]!Table3[[#This Row],[Residential CLM $ Collected]]+[2]!Table3[[#This Row],[C&amp;I CLM $ Collected]]</f>
        <v>50001.750635014228</v>
      </c>
      <c r="E246" s="193">
        <f>[2]!Table3[[#This Row],[CLM $ Collected ]]/'[2]1.) CLM Reference'!$B$4</f>
        <v>2.2188363743488701E-3</v>
      </c>
      <c r="F246" s="188">
        <f>[2]!Table3[[#This Row],[Residential Incentive Disbursements]]+[2]!Table3[[#This Row],[C&amp;I Incentive Disbursements]]</f>
        <v>10574.18</v>
      </c>
      <c r="G246" s="193">
        <f>[2]!Table3[[#This Row],[Incentive Disbursements]]/'[2]1.) CLM Reference'!$B$5</f>
        <v>3.264585265782579E-4</v>
      </c>
      <c r="H246" s="133">
        <v>39610.409882018947</v>
      </c>
      <c r="I246" s="132">
        <f>[2]!Table3[[#This Row],[CLM $ Collected ]]/'[2]1.) CLM Reference'!$B$4</f>
        <v>2.2188363743488701E-3</v>
      </c>
      <c r="J246" s="131">
        <v>5669.18</v>
      </c>
      <c r="K246" s="132">
        <f>[2]!Table3[[#This Row],[Incentive Disbursements]]/'[2]1.) CLM Reference'!$B$5</f>
        <v>3.264585265782579E-4</v>
      </c>
      <c r="L246" s="133">
        <v>10391.34075299528</v>
      </c>
      <c r="M246" s="194">
        <f>[2]!Table3[[#This Row],[CLM $ Collected ]]/'[2]1.) CLM Reference'!$B$4</f>
        <v>2.2188363743488701E-3</v>
      </c>
      <c r="N246" s="131">
        <v>4905</v>
      </c>
      <c r="O246" s="195">
        <f>[2]!Table3[[#This Row],[Incentive Disbursements]]/'[2]1.) CLM Reference'!$B$5</f>
        <v>3.264585265782579E-4</v>
      </c>
      <c r="P246" t="str">
        <f t="shared" si="3"/>
        <v>NO</v>
      </c>
      <c r="Q246" t="str">
        <f>VLOOKUP(Table8[[#This Row],[Census Tract]],'UI EnergyBurden'!$A$2:$B$184,2,FALSE)</f>
        <v>No</v>
      </c>
      <c r="R246">
        <f>VLOOKUP(Table8[[#This Row],[Census Tract]],'Population and Diversity Data'!$B$2:$K$823,10,FALSE)</f>
        <v>4</v>
      </c>
    </row>
    <row r="247" spans="1:18" ht="17" thickBot="1" x14ac:dyDescent="0.25">
      <c r="A247" s="143">
        <v>9009157100</v>
      </c>
      <c r="B247" s="143" t="s">
        <v>2988</v>
      </c>
      <c r="C247" s="138" t="s">
        <v>3886</v>
      </c>
      <c r="D247" s="186">
        <f>[2]!Table3[[#This Row],[Residential CLM $ Collected]]+[2]!Table3[[#This Row],[C&amp;I CLM $ Collected]]</f>
        <v>78.741969240261028</v>
      </c>
      <c r="E247" s="193">
        <f>[2]!Table3[[#This Row],[CLM $ Collected ]]/'[2]1.) CLM Reference'!$B$4</f>
        <v>3.4941885697858893E-6</v>
      </c>
      <c r="F247" s="188">
        <f>[2]!Table3[[#This Row],[Residential Incentive Disbursements]]+[2]!Table3[[#This Row],[C&amp;I Incentive Disbursements]]</f>
        <v>0</v>
      </c>
      <c r="G247" s="193">
        <f>[2]!Table3[[#This Row],[Incentive Disbursements]]/'[2]1.) CLM Reference'!$B$5</f>
        <v>0</v>
      </c>
      <c r="H247" s="133">
        <v>78.741969240261028</v>
      </c>
      <c r="I247" s="132">
        <f>[2]!Table3[[#This Row],[CLM $ Collected ]]/'[2]1.) CLM Reference'!$B$4</f>
        <v>3.4941885697858893E-6</v>
      </c>
      <c r="J247" s="131">
        <v>0</v>
      </c>
      <c r="K247" s="132">
        <f>[2]!Table3[[#This Row],[Incentive Disbursements]]/'[2]1.) CLM Reference'!$B$5</f>
        <v>0</v>
      </c>
      <c r="L247" s="133">
        <v>0</v>
      </c>
      <c r="M247" s="194">
        <f>[2]!Table3[[#This Row],[CLM $ Collected ]]/'[2]1.) CLM Reference'!$B$4</f>
        <v>3.4941885697858893E-6</v>
      </c>
      <c r="N247" s="131">
        <v>0</v>
      </c>
      <c r="O247" s="195">
        <f>[2]!Table3[[#This Row],[Incentive Disbursements]]/'[2]1.) CLM Reference'!$B$5</f>
        <v>0</v>
      </c>
      <c r="P247" t="str">
        <f t="shared" si="3"/>
        <v>N/A</v>
      </c>
      <c r="Q247" t="str">
        <f>VLOOKUP(Table8[[#This Row],[Census Tract]],'UI EnergyBurden'!$A$2:$B$184,2,FALSE)</f>
        <v>No</v>
      </c>
      <c r="R247">
        <f>VLOOKUP(Table8[[#This Row],[Census Tract]],'Population and Diversity Data'!$B$2:$K$823,10,FALSE)</f>
        <v>5</v>
      </c>
    </row>
    <row r="248" spans="1:18" ht="17" thickBot="1" x14ac:dyDescent="0.25">
      <c r="A248" s="143">
        <v>9009157100</v>
      </c>
      <c r="B248" s="143" t="s">
        <v>2992</v>
      </c>
      <c r="C248" s="138" t="s">
        <v>3886</v>
      </c>
      <c r="D248" s="186">
        <f>[2]!Table3[[#This Row],[Residential CLM $ Collected]]+[2]!Table3[[#This Row],[C&amp;I CLM $ Collected]]</f>
        <v>153292.15665341125</v>
      </c>
      <c r="E248" s="193">
        <f>[2]!Table3[[#This Row],[CLM $ Collected ]]/'[2]1.) CLM Reference'!$B$4</f>
        <v>6.8023660924942586E-3</v>
      </c>
      <c r="F248" s="188">
        <f>[2]!Table3[[#This Row],[Residential Incentive Disbursements]]+[2]!Table3[[#This Row],[C&amp;I Incentive Disbursements]]</f>
        <v>546733.84</v>
      </c>
      <c r="G248" s="193">
        <f>[2]!Table3[[#This Row],[Incentive Disbursements]]/'[2]1.) CLM Reference'!$B$5</f>
        <v>1.6879410397484532E-2</v>
      </c>
      <c r="H248" s="133">
        <v>44807.287518422621</v>
      </c>
      <c r="I248" s="132">
        <f>[2]!Table3[[#This Row],[CLM $ Collected ]]/'[2]1.) CLM Reference'!$B$4</f>
        <v>6.8023660924942586E-3</v>
      </c>
      <c r="J248" s="131">
        <v>209049.23</v>
      </c>
      <c r="K248" s="132">
        <f>[2]!Table3[[#This Row],[Incentive Disbursements]]/'[2]1.) CLM Reference'!$B$5</f>
        <v>1.6879410397484532E-2</v>
      </c>
      <c r="L248" s="133">
        <v>108484.86913498864</v>
      </c>
      <c r="M248" s="194">
        <f>[2]!Table3[[#This Row],[CLM $ Collected ]]/'[2]1.) CLM Reference'!$B$4</f>
        <v>6.8023660924942586E-3</v>
      </c>
      <c r="N248" s="131">
        <v>337684.61</v>
      </c>
      <c r="O248" s="195">
        <f>[2]!Table3[[#This Row],[Incentive Disbursements]]/'[2]1.) CLM Reference'!$B$5</f>
        <v>1.6879410397484532E-2</v>
      </c>
      <c r="P248" t="str">
        <f t="shared" si="3"/>
        <v>YES</v>
      </c>
      <c r="Q248" t="str">
        <f>VLOOKUP(Table8[[#This Row],[Census Tract]],'UI EnergyBurden'!$A$2:$B$184,2,FALSE)</f>
        <v>No</v>
      </c>
      <c r="R248">
        <f>VLOOKUP(Table8[[#This Row],[Census Tract]],'Population and Diversity Data'!$B$2:$K$823,10,FALSE)</f>
        <v>5</v>
      </c>
    </row>
    <row r="249" spans="1:18" ht="17" thickBot="1" x14ac:dyDescent="0.25">
      <c r="A249" s="143">
        <v>9009157100</v>
      </c>
      <c r="B249" s="143" t="s">
        <v>950</v>
      </c>
      <c r="C249" s="138" t="s">
        <v>3886</v>
      </c>
      <c r="D249" s="186">
        <f>[2]!Table3[[#This Row],[Residential CLM $ Collected]]+[2]!Table3[[#This Row],[C&amp;I CLM $ Collected]]</f>
        <v>7.5482598327759618</v>
      </c>
      <c r="E249" s="193">
        <f>[2]!Table3[[#This Row],[CLM $ Collected ]]/'[2]1.) CLM Reference'!$B$4</f>
        <v>3.3495534190900152E-7</v>
      </c>
      <c r="F249" s="188">
        <f>[2]!Table3[[#This Row],[Residential Incentive Disbursements]]+[2]!Table3[[#This Row],[C&amp;I Incentive Disbursements]]</f>
        <v>0</v>
      </c>
      <c r="G249" s="193">
        <f>[2]!Table3[[#This Row],[Incentive Disbursements]]/'[2]1.) CLM Reference'!$B$5</f>
        <v>0</v>
      </c>
      <c r="H249" s="133">
        <v>0</v>
      </c>
      <c r="I249" s="132">
        <f>[2]!Table3[[#This Row],[CLM $ Collected ]]/'[2]1.) CLM Reference'!$B$4</f>
        <v>3.3495534190900152E-7</v>
      </c>
      <c r="J249" s="131">
        <v>0</v>
      </c>
      <c r="K249" s="132">
        <f>[2]!Table3[[#This Row],[Incentive Disbursements]]/'[2]1.) CLM Reference'!$B$5</f>
        <v>0</v>
      </c>
      <c r="L249" s="133">
        <v>7.5482598327759618</v>
      </c>
      <c r="M249" s="194">
        <f>[2]!Table3[[#This Row],[CLM $ Collected ]]/'[2]1.) CLM Reference'!$B$4</f>
        <v>3.3495534190900152E-7</v>
      </c>
      <c r="N249" s="131">
        <v>0</v>
      </c>
      <c r="O249" s="195">
        <f>[2]!Table3[[#This Row],[Incentive Disbursements]]/'[2]1.) CLM Reference'!$B$5</f>
        <v>0</v>
      </c>
      <c r="P249" t="str">
        <f t="shared" si="3"/>
        <v>N/A</v>
      </c>
      <c r="Q249" t="str">
        <f>VLOOKUP(Table8[[#This Row],[Census Tract]],'UI EnergyBurden'!$A$2:$B$184,2,FALSE)</f>
        <v>No</v>
      </c>
      <c r="R249">
        <f>VLOOKUP(Table8[[#This Row],[Census Tract]],'Population and Diversity Data'!$B$2:$K$823,10,FALSE)</f>
        <v>5</v>
      </c>
    </row>
    <row r="250" spans="1:18" ht="17" thickBot="1" x14ac:dyDescent="0.25">
      <c r="A250" s="143">
        <v>9009157200</v>
      </c>
      <c r="B250" s="143" t="s">
        <v>2988</v>
      </c>
      <c r="C250" s="138" t="s">
        <v>3886</v>
      </c>
      <c r="D250" s="186">
        <f>[2]!Table3[[#This Row],[Residential CLM $ Collected]]+[2]!Table3[[#This Row],[C&amp;I CLM $ Collected]]</f>
        <v>61.378663288536025</v>
      </c>
      <c r="E250" s="193">
        <f>[2]!Table3[[#This Row],[CLM $ Collected ]]/'[2]1.) CLM Reference'!$B$4</f>
        <v>2.7236888505689142E-6</v>
      </c>
      <c r="F250" s="188">
        <f>[2]!Table3[[#This Row],[Residential Incentive Disbursements]]+[2]!Table3[[#This Row],[C&amp;I Incentive Disbursements]]</f>
        <v>0</v>
      </c>
      <c r="G250" s="193">
        <f>[2]!Table3[[#This Row],[Incentive Disbursements]]/'[2]1.) CLM Reference'!$B$5</f>
        <v>0</v>
      </c>
      <c r="H250" s="133">
        <v>61.378663288536025</v>
      </c>
      <c r="I250" s="132">
        <f>[2]!Table3[[#This Row],[CLM $ Collected ]]/'[2]1.) CLM Reference'!$B$4</f>
        <v>2.7236888505689142E-6</v>
      </c>
      <c r="J250" s="131">
        <v>0</v>
      </c>
      <c r="K250" s="132">
        <f>[2]!Table3[[#This Row],[Incentive Disbursements]]/'[2]1.) CLM Reference'!$B$5</f>
        <v>0</v>
      </c>
      <c r="L250" s="133">
        <v>0</v>
      </c>
      <c r="M250" s="194">
        <f>[2]!Table3[[#This Row],[CLM $ Collected ]]/'[2]1.) CLM Reference'!$B$4</f>
        <v>2.7236888505689142E-6</v>
      </c>
      <c r="N250" s="131">
        <v>0</v>
      </c>
      <c r="O250" s="195">
        <f>[2]!Table3[[#This Row],[Incentive Disbursements]]/'[2]1.) CLM Reference'!$B$5</f>
        <v>0</v>
      </c>
      <c r="P250" t="str">
        <f t="shared" si="3"/>
        <v>N/A</v>
      </c>
      <c r="Q250" t="str">
        <f>VLOOKUP(Table8[[#This Row],[Census Tract]],'UI EnergyBurden'!$A$2:$B$184,2,FALSE)</f>
        <v>No</v>
      </c>
      <c r="R250">
        <f>VLOOKUP(Table8[[#This Row],[Census Tract]],'Population and Diversity Data'!$B$2:$K$823,10,FALSE)</f>
        <v>2</v>
      </c>
    </row>
    <row r="251" spans="1:18" ht="17" thickBot="1" x14ac:dyDescent="0.25">
      <c r="A251" s="143">
        <v>9009157200</v>
      </c>
      <c r="B251" s="143" t="s">
        <v>2992</v>
      </c>
      <c r="C251" s="138" t="s">
        <v>3886</v>
      </c>
      <c r="D251" s="186">
        <f>[2]!Table3[[#This Row],[Residential CLM $ Collected]]+[2]!Table3[[#This Row],[C&amp;I CLM $ Collected]]</f>
        <v>74090.800781394719</v>
      </c>
      <c r="E251" s="193">
        <f>[2]!Table3[[#This Row],[CLM $ Collected ]]/'[2]1.) CLM Reference'!$B$4</f>
        <v>3.287792161086352E-3</v>
      </c>
      <c r="F251" s="188">
        <f>[2]!Table3[[#This Row],[Residential Incentive Disbursements]]+[2]!Table3[[#This Row],[C&amp;I Incentive Disbursements]]</f>
        <v>144786.07</v>
      </c>
      <c r="G251" s="193">
        <f>[2]!Table3[[#This Row],[Incentive Disbursements]]/'[2]1.) CLM Reference'!$B$5</f>
        <v>4.4700059088512304E-3</v>
      </c>
      <c r="H251" s="133">
        <v>61005.770019451549</v>
      </c>
      <c r="I251" s="132">
        <f>[2]!Table3[[#This Row],[CLM $ Collected ]]/'[2]1.) CLM Reference'!$B$4</f>
        <v>3.287792161086352E-3</v>
      </c>
      <c r="J251" s="131">
        <v>103429.07000000002</v>
      </c>
      <c r="K251" s="132">
        <f>[2]!Table3[[#This Row],[Incentive Disbursements]]/'[2]1.) CLM Reference'!$B$5</f>
        <v>4.4700059088512304E-3</v>
      </c>
      <c r="L251" s="133">
        <v>13085.030761943168</v>
      </c>
      <c r="M251" s="194">
        <f>[2]!Table3[[#This Row],[CLM $ Collected ]]/'[2]1.) CLM Reference'!$B$4</f>
        <v>3.287792161086352E-3</v>
      </c>
      <c r="N251" s="131">
        <v>41357</v>
      </c>
      <c r="O251" s="195">
        <f>[2]!Table3[[#This Row],[Incentive Disbursements]]/'[2]1.) CLM Reference'!$B$5</f>
        <v>4.4700059088512304E-3</v>
      </c>
      <c r="P251" t="str">
        <f t="shared" si="3"/>
        <v>YES</v>
      </c>
      <c r="Q251" t="str">
        <f>VLOOKUP(Table8[[#This Row],[Census Tract]],'UI EnergyBurden'!$A$2:$B$184,2,FALSE)</f>
        <v>No</v>
      </c>
      <c r="R251">
        <f>VLOOKUP(Table8[[#This Row],[Census Tract]],'Population and Diversity Data'!$B$2:$K$823,10,FALSE)</f>
        <v>2</v>
      </c>
    </row>
    <row r="252" spans="1:18" ht="17" thickBot="1" x14ac:dyDescent="0.25">
      <c r="A252" s="143">
        <v>9009157300</v>
      </c>
      <c r="B252" s="143" t="s">
        <v>2991</v>
      </c>
      <c r="C252" s="138" t="s">
        <v>3886</v>
      </c>
      <c r="D252" s="186">
        <f>[2]!Table3[[#This Row],[Residential CLM $ Collected]]+[2]!Table3[[#This Row],[C&amp;I CLM $ Collected]]</f>
        <v>10076.797609920854</v>
      </c>
      <c r="E252" s="193">
        <f>[2]!Table3[[#This Row],[CLM $ Collected ]]/'[2]1.) CLM Reference'!$B$4</f>
        <v>4.4715964521024589E-4</v>
      </c>
      <c r="F252" s="188">
        <f>[2]!Table3[[#This Row],[Residential Incentive Disbursements]]+[2]!Table3[[#This Row],[C&amp;I Incentive Disbursements]]</f>
        <v>1853.28</v>
      </c>
      <c r="G252" s="193">
        <f>[2]!Table3[[#This Row],[Incentive Disbursements]]/'[2]1.) CLM Reference'!$B$5</f>
        <v>5.7216640735920303E-5</v>
      </c>
      <c r="H252" s="133">
        <v>5943.4674756190279</v>
      </c>
      <c r="I252" s="132">
        <f>[2]!Table3[[#This Row],[CLM $ Collected ]]/'[2]1.) CLM Reference'!$B$4</f>
        <v>4.4715964521024589E-4</v>
      </c>
      <c r="J252" s="131">
        <v>1068.28</v>
      </c>
      <c r="K252" s="132">
        <f>[2]!Table3[[#This Row],[Incentive Disbursements]]/'[2]1.) CLM Reference'!$B$5</f>
        <v>5.7216640735920303E-5</v>
      </c>
      <c r="L252" s="133">
        <v>4133.3301343018247</v>
      </c>
      <c r="M252" s="194">
        <f>[2]!Table3[[#This Row],[CLM $ Collected ]]/'[2]1.) CLM Reference'!$B$4</f>
        <v>4.4715964521024589E-4</v>
      </c>
      <c r="N252" s="131">
        <v>785</v>
      </c>
      <c r="O252" s="195">
        <f>[2]!Table3[[#This Row],[Incentive Disbursements]]/'[2]1.) CLM Reference'!$B$5</f>
        <v>5.7216640735920303E-5</v>
      </c>
      <c r="P252" t="str">
        <f t="shared" si="3"/>
        <v>NO</v>
      </c>
      <c r="Q252" t="str">
        <f>VLOOKUP(Table8[[#This Row],[Census Tract]],'UI EnergyBurden'!$A$2:$B$184,2,FALSE)</f>
        <v>No</v>
      </c>
      <c r="R252">
        <f>VLOOKUP(Table8[[#This Row],[Census Tract]],'Population and Diversity Data'!$B$2:$K$823,10,FALSE)</f>
        <v>3</v>
      </c>
    </row>
    <row r="253" spans="1:18" ht="17" thickBot="1" x14ac:dyDescent="0.25">
      <c r="A253" s="143">
        <v>9009157300</v>
      </c>
      <c r="B253" s="143" t="s">
        <v>2992</v>
      </c>
      <c r="C253" s="138" t="s">
        <v>3886</v>
      </c>
      <c r="D253" s="186">
        <f>[2]!Table3[[#This Row],[Residential CLM $ Collected]]+[2]!Table3[[#This Row],[C&amp;I CLM $ Collected]]</f>
        <v>61843.599160853519</v>
      </c>
      <c r="E253" s="193">
        <f>[2]!Table3[[#This Row],[CLM $ Collected ]]/'[2]1.) CLM Reference'!$B$4</f>
        <v>2.7443204607052857E-3</v>
      </c>
      <c r="F253" s="188">
        <f>[2]!Table3[[#This Row],[Residential Incentive Disbursements]]+[2]!Table3[[#This Row],[C&amp;I Incentive Disbursements]]</f>
        <v>109066.02000000002</v>
      </c>
      <c r="G253" s="193">
        <f>[2]!Table3[[#This Row],[Incentive Disbursements]]/'[2]1.) CLM Reference'!$B$5</f>
        <v>3.3672144969117994E-3</v>
      </c>
      <c r="H253" s="133">
        <v>58259.463791962822</v>
      </c>
      <c r="I253" s="132">
        <f>[2]!Table3[[#This Row],[CLM $ Collected ]]/'[2]1.) CLM Reference'!$B$4</f>
        <v>2.7443204607052857E-3</v>
      </c>
      <c r="J253" s="131">
        <v>109066.02000000002</v>
      </c>
      <c r="K253" s="132">
        <f>[2]!Table3[[#This Row],[Incentive Disbursements]]/'[2]1.) CLM Reference'!$B$5</f>
        <v>3.3672144969117994E-3</v>
      </c>
      <c r="L253" s="133">
        <v>3584.1353688906952</v>
      </c>
      <c r="M253" s="194">
        <f>[2]!Table3[[#This Row],[CLM $ Collected ]]/'[2]1.) CLM Reference'!$B$4</f>
        <v>2.7443204607052857E-3</v>
      </c>
      <c r="N253" s="131">
        <v>0</v>
      </c>
      <c r="O253" s="195">
        <f>[2]!Table3[[#This Row],[Incentive Disbursements]]/'[2]1.) CLM Reference'!$B$5</f>
        <v>3.3672144969117994E-3</v>
      </c>
      <c r="P253" t="str">
        <f t="shared" si="3"/>
        <v>YES</v>
      </c>
      <c r="Q253" t="str">
        <f>VLOOKUP(Table8[[#This Row],[Census Tract]],'UI EnergyBurden'!$A$2:$B$184,2,FALSE)</f>
        <v>No</v>
      </c>
      <c r="R253">
        <f>VLOOKUP(Table8[[#This Row],[Census Tract]],'Population and Diversity Data'!$B$2:$K$823,10,FALSE)</f>
        <v>3</v>
      </c>
    </row>
    <row r="254" spans="1:18" ht="17" thickBot="1" x14ac:dyDescent="0.25">
      <c r="A254" s="143">
        <v>9009157400</v>
      </c>
      <c r="B254" s="143" t="s">
        <v>2992</v>
      </c>
      <c r="C254" s="138" t="s">
        <v>3886</v>
      </c>
      <c r="D254" s="186">
        <f>[2]!Table3[[#This Row],[Residential CLM $ Collected]]+[2]!Table3[[#This Row],[C&amp;I CLM $ Collected]]</f>
        <v>81303.631643889312</v>
      </c>
      <c r="E254" s="193">
        <f>[2]!Table3[[#This Row],[CLM $ Collected ]]/'[2]1.) CLM Reference'!$B$4</f>
        <v>3.6078627841441397E-3</v>
      </c>
      <c r="F254" s="188">
        <f>[2]!Table3[[#This Row],[Residential Incentive Disbursements]]+[2]!Table3[[#This Row],[C&amp;I Incentive Disbursements]]</f>
        <v>191810.25000000003</v>
      </c>
      <c r="G254" s="193">
        <f>[2]!Table3[[#This Row],[Incentive Disbursements]]/'[2]1.) CLM Reference'!$B$5</f>
        <v>5.9217917226307192E-3</v>
      </c>
      <c r="H254" s="133">
        <v>70599.068116206254</v>
      </c>
      <c r="I254" s="132">
        <f>[2]!Table3[[#This Row],[CLM $ Collected ]]/'[2]1.) CLM Reference'!$B$4</f>
        <v>3.6078627841441397E-3</v>
      </c>
      <c r="J254" s="131">
        <v>160841.25000000003</v>
      </c>
      <c r="K254" s="132">
        <f>[2]!Table3[[#This Row],[Incentive Disbursements]]/'[2]1.) CLM Reference'!$B$5</f>
        <v>5.9217917226307192E-3</v>
      </c>
      <c r="L254" s="133">
        <v>10704.563527683058</v>
      </c>
      <c r="M254" s="194">
        <f>[2]!Table3[[#This Row],[CLM $ Collected ]]/'[2]1.) CLM Reference'!$B$4</f>
        <v>3.6078627841441397E-3</v>
      </c>
      <c r="N254" s="131">
        <v>30969</v>
      </c>
      <c r="O254" s="195">
        <f>[2]!Table3[[#This Row],[Incentive Disbursements]]/'[2]1.) CLM Reference'!$B$5</f>
        <v>5.9217917226307192E-3</v>
      </c>
      <c r="P254" t="str">
        <f t="shared" si="3"/>
        <v>YES</v>
      </c>
      <c r="Q254" t="str">
        <f>VLOOKUP(Table8[[#This Row],[Census Tract]],'UI EnergyBurden'!$A$2:$B$184,2,FALSE)</f>
        <v>No</v>
      </c>
      <c r="R254">
        <f>VLOOKUP(Table8[[#This Row],[Census Tract]],'Population and Diversity Data'!$B$2:$K$823,10,FALSE)</f>
        <v>3</v>
      </c>
    </row>
    <row r="255" spans="1:18" ht="17" thickBot="1" x14ac:dyDescent="0.25">
      <c r="A255" s="143">
        <v>9009160100</v>
      </c>
      <c r="B255" s="143" t="s">
        <v>2990</v>
      </c>
      <c r="C255" s="138" t="s">
        <v>3886</v>
      </c>
      <c r="D255" s="186">
        <f>[2]!Table3[[#This Row],[Residential CLM $ Collected]]+[2]!Table3[[#This Row],[C&amp;I CLM $ Collected]]</f>
        <v>315.25872733992168</v>
      </c>
      <c r="E255" s="193">
        <f>[2]!Table3[[#This Row],[CLM $ Collected ]]/'[2]1.) CLM Reference'!$B$4</f>
        <v>1.3989660815253811E-5</v>
      </c>
      <c r="F255" s="188">
        <f>[2]!Table3[[#This Row],[Residential Incentive Disbursements]]+[2]!Table3[[#This Row],[C&amp;I Incentive Disbursements]]</f>
        <v>0</v>
      </c>
      <c r="G255" s="193">
        <f>[2]!Table3[[#This Row],[Incentive Disbursements]]/'[2]1.) CLM Reference'!$B$5</f>
        <v>0</v>
      </c>
      <c r="H255" s="133">
        <v>315.25872733992168</v>
      </c>
      <c r="I255" s="132">
        <f>[2]!Table3[[#This Row],[CLM $ Collected ]]/'[2]1.) CLM Reference'!$B$4</f>
        <v>1.3989660815253811E-5</v>
      </c>
      <c r="J255" s="131">
        <v>0</v>
      </c>
      <c r="K255" s="132">
        <f>[2]!Table3[[#This Row],[Incentive Disbursements]]/'[2]1.) CLM Reference'!$B$5</f>
        <v>0</v>
      </c>
      <c r="L255" s="133">
        <v>0</v>
      </c>
      <c r="M255" s="194">
        <f>[2]!Table3[[#This Row],[CLM $ Collected ]]/'[2]1.) CLM Reference'!$B$4</f>
        <v>1.3989660815253811E-5</v>
      </c>
      <c r="N255" s="131">
        <v>0</v>
      </c>
      <c r="O255" s="195">
        <f>[2]!Table3[[#This Row],[Incentive Disbursements]]/'[2]1.) CLM Reference'!$B$5</f>
        <v>0</v>
      </c>
      <c r="P255" t="str">
        <f t="shared" si="3"/>
        <v>NO</v>
      </c>
      <c r="Q255" t="str">
        <f>VLOOKUP(Table8[[#This Row],[Census Tract]],'UI EnergyBurden'!$A$2:$B$184,2,FALSE)</f>
        <v>No</v>
      </c>
      <c r="R255">
        <f>VLOOKUP(Table8[[#This Row],[Census Tract]],'Population and Diversity Data'!$B$2:$K$823,10,FALSE)</f>
        <v>5</v>
      </c>
    </row>
    <row r="256" spans="1:18" ht="17" thickBot="1" x14ac:dyDescent="0.25">
      <c r="A256" s="143">
        <v>9009160100</v>
      </c>
      <c r="B256" s="143" t="s">
        <v>2994</v>
      </c>
      <c r="C256" s="138" t="s">
        <v>3886</v>
      </c>
      <c r="D256" s="186">
        <f>[2]!Table3[[#This Row],[Residential CLM $ Collected]]+[2]!Table3[[#This Row],[C&amp;I CLM $ Collected]]</f>
        <v>80764.755141919217</v>
      </c>
      <c r="E256" s="193">
        <f>[2]!Table3[[#This Row],[CLM $ Collected ]]/'[2]1.) CLM Reference'!$B$4</f>
        <v>3.5839500457166208E-3</v>
      </c>
      <c r="F256" s="188">
        <f>[2]!Table3[[#This Row],[Residential Incentive Disbursements]]+[2]!Table3[[#This Row],[C&amp;I Incentive Disbursements]]</f>
        <v>91444.35000000002</v>
      </c>
      <c r="G256" s="193">
        <f>[2]!Table3[[#This Row],[Incentive Disbursements]]/'[2]1.) CLM Reference'!$B$5</f>
        <v>2.8231775669514346E-3</v>
      </c>
      <c r="H256" s="133">
        <v>76163.917648616742</v>
      </c>
      <c r="I256" s="132">
        <f>[2]!Table3[[#This Row],[CLM $ Collected ]]/'[2]1.) CLM Reference'!$B$4</f>
        <v>3.5839500457166208E-3</v>
      </c>
      <c r="J256" s="131">
        <v>91339.35000000002</v>
      </c>
      <c r="K256" s="132">
        <f>[2]!Table3[[#This Row],[Incentive Disbursements]]/'[2]1.) CLM Reference'!$B$5</f>
        <v>2.8231775669514346E-3</v>
      </c>
      <c r="L256" s="133">
        <v>4600.8374933024706</v>
      </c>
      <c r="M256" s="194">
        <f>[2]!Table3[[#This Row],[CLM $ Collected ]]/'[2]1.) CLM Reference'!$B$4</f>
        <v>3.5839500457166208E-3</v>
      </c>
      <c r="N256" s="131">
        <v>105</v>
      </c>
      <c r="O256" s="195">
        <f>[2]!Table3[[#This Row],[Incentive Disbursements]]/'[2]1.) CLM Reference'!$B$5</f>
        <v>2.8231775669514346E-3</v>
      </c>
      <c r="P256" t="str">
        <f t="shared" si="3"/>
        <v>NO</v>
      </c>
      <c r="Q256" t="str">
        <f>VLOOKUP(Table8[[#This Row],[Census Tract]],'UI EnergyBurden'!$A$2:$B$184,2,FALSE)</f>
        <v>No</v>
      </c>
      <c r="R256">
        <f>VLOOKUP(Table8[[#This Row],[Census Tract]],'Population and Diversity Data'!$B$2:$K$823,10,FALSE)</f>
        <v>5</v>
      </c>
    </row>
    <row r="257" spans="1:18" ht="17" thickBot="1" x14ac:dyDescent="0.25">
      <c r="A257" s="143">
        <v>9009160200</v>
      </c>
      <c r="B257" s="143" t="s">
        <v>943</v>
      </c>
      <c r="C257" s="138" t="s">
        <v>3886</v>
      </c>
      <c r="D257" s="186">
        <f>[2]!Table3[[#This Row],[Residential CLM $ Collected]]+[2]!Table3[[#This Row],[C&amp;I CLM $ Collected]]</f>
        <v>240.29781302506959</v>
      </c>
      <c r="E257" s="193">
        <f>[2]!Table3[[#This Row],[CLM $ Collected ]]/'[2]1.) CLM Reference'!$B$4</f>
        <v>1.066325721490124E-5</v>
      </c>
      <c r="F257" s="188">
        <f>[2]!Table3[[#This Row],[Residential Incentive Disbursements]]+[2]!Table3[[#This Row],[C&amp;I Incentive Disbursements]]</f>
        <v>3323</v>
      </c>
      <c r="G257" s="193">
        <f>[2]!Table3[[#This Row],[Incentive Disbursements]]/'[2]1.) CLM Reference'!$B$5</f>
        <v>1.0259156585376369E-4</v>
      </c>
      <c r="H257" s="133">
        <v>20.438009957002556</v>
      </c>
      <c r="I257" s="132">
        <f>[2]!Table3[[#This Row],[CLM $ Collected ]]/'[2]1.) CLM Reference'!$B$4</f>
        <v>1.066325721490124E-5</v>
      </c>
      <c r="J257" s="131">
        <v>0</v>
      </c>
      <c r="K257" s="132">
        <f>[2]!Table3[[#This Row],[Incentive Disbursements]]/'[2]1.) CLM Reference'!$B$5</f>
        <v>1.0259156585376369E-4</v>
      </c>
      <c r="L257" s="133">
        <v>219.85980306806704</v>
      </c>
      <c r="M257" s="194">
        <f>[2]!Table3[[#This Row],[CLM $ Collected ]]/'[2]1.) CLM Reference'!$B$4</f>
        <v>1.066325721490124E-5</v>
      </c>
      <c r="N257" s="131">
        <v>3323</v>
      </c>
      <c r="O257" s="195">
        <f>[2]!Table3[[#This Row],[Incentive Disbursements]]/'[2]1.) CLM Reference'!$B$5</f>
        <v>1.0259156585376369E-4</v>
      </c>
      <c r="P257" t="str">
        <f t="shared" si="3"/>
        <v>YES</v>
      </c>
      <c r="Q257" t="str">
        <f>VLOOKUP(Table8[[#This Row],[Census Tract]],'UI EnergyBurden'!$A$2:$B$184,2,FALSE)</f>
        <v>No</v>
      </c>
      <c r="R257">
        <f>VLOOKUP(Table8[[#This Row],[Census Tract]],'Population and Diversity Data'!$B$2:$K$823,10,FALSE)</f>
        <v>4</v>
      </c>
    </row>
    <row r="258" spans="1:18" ht="17" thickBot="1" x14ac:dyDescent="0.25">
      <c r="A258" s="143">
        <v>9009160200</v>
      </c>
      <c r="B258" s="143" t="s">
        <v>2994</v>
      </c>
      <c r="C258" s="138" t="s">
        <v>3886</v>
      </c>
      <c r="D258" s="186">
        <f>[2]!Table3[[#This Row],[Residential CLM $ Collected]]+[2]!Table3[[#This Row],[C&amp;I CLM $ Collected]]</f>
        <v>144041.79885338922</v>
      </c>
      <c r="E258" s="193">
        <f>[2]!Table3[[#This Row],[CLM $ Collected ]]/'[2]1.) CLM Reference'!$B$4</f>
        <v>6.3918798574771627E-3</v>
      </c>
      <c r="F258" s="188">
        <f>[2]!Table3[[#This Row],[Residential Incentive Disbursements]]+[2]!Table3[[#This Row],[C&amp;I Incentive Disbursements]]</f>
        <v>215574.77000000002</v>
      </c>
      <c r="G258" s="193">
        <f>[2]!Table3[[#This Row],[Incentive Disbursements]]/'[2]1.) CLM Reference'!$B$5</f>
        <v>6.6554779454905096E-3</v>
      </c>
      <c r="H258" s="133">
        <v>107682.49142310074</v>
      </c>
      <c r="I258" s="132">
        <f>[2]!Table3[[#This Row],[CLM $ Collected ]]/'[2]1.) CLM Reference'!$B$4</f>
        <v>6.3918798574771627E-3</v>
      </c>
      <c r="J258" s="131">
        <v>204980.06000000003</v>
      </c>
      <c r="K258" s="132">
        <f>[2]!Table3[[#This Row],[Incentive Disbursements]]/'[2]1.) CLM Reference'!$B$5</f>
        <v>6.6554779454905096E-3</v>
      </c>
      <c r="L258" s="133">
        <v>36359.307430288478</v>
      </c>
      <c r="M258" s="194">
        <f>[2]!Table3[[#This Row],[CLM $ Collected ]]/'[2]1.) CLM Reference'!$B$4</f>
        <v>6.3918798574771627E-3</v>
      </c>
      <c r="N258" s="131">
        <v>10594.71</v>
      </c>
      <c r="O258" s="195">
        <f>[2]!Table3[[#This Row],[Incentive Disbursements]]/'[2]1.) CLM Reference'!$B$5</f>
        <v>6.6554779454905096E-3</v>
      </c>
      <c r="P258" t="str">
        <f t="shared" si="3"/>
        <v>YES</v>
      </c>
      <c r="Q258" t="str">
        <f>VLOOKUP(Table8[[#This Row],[Census Tract]],'UI EnergyBurden'!$A$2:$B$184,2,FALSE)</f>
        <v>No</v>
      </c>
      <c r="R258">
        <f>VLOOKUP(Table8[[#This Row],[Census Tract]],'Population and Diversity Data'!$B$2:$K$823,10,FALSE)</f>
        <v>4</v>
      </c>
    </row>
    <row r="259" spans="1:18" ht="17" thickBot="1" x14ac:dyDescent="0.25">
      <c r="A259" s="143">
        <v>9009165100</v>
      </c>
      <c r="B259" s="143" t="s">
        <v>953</v>
      </c>
      <c r="C259" s="138" t="s">
        <v>3886</v>
      </c>
      <c r="D259" s="186">
        <f>[2]!Table3[[#This Row],[Residential CLM $ Collected]]+[2]!Table3[[#This Row],[C&amp;I CLM $ Collected]]</f>
        <v>73888.936768435524</v>
      </c>
      <c r="E259" s="193">
        <f>[2]!Table3[[#This Row],[CLM $ Collected ]]/'[2]1.) CLM Reference'!$B$4</f>
        <v>3.2788344104288732E-3</v>
      </c>
      <c r="F259" s="188">
        <f>[2]!Table3[[#This Row],[Residential Incentive Disbursements]]+[2]!Table3[[#This Row],[C&amp;I Incentive Disbursements]]</f>
        <v>193597.8</v>
      </c>
      <c r="G259" s="193">
        <f>[2]!Table3[[#This Row],[Incentive Disbursements]]/'[2]1.) CLM Reference'!$B$5</f>
        <v>5.9769790694684834E-3</v>
      </c>
      <c r="H259" s="133">
        <v>52271.357708195093</v>
      </c>
      <c r="I259" s="132">
        <f>[2]!Table3[[#This Row],[CLM $ Collected ]]/'[2]1.) CLM Reference'!$B$4</f>
        <v>3.2788344104288732E-3</v>
      </c>
      <c r="J259" s="131">
        <v>65460.39</v>
      </c>
      <c r="K259" s="132">
        <f>[2]!Table3[[#This Row],[Incentive Disbursements]]/'[2]1.) CLM Reference'!$B$5</f>
        <v>5.9769790694684834E-3</v>
      </c>
      <c r="L259" s="133">
        <v>21617.57906024043</v>
      </c>
      <c r="M259" s="194">
        <f>[2]!Table3[[#This Row],[CLM $ Collected ]]/'[2]1.) CLM Reference'!$B$4</f>
        <v>3.2788344104288732E-3</v>
      </c>
      <c r="N259" s="131">
        <v>128137.41</v>
      </c>
      <c r="O259" s="195">
        <f>[2]!Table3[[#This Row],[Incentive Disbursements]]/'[2]1.) CLM Reference'!$B$5</f>
        <v>5.9769790694684834E-3</v>
      </c>
      <c r="P259" t="str">
        <f t="shared" si="3"/>
        <v>YES</v>
      </c>
      <c r="Q259" t="str">
        <f>VLOOKUP(Table8[[#This Row],[Census Tract]],'UI EnergyBurden'!$A$2:$B$184,2,FALSE)</f>
        <v>No</v>
      </c>
      <c r="R259">
        <f>VLOOKUP(Table8[[#This Row],[Census Tract]],'Population and Diversity Data'!$B$2:$K$823,10,FALSE)</f>
        <v>5</v>
      </c>
    </row>
    <row r="260" spans="1:18" ht="17" thickBot="1" x14ac:dyDescent="0.25">
      <c r="A260" s="143">
        <v>9009165100</v>
      </c>
      <c r="B260" s="143" t="s">
        <v>3004</v>
      </c>
      <c r="C260" s="138" t="s">
        <v>3886</v>
      </c>
      <c r="D260" s="186">
        <f>[2]!Table3[[#This Row],[Residential CLM $ Collected]]+[2]!Table3[[#This Row],[C&amp;I CLM $ Collected]]</f>
        <v>121.21997457443328</v>
      </c>
      <c r="E260" s="193">
        <f>[2]!Table3[[#This Row],[CLM $ Collected ]]/'[2]1.) CLM Reference'!$B$4</f>
        <v>5.3791574388407658E-6</v>
      </c>
      <c r="F260" s="188">
        <f>[2]!Table3[[#This Row],[Residential Incentive Disbursements]]+[2]!Table3[[#This Row],[C&amp;I Incentive Disbursements]]</f>
        <v>0</v>
      </c>
      <c r="G260" s="193">
        <f>[2]!Table3[[#This Row],[Incentive Disbursements]]/'[2]1.) CLM Reference'!$B$5</f>
        <v>0</v>
      </c>
      <c r="H260" s="133">
        <v>0</v>
      </c>
      <c r="I260" s="132">
        <f>[2]!Table3[[#This Row],[CLM $ Collected ]]/'[2]1.) CLM Reference'!$B$4</f>
        <v>5.3791574388407658E-6</v>
      </c>
      <c r="J260" s="131">
        <v>0</v>
      </c>
      <c r="K260" s="132">
        <f>[2]!Table3[[#This Row],[Incentive Disbursements]]/'[2]1.) CLM Reference'!$B$5</f>
        <v>0</v>
      </c>
      <c r="L260" s="133">
        <v>121.21997457443328</v>
      </c>
      <c r="M260" s="194">
        <f>[2]!Table3[[#This Row],[CLM $ Collected ]]/'[2]1.) CLM Reference'!$B$4</f>
        <v>5.3791574388407658E-6</v>
      </c>
      <c r="N260" s="131">
        <v>0</v>
      </c>
      <c r="O260" s="195">
        <f>[2]!Table3[[#This Row],[Incentive Disbursements]]/'[2]1.) CLM Reference'!$B$5</f>
        <v>0</v>
      </c>
      <c r="P260" t="str">
        <f t="shared" si="3"/>
        <v>NO</v>
      </c>
      <c r="Q260" t="str">
        <f>VLOOKUP(Table8[[#This Row],[Census Tract]],'UI EnergyBurden'!$A$2:$B$184,2,FALSE)</f>
        <v>No</v>
      </c>
      <c r="R260">
        <f>VLOOKUP(Table8[[#This Row],[Census Tract]],'Population and Diversity Data'!$B$2:$K$823,10,FALSE)</f>
        <v>5</v>
      </c>
    </row>
    <row r="261" spans="1:18" ht="17" thickBot="1" x14ac:dyDescent="0.25">
      <c r="A261" s="143">
        <v>9009165200</v>
      </c>
      <c r="B261" s="143" t="s">
        <v>953</v>
      </c>
      <c r="C261" s="138" t="s">
        <v>3886</v>
      </c>
      <c r="D261" s="186">
        <f>[2]!Table3[[#This Row],[Residential CLM $ Collected]]+[2]!Table3[[#This Row],[C&amp;I CLM $ Collected]]</f>
        <v>48640.187678034585</v>
      </c>
      <c r="E261" s="193">
        <f>[2]!Table3[[#This Row],[CLM $ Collected ]]/'[2]1.) CLM Reference'!$B$4</f>
        <v>2.158416781503717E-3</v>
      </c>
      <c r="F261" s="188">
        <f>[2]!Table3[[#This Row],[Residential Incentive Disbursements]]+[2]!Table3[[#This Row],[C&amp;I Incentive Disbursements]]</f>
        <v>85415.97</v>
      </c>
      <c r="G261" s="193">
        <f>[2]!Table3[[#This Row],[Incentive Disbursements]]/'[2]1.) CLM Reference'!$B$5</f>
        <v>2.6370623265778224E-3</v>
      </c>
      <c r="H261" s="133">
        <v>41499.51079286512</v>
      </c>
      <c r="I261" s="132">
        <f>[2]!Table3[[#This Row],[CLM $ Collected ]]/'[2]1.) CLM Reference'!$B$4</f>
        <v>2.158416781503717E-3</v>
      </c>
      <c r="J261" s="131">
        <v>18142.970000000005</v>
      </c>
      <c r="K261" s="132">
        <f>[2]!Table3[[#This Row],[Incentive Disbursements]]/'[2]1.) CLM Reference'!$B$5</f>
        <v>2.6370623265778224E-3</v>
      </c>
      <c r="L261" s="133">
        <v>7140.6768851694633</v>
      </c>
      <c r="M261" s="194">
        <f>[2]!Table3[[#This Row],[CLM $ Collected ]]/'[2]1.) CLM Reference'!$B$4</f>
        <v>2.158416781503717E-3</v>
      </c>
      <c r="N261" s="131">
        <v>67273</v>
      </c>
      <c r="O261" s="195">
        <f>[2]!Table3[[#This Row],[Incentive Disbursements]]/'[2]1.) CLM Reference'!$B$5</f>
        <v>2.6370623265778224E-3</v>
      </c>
      <c r="P261" t="str">
        <f t="shared" si="3"/>
        <v>YES</v>
      </c>
      <c r="Q261" t="str">
        <f>VLOOKUP(Table8[[#This Row],[Census Tract]],'UI EnergyBurden'!$A$2:$B$184,2,FALSE)</f>
        <v>No</v>
      </c>
      <c r="R261">
        <f>VLOOKUP(Table8[[#This Row],[Census Tract]],'Population and Diversity Data'!$B$2:$K$823,10,FALSE)</f>
        <v>3</v>
      </c>
    </row>
    <row r="262" spans="1:18" ht="17" thickBot="1" x14ac:dyDescent="0.25">
      <c r="A262" s="143">
        <v>9009165200</v>
      </c>
      <c r="B262" s="143" t="s">
        <v>3004</v>
      </c>
      <c r="C262" s="138" t="s">
        <v>3886</v>
      </c>
      <c r="D262" s="186">
        <f>[2]!Table3[[#This Row],[Residential CLM $ Collected]]+[2]!Table3[[#This Row],[C&amp;I CLM $ Collected]]</f>
        <v>97.282526725538261</v>
      </c>
      <c r="E262" s="193">
        <f>[2]!Table3[[#This Row],[CLM $ Collected ]]/'[2]1.) CLM Reference'!$B$4</f>
        <v>4.3169290304015162E-6</v>
      </c>
      <c r="F262" s="188">
        <f>[2]!Table3[[#This Row],[Residential Incentive Disbursements]]+[2]!Table3[[#This Row],[C&amp;I Incentive Disbursements]]</f>
        <v>0</v>
      </c>
      <c r="G262" s="193">
        <f>[2]!Table3[[#This Row],[Incentive Disbursements]]/'[2]1.) CLM Reference'!$B$5</f>
        <v>0</v>
      </c>
      <c r="H262" s="133">
        <v>0</v>
      </c>
      <c r="I262" s="132">
        <f>[2]!Table3[[#This Row],[CLM $ Collected ]]/'[2]1.) CLM Reference'!$B$4</f>
        <v>4.3169290304015162E-6</v>
      </c>
      <c r="J262" s="131">
        <v>0</v>
      </c>
      <c r="K262" s="132">
        <f>[2]!Table3[[#This Row],[Incentive Disbursements]]/'[2]1.) CLM Reference'!$B$5</f>
        <v>0</v>
      </c>
      <c r="L262" s="133">
        <v>97.282526725538261</v>
      </c>
      <c r="M262" s="194">
        <f>[2]!Table3[[#This Row],[CLM $ Collected ]]/'[2]1.) CLM Reference'!$B$4</f>
        <v>4.3169290304015162E-6</v>
      </c>
      <c r="N262" s="131">
        <v>0</v>
      </c>
      <c r="O262" s="195">
        <f>[2]!Table3[[#This Row],[Incentive Disbursements]]/'[2]1.) CLM Reference'!$B$5</f>
        <v>0</v>
      </c>
      <c r="P262" t="str">
        <f t="shared" ref="P262:P325" si="4">IF(ROUND(M262,5)&lt;0.00001,"N/A",IF(ROUND(M262,5)&lt;=ROUND(O262,5),"YES","NO"))</f>
        <v>N/A</v>
      </c>
      <c r="Q262" t="str">
        <f>VLOOKUP(Table8[[#This Row],[Census Tract]],'UI EnergyBurden'!$A$2:$B$184,2,FALSE)</f>
        <v>No</v>
      </c>
      <c r="R262">
        <f>VLOOKUP(Table8[[#This Row],[Census Tract]],'Population and Diversity Data'!$B$2:$K$823,10,FALSE)</f>
        <v>3</v>
      </c>
    </row>
    <row r="263" spans="1:18" ht="17" thickBot="1" x14ac:dyDescent="0.25">
      <c r="A263" s="143">
        <v>9009165300</v>
      </c>
      <c r="B263" s="143" t="s">
        <v>953</v>
      </c>
      <c r="C263" s="138" t="s">
        <v>3886</v>
      </c>
      <c r="D263" s="186">
        <f>[2]!Table3[[#This Row],[Residential CLM $ Collected]]+[2]!Table3[[#This Row],[C&amp;I CLM $ Collected]]</f>
        <v>38974.901804171415</v>
      </c>
      <c r="E263" s="193">
        <f>[2]!Table3[[#This Row],[CLM $ Collected ]]/'[2]1.) CLM Reference'!$B$4</f>
        <v>1.7295180410986091E-3</v>
      </c>
      <c r="F263" s="188">
        <f>[2]!Table3[[#This Row],[Residential Incentive Disbursements]]+[2]!Table3[[#This Row],[C&amp;I Incentive Disbursements]]</f>
        <v>31577.8</v>
      </c>
      <c r="G263" s="193">
        <f>[2]!Table3[[#This Row],[Incentive Disbursements]]/'[2]1.) CLM Reference'!$B$5</f>
        <v>9.7490699615316852E-4</v>
      </c>
      <c r="H263" s="133">
        <v>29549.308959212161</v>
      </c>
      <c r="I263" s="132">
        <f>[2]!Table3[[#This Row],[CLM $ Collected ]]/'[2]1.) CLM Reference'!$B$4</f>
        <v>1.7295180410986091E-3</v>
      </c>
      <c r="J263" s="131">
        <v>30506.799999999999</v>
      </c>
      <c r="K263" s="132">
        <f>[2]!Table3[[#This Row],[Incentive Disbursements]]/'[2]1.) CLM Reference'!$B$5</f>
        <v>9.7490699615316852E-4</v>
      </c>
      <c r="L263" s="133">
        <v>9425.5928449592539</v>
      </c>
      <c r="M263" s="194">
        <f>[2]!Table3[[#This Row],[CLM $ Collected ]]/'[2]1.) CLM Reference'!$B$4</f>
        <v>1.7295180410986091E-3</v>
      </c>
      <c r="N263" s="131">
        <v>1071</v>
      </c>
      <c r="O263" s="195">
        <f>[2]!Table3[[#This Row],[Incentive Disbursements]]/'[2]1.) CLM Reference'!$B$5</f>
        <v>9.7490699615316852E-4</v>
      </c>
      <c r="P263" t="str">
        <f t="shared" si="4"/>
        <v>NO</v>
      </c>
      <c r="Q263" t="str">
        <f>VLOOKUP(Table8[[#This Row],[Census Tract]],'UI EnergyBurden'!$A$2:$B$184,2,FALSE)</f>
        <v>No</v>
      </c>
      <c r="R263">
        <f>VLOOKUP(Table8[[#This Row],[Census Tract]],'Population and Diversity Data'!$B$2:$K$823,10,FALSE)</f>
        <v>2</v>
      </c>
    </row>
    <row r="264" spans="1:18" ht="17" thickBot="1" x14ac:dyDescent="0.25">
      <c r="A264" s="143">
        <v>9009165400</v>
      </c>
      <c r="B264" s="143" t="s">
        <v>953</v>
      </c>
      <c r="C264" s="138" t="s">
        <v>3886</v>
      </c>
      <c r="D264" s="186">
        <f>[2]!Table3[[#This Row],[Residential CLM $ Collected]]+[2]!Table3[[#This Row],[C&amp;I CLM $ Collected]]</f>
        <v>85616.097911543548</v>
      </c>
      <c r="E264" s="193">
        <f>[2]!Table3[[#This Row],[CLM $ Collected ]]/'[2]1.) CLM Reference'!$B$4</f>
        <v>3.7992292242448023E-3</v>
      </c>
      <c r="F264" s="188">
        <f>[2]!Table3[[#This Row],[Residential Incentive Disbursements]]+[2]!Table3[[#This Row],[C&amp;I Incentive Disbursements]]</f>
        <v>47311.11</v>
      </c>
      <c r="G264" s="193">
        <f>[2]!Table3[[#This Row],[Incentive Disbursements]]/'[2]1.) CLM Reference'!$B$5</f>
        <v>1.4606442543423587E-3</v>
      </c>
      <c r="H264" s="133">
        <v>69094.360606091868</v>
      </c>
      <c r="I264" s="132">
        <f>[2]!Table3[[#This Row],[CLM $ Collected ]]/'[2]1.) CLM Reference'!$B$4</f>
        <v>3.7992292242448023E-3</v>
      </c>
      <c r="J264" s="131">
        <v>32270.109999999997</v>
      </c>
      <c r="K264" s="132">
        <f>[2]!Table3[[#This Row],[Incentive Disbursements]]/'[2]1.) CLM Reference'!$B$5</f>
        <v>1.4606442543423587E-3</v>
      </c>
      <c r="L264" s="133">
        <v>16521.737305451676</v>
      </c>
      <c r="M264" s="194">
        <f>[2]!Table3[[#This Row],[CLM $ Collected ]]/'[2]1.) CLM Reference'!$B$4</f>
        <v>3.7992292242448023E-3</v>
      </c>
      <c r="N264" s="131">
        <v>15041</v>
      </c>
      <c r="O264" s="195">
        <f>[2]!Table3[[#This Row],[Incentive Disbursements]]/'[2]1.) CLM Reference'!$B$5</f>
        <v>1.4606442543423587E-3</v>
      </c>
      <c r="P264" t="str">
        <f t="shared" si="4"/>
        <v>NO</v>
      </c>
      <c r="Q264" t="str">
        <f>VLOOKUP(Table8[[#This Row],[Census Tract]],'UI EnergyBurden'!$A$2:$B$184,2,FALSE)</f>
        <v>No</v>
      </c>
      <c r="R264">
        <f>VLOOKUP(Table8[[#This Row],[Census Tract]],'Population and Diversity Data'!$B$2:$K$823,10,FALSE)</f>
        <v>3</v>
      </c>
    </row>
    <row r="265" spans="1:18" ht="17" thickBot="1" x14ac:dyDescent="0.25">
      <c r="A265" s="143">
        <v>9009165400</v>
      </c>
      <c r="B265" s="143" t="s">
        <v>943</v>
      </c>
      <c r="C265" s="138" t="s">
        <v>3886</v>
      </c>
      <c r="D265" s="186">
        <f>[2]!Table3[[#This Row],[Residential CLM $ Collected]]+[2]!Table3[[#This Row],[C&amp;I CLM $ Collected]]</f>
        <v>1973.0320201793857</v>
      </c>
      <c r="E265" s="193">
        <f>[2]!Table3[[#This Row],[CLM $ Collected ]]/'[2]1.) CLM Reference'!$B$4</f>
        <v>8.7553638793267204E-5</v>
      </c>
      <c r="F265" s="188">
        <f>[2]!Table3[[#This Row],[Residential Incentive Disbursements]]+[2]!Table3[[#This Row],[C&amp;I Incentive Disbursements]]</f>
        <v>0</v>
      </c>
      <c r="G265" s="193">
        <f>[2]!Table3[[#This Row],[Incentive Disbursements]]/'[2]1.) CLM Reference'!$B$5</f>
        <v>0</v>
      </c>
      <c r="H265" s="133">
        <v>0</v>
      </c>
      <c r="I265" s="132">
        <f>[2]!Table3[[#This Row],[CLM $ Collected ]]/'[2]1.) CLM Reference'!$B$4</f>
        <v>8.7553638793267204E-5</v>
      </c>
      <c r="J265" s="131">
        <v>0</v>
      </c>
      <c r="K265" s="132">
        <f>[2]!Table3[[#This Row],[Incentive Disbursements]]/'[2]1.) CLM Reference'!$B$5</f>
        <v>0</v>
      </c>
      <c r="L265" s="133">
        <v>1973.0320201793857</v>
      </c>
      <c r="M265" s="194">
        <f>[2]!Table3[[#This Row],[CLM $ Collected ]]/'[2]1.) CLM Reference'!$B$4</f>
        <v>8.7553638793267204E-5</v>
      </c>
      <c r="N265" s="131">
        <v>0</v>
      </c>
      <c r="O265" s="195">
        <f>[2]!Table3[[#This Row],[Incentive Disbursements]]/'[2]1.) CLM Reference'!$B$5</f>
        <v>0</v>
      </c>
      <c r="P265" t="str">
        <f t="shared" si="4"/>
        <v>NO</v>
      </c>
      <c r="Q265" t="str">
        <f>VLOOKUP(Table8[[#This Row],[Census Tract]],'UI EnergyBurden'!$A$2:$B$184,2,FALSE)</f>
        <v>No</v>
      </c>
      <c r="R265">
        <f>VLOOKUP(Table8[[#This Row],[Census Tract]],'Population and Diversity Data'!$B$2:$K$823,10,FALSE)</f>
        <v>3</v>
      </c>
    </row>
    <row r="266" spans="1:18" ht="17" thickBot="1" x14ac:dyDescent="0.25">
      <c r="A266" s="143">
        <v>9009165500</v>
      </c>
      <c r="B266" s="143" t="s">
        <v>953</v>
      </c>
      <c r="C266" s="138" t="s">
        <v>3887</v>
      </c>
      <c r="D266" s="186">
        <f>[2]!Table3[[#This Row],[Residential CLM $ Collected]]+[2]!Table3[[#This Row],[C&amp;I CLM $ Collected]]</f>
        <v>86143.345015031184</v>
      </c>
      <c r="E266" s="193">
        <f>[2]!Table3[[#This Row],[CLM $ Collected ]]/'[2]1.) CLM Reference'!$B$4</f>
        <v>3.8226259060935622E-3</v>
      </c>
      <c r="F266" s="188">
        <f>[2]!Table3[[#This Row],[Residential Incentive Disbursements]]+[2]!Table3[[#This Row],[C&amp;I Incentive Disbursements]]</f>
        <v>164684.68</v>
      </c>
      <c r="G266" s="193">
        <f>[2]!Table3[[#This Row],[Incentive Disbursements]]/'[2]1.) CLM Reference'!$B$5</f>
        <v>5.084339209547397E-3</v>
      </c>
      <c r="H266" s="133">
        <v>56321.80933453497</v>
      </c>
      <c r="I266" s="132">
        <f>[2]!Table3[[#This Row],[CLM $ Collected ]]/'[2]1.) CLM Reference'!$B$4</f>
        <v>3.8226259060935622E-3</v>
      </c>
      <c r="J266" s="131">
        <v>24981.17</v>
      </c>
      <c r="K266" s="132">
        <f>[2]!Table3[[#This Row],[Incentive Disbursements]]/'[2]1.) CLM Reference'!$B$5</f>
        <v>5.084339209547397E-3</v>
      </c>
      <c r="L266" s="133">
        <v>29821.53568049621</v>
      </c>
      <c r="M266" s="194">
        <f>[2]!Table3[[#This Row],[CLM $ Collected ]]/'[2]1.) CLM Reference'!$B$4</f>
        <v>3.8226259060935622E-3</v>
      </c>
      <c r="N266" s="131">
        <v>139703.51</v>
      </c>
      <c r="O266" s="195">
        <f>[2]!Table3[[#This Row],[Incentive Disbursements]]/'[2]1.) CLM Reference'!$B$5</f>
        <v>5.084339209547397E-3</v>
      </c>
      <c r="P266" t="str">
        <f t="shared" si="4"/>
        <v>YES</v>
      </c>
      <c r="Q266" t="str">
        <f>VLOOKUP(Table8[[#This Row],[Census Tract]],'UI EnergyBurden'!$A$2:$B$184,2,FALSE)</f>
        <v>Yes</v>
      </c>
      <c r="R266">
        <f>VLOOKUP(Table8[[#This Row],[Census Tract]],'Population and Diversity Data'!$B$2:$K$823,10,FALSE)</f>
        <v>4</v>
      </c>
    </row>
    <row r="267" spans="1:18" ht="17" thickBot="1" x14ac:dyDescent="0.25">
      <c r="A267" s="143">
        <v>9009165500</v>
      </c>
      <c r="B267" s="143" t="s">
        <v>943</v>
      </c>
      <c r="C267" s="138" t="s">
        <v>3887</v>
      </c>
      <c r="D267" s="186">
        <f>[2]!Table3[[#This Row],[Residential CLM $ Collected]]+[2]!Table3[[#This Row],[C&amp;I CLM $ Collected]]</f>
        <v>1001.2547376224984</v>
      </c>
      <c r="E267" s="193">
        <f>[2]!Table3[[#This Row],[CLM $ Collected ]]/'[2]1.) CLM Reference'!$B$4</f>
        <v>4.4430852992379461E-5</v>
      </c>
      <c r="F267" s="188">
        <f>[2]!Table3[[#This Row],[Residential Incentive Disbursements]]+[2]!Table3[[#This Row],[C&amp;I Incentive Disbursements]]</f>
        <v>0</v>
      </c>
      <c r="G267" s="193">
        <f>[2]!Table3[[#This Row],[Incentive Disbursements]]/'[2]1.) CLM Reference'!$B$5</f>
        <v>0</v>
      </c>
      <c r="H267" s="133">
        <v>539.19043571227519</v>
      </c>
      <c r="I267" s="132">
        <f>[2]!Table3[[#This Row],[CLM $ Collected ]]/'[2]1.) CLM Reference'!$B$4</f>
        <v>4.4430852992379461E-5</v>
      </c>
      <c r="J267" s="131">
        <v>0</v>
      </c>
      <c r="K267" s="132">
        <f>[2]!Table3[[#This Row],[Incentive Disbursements]]/'[2]1.) CLM Reference'!$B$5</f>
        <v>0</v>
      </c>
      <c r="L267" s="133">
        <v>462.06430191022315</v>
      </c>
      <c r="M267" s="194">
        <f>[2]!Table3[[#This Row],[CLM $ Collected ]]/'[2]1.) CLM Reference'!$B$4</f>
        <v>4.4430852992379461E-5</v>
      </c>
      <c r="N267" s="131">
        <v>0</v>
      </c>
      <c r="O267" s="195">
        <f>[2]!Table3[[#This Row],[Incentive Disbursements]]/'[2]1.) CLM Reference'!$B$5</f>
        <v>0</v>
      </c>
      <c r="P267" t="str">
        <f t="shared" si="4"/>
        <v>NO</v>
      </c>
      <c r="Q267" t="str">
        <f>VLOOKUP(Table8[[#This Row],[Census Tract]],'UI EnergyBurden'!$A$2:$B$184,2,FALSE)</f>
        <v>Yes</v>
      </c>
      <c r="R267">
        <f>VLOOKUP(Table8[[#This Row],[Census Tract]],'Population and Diversity Data'!$B$2:$K$823,10,FALSE)</f>
        <v>4</v>
      </c>
    </row>
    <row r="268" spans="1:18" ht="17" thickBot="1" x14ac:dyDescent="0.25">
      <c r="A268" s="143">
        <v>9009165600</v>
      </c>
      <c r="B268" s="143" t="s">
        <v>953</v>
      </c>
      <c r="C268" s="138" t="s">
        <v>3886</v>
      </c>
      <c r="D268" s="186">
        <f>[2]!Table3[[#This Row],[Residential CLM $ Collected]]+[2]!Table3[[#This Row],[C&amp;I CLM $ Collected]]</f>
        <v>99939.227952969144</v>
      </c>
      <c r="E268" s="193">
        <f>[2]!Table3[[#This Row],[CLM $ Collected ]]/'[2]1.) CLM Reference'!$B$4</f>
        <v>4.4348206090830244E-3</v>
      </c>
      <c r="F268" s="188">
        <f>[2]!Table3[[#This Row],[Residential Incentive Disbursements]]+[2]!Table3[[#This Row],[C&amp;I Incentive Disbursements]]</f>
        <v>201531.19</v>
      </c>
      <c r="G268" s="193">
        <f>[2]!Table3[[#This Row],[Incentive Disbursements]]/'[2]1.) CLM Reference'!$B$5</f>
        <v>6.22190802000372E-3</v>
      </c>
      <c r="H268" s="133">
        <v>65818.212705069105</v>
      </c>
      <c r="I268" s="132">
        <f>[2]!Table3[[#This Row],[CLM $ Collected ]]/'[2]1.) CLM Reference'!$B$4</f>
        <v>4.4348206090830244E-3</v>
      </c>
      <c r="J268" s="131">
        <v>31948.690000000002</v>
      </c>
      <c r="K268" s="132">
        <f>[2]!Table3[[#This Row],[Incentive Disbursements]]/'[2]1.) CLM Reference'!$B$5</f>
        <v>6.22190802000372E-3</v>
      </c>
      <c r="L268" s="133">
        <v>34121.015247900039</v>
      </c>
      <c r="M268" s="194">
        <f>[2]!Table3[[#This Row],[CLM $ Collected ]]/'[2]1.) CLM Reference'!$B$4</f>
        <v>4.4348206090830244E-3</v>
      </c>
      <c r="N268" s="131">
        <v>169582.5</v>
      </c>
      <c r="O268" s="195">
        <f>[2]!Table3[[#This Row],[Incentive Disbursements]]/'[2]1.) CLM Reference'!$B$5</f>
        <v>6.22190802000372E-3</v>
      </c>
      <c r="P268" t="str">
        <f t="shared" si="4"/>
        <v>YES</v>
      </c>
      <c r="Q268" t="str">
        <f>VLOOKUP(Table8[[#This Row],[Census Tract]],'UI EnergyBurden'!$A$2:$B$184,2,FALSE)</f>
        <v>No</v>
      </c>
      <c r="R268">
        <f>VLOOKUP(Table8[[#This Row],[Census Tract]],'Population and Diversity Data'!$B$2:$K$823,10,FALSE)</f>
        <v>5</v>
      </c>
    </row>
    <row r="269" spans="1:18" ht="17" thickBot="1" x14ac:dyDescent="0.25">
      <c r="A269" s="143">
        <v>9009165700</v>
      </c>
      <c r="B269" s="143" t="s">
        <v>953</v>
      </c>
      <c r="C269" s="138" t="s">
        <v>3886</v>
      </c>
      <c r="D269" s="186">
        <f>[2]!Table3[[#This Row],[Residential CLM $ Collected]]+[2]!Table3[[#This Row],[C&amp;I CLM $ Collected]]</f>
        <v>52621.523097673089</v>
      </c>
      <c r="E269" s="193">
        <f>[2]!Table3[[#This Row],[CLM $ Collected ]]/'[2]1.) CLM Reference'!$B$4</f>
        <v>2.3350892326756845E-3</v>
      </c>
      <c r="F269" s="188">
        <f>[2]!Table3[[#This Row],[Residential Incentive Disbursements]]+[2]!Table3[[#This Row],[C&amp;I Incentive Disbursements]]</f>
        <v>80994.88999999997</v>
      </c>
      <c r="G269" s="193">
        <f>[2]!Table3[[#This Row],[Incentive Disbursements]]/'[2]1.) CLM Reference'!$B$5</f>
        <v>2.5005695429591761E-3</v>
      </c>
      <c r="H269" s="133">
        <v>49870.724847666221</v>
      </c>
      <c r="I269" s="132">
        <f>[2]!Table3[[#This Row],[CLM $ Collected ]]/'[2]1.) CLM Reference'!$B$4</f>
        <v>2.3350892326756845E-3</v>
      </c>
      <c r="J269" s="131">
        <v>75839.88999999997</v>
      </c>
      <c r="K269" s="132">
        <f>[2]!Table3[[#This Row],[Incentive Disbursements]]/'[2]1.) CLM Reference'!$B$5</f>
        <v>2.5005695429591761E-3</v>
      </c>
      <c r="L269" s="133">
        <v>2750.7982500068679</v>
      </c>
      <c r="M269" s="194">
        <f>[2]!Table3[[#This Row],[CLM $ Collected ]]/'[2]1.) CLM Reference'!$B$4</f>
        <v>2.3350892326756845E-3</v>
      </c>
      <c r="N269" s="131">
        <v>5155</v>
      </c>
      <c r="O269" s="195">
        <f>[2]!Table3[[#This Row],[Incentive Disbursements]]/'[2]1.) CLM Reference'!$B$5</f>
        <v>2.5005695429591761E-3</v>
      </c>
      <c r="P269" t="str">
        <f t="shared" si="4"/>
        <v>YES</v>
      </c>
      <c r="Q269" t="str">
        <f>VLOOKUP(Table8[[#This Row],[Census Tract]],'UI EnergyBurden'!$A$2:$B$184,2,FALSE)</f>
        <v>No</v>
      </c>
      <c r="R269">
        <f>VLOOKUP(Table8[[#This Row],[Census Tract]],'Population and Diversity Data'!$B$2:$K$823,10,FALSE)</f>
        <v>4</v>
      </c>
    </row>
    <row r="270" spans="1:18" ht="17" thickBot="1" x14ac:dyDescent="0.25">
      <c r="A270" s="143">
        <v>9009165700</v>
      </c>
      <c r="B270" s="143" t="s">
        <v>943</v>
      </c>
      <c r="C270" s="138" t="s">
        <v>3886</v>
      </c>
      <c r="D270" s="186">
        <f>[2]!Table3[[#This Row],[Residential CLM $ Collected]]+[2]!Table3[[#This Row],[C&amp;I CLM $ Collected]]</f>
        <v>6.7357254409909038</v>
      </c>
      <c r="E270" s="193">
        <f>[2]!Table3[[#This Row],[CLM $ Collected ]]/'[2]1.) CLM Reference'!$B$4</f>
        <v>2.9889898706130469E-7</v>
      </c>
      <c r="F270" s="188">
        <f>[2]!Table3[[#This Row],[Residential Incentive Disbursements]]+[2]!Table3[[#This Row],[C&amp;I Incentive Disbursements]]</f>
        <v>0</v>
      </c>
      <c r="G270" s="193">
        <f>[2]!Table3[[#This Row],[Incentive Disbursements]]/'[2]1.) CLM Reference'!$B$5</f>
        <v>0</v>
      </c>
      <c r="H270" s="133">
        <v>0</v>
      </c>
      <c r="I270" s="132">
        <f>[2]!Table3[[#This Row],[CLM $ Collected ]]/'[2]1.) CLM Reference'!$B$4</f>
        <v>2.9889898706130469E-7</v>
      </c>
      <c r="J270" s="131">
        <v>0</v>
      </c>
      <c r="K270" s="132">
        <f>[2]!Table3[[#This Row],[Incentive Disbursements]]/'[2]1.) CLM Reference'!$B$5</f>
        <v>0</v>
      </c>
      <c r="L270" s="133">
        <v>6.7357254409909038</v>
      </c>
      <c r="M270" s="194">
        <f>[2]!Table3[[#This Row],[CLM $ Collected ]]/'[2]1.) CLM Reference'!$B$4</f>
        <v>2.9889898706130469E-7</v>
      </c>
      <c r="N270" s="131">
        <v>0</v>
      </c>
      <c r="O270" s="195">
        <f>[2]!Table3[[#This Row],[Incentive Disbursements]]/'[2]1.) CLM Reference'!$B$5</f>
        <v>0</v>
      </c>
      <c r="P270" t="str">
        <f t="shared" si="4"/>
        <v>N/A</v>
      </c>
      <c r="Q270" t="str">
        <f>VLOOKUP(Table8[[#This Row],[Census Tract]],'UI EnergyBurden'!$A$2:$B$184,2,FALSE)</f>
        <v>No</v>
      </c>
      <c r="R270">
        <f>VLOOKUP(Table8[[#This Row],[Census Tract]],'Population and Diversity Data'!$B$2:$K$823,10,FALSE)</f>
        <v>4</v>
      </c>
    </row>
    <row r="271" spans="1:18" ht="17" thickBot="1" x14ac:dyDescent="0.25">
      <c r="A271" s="143">
        <v>9009165801</v>
      </c>
      <c r="B271" s="143" t="s">
        <v>953</v>
      </c>
      <c r="C271" s="138" t="s">
        <v>3886</v>
      </c>
      <c r="D271" s="186">
        <f>[2]!Table3[[#This Row],[Residential CLM $ Collected]]+[2]!Table3[[#This Row],[C&amp;I CLM $ Collected]]</f>
        <v>118582.40022191824</v>
      </c>
      <c r="E271" s="193">
        <f>[2]!Table3[[#This Row],[CLM $ Collected ]]/'[2]1.) CLM Reference'!$B$4</f>
        <v>5.2621146185577519E-3</v>
      </c>
      <c r="F271" s="188">
        <f>[2]!Table3[[#This Row],[Residential Incentive Disbursements]]+[2]!Table3[[#This Row],[C&amp;I Incentive Disbursements]]</f>
        <v>143794.20000000001</v>
      </c>
      <c r="G271" s="193">
        <f>[2]!Table3[[#This Row],[Incentive Disbursements]]/'[2]1.) CLM Reference'!$B$5</f>
        <v>4.4393837311734177E-3</v>
      </c>
      <c r="H271" s="133">
        <v>66286.103247902487</v>
      </c>
      <c r="I271" s="132">
        <f>[2]!Table3[[#This Row],[CLM $ Collected ]]/'[2]1.) CLM Reference'!$B$4</f>
        <v>5.2621146185577519E-3</v>
      </c>
      <c r="J271" s="131">
        <v>32944.449999999997</v>
      </c>
      <c r="K271" s="132">
        <f>[2]!Table3[[#This Row],[Incentive Disbursements]]/'[2]1.) CLM Reference'!$B$5</f>
        <v>4.4393837311734177E-3</v>
      </c>
      <c r="L271" s="133">
        <v>52296.29697401575</v>
      </c>
      <c r="M271" s="194">
        <f>[2]!Table3[[#This Row],[CLM $ Collected ]]/'[2]1.) CLM Reference'!$B$4</f>
        <v>5.2621146185577519E-3</v>
      </c>
      <c r="N271" s="131">
        <v>110849.75</v>
      </c>
      <c r="O271" s="195">
        <f>[2]!Table3[[#This Row],[Incentive Disbursements]]/'[2]1.) CLM Reference'!$B$5</f>
        <v>4.4393837311734177E-3</v>
      </c>
      <c r="P271" t="str">
        <f t="shared" si="4"/>
        <v>NO</v>
      </c>
      <c r="Q271" t="str">
        <f>VLOOKUP(Table8[[#This Row],[Census Tract]],'UI EnergyBurden'!$A$2:$B$184,2,FALSE)</f>
        <v>No</v>
      </c>
      <c r="R271">
        <f>VLOOKUP(Table8[[#This Row],[Census Tract]],'Population and Diversity Data'!$B$2:$K$823,10,FALSE)</f>
        <v>4</v>
      </c>
    </row>
    <row r="272" spans="1:18" ht="17" thickBot="1" x14ac:dyDescent="0.25">
      <c r="A272" s="143">
        <v>9009165802</v>
      </c>
      <c r="B272" s="143" t="s">
        <v>953</v>
      </c>
      <c r="C272" s="138" t="s">
        <v>3886</v>
      </c>
      <c r="D272" s="186">
        <f>[2]!Table3[[#This Row],[Residential CLM $ Collected]]+[2]!Table3[[#This Row],[C&amp;I CLM $ Collected]]</f>
        <v>65788.49518302409</v>
      </c>
      <c r="E272" s="193">
        <f>[2]!Table3[[#This Row],[CLM $ Collected ]]/'[2]1.) CLM Reference'!$B$4</f>
        <v>2.919375907281726E-3</v>
      </c>
      <c r="F272" s="188">
        <f>[2]!Table3[[#This Row],[Residential Incentive Disbursements]]+[2]!Table3[[#This Row],[C&amp;I Incentive Disbursements]]</f>
        <v>90876.53</v>
      </c>
      <c r="G272" s="193">
        <f>[2]!Table3[[#This Row],[Incentive Disbursements]]/'[2]1.) CLM Reference'!$B$5</f>
        <v>2.8056471598123778E-3</v>
      </c>
      <c r="H272" s="133">
        <v>60705.847878756489</v>
      </c>
      <c r="I272" s="132">
        <f>[2]!Table3[[#This Row],[CLM $ Collected ]]/'[2]1.) CLM Reference'!$B$4</f>
        <v>2.919375907281726E-3</v>
      </c>
      <c r="J272" s="131">
        <v>90666.53</v>
      </c>
      <c r="K272" s="132">
        <f>[2]!Table3[[#This Row],[Incentive Disbursements]]/'[2]1.) CLM Reference'!$B$5</f>
        <v>2.8056471598123778E-3</v>
      </c>
      <c r="L272" s="133">
        <v>5082.6473042676071</v>
      </c>
      <c r="M272" s="194">
        <f>[2]!Table3[[#This Row],[CLM $ Collected ]]/'[2]1.) CLM Reference'!$B$4</f>
        <v>2.919375907281726E-3</v>
      </c>
      <c r="N272" s="131">
        <v>210</v>
      </c>
      <c r="O272" s="195">
        <f>[2]!Table3[[#This Row],[Incentive Disbursements]]/'[2]1.) CLM Reference'!$B$5</f>
        <v>2.8056471598123778E-3</v>
      </c>
      <c r="P272" t="str">
        <f t="shared" si="4"/>
        <v>NO</v>
      </c>
      <c r="Q272" t="str">
        <f>VLOOKUP(Table8[[#This Row],[Census Tract]],'UI EnergyBurden'!$A$2:$B$184,2,FALSE)</f>
        <v>No</v>
      </c>
      <c r="R272">
        <f>VLOOKUP(Table8[[#This Row],[Census Tract]],'Population and Diversity Data'!$B$2:$K$823,10,FALSE)</f>
        <v>3</v>
      </c>
    </row>
    <row r="273" spans="1:18" ht="17" thickBot="1" x14ac:dyDescent="0.25">
      <c r="A273" s="143">
        <v>9009165802</v>
      </c>
      <c r="B273" s="143" t="s">
        <v>943</v>
      </c>
      <c r="C273" s="138" t="s">
        <v>3886</v>
      </c>
      <c r="D273" s="186">
        <f>[2]!Table3[[#This Row],[Residential CLM $ Collected]]+[2]!Table3[[#This Row],[C&amp;I CLM $ Collected]]</f>
        <v>137.89077962406876</v>
      </c>
      <c r="E273" s="193">
        <f>[2]!Table3[[#This Row],[CLM $ Collected ]]/'[2]1.) CLM Reference'!$B$4</f>
        <v>6.1189273101761813E-6</v>
      </c>
      <c r="F273" s="188">
        <f>[2]!Table3[[#This Row],[Residential Incentive Disbursements]]+[2]!Table3[[#This Row],[C&amp;I Incentive Disbursements]]</f>
        <v>0</v>
      </c>
      <c r="G273" s="193">
        <f>[2]!Table3[[#This Row],[Incentive Disbursements]]/'[2]1.) CLM Reference'!$B$5</f>
        <v>0</v>
      </c>
      <c r="H273" s="133">
        <v>0</v>
      </c>
      <c r="I273" s="132">
        <f>[2]!Table3[[#This Row],[CLM $ Collected ]]/'[2]1.) CLM Reference'!$B$4</f>
        <v>6.1189273101761813E-6</v>
      </c>
      <c r="J273" s="131">
        <v>0</v>
      </c>
      <c r="K273" s="132">
        <f>[2]!Table3[[#This Row],[Incentive Disbursements]]/'[2]1.) CLM Reference'!$B$5</f>
        <v>0</v>
      </c>
      <c r="L273" s="133">
        <v>137.89077962406876</v>
      </c>
      <c r="M273" s="194">
        <f>[2]!Table3[[#This Row],[CLM $ Collected ]]/'[2]1.) CLM Reference'!$B$4</f>
        <v>6.1189273101761813E-6</v>
      </c>
      <c r="N273" s="131">
        <v>0</v>
      </c>
      <c r="O273" s="195">
        <f>[2]!Table3[[#This Row],[Incentive Disbursements]]/'[2]1.) CLM Reference'!$B$5</f>
        <v>0</v>
      </c>
      <c r="P273" t="str">
        <f t="shared" si="4"/>
        <v>NO</v>
      </c>
      <c r="Q273" t="str">
        <f>VLOOKUP(Table8[[#This Row],[Census Tract]],'UI EnergyBurden'!$A$2:$B$184,2,FALSE)</f>
        <v>No</v>
      </c>
      <c r="R273">
        <f>VLOOKUP(Table8[[#This Row],[Census Tract]],'Population and Diversity Data'!$B$2:$K$823,10,FALSE)</f>
        <v>3</v>
      </c>
    </row>
    <row r="274" spans="1:18" ht="17" thickBot="1" x14ac:dyDescent="0.25">
      <c r="A274" s="143">
        <v>9009165900</v>
      </c>
      <c r="B274" s="143" t="s">
        <v>953</v>
      </c>
      <c r="C274" s="138" t="s">
        <v>3886</v>
      </c>
      <c r="D274" s="186">
        <f>[2]!Table3[[#This Row],[Residential CLM $ Collected]]+[2]!Table3[[#This Row],[C&amp;I CLM $ Collected]]</f>
        <v>170099.3843807581</v>
      </c>
      <c r="E274" s="193">
        <f>[2]!Table3[[#This Row],[CLM $ Collected ]]/'[2]1.) CLM Reference'!$B$4</f>
        <v>7.5481897438623305E-3</v>
      </c>
      <c r="F274" s="188">
        <f>[2]!Table3[[#This Row],[Residential Incentive Disbursements]]+[2]!Table3[[#This Row],[C&amp;I Incentive Disbursements]]</f>
        <v>289071.90999999997</v>
      </c>
      <c r="G274" s="193">
        <f>[2]!Table3[[#This Row],[Incentive Disbursements]]/'[2]1.) CLM Reference'!$B$5</f>
        <v>8.9245681285700408E-3</v>
      </c>
      <c r="H274" s="133">
        <v>123095.44245085338</v>
      </c>
      <c r="I274" s="132">
        <f>[2]!Table3[[#This Row],[CLM $ Collected ]]/'[2]1.) CLM Reference'!$B$4</f>
        <v>7.5481897438623305E-3</v>
      </c>
      <c r="J274" s="131">
        <v>161429.39999999997</v>
      </c>
      <c r="K274" s="132">
        <f>[2]!Table3[[#This Row],[Incentive Disbursements]]/'[2]1.) CLM Reference'!$B$5</f>
        <v>8.9245681285700408E-3</v>
      </c>
      <c r="L274" s="133">
        <v>47003.941929904708</v>
      </c>
      <c r="M274" s="194">
        <f>[2]!Table3[[#This Row],[CLM $ Collected ]]/'[2]1.) CLM Reference'!$B$4</f>
        <v>7.5481897438623305E-3</v>
      </c>
      <c r="N274" s="131">
        <v>127642.51000000001</v>
      </c>
      <c r="O274" s="195">
        <f>[2]!Table3[[#This Row],[Incentive Disbursements]]/'[2]1.) CLM Reference'!$B$5</f>
        <v>8.9245681285700408E-3</v>
      </c>
      <c r="P274" t="str">
        <f t="shared" si="4"/>
        <v>YES</v>
      </c>
      <c r="Q274" t="str">
        <f>VLOOKUP(Table8[[#This Row],[Census Tract]],'UI EnergyBurden'!$A$2:$B$184,2,FALSE)</f>
        <v>No</v>
      </c>
      <c r="R274">
        <f>VLOOKUP(Table8[[#This Row],[Census Tract]],'Population and Diversity Data'!$B$2:$K$823,10,FALSE)</f>
        <v>3</v>
      </c>
    </row>
    <row r="275" spans="1:18" ht="17" thickBot="1" x14ac:dyDescent="0.25">
      <c r="A275" s="143">
        <v>9009166001</v>
      </c>
      <c r="B275" s="143" t="s">
        <v>953</v>
      </c>
      <c r="C275" s="138" t="s">
        <v>3886</v>
      </c>
      <c r="D275" s="186">
        <f>[2]!Table3[[#This Row],[Residential CLM $ Collected]]+[2]!Table3[[#This Row],[C&amp;I CLM $ Collected]]</f>
        <v>129061.27308893725</v>
      </c>
      <c r="E275" s="193">
        <f>[2]!Table3[[#This Row],[CLM $ Collected ]]/'[2]1.) CLM Reference'!$B$4</f>
        <v>5.7271164231793188E-3</v>
      </c>
      <c r="F275" s="188">
        <f>[2]!Table3[[#This Row],[Residential Incentive Disbursements]]+[2]!Table3[[#This Row],[C&amp;I Incentive Disbursements]]</f>
        <v>276272.68000000005</v>
      </c>
      <c r="G275" s="193">
        <f>[2]!Table3[[#This Row],[Incentive Disbursements]]/'[2]1.) CLM Reference'!$B$5</f>
        <v>8.5294152403899443E-3</v>
      </c>
      <c r="H275" s="133">
        <v>84040.002791769002</v>
      </c>
      <c r="I275" s="132">
        <f>[2]!Table3[[#This Row],[CLM $ Collected ]]/'[2]1.) CLM Reference'!$B$4</f>
        <v>5.7271164231793188E-3</v>
      </c>
      <c r="J275" s="131">
        <v>167042.68000000002</v>
      </c>
      <c r="K275" s="132">
        <f>[2]!Table3[[#This Row],[Incentive Disbursements]]/'[2]1.) CLM Reference'!$B$5</f>
        <v>8.5294152403899443E-3</v>
      </c>
      <c r="L275" s="133">
        <v>45021.270297168237</v>
      </c>
      <c r="M275" s="194">
        <f>[2]!Table3[[#This Row],[CLM $ Collected ]]/'[2]1.) CLM Reference'!$B$4</f>
        <v>5.7271164231793188E-3</v>
      </c>
      <c r="N275" s="131">
        <v>109230</v>
      </c>
      <c r="O275" s="195">
        <f>[2]!Table3[[#This Row],[Incentive Disbursements]]/'[2]1.) CLM Reference'!$B$5</f>
        <v>8.5294152403899443E-3</v>
      </c>
      <c r="P275" t="str">
        <f t="shared" si="4"/>
        <v>YES</v>
      </c>
      <c r="Q275" t="str">
        <f>VLOOKUP(Table8[[#This Row],[Census Tract]],'UI EnergyBurden'!$A$2:$B$184,2,FALSE)</f>
        <v>No</v>
      </c>
      <c r="R275">
        <f>VLOOKUP(Table8[[#This Row],[Census Tract]],'Population and Diversity Data'!$B$2:$K$823,10,FALSE)</f>
        <v>4</v>
      </c>
    </row>
    <row r="276" spans="1:18" ht="17" thickBot="1" x14ac:dyDescent="0.25">
      <c r="A276" s="143">
        <v>9009166002</v>
      </c>
      <c r="B276" s="143" t="s">
        <v>953</v>
      </c>
      <c r="C276" s="138" t="s">
        <v>3886</v>
      </c>
      <c r="D276" s="186">
        <f>[2]!Table3[[#This Row],[Residential CLM $ Collected]]+[2]!Table3[[#This Row],[C&amp;I CLM $ Collected]]</f>
        <v>105945.66684395164</v>
      </c>
      <c r="E276" s="193">
        <f>[2]!Table3[[#This Row],[CLM $ Collected ]]/'[2]1.) CLM Reference'!$B$4</f>
        <v>4.7013573787433064E-3</v>
      </c>
      <c r="F276" s="188">
        <f>[2]!Table3[[#This Row],[Residential Incentive Disbursements]]+[2]!Table3[[#This Row],[C&amp;I Incentive Disbursements]]</f>
        <v>157503.5</v>
      </c>
      <c r="G276" s="193">
        <f>[2]!Table3[[#This Row],[Incentive Disbursements]]/'[2]1.) CLM Reference'!$B$5</f>
        <v>4.8626333711851545E-3</v>
      </c>
      <c r="H276" s="133">
        <v>75960.146949840622</v>
      </c>
      <c r="I276" s="132">
        <f>[2]!Table3[[#This Row],[CLM $ Collected ]]/'[2]1.) CLM Reference'!$B$4</f>
        <v>4.7013573787433064E-3</v>
      </c>
      <c r="J276" s="131">
        <v>59340.130000000005</v>
      </c>
      <c r="K276" s="132">
        <f>[2]!Table3[[#This Row],[Incentive Disbursements]]/'[2]1.) CLM Reference'!$B$5</f>
        <v>4.8626333711851545E-3</v>
      </c>
      <c r="L276" s="133">
        <v>29985.519894111017</v>
      </c>
      <c r="M276" s="194">
        <f>[2]!Table3[[#This Row],[CLM $ Collected ]]/'[2]1.) CLM Reference'!$B$4</f>
        <v>4.7013573787433064E-3</v>
      </c>
      <c r="N276" s="131">
        <v>98163.37</v>
      </c>
      <c r="O276" s="195">
        <f>[2]!Table3[[#This Row],[Incentive Disbursements]]/'[2]1.) CLM Reference'!$B$5</f>
        <v>4.8626333711851545E-3</v>
      </c>
      <c r="P276" t="str">
        <f t="shared" si="4"/>
        <v>YES</v>
      </c>
      <c r="Q276" t="str">
        <f>VLOOKUP(Table8[[#This Row],[Census Tract]],'UI EnergyBurden'!$A$2:$B$184,2,FALSE)</f>
        <v>No</v>
      </c>
      <c r="R276">
        <f>VLOOKUP(Table8[[#This Row],[Census Tract]],'Population and Diversity Data'!$B$2:$K$823,10,FALSE)</f>
        <v>3</v>
      </c>
    </row>
    <row r="277" spans="1:18" ht="17" thickBot="1" x14ac:dyDescent="0.25">
      <c r="A277" s="143">
        <v>9009166002</v>
      </c>
      <c r="B277" s="143" t="s">
        <v>943</v>
      </c>
      <c r="C277" s="138" t="s">
        <v>3886</v>
      </c>
      <c r="D277" s="186">
        <f>[2]!Table3[[#This Row],[Residential CLM $ Collected]]+[2]!Table3[[#This Row],[C&amp;I CLM $ Collected]]</f>
        <v>90.791484936618986</v>
      </c>
      <c r="E277" s="193">
        <f>[2]!Table3[[#This Row],[CLM $ Collected ]]/'[2]1.) CLM Reference'!$B$4</f>
        <v>4.0288879229250291E-6</v>
      </c>
      <c r="F277" s="188">
        <f>[2]!Table3[[#This Row],[Residential Incentive Disbursements]]+[2]!Table3[[#This Row],[C&amp;I Incentive Disbursements]]</f>
        <v>0</v>
      </c>
      <c r="G277" s="193">
        <f>[2]!Table3[[#This Row],[Incentive Disbursements]]/'[2]1.) CLM Reference'!$B$5</f>
        <v>0</v>
      </c>
      <c r="H277" s="133">
        <v>0</v>
      </c>
      <c r="I277" s="132">
        <f>[2]!Table3[[#This Row],[CLM $ Collected ]]/'[2]1.) CLM Reference'!$B$4</f>
        <v>4.0288879229250291E-6</v>
      </c>
      <c r="J277" s="131">
        <v>0</v>
      </c>
      <c r="K277" s="132">
        <f>[2]!Table3[[#This Row],[Incentive Disbursements]]/'[2]1.) CLM Reference'!$B$5</f>
        <v>0</v>
      </c>
      <c r="L277" s="133">
        <v>90.791484936618986</v>
      </c>
      <c r="M277" s="194">
        <f>[2]!Table3[[#This Row],[CLM $ Collected ]]/'[2]1.) CLM Reference'!$B$4</f>
        <v>4.0288879229250291E-6</v>
      </c>
      <c r="N277" s="131">
        <v>0</v>
      </c>
      <c r="O277" s="195">
        <f>[2]!Table3[[#This Row],[Incentive Disbursements]]/'[2]1.) CLM Reference'!$B$5</f>
        <v>0</v>
      </c>
      <c r="P277" t="str">
        <f t="shared" si="4"/>
        <v>N/A</v>
      </c>
      <c r="Q277" t="str">
        <f>VLOOKUP(Table8[[#This Row],[Census Tract]],'UI EnergyBurden'!$A$2:$B$184,2,FALSE)</f>
        <v>No</v>
      </c>
      <c r="R277">
        <f>VLOOKUP(Table8[[#This Row],[Census Tract]],'Population and Diversity Data'!$B$2:$K$823,10,FALSE)</f>
        <v>3</v>
      </c>
    </row>
    <row r="278" spans="1:18" ht="17" thickBot="1" x14ac:dyDescent="0.25">
      <c r="A278" s="143">
        <v>9009166002</v>
      </c>
      <c r="B278" s="143" t="s">
        <v>3004</v>
      </c>
      <c r="C278" s="138" t="s">
        <v>3886</v>
      </c>
      <c r="D278" s="186">
        <f>[2]!Table3[[#This Row],[Residential CLM $ Collected]]+[2]!Table3[[#This Row],[C&amp;I CLM $ Collected]]</f>
        <v>208.17038784079563</v>
      </c>
      <c r="E278" s="193">
        <f>[2]!Table3[[#This Row],[CLM $ Collected ]]/'[2]1.) CLM Reference'!$B$4</f>
        <v>9.2375971388494096E-6</v>
      </c>
      <c r="F278" s="188">
        <f>[2]!Table3[[#This Row],[Residential Incentive Disbursements]]+[2]!Table3[[#This Row],[C&amp;I Incentive Disbursements]]</f>
        <v>0</v>
      </c>
      <c r="G278" s="193">
        <f>[2]!Table3[[#This Row],[Incentive Disbursements]]/'[2]1.) CLM Reference'!$B$5</f>
        <v>0</v>
      </c>
      <c r="H278" s="133">
        <v>208.17038784079563</v>
      </c>
      <c r="I278" s="132">
        <f>[2]!Table3[[#This Row],[CLM $ Collected ]]/'[2]1.) CLM Reference'!$B$4</f>
        <v>9.2375971388494096E-6</v>
      </c>
      <c r="J278" s="131">
        <v>0</v>
      </c>
      <c r="K278" s="132">
        <f>[2]!Table3[[#This Row],[Incentive Disbursements]]/'[2]1.) CLM Reference'!$B$5</f>
        <v>0</v>
      </c>
      <c r="L278" s="133">
        <v>0</v>
      </c>
      <c r="M278" s="194">
        <f>[2]!Table3[[#This Row],[CLM $ Collected ]]/'[2]1.) CLM Reference'!$B$4</f>
        <v>9.2375971388494096E-6</v>
      </c>
      <c r="N278" s="131">
        <v>0</v>
      </c>
      <c r="O278" s="195">
        <f>[2]!Table3[[#This Row],[Incentive Disbursements]]/'[2]1.) CLM Reference'!$B$5</f>
        <v>0</v>
      </c>
      <c r="P278" t="str">
        <f t="shared" si="4"/>
        <v>NO</v>
      </c>
      <c r="Q278" t="str">
        <f>VLOOKUP(Table8[[#This Row],[Census Tract]],'UI EnergyBurden'!$A$2:$B$184,2,FALSE)</f>
        <v>No</v>
      </c>
      <c r="R278">
        <f>VLOOKUP(Table8[[#This Row],[Census Tract]],'Population and Diversity Data'!$B$2:$K$823,10,FALSE)</f>
        <v>3</v>
      </c>
    </row>
    <row r="279" spans="1:18" ht="17" thickBot="1" x14ac:dyDescent="0.25">
      <c r="A279" s="143">
        <v>9009167100</v>
      </c>
      <c r="B279" s="143" t="s">
        <v>953</v>
      </c>
      <c r="C279" s="138" t="s">
        <v>3886</v>
      </c>
      <c r="D279" s="186">
        <f>[2]!Table3[[#This Row],[Residential CLM $ Collected]]+[2]!Table3[[#This Row],[C&amp;I CLM $ Collected]]</f>
        <v>702.97613240181215</v>
      </c>
      <c r="E279" s="193">
        <f>[2]!Table3[[#This Row],[CLM $ Collected ]]/'[2]1.) CLM Reference'!$B$4</f>
        <v>3.1194688047181499E-5</v>
      </c>
      <c r="F279" s="188">
        <f>[2]!Table3[[#This Row],[Residential Incentive Disbursements]]+[2]!Table3[[#This Row],[C&amp;I Incentive Disbursements]]</f>
        <v>0</v>
      </c>
      <c r="G279" s="193">
        <f>[2]!Table3[[#This Row],[Incentive Disbursements]]/'[2]1.) CLM Reference'!$B$5</f>
        <v>0</v>
      </c>
      <c r="H279" s="133">
        <v>604.73333775870969</v>
      </c>
      <c r="I279" s="132">
        <f>[2]!Table3[[#This Row],[CLM $ Collected ]]/'[2]1.) CLM Reference'!$B$4</f>
        <v>3.1194688047181499E-5</v>
      </c>
      <c r="J279" s="131">
        <v>0</v>
      </c>
      <c r="K279" s="132">
        <f>[2]!Table3[[#This Row],[Incentive Disbursements]]/'[2]1.) CLM Reference'!$B$5</f>
        <v>0</v>
      </c>
      <c r="L279" s="133">
        <v>98.242794643102428</v>
      </c>
      <c r="M279" s="194">
        <f>[2]!Table3[[#This Row],[CLM $ Collected ]]/'[2]1.) CLM Reference'!$B$4</f>
        <v>3.1194688047181499E-5</v>
      </c>
      <c r="N279" s="131">
        <v>0</v>
      </c>
      <c r="O279" s="195">
        <f>[2]!Table3[[#This Row],[Incentive Disbursements]]/'[2]1.) CLM Reference'!$B$5</f>
        <v>0</v>
      </c>
      <c r="P279" t="str">
        <f t="shared" si="4"/>
        <v>NO</v>
      </c>
      <c r="Q279" t="str">
        <f>VLOOKUP(Table8[[#This Row],[Census Tract]],'UI EnergyBurden'!$A$2:$B$184,2,FALSE)</f>
        <v>No</v>
      </c>
      <c r="R279">
        <f>VLOOKUP(Table8[[#This Row],[Census Tract]],'Population and Diversity Data'!$B$2:$K$823,10,FALSE)</f>
        <v>3</v>
      </c>
    </row>
    <row r="280" spans="1:18" ht="17" thickBot="1" x14ac:dyDescent="0.25">
      <c r="A280" s="143">
        <v>9009167100</v>
      </c>
      <c r="B280" s="143" t="s">
        <v>3004</v>
      </c>
      <c r="C280" s="138" t="s">
        <v>3886</v>
      </c>
      <c r="D280" s="186">
        <f>[2]!Table3[[#This Row],[Residential CLM $ Collected]]+[2]!Table3[[#This Row],[C&amp;I CLM $ Collected]]</f>
        <v>207120.63033999043</v>
      </c>
      <c r="E280" s="193">
        <f>[2]!Table3[[#This Row],[CLM $ Collected ]]/'[2]1.) CLM Reference'!$B$4</f>
        <v>9.1910139673113903E-3</v>
      </c>
      <c r="F280" s="188">
        <f>[2]!Table3[[#This Row],[Residential Incentive Disbursements]]+[2]!Table3[[#This Row],[C&amp;I Incentive Disbursements]]</f>
        <v>347220.24000000011</v>
      </c>
      <c r="G280" s="193">
        <f>[2]!Table3[[#This Row],[Incentive Disbursements]]/'[2]1.) CLM Reference'!$B$5</f>
        <v>1.0719791789864474E-2</v>
      </c>
      <c r="H280" s="133">
        <v>151146.96890897202</v>
      </c>
      <c r="I280" s="132">
        <f>[2]!Table3[[#This Row],[CLM $ Collected ]]/'[2]1.) CLM Reference'!$B$4</f>
        <v>9.1910139673113903E-3</v>
      </c>
      <c r="J280" s="131">
        <v>201002.22000000006</v>
      </c>
      <c r="K280" s="132">
        <f>[2]!Table3[[#This Row],[Incentive Disbursements]]/'[2]1.) CLM Reference'!$B$5</f>
        <v>1.0719791789864474E-2</v>
      </c>
      <c r="L280" s="133">
        <v>55973.661431018423</v>
      </c>
      <c r="M280" s="194">
        <f>[2]!Table3[[#This Row],[CLM $ Collected ]]/'[2]1.) CLM Reference'!$B$4</f>
        <v>9.1910139673113903E-3</v>
      </c>
      <c r="N280" s="131">
        <v>146218.02000000002</v>
      </c>
      <c r="O280" s="195">
        <f>[2]!Table3[[#This Row],[Incentive Disbursements]]/'[2]1.) CLM Reference'!$B$5</f>
        <v>1.0719791789864474E-2</v>
      </c>
      <c r="P280" t="str">
        <f t="shared" si="4"/>
        <v>YES</v>
      </c>
      <c r="Q280" t="str">
        <f>VLOOKUP(Table8[[#This Row],[Census Tract]],'UI EnergyBurden'!$A$2:$B$184,2,FALSE)</f>
        <v>No</v>
      </c>
      <c r="R280">
        <f>VLOOKUP(Table8[[#This Row],[Census Tract]],'Population and Diversity Data'!$B$2:$K$823,10,FALSE)</f>
        <v>3</v>
      </c>
    </row>
    <row r="281" spans="1:18" ht="17" thickBot="1" x14ac:dyDescent="0.25">
      <c r="A281" s="143">
        <v>9009167201</v>
      </c>
      <c r="B281" s="143" t="s">
        <v>3880</v>
      </c>
      <c r="C281" s="138" t="s">
        <v>3886</v>
      </c>
      <c r="D281" s="186">
        <f>[2]!Table3[[#This Row],[Residential CLM $ Collected]]+[2]!Table3[[#This Row],[C&amp;I CLM $ Collected]]</f>
        <v>36.444014140632071</v>
      </c>
      <c r="E281" s="193">
        <f>[2]!Table3[[#This Row],[CLM $ Collected ]]/'[2]1.) CLM Reference'!$B$4</f>
        <v>1.6172094611802188E-6</v>
      </c>
      <c r="F281" s="188">
        <f>[2]!Table3[[#This Row],[Residential Incentive Disbursements]]+[2]!Table3[[#This Row],[C&amp;I Incentive Disbursements]]</f>
        <v>0</v>
      </c>
      <c r="G281" s="193">
        <f>[2]!Table3[[#This Row],[Incentive Disbursements]]/'[2]1.) CLM Reference'!$B$5</f>
        <v>0</v>
      </c>
      <c r="H281" s="133">
        <v>0</v>
      </c>
      <c r="I281" s="132">
        <f>[2]!Table3[[#This Row],[CLM $ Collected ]]/'[2]1.) CLM Reference'!$B$4</f>
        <v>1.6172094611802188E-6</v>
      </c>
      <c r="J281" s="131">
        <v>0</v>
      </c>
      <c r="K281" s="132">
        <f>[2]!Table3[[#This Row],[Incentive Disbursements]]/'[2]1.) CLM Reference'!$B$5</f>
        <v>0</v>
      </c>
      <c r="L281" s="133">
        <v>36.444014140632071</v>
      </c>
      <c r="M281" s="194">
        <f>[2]!Table3[[#This Row],[CLM $ Collected ]]/'[2]1.) CLM Reference'!$B$4</f>
        <v>1.6172094611802188E-6</v>
      </c>
      <c r="N281" s="131">
        <v>0</v>
      </c>
      <c r="O281" s="195">
        <f>[2]!Table3[[#This Row],[Incentive Disbursements]]/'[2]1.) CLM Reference'!$B$5</f>
        <v>0</v>
      </c>
      <c r="P281" t="str">
        <f t="shared" si="4"/>
        <v>N/A</v>
      </c>
      <c r="Q281" t="str">
        <f>VLOOKUP(Table8[[#This Row],[Census Tract]],'UI EnergyBurden'!$A$2:$B$184,2,FALSE)</f>
        <v>No</v>
      </c>
      <c r="R281">
        <f>VLOOKUP(Table8[[#This Row],[Census Tract]],'Population and Diversity Data'!$B$2:$K$823,10,FALSE)</f>
        <v>2</v>
      </c>
    </row>
    <row r="282" spans="1:18" ht="17" thickBot="1" x14ac:dyDescent="0.25">
      <c r="A282" s="143">
        <v>9009167201</v>
      </c>
      <c r="B282" s="143" t="s">
        <v>943</v>
      </c>
      <c r="C282" s="138" t="s">
        <v>3886</v>
      </c>
      <c r="D282" s="186">
        <f>[2]!Table3[[#This Row],[Residential CLM $ Collected]]+[2]!Table3[[#This Row],[C&amp;I CLM $ Collected]]</f>
        <v>0</v>
      </c>
      <c r="E282" s="193">
        <f>[2]!Table3[[#This Row],[CLM $ Collected ]]/'[2]1.) CLM Reference'!$B$4</f>
        <v>0</v>
      </c>
      <c r="F282" s="188">
        <f>[2]!Table3[[#This Row],[Residential Incentive Disbursements]]+[2]!Table3[[#This Row],[C&amp;I Incentive Disbursements]]</f>
        <v>424</v>
      </c>
      <c r="G282" s="193">
        <f>[2]!Table3[[#This Row],[Incentive Disbursements]]/'[2]1.) CLM Reference'!$B$5</f>
        <v>1.3090226879926513E-5</v>
      </c>
      <c r="H282" s="133">
        <v>0</v>
      </c>
      <c r="I282" s="132">
        <f>[2]!Table3[[#This Row],[CLM $ Collected ]]/'[2]1.) CLM Reference'!$B$4</f>
        <v>0</v>
      </c>
      <c r="J282" s="131">
        <v>0</v>
      </c>
      <c r="K282" s="132">
        <f>[2]!Table3[[#This Row],[Incentive Disbursements]]/'[2]1.) CLM Reference'!$B$5</f>
        <v>1.3090226879926513E-5</v>
      </c>
      <c r="L282" s="133">
        <v>0</v>
      </c>
      <c r="M282" s="194">
        <f>[2]!Table3[[#This Row],[CLM $ Collected ]]/'[2]1.) CLM Reference'!$B$4</f>
        <v>0</v>
      </c>
      <c r="N282" s="131">
        <v>424</v>
      </c>
      <c r="O282" s="195">
        <f>[2]!Table3[[#This Row],[Incentive Disbursements]]/'[2]1.) CLM Reference'!$B$5</f>
        <v>1.3090226879926513E-5</v>
      </c>
      <c r="P282" t="str">
        <f t="shared" si="4"/>
        <v>N/A</v>
      </c>
      <c r="Q282" t="str">
        <f>VLOOKUP(Table8[[#This Row],[Census Tract]],'UI EnergyBurden'!$A$2:$B$184,2,FALSE)</f>
        <v>No</v>
      </c>
      <c r="R282">
        <f>VLOOKUP(Table8[[#This Row],[Census Tract]],'Population and Diversity Data'!$B$2:$K$823,10,FALSE)</f>
        <v>2</v>
      </c>
    </row>
    <row r="283" spans="1:18" ht="17" thickBot="1" x14ac:dyDescent="0.25">
      <c r="A283" s="143">
        <v>9009167201</v>
      </c>
      <c r="B283" s="143" t="s">
        <v>3004</v>
      </c>
      <c r="C283" s="138" t="s">
        <v>3886</v>
      </c>
      <c r="D283" s="186">
        <f>[2]!Table3[[#This Row],[Residential CLM $ Collected]]+[2]!Table3[[#This Row],[C&amp;I CLM $ Collected]]</f>
        <v>121711.67329828019</v>
      </c>
      <c r="E283" s="193">
        <f>[2]!Table3[[#This Row],[CLM $ Collected ]]/'[2]1.) CLM Reference'!$B$4</f>
        <v>5.4009766551649336E-3</v>
      </c>
      <c r="F283" s="188">
        <f>[2]!Table3[[#This Row],[Residential Incentive Disbursements]]+[2]!Table3[[#This Row],[C&amp;I Incentive Disbursements]]</f>
        <v>208240.65</v>
      </c>
      <c r="G283" s="193">
        <f>[2]!Table3[[#This Row],[Incentive Disbursements]]/'[2]1.) CLM Reference'!$B$5</f>
        <v>6.4290503634985121E-3</v>
      </c>
      <c r="H283" s="133">
        <v>68649.410309808562</v>
      </c>
      <c r="I283" s="132">
        <f>[2]!Table3[[#This Row],[CLM $ Collected ]]/'[2]1.) CLM Reference'!$B$4</f>
        <v>5.4009766551649336E-3</v>
      </c>
      <c r="J283" s="131">
        <v>147846.5</v>
      </c>
      <c r="K283" s="132">
        <f>[2]!Table3[[#This Row],[Incentive Disbursements]]/'[2]1.) CLM Reference'!$B$5</f>
        <v>6.4290503634985121E-3</v>
      </c>
      <c r="L283" s="133">
        <v>53062.26298847163</v>
      </c>
      <c r="M283" s="194">
        <f>[2]!Table3[[#This Row],[CLM $ Collected ]]/'[2]1.) CLM Reference'!$B$4</f>
        <v>5.4009766551649336E-3</v>
      </c>
      <c r="N283" s="131">
        <v>60394.15</v>
      </c>
      <c r="O283" s="195">
        <f>[2]!Table3[[#This Row],[Incentive Disbursements]]/'[2]1.) CLM Reference'!$B$5</f>
        <v>6.4290503634985121E-3</v>
      </c>
      <c r="P283" t="str">
        <f t="shared" si="4"/>
        <v>YES</v>
      </c>
      <c r="Q283" t="str">
        <f>VLOOKUP(Table8[[#This Row],[Census Tract]],'UI EnergyBurden'!$A$2:$B$184,2,FALSE)</f>
        <v>No</v>
      </c>
      <c r="R283">
        <f>VLOOKUP(Table8[[#This Row],[Census Tract]],'Population and Diversity Data'!$B$2:$K$823,10,FALSE)</f>
        <v>2</v>
      </c>
    </row>
    <row r="284" spans="1:18" ht="17" thickBot="1" x14ac:dyDescent="0.25">
      <c r="A284" s="143">
        <v>9009167201</v>
      </c>
      <c r="B284" s="143" t="s">
        <v>950</v>
      </c>
      <c r="C284" s="138" t="s">
        <v>3886</v>
      </c>
      <c r="D284" s="186">
        <f>[2]!Table3[[#This Row],[Residential CLM $ Collected]]+[2]!Table3[[#This Row],[C&amp;I CLM $ Collected]]</f>
        <v>688.44746347597356</v>
      </c>
      <c r="E284" s="193">
        <f>[2]!Table3[[#This Row],[CLM $ Collected ]]/'[2]1.) CLM Reference'!$B$4</f>
        <v>3.0549975838626371E-5</v>
      </c>
      <c r="F284" s="188">
        <f>[2]!Table3[[#This Row],[Residential Incentive Disbursements]]+[2]!Table3[[#This Row],[C&amp;I Incentive Disbursements]]</f>
        <v>670</v>
      </c>
      <c r="G284" s="193">
        <f>[2]!Table3[[#This Row],[Incentive Disbursements]]/'[2]1.) CLM Reference'!$B$5</f>
        <v>2.0685028324412178E-5</v>
      </c>
      <c r="H284" s="133">
        <v>511.52271633745789</v>
      </c>
      <c r="I284" s="132">
        <f>[2]!Table3[[#This Row],[CLM $ Collected ]]/'[2]1.) CLM Reference'!$B$4</f>
        <v>3.0549975838626371E-5</v>
      </c>
      <c r="J284" s="131">
        <v>0</v>
      </c>
      <c r="K284" s="132">
        <f>[2]!Table3[[#This Row],[Incentive Disbursements]]/'[2]1.) CLM Reference'!$B$5</f>
        <v>2.0685028324412178E-5</v>
      </c>
      <c r="L284" s="133">
        <v>176.9247471385157</v>
      </c>
      <c r="M284" s="194">
        <f>[2]!Table3[[#This Row],[CLM $ Collected ]]/'[2]1.) CLM Reference'!$B$4</f>
        <v>3.0549975838626371E-5</v>
      </c>
      <c r="N284" s="131">
        <v>670</v>
      </c>
      <c r="O284" s="195">
        <f>[2]!Table3[[#This Row],[Incentive Disbursements]]/'[2]1.) CLM Reference'!$B$5</f>
        <v>2.0685028324412178E-5</v>
      </c>
      <c r="P284" t="str">
        <f t="shared" si="4"/>
        <v>NO</v>
      </c>
      <c r="Q284" t="str">
        <f>VLOOKUP(Table8[[#This Row],[Census Tract]],'UI EnergyBurden'!$A$2:$B$184,2,FALSE)</f>
        <v>No</v>
      </c>
      <c r="R284">
        <f>VLOOKUP(Table8[[#This Row],[Census Tract]],'Population and Diversity Data'!$B$2:$K$823,10,FALSE)</f>
        <v>2</v>
      </c>
    </row>
    <row r="285" spans="1:18" ht="17" thickBot="1" x14ac:dyDescent="0.25">
      <c r="A285" s="143">
        <v>9009167202</v>
      </c>
      <c r="B285" s="143" t="s">
        <v>3880</v>
      </c>
      <c r="C285" s="138" t="s">
        <v>3886</v>
      </c>
      <c r="D285" s="186">
        <f>[2]!Table3[[#This Row],[Residential CLM $ Collected]]+[2]!Table3[[#This Row],[C&amp;I CLM $ Collected]]</f>
        <v>61.655663649371832</v>
      </c>
      <c r="E285" s="193">
        <f>[2]!Table3[[#This Row],[CLM $ Collected ]]/'[2]1.) CLM Reference'!$B$4</f>
        <v>2.7359807897215376E-6</v>
      </c>
      <c r="F285" s="188">
        <f>[2]!Table3[[#This Row],[Residential Incentive Disbursements]]+[2]!Table3[[#This Row],[C&amp;I Incentive Disbursements]]</f>
        <v>0</v>
      </c>
      <c r="G285" s="193">
        <f>[2]!Table3[[#This Row],[Incentive Disbursements]]/'[2]1.) CLM Reference'!$B$5</f>
        <v>0</v>
      </c>
      <c r="H285" s="133">
        <v>24.75459891336067</v>
      </c>
      <c r="I285" s="132">
        <f>[2]!Table3[[#This Row],[CLM $ Collected ]]/'[2]1.) CLM Reference'!$B$4</f>
        <v>2.7359807897215376E-6</v>
      </c>
      <c r="J285" s="131">
        <v>0</v>
      </c>
      <c r="K285" s="132">
        <f>[2]!Table3[[#This Row],[Incentive Disbursements]]/'[2]1.) CLM Reference'!$B$5</f>
        <v>0</v>
      </c>
      <c r="L285" s="133">
        <v>36.901064736011165</v>
      </c>
      <c r="M285" s="194">
        <f>[2]!Table3[[#This Row],[CLM $ Collected ]]/'[2]1.) CLM Reference'!$B$4</f>
        <v>2.7359807897215376E-6</v>
      </c>
      <c r="N285" s="131">
        <v>0</v>
      </c>
      <c r="O285" s="195">
        <f>[2]!Table3[[#This Row],[Incentive Disbursements]]/'[2]1.) CLM Reference'!$B$5</f>
        <v>0</v>
      </c>
      <c r="P285" t="str">
        <f t="shared" si="4"/>
        <v>N/A</v>
      </c>
      <c r="Q285" t="str">
        <f>VLOOKUP(Table8[[#This Row],[Census Tract]],'UI EnergyBurden'!$A$2:$B$184,2,FALSE)</f>
        <v>No</v>
      </c>
      <c r="R285">
        <f>VLOOKUP(Table8[[#This Row],[Census Tract]],'Population and Diversity Data'!$B$2:$K$823,10,FALSE)</f>
        <v>4</v>
      </c>
    </row>
    <row r="286" spans="1:18" ht="17" thickBot="1" x14ac:dyDescent="0.25">
      <c r="A286" s="143">
        <v>9009167202</v>
      </c>
      <c r="B286" s="143" t="s">
        <v>3004</v>
      </c>
      <c r="C286" s="138" t="s">
        <v>3886</v>
      </c>
      <c r="D286" s="186">
        <f>[2]!Table3[[#This Row],[Residential CLM $ Collected]]+[2]!Table3[[#This Row],[C&amp;I CLM $ Collected]]</f>
        <v>138820.06966794617</v>
      </c>
      <c r="E286" s="193">
        <f>[2]!Table3[[#This Row],[CLM $ Collected ]]/'[2]1.) CLM Reference'!$B$4</f>
        <v>6.1601647173767119E-3</v>
      </c>
      <c r="F286" s="188">
        <f>[2]!Table3[[#This Row],[Residential Incentive Disbursements]]+[2]!Table3[[#This Row],[C&amp;I Incentive Disbursements]]</f>
        <v>333738.76</v>
      </c>
      <c r="G286" s="193">
        <f>[2]!Table3[[#This Row],[Incentive Disbursements]]/'[2]1.) CLM Reference'!$B$5</f>
        <v>1.0303575676946565E-2</v>
      </c>
      <c r="H286" s="133">
        <v>72021.52498584296</v>
      </c>
      <c r="I286" s="132">
        <f>[2]!Table3[[#This Row],[CLM $ Collected ]]/'[2]1.) CLM Reference'!$B$4</f>
        <v>6.1601647173767119E-3</v>
      </c>
      <c r="J286" s="131">
        <v>137927.74000000002</v>
      </c>
      <c r="K286" s="132">
        <f>[2]!Table3[[#This Row],[Incentive Disbursements]]/'[2]1.) CLM Reference'!$B$5</f>
        <v>1.0303575676946565E-2</v>
      </c>
      <c r="L286" s="133">
        <v>66798.544682103209</v>
      </c>
      <c r="M286" s="194">
        <f>[2]!Table3[[#This Row],[CLM $ Collected ]]/'[2]1.) CLM Reference'!$B$4</f>
        <v>6.1601647173767119E-3</v>
      </c>
      <c r="N286" s="131">
        <v>195811.02000000002</v>
      </c>
      <c r="O286" s="195">
        <f>[2]!Table3[[#This Row],[Incentive Disbursements]]/'[2]1.) CLM Reference'!$B$5</f>
        <v>1.0303575676946565E-2</v>
      </c>
      <c r="P286" t="str">
        <f t="shared" si="4"/>
        <v>YES</v>
      </c>
      <c r="Q286" t="str">
        <f>VLOOKUP(Table8[[#This Row],[Census Tract]],'UI EnergyBurden'!$A$2:$B$184,2,FALSE)</f>
        <v>No</v>
      </c>
      <c r="R286">
        <f>VLOOKUP(Table8[[#This Row],[Census Tract]],'Population and Diversity Data'!$B$2:$K$823,10,FALSE)</f>
        <v>4</v>
      </c>
    </row>
    <row r="287" spans="1:18" ht="17" thickBot="1" x14ac:dyDescent="0.25">
      <c r="A287" s="143">
        <v>9009167202</v>
      </c>
      <c r="B287" s="143" t="s">
        <v>950</v>
      </c>
      <c r="C287" s="138" t="s">
        <v>3886</v>
      </c>
      <c r="D287" s="186">
        <f>[2]!Table3[[#This Row],[Residential CLM $ Collected]]+[2]!Table3[[#This Row],[C&amp;I CLM $ Collected]]</f>
        <v>609.78397767128263</v>
      </c>
      <c r="E287" s="193">
        <f>[2]!Table3[[#This Row],[CLM $ Collected ]]/'[2]1.) CLM Reference'!$B$4</f>
        <v>2.7059269984933721E-5</v>
      </c>
      <c r="F287" s="188">
        <f>[2]!Table3[[#This Row],[Residential Incentive Disbursements]]+[2]!Table3[[#This Row],[C&amp;I Incentive Disbursements]]</f>
        <v>0</v>
      </c>
      <c r="G287" s="193">
        <f>[2]!Table3[[#This Row],[Incentive Disbursements]]/'[2]1.) CLM Reference'!$B$5</f>
        <v>0</v>
      </c>
      <c r="H287" s="133">
        <v>572.4350956852536</v>
      </c>
      <c r="I287" s="132">
        <f>[2]!Table3[[#This Row],[CLM $ Collected ]]/'[2]1.) CLM Reference'!$B$4</f>
        <v>2.7059269984933721E-5</v>
      </c>
      <c r="J287" s="131">
        <v>0</v>
      </c>
      <c r="K287" s="132">
        <f>[2]!Table3[[#This Row],[Incentive Disbursements]]/'[2]1.) CLM Reference'!$B$5</f>
        <v>0</v>
      </c>
      <c r="L287" s="133">
        <v>37.348881986029063</v>
      </c>
      <c r="M287" s="194">
        <f>[2]!Table3[[#This Row],[CLM $ Collected ]]/'[2]1.) CLM Reference'!$B$4</f>
        <v>2.7059269984933721E-5</v>
      </c>
      <c r="N287" s="131">
        <v>0</v>
      </c>
      <c r="O287" s="195">
        <f>[2]!Table3[[#This Row],[Incentive Disbursements]]/'[2]1.) CLM Reference'!$B$5</f>
        <v>0</v>
      </c>
      <c r="P287" t="str">
        <f t="shared" si="4"/>
        <v>NO</v>
      </c>
      <c r="Q287" t="str">
        <f>VLOOKUP(Table8[[#This Row],[Census Tract]],'UI EnergyBurden'!$A$2:$B$184,2,FALSE)</f>
        <v>No</v>
      </c>
      <c r="R287">
        <f>VLOOKUP(Table8[[#This Row],[Census Tract]],'Population and Diversity Data'!$B$2:$K$823,10,FALSE)</f>
        <v>4</v>
      </c>
    </row>
    <row r="288" spans="1:18" ht="17" thickBot="1" x14ac:dyDescent="0.25">
      <c r="A288" s="143">
        <v>9009167300</v>
      </c>
      <c r="B288" s="143" t="s">
        <v>3880</v>
      </c>
      <c r="C288" s="138" t="s">
        <v>3886</v>
      </c>
      <c r="D288" s="186">
        <f>[2]!Table3[[#This Row],[Residential CLM $ Collected]]+[2]!Table3[[#This Row],[C&amp;I CLM $ Collected]]</f>
        <v>295.20390121540873</v>
      </c>
      <c r="E288" s="193">
        <f>[2]!Table3[[#This Row],[CLM $ Collected ]]/'[2]1.) CLM Reference'!$B$4</f>
        <v>1.3099724420603842E-5</v>
      </c>
      <c r="F288" s="188">
        <f>[2]!Table3[[#This Row],[Residential Incentive Disbursements]]+[2]!Table3[[#This Row],[C&amp;I Incentive Disbursements]]</f>
        <v>0</v>
      </c>
      <c r="G288" s="193">
        <f>[2]!Table3[[#This Row],[Incentive Disbursements]]/'[2]1.) CLM Reference'!$B$5</f>
        <v>0</v>
      </c>
      <c r="H288" s="133">
        <v>295.20390121540873</v>
      </c>
      <c r="I288" s="132">
        <f>[2]!Table3[[#This Row],[CLM $ Collected ]]/'[2]1.) CLM Reference'!$B$4</f>
        <v>1.3099724420603842E-5</v>
      </c>
      <c r="J288" s="131">
        <v>0</v>
      </c>
      <c r="K288" s="132">
        <f>[2]!Table3[[#This Row],[Incentive Disbursements]]/'[2]1.) CLM Reference'!$B$5</f>
        <v>0</v>
      </c>
      <c r="L288" s="133">
        <v>0</v>
      </c>
      <c r="M288" s="194">
        <f>[2]!Table3[[#This Row],[CLM $ Collected ]]/'[2]1.) CLM Reference'!$B$4</f>
        <v>1.3099724420603842E-5</v>
      </c>
      <c r="N288" s="131">
        <v>0</v>
      </c>
      <c r="O288" s="195">
        <f>[2]!Table3[[#This Row],[Incentive Disbursements]]/'[2]1.) CLM Reference'!$B$5</f>
        <v>0</v>
      </c>
      <c r="P288" t="str">
        <f t="shared" si="4"/>
        <v>NO</v>
      </c>
      <c r="Q288" t="str">
        <f>VLOOKUP(Table8[[#This Row],[Census Tract]],'UI EnergyBurden'!$A$2:$B$184,2,FALSE)</f>
        <v>No</v>
      </c>
      <c r="R288">
        <f>VLOOKUP(Table8[[#This Row],[Census Tract]],'Population and Diversity Data'!$B$2:$K$823,10,FALSE)</f>
        <v>2</v>
      </c>
    </row>
    <row r="289" spans="1:18" ht="17" thickBot="1" x14ac:dyDescent="0.25">
      <c r="A289" s="143">
        <v>9009167300</v>
      </c>
      <c r="B289" s="143" t="s">
        <v>943</v>
      </c>
      <c r="C289" s="138" t="s">
        <v>3886</v>
      </c>
      <c r="D289" s="186">
        <f>[2]!Table3[[#This Row],[Residential CLM $ Collected]]+[2]!Table3[[#This Row],[C&amp;I CLM $ Collected]]</f>
        <v>48.368879674613915</v>
      </c>
      <c r="E289" s="193">
        <f>[2]!Table3[[#This Row],[CLM $ Collected ]]/'[2]1.) CLM Reference'!$B$4</f>
        <v>2.1463774417006781E-6</v>
      </c>
      <c r="F289" s="188">
        <f>[2]!Table3[[#This Row],[Residential Incentive Disbursements]]+[2]!Table3[[#This Row],[C&amp;I Incentive Disbursements]]</f>
        <v>0</v>
      </c>
      <c r="G289" s="193">
        <f>[2]!Table3[[#This Row],[Incentive Disbursements]]/'[2]1.) CLM Reference'!$B$5</f>
        <v>0</v>
      </c>
      <c r="H289" s="133">
        <v>48.368879674613915</v>
      </c>
      <c r="I289" s="132">
        <f>[2]!Table3[[#This Row],[CLM $ Collected ]]/'[2]1.) CLM Reference'!$B$4</f>
        <v>2.1463774417006781E-6</v>
      </c>
      <c r="J289" s="131">
        <v>0</v>
      </c>
      <c r="K289" s="132">
        <f>[2]!Table3[[#This Row],[Incentive Disbursements]]/'[2]1.) CLM Reference'!$B$5</f>
        <v>0</v>
      </c>
      <c r="L289" s="133">
        <v>0</v>
      </c>
      <c r="M289" s="194">
        <f>[2]!Table3[[#This Row],[CLM $ Collected ]]/'[2]1.) CLM Reference'!$B$4</f>
        <v>2.1463774417006781E-6</v>
      </c>
      <c r="N289" s="131">
        <v>0</v>
      </c>
      <c r="O289" s="195">
        <f>[2]!Table3[[#This Row],[Incentive Disbursements]]/'[2]1.) CLM Reference'!$B$5</f>
        <v>0</v>
      </c>
      <c r="P289" t="str">
        <f t="shared" si="4"/>
        <v>N/A</v>
      </c>
      <c r="Q289" t="str">
        <f>VLOOKUP(Table8[[#This Row],[Census Tract]],'UI EnergyBurden'!$A$2:$B$184,2,FALSE)</f>
        <v>No</v>
      </c>
      <c r="R289">
        <f>VLOOKUP(Table8[[#This Row],[Census Tract]],'Population and Diversity Data'!$B$2:$K$823,10,FALSE)</f>
        <v>2</v>
      </c>
    </row>
    <row r="290" spans="1:18" ht="17" thickBot="1" x14ac:dyDescent="0.25">
      <c r="A290" s="143">
        <v>9009167300</v>
      </c>
      <c r="B290" s="143" t="s">
        <v>3004</v>
      </c>
      <c r="C290" s="138" t="s">
        <v>3886</v>
      </c>
      <c r="D290" s="186">
        <f>[2]!Table3[[#This Row],[Residential CLM $ Collected]]+[2]!Table3[[#This Row],[C&amp;I CLM $ Collected]]</f>
        <v>165707.57135974261</v>
      </c>
      <c r="E290" s="193">
        <f>[2]!Table3[[#This Row],[CLM $ Collected ]]/'[2]1.) CLM Reference'!$B$4</f>
        <v>7.3533022777914053E-3</v>
      </c>
      <c r="F290" s="188">
        <f>[2]!Table3[[#This Row],[Residential Incentive Disbursements]]+[2]!Table3[[#This Row],[C&amp;I Incentive Disbursements]]</f>
        <v>251733.89</v>
      </c>
      <c r="G290" s="193">
        <f>[2]!Table3[[#This Row],[Incentive Disbursements]]/'[2]1.) CLM Reference'!$B$5</f>
        <v>7.7718248430812837E-3</v>
      </c>
      <c r="H290" s="133">
        <v>126934.26580151485</v>
      </c>
      <c r="I290" s="132">
        <f>[2]!Table3[[#This Row],[CLM $ Collected ]]/'[2]1.) CLM Reference'!$B$4</f>
        <v>7.3533022777914053E-3</v>
      </c>
      <c r="J290" s="131">
        <v>149230.21000000002</v>
      </c>
      <c r="K290" s="132">
        <f>[2]!Table3[[#This Row],[Incentive Disbursements]]/'[2]1.) CLM Reference'!$B$5</f>
        <v>7.7718248430812837E-3</v>
      </c>
      <c r="L290" s="133">
        <v>38773.305558227759</v>
      </c>
      <c r="M290" s="194">
        <f>[2]!Table3[[#This Row],[CLM $ Collected ]]/'[2]1.) CLM Reference'!$B$4</f>
        <v>7.3533022777914053E-3</v>
      </c>
      <c r="N290" s="131">
        <v>102503.67999999999</v>
      </c>
      <c r="O290" s="195">
        <f>[2]!Table3[[#This Row],[Incentive Disbursements]]/'[2]1.) CLM Reference'!$B$5</f>
        <v>7.7718248430812837E-3</v>
      </c>
      <c r="P290" t="str">
        <f t="shared" si="4"/>
        <v>YES</v>
      </c>
      <c r="Q290" t="str">
        <f>VLOOKUP(Table8[[#This Row],[Census Tract]],'UI EnergyBurden'!$A$2:$B$184,2,FALSE)</f>
        <v>No</v>
      </c>
      <c r="R290">
        <f>VLOOKUP(Table8[[#This Row],[Census Tract]],'Population and Diversity Data'!$B$2:$K$823,10,FALSE)</f>
        <v>2</v>
      </c>
    </row>
    <row r="291" spans="1:18" ht="17" thickBot="1" x14ac:dyDescent="0.25">
      <c r="A291" s="143">
        <v>9009180100</v>
      </c>
      <c r="B291" s="143" t="s">
        <v>3880</v>
      </c>
      <c r="C291" s="138" t="s">
        <v>3886</v>
      </c>
      <c r="D291" s="186">
        <f>[2]!Table3[[#This Row],[Residential CLM $ Collected]]+[2]!Table3[[#This Row],[C&amp;I CLM $ Collected]]</f>
        <v>105421.24976081692</v>
      </c>
      <c r="E291" s="193">
        <f>[2]!Table3[[#This Row],[CLM $ Collected ]]/'[2]1.) CLM Reference'!$B$4</f>
        <v>4.678086279539544E-3</v>
      </c>
      <c r="F291" s="188">
        <f>[2]!Table3[[#This Row],[Residential Incentive Disbursements]]+[2]!Table3[[#This Row],[C&amp;I Incentive Disbursements]]</f>
        <v>383178.01</v>
      </c>
      <c r="G291" s="193">
        <f>[2]!Table3[[#This Row],[Incentive Disbursements]]/'[2]1.) CLM Reference'!$B$5</f>
        <v>1.1829922373346109E-2</v>
      </c>
      <c r="H291" s="133">
        <v>87118.995685966744</v>
      </c>
      <c r="I291" s="132">
        <f>[2]!Table3[[#This Row],[CLM $ Collected ]]/'[2]1.) CLM Reference'!$B$4</f>
        <v>4.678086279539544E-3</v>
      </c>
      <c r="J291" s="131">
        <v>47018.44</v>
      </c>
      <c r="K291" s="132">
        <f>[2]!Table3[[#This Row],[Incentive Disbursements]]/'[2]1.) CLM Reference'!$B$5</f>
        <v>1.1829922373346109E-2</v>
      </c>
      <c r="L291" s="133">
        <v>18302.254074850174</v>
      </c>
      <c r="M291" s="194">
        <f>[2]!Table3[[#This Row],[CLM $ Collected ]]/'[2]1.) CLM Reference'!$B$4</f>
        <v>4.678086279539544E-3</v>
      </c>
      <c r="N291" s="131">
        <v>336159.57</v>
      </c>
      <c r="O291" s="195">
        <f>[2]!Table3[[#This Row],[Incentive Disbursements]]/'[2]1.) CLM Reference'!$B$5</f>
        <v>1.1829922373346109E-2</v>
      </c>
      <c r="P291" t="str">
        <f t="shared" si="4"/>
        <v>YES</v>
      </c>
      <c r="Q291" t="str">
        <f>VLOOKUP(Table8[[#This Row],[Census Tract]],'UI EnergyBurden'!$A$2:$B$184,2,FALSE)</f>
        <v>No</v>
      </c>
      <c r="R291">
        <f>VLOOKUP(Table8[[#This Row],[Census Tract]],'Population and Diversity Data'!$B$2:$K$823,10,FALSE)</f>
        <v>5</v>
      </c>
    </row>
    <row r="292" spans="1:18" ht="17" thickBot="1" x14ac:dyDescent="0.25">
      <c r="A292" s="143">
        <v>9009180100</v>
      </c>
      <c r="B292" s="143" t="s">
        <v>3888</v>
      </c>
      <c r="C292" s="138" t="s">
        <v>3886</v>
      </c>
      <c r="D292" s="186">
        <f>[2]!Table3[[#This Row],[Residential CLM $ Collected]]+[2]!Table3[[#This Row],[C&amp;I CLM $ Collected]]</f>
        <v>21.329027784357763</v>
      </c>
      <c r="E292" s="193">
        <f>[2]!Table3[[#This Row],[CLM $ Collected ]]/'[2]1.) CLM Reference'!$B$4</f>
        <v>9.4647931475204094E-7</v>
      </c>
      <c r="F292" s="188">
        <f>[2]!Table3[[#This Row],[Residential Incentive Disbursements]]+[2]!Table3[[#This Row],[C&amp;I Incentive Disbursements]]</f>
        <v>0</v>
      </c>
      <c r="G292" s="193">
        <f>[2]!Table3[[#This Row],[Incentive Disbursements]]/'[2]1.) CLM Reference'!$B$5</f>
        <v>0</v>
      </c>
      <c r="H292" s="133">
        <v>0</v>
      </c>
      <c r="I292" s="132">
        <f>[2]!Table3[[#This Row],[CLM $ Collected ]]/'[2]1.) CLM Reference'!$B$4</f>
        <v>9.4647931475204094E-7</v>
      </c>
      <c r="J292" s="131">
        <v>0</v>
      </c>
      <c r="K292" s="132">
        <f>[2]!Table3[[#This Row],[Incentive Disbursements]]/'[2]1.) CLM Reference'!$B$5</f>
        <v>0</v>
      </c>
      <c r="L292" s="133">
        <v>21.329027784357763</v>
      </c>
      <c r="M292" s="194">
        <f>[2]!Table3[[#This Row],[CLM $ Collected ]]/'[2]1.) CLM Reference'!$B$4</f>
        <v>9.4647931475204094E-7</v>
      </c>
      <c r="N292" s="131">
        <v>0</v>
      </c>
      <c r="O292" s="195">
        <f>[2]!Table3[[#This Row],[Incentive Disbursements]]/'[2]1.) CLM Reference'!$B$5</f>
        <v>0</v>
      </c>
      <c r="P292" t="str">
        <f t="shared" si="4"/>
        <v>N/A</v>
      </c>
      <c r="Q292" t="str">
        <f>VLOOKUP(Table8[[#This Row],[Census Tract]],'UI EnergyBurden'!$A$2:$B$184,2,FALSE)</f>
        <v>No</v>
      </c>
      <c r="R292">
        <f>VLOOKUP(Table8[[#This Row],[Census Tract]],'Population and Diversity Data'!$B$2:$K$823,10,FALSE)</f>
        <v>5</v>
      </c>
    </row>
    <row r="293" spans="1:18" ht="17" thickBot="1" x14ac:dyDescent="0.25">
      <c r="A293" s="143">
        <v>9009180100</v>
      </c>
      <c r="B293" s="143" t="s">
        <v>943</v>
      </c>
      <c r="C293" s="138" t="s">
        <v>3886</v>
      </c>
      <c r="D293" s="186">
        <f>[2]!Table3[[#This Row],[Residential CLM $ Collected]]+[2]!Table3[[#This Row],[C&amp;I CLM $ Collected]]</f>
        <v>23.388063799903989</v>
      </c>
      <c r="E293" s="193">
        <f>[2]!Table3[[#This Row],[CLM $ Collected ]]/'[2]1.) CLM Reference'!$B$4</f>
        <v>1.0378493957865454E-6</v>
      </c>
      <c r="F293" s="188">
        <f>[2]!Table3[[#This Row],[Residential Incentive Disbursements]]+[2]!Table3[[#This Row],[C&amp;I Incentive Disbursements]]</f>
        <v>0</v>
      </c>
      <c r="G293" s="193">
        <f>[2]!Table3[[#This Row],[Incentive Disbursements]]/'[2]1.) CLM Reference'!$B$5</f>
        <v>0</v>
      </c>
      <c r="H293" s="133">
        <v>0</v>
      </c>
      <c r="I293" s="132">
        <f>[2]!Table3[[#This Row],[CLM $ Collected ]]/'[2]1.) CLM Reference'!$B$4</f>
        <v>1.0378493957865454E-6</v>
      </c>
      <c r="J293" s="131">
        <v>0</v>
      </c>
      <c r="K293" s="132">
        <f>[2]!Table3[[#This Row],[Incentive Disbursements]]/'[2]1.) CLM Reference'!$B$5</f>
        <v>0</v>
      </c>
      <c r="L293" s="133">
        <v>23.388063799903989</v>
      </c>
      <c r="M293" s="194">
        <f>[2]!Table3[[#This Row],[CLM $ Collected ]]/'[2]1.) CLM Reference'!$B$4</f>
        <v>1.0378493957865454E-6</v>
      </c>
      <c r="N293" s="131">
        <v>0</v>
      </c>
      <c r="O293" s="195">
        <f>[2]!Table3[[#This Row],[Incentive Disbursements]]/'[2]1.) CLM Reference'!$B$5</f>
        <v>0</v>
      </c>
      <c r="P293" t="str">
        <f t="shared" si="4"/>
        <v>N/A</v>
      </c>
      <c r="Q293" t="str">
        <f>VLOOKUP(Table8[[#This Row],[Census Tract]],'UI EnergyBurden'!$A$2:$B$184,2,FALSE)</f>
        <v>No</v>
      </c>
      <c r="R293">
        <f>VLOOKUP(Table8[[#This Row],[Census Tract]],'Population and Diversity Data'!$B$2:$K$823,10,FALSE)</f>
        <v>5</v>
      </c>
    </row>
    <row r="294" spans="1:18" ht="17" thickBot="1" x14ac:dyDescent="0.25">
      <c r="A294" s="143">
        <v>9009180100</v>
      </c>
      <c r="B294" s="143" t="s">
        <v>3004</v>
      </c>
      <c r="C294" s="138" t="s">
        <v>3886</v>
      </c>
      <c r="D294" s="186">
        <f>[2]!Table3[[#This Row],[Residential CLM $ Collected]]+[2]!Table3[[#This Row],[C&amp;I CLM $ Collected]]</f>
        <v>43.890707174434894</v>
      </c>
      <c r="E294" s="193">
        <f>[2]!Table3[[#This Row],[CLM $ Collected ]]/'[2]1.) CLM Reference'!$B$4</f>
        <v>1.9476577587332581E-6</v>
      </c>
      <c r="F294" s="188">
        <f>[2]!Table3[[#This Row],[Residential Incentive Disbursements]]+[2]!Table3[[#This Row],[C&amp;I Incentive Disbursements]]</f>
        <v>0</v>
      </c>
      <c r="G294" s="193">
        <f>[2]!Table3[[#This Row],[Incentive Disbursements]]/'[2]1.) CLM Reference'!$B$5</f>
        <v>0</v>
      </c>
      <c r="H294" s="133">
        <v>43.890707174434894</v>
      </c>
      <c r="I294" s="132">
        <f>[2]!Table3[[#This Row],[CLM $ Collected ]]/'[2]1.) CLM Reference'!$B$4</f>
        <v>1.9476577587332581E-6</v>
      </c>
      <c r="J294" s="131">
        <v>0</v>
      </c>
      <c r="K294" s="132">
        <f>[2]!Table3[[#This Row],[Incentive Disbursements]]/'[2]1.) CLM Reference'!$B$5</f>
        <v>0</v>
      </c>
      <c r="L294" s="133">
        <v>0</v>
      </c>
      <c r="M294" s="194">
        <f>[2]!Table3[[#This Row],[CLM $ Collected ]]/'[2]1.) CLM Reference'!$B$4</f>
        <v>1.9476577587332581E-6</v>
      </c>
      <c r="N294" s="131">
        <v>0</v>
      </c>
      <c r="O294" s="195">
        <f>[2]!Table3[[#This Row],[Incentive Disbursements]]/'[2]1.) CLM Reference'!$B$5</f>
        <v>0</v>
      </c>
      <c r="P294" t="str">
        <f t="shared" si="4"/>
        <v>N/A</v>
      </c>
      <c r="Q294" t="str">
        <f>VLOOKUP(Table8[[#This Row],[Census Tract]],'UI EnergyBurden'!$A$2:$B$184,2,FALSE)</f>
        <v>No</v>
      </c>
      <c r="R294">
        <f>VLOOKUP(Table8[[#This Row],[Census Tract]],'Population and Diversity Data'!$B$2:$K$823,10,FALSE)</f>
        <v>5</v>
      </c>
    </row>
    <row r="295" spans="1:18" ht="17" thickBot="1" x14ac:dyDescent="0.25">
      <c r="A295" s="143">
        <v>9009180100</v>
      </c>
      <c r="B295" s="143" t="s">
        <v>950</v>
      </c>
      <c r="C295" s="138" t="s">
        <v>3886</v>
      </c>
      <c r="D295" s="186">
        <f>[2]!Table3[[#This Row],[Residential CLM $ Collected]]+[2]!Table3[[#This Row],[C&amp;I CLM $ Collected]]</f>
        <v>194.87898719335709</v>
      </c>
      <c r="E295" s="193">
        <f>[2]!Table3[[#This Row],[CLM $ Collected ]]/'[2]1.) CLM Reference'!$B$4</f>
        <v>8.6477889251760066E-6</v>
      </c>
      <c r="F295" s="188">
        <f>[2]!Table3[[#This Row],[Residential Incentive Disbursements]]+[2]!Table3[[#This Row],[C&amp;I Incentive Disbursements]]</f>
        <v>0</v>
      </c>
      <c r="G295" s="193">
        <f>[2]!Table3[[#This Row],[Incentive Disbursements]]/'[2]1.) CLM Reference'!$B$5</f>
        <v>0</v>
      </c>
      <c r="H295" s="133">
        <v>194.87898719335709</v>
      </c>
      <c r="I295" s="132">
        <f>[2]!Table3[[#This Row],[CLM $ Collected ]]/'[2]1.) CLM Reference'!$B$4</f>
        <v>8.6477889251760066E-6</v>
      </c>
      <c r="J295" s="131">
        <v>0</v>
      </c>
      <c r="K295" s="132">
        <f>[2]!Table3[[#This Row],[Incentive Disbursements]]/'[2]1.) CLM Reference'!$B$5</f>
        <v>0</v>
      </c>
      <c r="L295" s="133">
        <v>0</v>
      </c>
      <c r="M295" s="194">
        <f>[2]!Table3[[#This Row],[CLM $ Collected ]]/'[2]1.) CLM Reference'!$B$4</f>
        <v>8.6477889251760066E-6</v>
      </c>
      <c r="N295" s="131">
        <v>0</v>
      </c>
      <c r="O295" s="195">
        <f>[2]!Table3[[#This Row],[Incentive Disbursements]]/'[2]1.) CLM Reference'!$B$5</f>
        <v>0</v>
      </c>
      <c r="P295" t="str">
        <f t="shared" si="4"/>
        <v>NO</v>
      </c>
      <c r="Q295" t="str">
        <f>VLOOKUP(Table8[[#This Row],[Census Tract]],'UI EnergyBurden'!$A$2:$B$184,2,FALSE)</f>
        <v>No</v>
      </c>
      <c r="R295">
        <f>VLOOKUP(Table8[[#This Row],[Census Tract]],'Population and Diversity Data'!$B$2:$K$823,10,FALSE)</f>
        <v>5</v>
      </c>
    </row>
    <row r="296" spans="1:18" ht="17" thickBot="1" x14ac:dyDescent="0.25">
      <c r="A296" s="143">
        <v>9009180200</v>
      </c>
      <c r="B296" s="143" t="s">
        <v>3880</v>
      </c>
      <c r="C296" s="138" t="s">
        <v>3886</v>
      </c>
      <c r="D296" s="186">
        <f>[2]!Table3[[#This Row],[Residential CLM $ Collected]]+[2]!Table3[[#This Row],[C&amp;I CLM $ Collected]]</f>
        <v>103037.93865618591</v>
      </c>
      <c r="E296" s="193">
        <f>[2]!Table3[[#This Row],[CLM $ Collected ]]/'[2]1.) CLM Reference'!$B$4</f>
        <v>4.5723264350703832E-3</v>
      </c>
      <c r="F296" s="188">
        <f>[2]!Table3[[#This Row],[Residential Incentive Disbursements]]+[2]!Table3[[#This Row],[C&amp;I Incentive Disbursements]]</f>
        <v>160541.74</v>
      </c>
      <c r="G296" s="193">
        <f>[2]!Table3[[#This Row],[Incentive Disbursements]]/'[2]1.) CLM Reference'!$B$5</f>
        <v>4.9564334912692767E-3</v>
      </c>
      <c r="H296" s="133">
        <v>70117.202905168902</v>
      </c>
      <c r="I296" s="132">
        <f>[2]!Table3[[#This Row],[CLM $ Collected ]]/'[2]1.) CLM Reference'!$B$4</f>
        <v>4.5723264350703832E-3</v>
      </c>
      <c r="J296" s="131">
        <v>53390.209999999992</v>
      </c>
      <c r="K296" s="132">
        <f>[2]!Table3[[#This Row],[Incentive Disbursements]]/'[2]1.) CLM Reference'!$B$5</f>
        <v>4.9564334912692767E-3</v>
      </c>
      <c r="L296" s="133">
        <v>32920.735751017011</v>
      </c>
      <c r="M296" s="194">
        <f>[2]!Table3[[#This Row],[CLM $ Collected ]]/'[2]1.) CLM Reference'!$B$4</f>
        <v>4.5723264350703832E-3</v>
      </c>
      <c r="N296" s="131">
        <v>107151.53000000001</v>
      </c>
      <c r="O296" s="195">
        <f>[2]!Table3[[#This Row],[Incentive Disbursements]]/'[2]1.) CLM Reference'!$B$5</f>
        <v>4.9564334912692767E-3</v>
      </c>
      <c r="P296" t="str">
        <f t="shared" si="4"/>
        <v>YES</v>
      </c>
      <c r="Q296" t="str">
        <f>VLOOKUP(Table8[[#This Row],[Census Tract]],'UI EnergyBurden'!$A$2:$B$184,2,FALSE)</f>
        <v>No</v>
      </c>
      <c r="R296">
        <f>VLOOKUP(Table8[[#This Row],[Census Tract]],'Population and Diversity Data'!$B$2:$K$823,10,FALSE)</f>
        <v>5</v>
      </c>
    </row>
    <row r="297" spans="1:18" ht="17" thickBot="1" x14ac:dyDescent="0.25">
      <c r="A297" s="143">
        <v>9009180200</v>
      </c>
      <c r="B297" s="143" t="s">
        <v>3888</v>
      </c>
      <c r="C297" s="138" t="s">
        <v>3886</v>
      </c>
      <c r="D297" s="186">
        <f>[2]!Table3[[#This Row],[Residential CLM $ Collected]]+[2]!Table3[[#This Row],[C&amp;I CLM $ Collected]]</f>
        <v>0</v>
      </c>
      <c r="E297" s="193">
        <f>[2]!Table3[[#This Row],[CLM $ Collected ]]/'[2]1.) CLM Reference'!$B$4</f>
        <v>0</v>
      </c>
      <c r="F297" s="188">
        <f>[2]!Table3[[#This Row],[Residential Incentive Disbursements]]+[2]!Table3[[#This Row],[C&amp;I Incentive Disbursements]]</f>
        <v>219375</v>
      </c>
      <c r="G297" s="193">
        <f>[2]!Table3[[#This Row],[Incentive Disbursements]]/'[2]1.) CLM Reference'!$B$5</f>
        <v>6.7728031174148088E-3</v>
      </c>
      <c r="H297" s="133">
        <v>0</v>
      </c>
      <c r="I297" s="132">
        <f>[2]!Table3[[#This Row],[CLM $ Collected ]]/'[2]1.) CLM Reference'!$B$4</f>
        <v>0</v>
      </c>
      <c r="J297" s="131">
        <v>219375</v>
      </c>
      <c r="K297" s="132">
        <f>[2]!Table3[[#This Row],[Incentive Disbursements]]/'[2]1.) CLM Reference'!$B$5</f>
        <v>6.7728031174148088E-3</v>
      </c>
      <c r="L297" s="133">
        <v>0</v>
      </c>
      <c r="M297" s="194">
        <f>[2]!Table3[[#This Row],[CLM $ Collected ]]/'[2]1.) CLM Reference'!$B$4</f>
        <v>0</v>
      </c>
      <c r="N297" s="131">
        <v>0</v>
      </c>
      <c r="O297" s="195">
        <f>[2]!Table3[[#This Row],[Incentive Disbursements]]/'[2]1.) CLM Reference'!$B$5</f>
        <v>6.7728031174148088E-3</v>
      </c>
      <c r="P297" t="str">
        <f t="shared" si="4"/>
        <v>N/A</v>
      </c>
      <c r="Q297" t="str">
        <f>VLOOKUP(Table8[[#This Row],[Census Tract]],'UI EnergyBurden'!$A$2:$B$184,2,FALSE)</f>
        <v>No</v>
      </c>
      <c r="R297">
        <f>VLOOKUP(Table8[[#This Row],[Census Tract]],'Population and Diversity Data'!$B$2:$K$823,10,FALSE)</f>
        <v>5</v>
      </c>
    </row>
    <row r="298" spans="1:18" ht="17" thickBot="1" x14ac:dyDescent="0.25">
      <c r="A298" s="143">
        <v>9009180200</v>
      </c>
      <c r="B298" s="143" t="s">
        <v>943</v>
      </c>
      <c r="C298" s="138" t="s">
        <v>3886</v>
      </c>
      <c r="D298" s="186">
        <f>[2]!Table3[[#This Row],[Residential CLM $ Collected]]+[2]!Table3[[#This Row],[C&amp;I CLM $ Collected]]</f>
        <v>1811.2084093791025</v>
      </c>
      <c r="E298" s="193">
        <f>[2]!Table3[[#This Row],[CLM $ Collected ]]/'[2]1.) CLM Reference'!$B$4</f>
        <v>8.0372687940304327E-5</v>
      </c>
      <c r="F298" s="188">
        <f>[2]!Table3[[#This Row],[Residential Incentive Disbursements]]+[2]!Table3[[#This Row],[C&amp;I Incentive Disbursements]]</f>
        <v>0</v>
      </c>
      <c r="G298" s="193">
        <f>[2]!Table3[[#This Row],[Incentive Disbursements]]/'[2]1.) CLM Reference'!$B$5</f>
        <v>0</v>
      </c>
      <c r="H298" s="133">
        <v>173.31450910228889</v>
      </c>
      <c r="I298" s="132">
        <f>[2]!Table3[[#This Row],[CLM $ Collected ]]/'[2]1.) CLM Reference'!$B$4</f>
        <v>8.0372687940304327E-5</v>
      </c>
      <c r="J298" s="131">
        <v>0</v>
      </c>
      <c r="K298" s="132">
        <f>[2]!Table3[[#This Row],[Incentive Disbursements]]/'[2]1.) CLM Reference'!$B$5</f>
        <v>0</v>
      </c>
      <c r="L298" s="133">
        <v>1637.8939002768136</v>
      </c>
      <c r="M298" s="194">
        <f>[2]!Table3[[#This Row],[CLM $ Collected ]]/'[2]1.) CLM Reference'!$B$4</f>
        <v>8.0372687940304327E-5</v>
      </c>
      <c r="N298" s="131">
        <v>0</v>
      </c>
      <c r="O298" s="195">
        <f>[2]!Table3[[#This Row],[Incentive Disbursements]]/'[2]1.) CLM Reference'!$B$5</f>
        <v>0</v>
      </c>
      <c r="P298" t="str">
        <f t="shared" si="4"/>
        <v>NO</v>
      </c>
      <c r="Q298" t="str">
        <f>VLOOKUP(Table8[[#This Row],[Census Tract]],'UI EnergyBurden'!$A$2:$B$184,2,FALSE)</f>
        <v>No</v>
      </c>
      <c r="R298">
        <f>VLOOKUP(Table8[[#This Row],[Census Tract]],'Population and Diversity Data'!$B$2:$K$823,10,FALSE)</f>
        <v>5</v>
      </c>
    </row>
    <row r="299" spans="1:18" ht="17" thickBot="1" x14ac:dyDescent="0.25">
      <c r="A299" s="143">
        <v>9009180200</v>
      </c>
      <c r="B299" s="143" t="s">
        <v>3004</v>
      </c>
      <c r="C299" s="138" t="s">
        <v>3886</v>
      </c>
      <c r="D299" s="186">
        <f>[2]!Table3[[#This Row],[Residential CLM $ Collected]]+[2]!Table3[[#This Row],[C&amp;I CLM $ Collected]]</f>
        <v>212.81476055747612</v>
      </c>
      <c r="E299" s="193">
        <f>[2]!Table3[[#This Row],[CLM $ Collected ]]/'[2]1.) CLM Reference'!$B$4</f>
        <v>9.4436919853084038E-6</v>
      </c>
      <c r="F299" s="188">
        <f>[2]!Table3[[#This Row],[Residential Incentive Disbursements]]+[2]!Table3[[#This Row],[C&amp;I Incentive Disbursements]]</f>
        <v>0</v>
      </c>
      <c r="G299" s="193">
        <f>[2]!Table3[[#This Row],[Incentive Disbursements]]/'[2]1.) CLM Reference'!$B$5</f>
        <v>0</v>
      </c>
      <c r="H299" s="133">
        <v>136.97667843331052</v>
      </c>
      <c r="I299" s="132">
        <f>[2]!Table3[[#This Row],[CLM $ Collected ]]/'[2]1.) CLM Reference'!$B$4</f>
        <v>9.4436919853084038E-6</v>
      </c>
      <c r="J299" s="131">
        <v>0</v>
      </c>
      <c r="K299" s="132">
        <f>[2]!Table3[[#This Row],[Incentive Disbursements]]/'[2]1.) CLM Reference'!$B$5</f>
        <v>0</v>
      </c>
      <c r="L299" s="133">
        <v>75.838082124165581</v>
      </c>
      <c r="M299" s="194">
        <f>[2]!Table3[[#This Row],[CLM $ Collected ]]/'[2]1.) CLM Reference'!$B$4</f>
        <v>9.4436919853084038E-6</v>
      </c>
      <c r="N299" s="131">
        <v>0</v>
      </c>
      <c r="O299" s="195">
        <f>[2]!Table3[[#This Row],[Incentive Disbursements]]/'[2]1.) CLM Reference'!$B$5</f>
        <v>0</v>
      </c>
      <c r="P299" t="str">
        <f t="shared" si="4"/>
        <v>NO</v>
      </c>
      <c r="Q299" t="str">
        <f>VLOOKUP(Table8[[#This Row],[Census Tract]],'UI EnergyBurden'!$A$2:$B$184,2,FALSE)</f>
        <v>No</v>
      </c>
      <c r="R299">
        <f>VLOOKUP(Table8[[#This Row],[Census Tract]],'Population and Diversity Data'!$B$2:$K$823,10,FALSE)</f>
        <v>5</v>
      </c>
    </row>
    <row r="300" spans="1:18" ht="17" thickBot="1" x14ac:dyDescent="0.25">
      <c r="A300" s="143">
        <v>9009180200</v>
      </c>
      <c r="B300" s="143" t="s">
        <v>950</v>
      </c>
      <c r="C300" s="138" t="s">
        <v>3886</v>
      </c>
      <c r="D300" s="186">
        <f>[2]!Table3[[#This Row],[Residential CLM $ Collected]]+[2]!Table3[[#This Row],[C&amp;I CLM $ Collected]]</f>
        <v>628.39378524676897</v>
      </c>
      <c r="E300" s="193">
        <f>[2]!Table3[[#This Row],[CLM $ Collected ]]/'[2]1.) CLM Reference'!$B$4</f>
        <v>2.7885083430337513E-5</v>
      </c>
      <c r="F300" s="188">
        <f>[2]!Table3[[#This Row],[Residential Incentive Disbursements]]+[2]!Table3[[#This Row],[C&amp;I Incentive Disbursements]]</f>
        <v>1500.61</v>
      </c>
      <c r="G300" s="193">
        <f>[2]!Table3[[#This Row],[Incentive Disbursements]]/'[2]1.) CLM Reference'!$B$5</f>
        <v>4.6328597543128592E-5</v>
      </c>
      <c r="H300" s="133">
        <v>54.60600446610033</v>
      </c>
      <c r="I300" s="132">
        <f>[2]!Table3[[#This Row],[CLM $ Collected ]]/'[2]1.) CLM Reference'!$B$4</f>
        <v>2.7885083430337513E-5</v>
      </c>
      <c r="J300" s="131">
        <v>0</v>
      </c>
      <c r="K300" s="132">
        <f>[2]!Table3[[#This Row],[Incentive Disbursements]]/'[2]1.) CLM Reference'!$B$5</f>
        <v>4.6328597543128592E-5</v>
      </c>
      <c r="L300" s="133">
        <v>573.78778078066864</v>
      </c>
      <c r="M300" s="194">
        <f>[2]!Table3[[#This Row],[CLM $ Collected ]]/'[2]1.) CLM Reference'!$B$4</f>
        <v>2.7885083430337513E-5</v>
      </c>
      <c r="N300" s="131">
        <v>1500.61</v>
      </c>
      <c r="O300" s="195">
        <f>[2]!Table3[[#This Row],[Incentive Disbursements]]/'[2]1.) CLM Reference'!$B$5</f>
        <v>4.6328597543128592E-5</v>
      </c>
      <c r="P300" t="str">
        <f t="shared" si="4"/>
        <v>YES</v>
      </c>
      <c r="Q300" t="str">
        <f>VLOOKUP(Table8[[#This Row],[Census Tract]],'UI EnergyBurden'!$A$2:$B$184,2,FALSE)</f>
        <v>No</v>
      </c>
      <c r="R300">
        <f>VLOOKUP(Table8[[#This Row],[Census Tract]],'Population and Diversity Data'!$B$2:$K$823,10,FALSE)</f>
        <v>5</v>
      </c>
    </row>
    <row r="301" spans="1:18" ht="17" thickBot="1" x14ac:dyDescent="0.25">
      <c r="A301" s="143">
        <v>9009180300</v>
      </c>
      <c r="B301" s="143" t="s">
        <v>3880</v>
      </c>
      <c r="C301" s="138" t="s">
        <v>3886</v>
      </c>
      <c r="D301" s="186">
        <f>[2]!Table3[[#This Row],[Residential CLM $ Collected]]+[2]!Table3[[#This Row],[C&amp;I CLM $ Collected]]</f>
        <v>43308.364699177087</v>
      </c>
      <c r="E301" s="193">
        <f>[2]!Table3[[#This Row],[CLM $ Collected ]]/'[2]1.) CLM Reference'!$B$4</f>
        <v>1.9218162101870444E-3</v>
      </c>
      <c r="F301" s="188">
        <f>[2]!Table3[[#This Row],[Residential Incentive Disbursements]]+[2]!Table3[[#This Row],[C&amp;I Incentive Disbursements]]</f>
        <v>150053.16</v>
      </c>
      <c r="G301" s="193">
        <f>[2]!Table3[[#This Row],[Incentive Disbursements]]/'[2]1.) CLM Reference'!$B$5</f>
        <v>4.6326177086082878E-3</v>
      </c>
      <c r="H301" s="133">
        <v>29003.355098022785</v>
      </c>
      <c r="I301" s="132">
        <f>[2]!Table3[[#This Row],[CLM $ Collected ]]/'[2]1.) CLM Reference'!$B$4</f>
        <v>1.9218162101870444E-3</v>
      </c>
      <c r="J301" s="131">
        <v>5721.1699999999992</v>
      </c>
      <c r="K301" s="132">
        <f>[2]!Table3[[#This Row],[Incentive Disbursements]]/'[2]1.) CLM Reference'!$B$5</f>
        <v>4.6326177086082878E-3</v>
      </c>
      <c r="L301" s="133">
        <v>14305.009601154305</v>
      </c>
      <c r="M301" s="194">
        <f>[2]!Table3[[#This Row],[CLM $ Collected ]]/'[2]1.) CLM Reference'!$B$4</f>
        <v>1.9218162101870444E-3</v>
      </c>
      <c r="N301" s="131">
        <v>144331.99</v>
      </c>
      <c r="O301" s="195">
        <f>[2]!Table3[[#This Row],[Incentive Disbursements]]/'[2]1.) CLM Reference'!$B$5</f>
        <v>4.6326177086082878E-3</v>
      </c>
      <c r="P301" t="str">
        <f t="shared" si="4"/>
        <v>YES</v>
      </c>
      <c r="Q301" t="str">
        <f>VLOOKUP(Table8[[#This Row],[Census Tract]],'UI EnergyBurden'!$A$2:$B$184,2,FALSE)</f>
        <v>No</v>
      </c>
      <c r="R301">
        <f>VLOOKUP(Table8[[#This Row],[Census Tract]],'Population and Diversity Data'!$B$2:$K$823,10,FALSE)</f>
        <v>3</v>
      </c>
    </row>
    <row r="302" spans="1:18" ht="17" thickBot="1" x14ac:dyDescent="0.25">
      <c r="A302" s="143">
        <v>9009180300</v>
      </c>
      <c r="B302" s="143" t="s">
        <v>943</v>
      </c>
      <c r="C302" s="138" t="s">
        <v>3886</v>
      </c>
      <c r="D302" s="186">
        <f>[2]!Table3[[#This Row],[Residential CLM $ Collected]]+[2]!Table3[[#This Row],[C&amp;I CLM $ Collected]]</f>
        <v>641.38971884264924</v>
      </c>
      <c r="E302" s="193">
        <f>[2]!Table3[[#This Row],[CLM $ Collected ]]/'[2]1.) CLM Reference'!$B$4</f>
        <v>2.8461780242248114E-5</v>
      </c>
      <c r="F302" s="188">
        <f>[2]!Table3[[#This Row],[Residential Incentive Disbursements]]+[2]!Table3[[#This Row],[C&amp;I Incentive Disbursements]]</f>
        <v>0</v>
      </c>
      <c r="G302" s="193">
        <f>[2]!Table3[[#This Row],[Incentive Disbursements]]/'[2]1.) CLM Reference'!$B$5</f>
        <v>0</v>
      </c>
      <c r="H302" s="133">
        <v>330.15211340752739</v>
      </c>
      <c r="I302" s="132">
        <f>[2]!Table3[[#This Row],[CLM $ Collected ]]/'[2]1.) CLM Reference'!$B$4</f>
        <v>2.8461780242248114E-5</v>
      </c>
      <c r="J302" s="131">
        <v>0</v>
      </c>
      <c r="K302" s="132">
        <f>[2]!Table3[[#This Row],[Incentive Disbursements]]/'[2]1.) CLM Reference'!$B$5</f>
        <v>0</v>
      </c>
      <c r="L302" s="133">
        <v>311.23760543512179</v>
      </c>
      <c r="M302" s="194">
        <f>[2]!Table3[[#This Row],[CLM $ Collected ]]/'[2]1.) CLM Reference'!$B$4</f>
        <v>2.8461780242248114E-5</v>
      </c>
      <c r="N302" s="131">
        <v>0</v>
      </c>
      <c r="O302" s="195">
        <f>[2]!Table3[[#This Row],[Incentive Disbursements]]/'[2]1.) CLM Reference'!$B$5</f>
        <v>0</v>
      </c>
      <c r="P302" t="str">
        <f t="shared" si="4"/>
        <v>NO</v>
      </c>
      <c r="Q302" t="str">
        <f>VLOOKUP(Table8[[#This Row],[Census Tract]],'UI EnergyBurden'!$A$2:$B$184,2,FALSE)</f>
        <v>No</v>
      </c>
      <c r="R302">
        <f>VLOOKUP(Table8[[#This Row],[Census Tract]],'Population and Diversity Data'!$B$2:$K$823,10,FALSE)</f>
        <v>3</v>
      </c>
    </row>
    <row r="303" spans="1:18" ht="17" thickBot="1" x14ac:dyDescent="0.25">
      <c r="A303" s="143">
        <v>9009180300</v>
      </c>
      <c r="B303" s="143" t="s">
        <v>3004</v>
      </c>
      <c r="C303" s="138" t="s">
        <v>3886</v>
      </c>
      <c r="D303" s="186">
        <f>[2]!Table3[[#This Row],[Residential CLM $ Collected]]+[2]!Table3[[#This Row],[C&amp;I CLM $ Collected]]</f>
        <v>88.021481328260847</v>
      </c>
      <c r="E303" s="193">
        <f>[2]!Table3[[#This Row],[CLM $ Collected ]]/'[2]1.) CLM Reference'!$B$4</f>
        <v>3.9059685313987906E-6</v>
      </c>
      <c r="F303" s="188">
        <f>[2]!Table3[[#This Row],[Residential Incentive Disbursements]]+[2]!Table3[[#This Row],[C&amp;I Incentive Disbursements]]</f>
        <v>0</v>
      </c>
      <c r="G303" s="193">
        <f>[2]!Table3[[#This Row],[Incentive Disbursements]]/'[2]1.) CLM Reference'!$B$5</f>
        <v>0</v>
      </c>
      <c r="H303" s="133">
        <v>0</v>
      </c>
      <c r="I303" s="132">
        <f>[2]!Table3[[#This Row],[CLM $ Collected ]]/'[2]1.) CLM Reference'!$B$4</f>
        <v>3.9059685313987906E-6</v>
      </c>
      <c r="J303" s="131">
        <v>0</v>
      </c>
      <c r="K303" s="132">
        <f>[2]!Table3[[#This Row],[Incentive Disbursements]]/'[2]1.) CLM Reference'!$B$5</f>
        <v>0</v>
      </c>
      <c r="L303" s="133">
        <v>88.021481328260847</v>
      </c>
      <c r="M303" s="194">
        <f>[2]!Table3[[#This Row],[CLM $ Collected ]]/'[2]1.) CLM Reference'!$B$4</f>
        <v>3.9059685313987906E-6</v>
      </c>
      <c r="N303" s="131">
        <v>0</v>
      </c>
      <c r="O303" s="195">
        <f>[2]!Table3[[#This Row],[Incentive Disbursements]]/'[2]1.) CLM Reference'!$B$5</f>
        <v>0</v>
      </c>
      <c r="P303" t="str">
        <f t="shared" si="4"/>
        <v>N/A</v>
      </c>
      <c r="Q303" t="str">
        <f>VLOOKUP(Table8[[#This Row],[Census Tract]],'UI EnergyBurden'!$A$2:$B$184,2,FALSE)</f>
        <v>No</v>
      </c>
      <c r="R303">
        <f>VLOOKUP(Table8[[#This Row],[Census Tract]],'Population and Diversity Data'!$B$2:$K$823,10,FALSE)</f>
        <v>3</v>
      </c>
    </row>
    <row r="304" spans="1:18" ht="17" thickBot="1" x14ac:dyDescent="0.25">
      <c r="A304" s="143">
        <v>9009180300</v>
      </c>
      <c r="B304" s="143" t="s">
        <v>950</v>
      </c>
      <c r="C304" s="138" t="s">
        <v>3886</v>
      </c>
      <c r="D304" s="186">
        <f>[2]!Table3[[#This Row],[Residential CLM $ Collected]]+[2]!Table3[[#This Row],[C&amp;I CLM $ Collected]]</f>
        <v>6.2832915182924047</v>
      </c>
      <c r="E304" s="193">
        <f>[2]!Table3[[#This Row],[CLM $ Collected ]]/'[2]1.) CLM Reference'!$B$4</f>
        <v>2.7882215311201892E-7</v>
      </c>
      <c r="F304" s="188">
        <f>[2]!Table3[[#This Row],[Residential Incentive Disbursements]]+[2]!Table3[[#This Row],[C&amp;I Incentive Disbursements]]</f>
        <v>0</v>
      </c>
      <c r="G304" s="193">
        <f>[2]!Table3[[#This Row],[Incentive Disbursements]]/'[2]1.) CLM Reference'!$B$5</f>
        <v>0</v>
      </c>
      <c r="H304" s="133">
        <v>6.2832915182924047</v>
      </c>
      <c r="I304" s="132">
        <f>[2]!Table3[[#This Row],[CLM $ Collected ]]/'[2]1.) CLM Reference'!$B$4</f>
        <v>2.7882215311201892E-7</v>
      </c>
      <c r="J304" s="131">
        <v>0</v>
      </c>
      <c r="K304" s="132">
        <f>[2]!Table3[[#This Row],[Incentive Disbursements]]/'[2]1.) CLM Reference'!$B$5</f>
        <v>0</v>
      </c>
      <c r="L304" s="133">
        <v>0</v>
      </c>
      <c r="M304" s="194">
        <f>[2]!Table3[[#This Row],[CLM $ Collected ]]/'[2]1.) CLM Reference'!$B$4</f>
        <v>2.7882215311201892E-7</v>
      </c>
      <c r="N304" s="131">
        <v>0</v>
      </c>
      <c r="O304" s="195">
        <f>[2]!Table3[[#This Row],[Incentive Disbursements]]/'[2]1.) CLM Reference'!$B$5</f>
        <v>0</v>
      </c>
      <c r="P304" t="str">
        <f t="shared" si="4"/>
        <v>N/A</v>
      </c>
      <c r="Q304" t="str">
        <f>VLOOKUP(Table8[[#This Row],[Census Tract]],'UI EnergyBurden'!$A$2:$B$184,2,FALSE)</f>
        <v>No</v>
      </c>
      <c r="R304">
        <f>VLOOKUP(Table8[[#This Row],[Census Tract]],'Population and Diversity Data'!$B$2:$K$823,10,FALSE)</f>
        <v>3</v>
      </c>
    </row>
    <row r="305" spans="1:18" ht="17" thickBot="1" x14ac:dyDescent="0.25">
      <c r="A305" s="143">
        <v>9009180400</v>
      </c>
      <c r="B305" s="143" t="s">
        <v>3880</v>
      </c>
      <c r="C305" s="138" t="s">
        <v>3886</v>
      </c>
      <c r="D305" s="186">
        <f>[2]!Table3[[#This Row],[Residential CLM $ Collected]]+[2]!Table3[[#This Row],[C&amp;I CLM $ Collected]]</f>
        <v>44948.437668959152</v>
      </c>
      <c r="E305" s="193">
        <f>[2]!Table3[[#This Row],[CLM $ Collected ]]/'[2]1.) CLM Reference'!$B$4</f>
        <v>1.9945947332532057E-3</v>
      </c>
      <c r="F305" s="188">
        <f>[2]!Table3[[#This Row],[Residential Incentive Disbursements]]+[2]!Table3[[#This Row],[C&amp;I Incentive Disbursements]]</f>
        <v>32043.220000000005</v>
      </c>
      <c r="G305" s="193">
        <f>[2]!Table3[[#This Row],[Incentive Disbursements]]/'[2]1.) CLM Reference'!$B$5</f>
        <v>9.8927599000801628E-4</v>
      </c>
      <c r="H305" s="133">
        <v>34843.053621800042</v>
      </c>
      <c r="I305" s="132">
        <f>[2]!Table3[[#This Row],[CLM $ Collected ]]/'[2]1.) CLM Reference'!$B$4</f>
        <v>1.9945947332532057E-3</v>
      </c>
      <c r="J305" s="131">
        <v>27388.220000000005</v>
      </c>
      <c r="K305" s="132">
        <f>[2]!Table3[[#This Row],[Incentive Disbursements]]/'[2]1.) CLM Reference'!$B$5</f>
        <v>9.8927599000801628E-4</v>
      </c>
      <c r="L305" s="133">
        <v>10105.384047159108</v>
      </c>
      <c r="M305" s="194">
        <f>[2]!Table3[[#This Row],[CLM $ Collected ]]/'[2]1.) CLM Reference'!$B$4</f>
        <v>1.9945947332532057E-3</v>
      </c>
      <c r="N305" s="131">
        <v>4655</v>
      </c>
      <c r="O305" s="195">
        <f>[2]!Table3[[#This Row],[Incentive Disbursements]]/'[2]1.) CLM Reference'!$B$5</f>
        <v>9.8927599000801628E-4</v>
      </c>
      <c r="P305" t="str">
        <f t="shared" si="4"/>
        <v>NO</v>
      </c>
      <c r="Q305" t="str">
        <f>VLOOKUP(Table8[[#This Row],[Census Tract]],'UI EnergyBurden'!$A$2:$B$184,2,FALSE)</f>
        <v>No</v>
      </c>
      <c r="R305">
        <f>VLOOKUP(Table8[[#This Row],[Census Tract]],'Population and Diversity Data'!$B$2:$K$823,10,FALSE)</f>
        <v>4</v>
      </c>
    </row>
    <row r="306" spans="1:18" ht="17" thickBot="1" x14ac:dyDescent="0.25">
      <c r="A306" s="143">
        <v>9009180400</v>
      </c>
      <c r="B306" s="143" t="s">
        <v>3888</v>
      </c>
      <c r="C306" s="138" t="s">
        <v>944</v>
      </c>
      <c r="D306" s="186">
        <f>[2]!Table3[[#This Row],[Residential CLM $ Collected]]+[2]!Table3[[#This Row],[C&amp;I CLM $ Collected]]</f>
        <v>0</v>
      </c>
      <c r="E306" s="193">
        <f>[2]!Table3[[#This Row],[CLM $ Collected ]]/'[2]1.) CLM Reference'!$B$4</f>
        <v>0</v>
      </c>
      <c r="F306" s="188">
        <f>[2]!Table3[[#This Row],[Residential Incentive Disbursements]]+[2]!Table3[[#This Row],[C&amp;I Incentive Disbursements]]</f>
        <v>3000</v>
      </c>
      <c r="G306" s="193">
        <f>[2]!Table3[[#This Row],[Incentive Disbursements]]/'[2]1.) CLM Reference'!$B$5</f>
        <v>9.2619529810800797E-5</v>
      </c>
      <c r="H306" s="133">
        <v>0</v>
      </c>
      <c r="I306" s="132">
        <f>[2]!Table3[[#This Row],[CLM $ Collected ]]/'[2]1.) CLM Reference'!$B$4</f>
        <v>0</v>
      </c>
      <c r="J306" s="131">
        <v>3000</v>
      </c>
      <c r="K306" s="132">
        <f>[2]!Table3[[#This Row],[Incentive Disbursements]]/'[2]1.) CLM Reference'!$B$5</f>
        <v>9.2619529810800797E-5</v>
      </c>
      <c r="L306" s="133">
        <v>0</v>
      </c>
      <c r="M306" s="194">
        <f>[2]!Table3[[#This Row],[CLM $ Collected ]]/'[2]1.) CLM Reference'!$B$4</f>
        <v>0</v>
      </c>
      <c r="N306" s="131">
        <v>0</v>
      </c>
      <c r="O306" s="195">
        <f>[2]!Table3[[#This Row],[Incentive Disbursements]]/'[2]1.) CLM Reference'!$B$5</f>
        <v>9.2619529810800797E-5</v>
      </c>
      <c r="P306" t="str">
        <f t="shared" si="4"/>
        <v>N/A</v>
      </c>
      <c r="Q306" t="str">
        <f>VLOOKUP(Table8[[#This Row],[Census Tract]],'UI EnergyBurden'!$A$2:$B$184,2,FALSE)</f>
        <v>No</v>
      </c>
      <c r="R306">
        <f>VLOOKUP(Table8[[#This Row],[Census Tract]],'Population and Diversity Data'!$B$2:$K$823,10,FALSE)</f>
        <v>4</v>
      </c>
    </row>
    <row r="307" spans="1:18" ht="17" thickBot="1" x14ac:dyDescent="0.25">
      <c r="A307" s="143">
        <v>9009180400</v>
      </c>
      <c r="B307" s="143" t="s">
        <v>950</v>
      </c>
      <c r="C307" s="138" t="s">
        <v>3886</v>
      </c>
      <c r="D307" s="186">
        <f>[2]!Table3[[#This Row],[Residential CLM $ Collected]]+[2]!Table3[[#This Row],[C&amp;I CLM $ Collected]]</f>
        <v>21.804545070459245</v>
      </c>
      <c r="E307" s="193">
        <f>[2]!Table3[[#This Row],[CLM $ Collected ]]/'[2]1.) CLM Reference'!$B$4</f>
        <v>9.6758047696404522E-7</v>
      </c>
      <c r="F307" s="188">
        <f>[2]!Table3[[#This Row],[Residential Incentive Disbursements]]+[2]!Table3[[#This Row],[C&amp;I Incentive Disbursements]]</f>
        <v>0</v>
      </c>
      <c r="G307" s="193">
        <f>[2]!Table3[[#This Row],[Incentive Disbursements]]/'[2]1.) CLM Reference'!$B$5</f>
        <v>0</v>
      </c>
      <c r="H307" s="133">
        <v>0</v>
      </c>
      <c r="I307" s="132">
        <f>[2]!Table3[[#This Row],[CLM $ Collected ]]/'[2]1.) CLM Reference'!$B$4</f>
        <v>9.6758047696404522E-7</v>
      </c>
      <c r="J307" s="131">
        <v>0</v>
      </c>
      <c r="K307" s="132">
        <f>[2]!Table3[[#This Row],[Incentive Disbursements]]/'[2]1.) CLM Reference'!$B$5</f>
        <v>0</v>
      </c>
      <c r="L307" s="133">
        <v>21.804545070459245</v>
      </c>
      <c r="M307" s="194">
        <f>[2]!Table3[[#This Row],[CLM $ Collected ]]/'[2]1.) CLM Reference'!$B$4</f>
        <v>9.6758047696404522E-7</v>
      </c>
      <c r="N307" s="131">
        <v>0</v>
      </c>
      <c r="O307" s="195">
        <f>[2]!Table3[[#This Row],[Incentive Disbursements]]/'[2]1.) CLM Reference'!$B$5</f>
        <v>0</v>
      </c>
      <c r="P307" t="str">
        <f t="shared" si="4"/>
        <v>N/A</v>
      </c>
      <c r="Q307" t="str">
        <f>VLOOKUP(Table8[[#This Row],[Census Tract]],'UI EnergyBurden'!$A$2:$B$184,2,FALSE)</f>
        <v>No</v>
      </c>
      <c r="R307">
        <f>VLOOKUP(Table8[[#This Row],[Census Tract]],'Population and Diversity Data'!$B$2:$K$823,10,FALSE)</f>
        <v>4</v>
      </c>
    </row>
    <row r="308" spans="1:18" ht="17" thickBot="1" x14ac:dyDescent="0.25">
      <c r="A308" s="143">
        <v>9009180500</v>
      </c>
      <c r="B308" s="143" t="s">
        <v>3880</v>
      </c>
      <c r="C308" s="138" t="s">
        <v>3886</v>
      </c>
      <c r="D308" s="186">
        <f>[2]!Table3[[#This Row],[Residential CLM $ Collected]]+[2]!Table3[[#This Row],[C&amp;I CLM $ Collected]]</f>
        <v>78952.060163937</v>
      </c>
      <c r="E308" s="193">
        <f>[2]!Table3[[#This Row],[CLM $ Collected ]]/'[2]1.) CLM Reference'!$B$4</f>
        <v>3.503511391036199E-3</v>
      </c>
      <c r="F308" s="188">
        <f>[2]!Table3[[#This Row],[Residential Incentive Disbursements]]+[2]!Table3[[#This Row],[C&amp;I Incentive Disbursements]]</f>
        <v>186449.36</v>
      </c>
      <c r="G308" s="193">
        <f>[2]!Table3[[#This Row],[Incentive Disbursements]]/'[2]1.) CLM Reference'!$B$5</f>
        <v>5.7562840189082434E-3</v>
      </c>
      <c r="H308" s="133">
        <v>65856.037104341332</v>
      </c>
      <c r="I308" s="132">
        <f>[2]!Table3[[#This Row],[CLM $ Collected ]]/'[2]1.) CLM Reference'!$B$4</f>
        <v>3.503511391036199E-3</v>
      </c>
      <c r="J308" s="131">
        <v>52528.799999999996</v>
      </c>
      <c r="K308" s="132">
        <f>[2]!Table3[[#This Row],[Incentive Disbursements]]/'[2]1.) CLM Reference'!$B$5</f>
        <v>5.7562840189082434E-3</v>
      </c>
      <c r="L308" s="133">
        <v>13096.023059595667</v>
      </c>
      <c r="M308" s="194">
        <f>[2]!Table3[[#This Row],[CLM $ Collected ]]/'[2]1.) CLM Reference'!$B$4</f>
        <v>3.503511391036199E-3</v>
      </c>
      <c r="N308" s="131">
        <v>133920.56</v>
      </c>
      <c r="O308" s="195">
        <f>[2]!Table3[[#This Row],[Incentive Disbursements]]/'[2]1.) CLM Reference'!$B$5</f>
        <v>5.7562840189082434E-3</v>
      </c>
      <c r="P308" t="str">
        <f t="shared" si="4"/>
        <v>YES</v>
      </c>
      <c r="Q308" t="str">
        <f>VLOOKUP(Table8[[#This Row],[Census Tract]],'UI EnergyBurden'!$A$2:$B$184,2,FALSE)</f>
        <v>No</v>
      </c>
      <c r="R308">
        <f>VLOOKUP(Table8[[#This Row],[Census Tract]],'Population and Diversity Data'!$B$2:$K$823,10,FALSE)</f>
        <v>5</v>
      </c>
    </row>
    <row r="309" spans="1:18" ht="17" thickBot="1" x14ac:dyDescent="0.25">
      <c r="A309" s="143">
        <v>9009180500</v>
      </c>
      <c r="B309" s="143" t="s">
        <v>943</v>
      </c>
      <c r="C309" s="138" t="s">
        <v>3886</v>
      </c>
      <c r="D309" s="186">
        <f>[2]!Table3[[#This Row],[Residential CLM $ Collected]]+[2]!Table3[[#This Row],[C&amp;I CLM $ Collected]]</f>
        <v>2126.5733201906778</v>
      </c>
      <c r="E309" s="193">
        <f>[2]!Table3[[#This Row],[CLM $ Collected ]]/'[2]1.) CLM Reference'!$B$4</f>
        <v>9.4367060665566632E-5</v>
      </c>
      <c r="F309" s="188">
        <f>[2]!Table3[[#This Row],[Residential Incentive Disbursements]]+[2]!Table3[[#This Row],[C&amp;I Incentive Disbursements]]</f>
        <v>3600</v>
      </c>
      <c r="G309" s="193">
        <f>[2]!Table3[[#This Row],[Incentive Disbursements]]/'[2]1.) CLM Reference'!$B$5</f>
        <v>1.1114343577296096E-4</v>
      </c>
      <c r="H309" s="133">
        <v>257.31948519843036</v>
      </c>
      <c r="I309" s="132">
        <f>[2]!Table3[[#This Row],[CLM $ Collected ]]/'[2]1.) CLM Reference'!$B$4</f>
        <v>9.4367060665566632E-5</v>
      </c>
      <c r="J309" s="131">
        <v>0</v>
      </c>
      <c r="K309" s="132">
        <f>[2]!Table3[[#This Row],[Incentive Disbursements]]/'[2]1.) CLM Reference'!$B$5</f>
        <v>1.1114343577296096E-4</v>
      </c>
      <c r="L309" s="133">
        <v>1869.2538349922474</v>
      </c>
      <c r="M309" s="194">
        <f>[2]!Table3[[#This Row],[CLM $ Collected ]]/'[2]1.) CLM Reference'!$B$4</f>
        <v>9.4367060665566632E-5</v>
      </c>
      <c r="N309" s="131">
        <v>3600</v>
      </c>
      <c r="O309" s="195">
        <f>[2]!Table3[[#This Row],[Incentive Disbursements]]/'[2]1.) CLM Reference'!$B$5</f>
        <v>1.1114343577296096E-4</v>
      </c>
      <c r="P309" t="str">
        <f t="shared" si="4"/>
        <v>YES</v>
      </c>
      <c r="Q309" t="str">
        <f>VLOOKUP(Table8[[#This Row],[Census Tract]],'UI EnergyBurden'!$A$2:$B$184,2,FALSE)</f>
        <v>No</v>
      </c>
      <c r="R309">
        <f>VLOOKUP(Table8[[#This Row],[Census Tract]],'Population and Diversity Data'!$B$2:$K$823,10,FALSE)</f>
        <v>5</v>
      </c>
    </row>
    <row r="310" spans="1:18" ht="17" thickBot="1" x14ac:dyDescent="0.25">
      <c r="A310" s="143">
        <v>9009180500</v>
      </c>
      <c r="B310" s="143" t="s">
        <v>950</v>
      </c>
      <c r="C310" s="138" t="s">
        <v>3886</v>
      </c>
      <c r="D310" s="186">
        <f>[2]!Table3[[#This Row],[Residential CLM $ Collected]]+[2]!Table3[[#This Row],[C&amp;I CLM $ Collected]]</f>
        <v>68.751489559449297</v>
      </c>
      <c r="E310" s="193">
        <f>[2]!Table3[[#This Row],[CLM $ Collected ]]/'[2]1.) CLM Reference'!$B$4</f>
        <v>3.0508592976812537E-6</v>
      </c>
      <c r="F310" s="188">
        <f>[2]!Table3[[#This Row],[Residential Incentive Disbursements]]+[2]!Table3[[#This Row],[C&amp;I Incentive Disbursements]]</f>
        <v>0</v>
      </c>
      <c r="G310" s="193">
        <f>[2]!Table3[[#This Row],[Incentive Disbursements]]/'[2]1.) CLM Reference'!$B$5</f>
        <v>0</v>
      </c>
      <c r="H310" s="133">
        <v>68.751489559449297</v>
      </c>
      <c r="I310" s="132">
        <f>[2]!Table3[[#This Row],[CLM $ Collected ]]/'[2]1.) CLM Reference'!$B$4</f>
        <v>3.0508592976812537E-6</v>
      </c>
      <c r="J310" s="131">
        <v>0</v>
      </c>
      <c r="K310" s="132">
        <f>[2]!Table3[[#This Row],[Incentive Disbursements]]/'[2]1.) CLM Reference'!$B$5</f>
        <v>0</v>
      </c>
      <c r="L310" s="133">
        <v>0</v>
      </c>
      <c r="M310" s="194">
        <f>[2]!Table3[[#This Row],[CLM $ Collected ]]/'[2]1.) CLM Reference'!$B$4</f>
        <v>3.0508592976812537E-6</v>
      </c>
      <c r="N310" s="131">
        <v>0</v>
      </c>
      <c r="O310" s="195">
        <f>[2]!Table3[[#This Row],[Incentive Disbursements]]/'[2]1.) CLM Reference'!$B$5</f>
        <v>0</v>
      </c>
      <c r="P310" t="str">
        <f t="shared" si="4"/>
        <v>N/A</v>
      </c>
      <c r="Q310" t="str">
        <f>VLOOKUP(Table8[[#This Row],[Census Tract]],'UI EnergyBurden'!$A$2:$B$184,2,FALSE)</f>
        <v>No</v>
      </c>
      <c r="R310">
        <f>VLOOKUP(Table8[[#This Row],[Census Tract]],'Population and Diversity Data'!$B$2:$K$823,10,FALSE)</f>
        <v>5</v>
      </c>
    </row>
    <row r="311" spans="1:18" ht="17" thickBot="1" x14ac:dyDescent="0.25">
      <c r="A311" s="143">
        <v>9009180601</v>
      </c>
      <c r="B311" s="143" t="s">
        <v>3880</v>
      </c>
      <c r="C311" s="138" t="s">
        <v>3886</v>
      </c>
      <c r="D311" s="186">
        <f>[2]!Table3[[#This Row],[Residential CLM $ Collected]]+[2]!Table3[[#This Row],[C&amp;I CLM $ Collected]]</f>
        <v>52397.734506153865</v>
      </c>
      <c r="E311" s="193">
        <f>[2]!Table3[[#This Row],[CLM $ Collected ]]/'[2]1.) CLM Reference'!$B$4</f>
        <v>2.325158575034281E-3</v>
      </c>
      <c r="F311" s="188">
        <f>[2]!Table3[[#This Row],[Residential Incentive Disbursements]]+[2]!Table3[[#This Row],[C&amp;I Incentive Disbursements]]</f>
        <v>86458.37000000001</v>
      </c>
      <c r="G311" s="193">
        <f>[2]!Table3[[#This Row],[Incentive Disbursements]]/'[2]1.) CLM Reference'!$B$5</f>
        <v>2.6692445258694156E-3</v>
      </c>
      <c r="H311" s="133">
        <v>43926.430987637403</v>
      </c>
      <c r="I311" s="132">
        <f>[2]!Table3[[#This Row],[CLM $ Collected ]]/'[2]1.) CLM Reference'!$B$4</f>
        <v>2.325158575034281E-3</v>
      </c>
      <c r="J311" s="131">
        <v>82968.37000000001</v>
      </c>
      <c r="K311" s="132">
        <f>[2]!Table3[[#This Row],[Incentive Disbursements]]/'[2]1.) CLM Reference'!$B$5</f>
        <v>2.6692445258694156E-3</v>
      </c>
      <c r="L311" s="133">
        <v>8471.3035185164663</v>
      </c>
      <c r="M311" s="194">
        <f>[2]!Table3[[#This Row],[CLM $ Collected ]]/'[2]1.) CLM Reference'!$B$4</f>
        <v>2.325158575034281E-3</v>
      </c>
      <c r="N311" s="131">
        <v>3490</v>
      </c>
      <c r="O311" s="195">
        <f>[2]!Table3[[#This Row],[Incentive Disbursements]]/'[2]1.) CLM Reference'!$B$5</f>
        <v>2.6692445258694156E-3</v>
      </c>
      <c r="P311" t="str">
        <f t="shared" si="4"/>
        <v>YES</v>
      </c>
      <c r="Q311" t="str">
        <f>VLOOKUP(Table8[[#This Row],[Census Tract]],'UI EnergyBurden'!$A$2:$B$184,2,FALSE)</f>
        <v>No</v>
      </c>
      <c r="R311">
        <f>VLOOKUP(Table8[[#This Row],[Census Tract]],'Population and Diversity Data'!$B$2:$K$823,10,FALSE)</f>
        <v>1</v>
      </c>
    </row>
    <row r="312" spans="1:18" ht="17" thickBot="1" x14ac:dyDescent="0.25">
      <c r="A312" s="143">
        <v>9009180601</v>
      </c>
      <c r="B312" s="143" t="s">
        <v>943</v>
      </c>
      <c r="C312" s="138" t="s">
        <v>3886</v>
      </c>
      <c r="D312" s="186">
        <f>[2]!Table3[[#This Row],[Residential CLM $ Collected]]+[2]!Table3[[#This Row],[C&amp;I CLM $ Collected]]</f>
        <v>1164.7957506599637</v>
      </c>
      <c r="E312" s="193">
        <f>[2]!Table3[[#This Row],[CLM $ Collected ]]/'[2]1.) CLM Reference'!$B$4</f>
        <v>5.168801386808862E-5</v>
      </c>
      <c r="F312" s="188">
        <f>[2]!Table3[[#This Row],[Residential Incentive Disbursements]]+[2]!Table3[[#This Row],[C&amp;I Incentive Disbursements]]</f>
        <v>0</v>
      </c>
      <c r="G312" s="193">
        <f>[2]!Table3[[#This Row],[Incentive Disbursements]]/'[2]1.) CLM Reference'!$B$5</f>
        <v>0</v>
      </c>
      <c r="H312" s="133">
        <v>0</v>
      </c>
      <c r="I312" s="132">
        <f>[2]!Table3[[#This Row],[CLM $ Collected ]]/'[2]1.) CLM Reference'!$B$4</f>
        <v>5.168801386808862E-5</v>
      </c>
      <c r="J312" s="131">
        <v>0</v>
      </c>
      <c r="K312" s="132">
        <f>[2]!Table3[[#This Row],[Incentive Disbursements]]/'[2]1.) CLM Reference'!$B$5</f>
        <v>0</v>
      </c>
      <c r="L312" s="133">
        <v>1164.7957506599637</v>
      </c>
      <c r="M312" s="194">
        <f>[2]!Table3[[#This Row],[CLM $ Collected ]]/'[2]1.) CLM Reference'!$B$4</f>
        <v>5.168801386808862E-5</v>
      </c>
      <c r="N312" s="131">
        <v>0</v>
      </c>
      <c r="O312" s="195">
        <f>[2]!Table3[[#This Row],[Incentive Disbursements]]/'[2]1.) CLM Reference'!$B$5</f>
        <v>0</v>
      </c>
      <c r="P312" t="str">
        <f t="shared" si="4"/>
        <v>NO</v>
      </c>
      <c r="Q312" t="str">
        <f>VLOOKUP(Table8[[#This Row],[Census Tract]],'UI EnergyBurden'!$A$2:$B$184,2,FALSE)</f>
        <v>No</v>
      </c>
      <c r="R312">
        <f>VLOOKUP(Table8[[#This Row],[Census Tract]],'Population and Diversity Data'!$B$2:$K$823,10,FALSE)</f>
        <v>1</v>
      </c>
    </row>
    <row r="313" spans="1:18" ht="17" thickBot="1" x14ac:dyDescent="0.25">
      <c r="A313" s="143">
        <v>9009180601</v>
      </c>
      <c r="B313" s="143" t="s">
        <v>3005</v>
      </c>
      <c r="C313" s="138" t="s">
        <v>3886</v>
      </c>
      <c r="D313" s="186">
        <f>[2]!Table3[[#This Row],[Residential CLM $ Collected]]+[2]!Table3[[#This Row],[C&amp;I CLM $ Collected]]</f>
        <v>64.73960100001058</v>
      </c>
      <c r="E313" s="193">
        <f>[2]!Table3[[#This Row],[CLM $ Collected ]]/'[2]1.) CLM Reference'!$B$4</f>
        <v>2.8728310456207508E-6</v>
      </c>
      <c r="F313" s="188">
        <f>[2]!Table3[[#This Row],[Residential Incentive Disbursements]]+[2]!Table3[[#This Row],[C&amp;I Incentive Disbursements]]</f>
        <v>0</v>
      </c>
      <c r="G313" s="193">
        <f>[2]!Table3[[#This Row],[Incentive Disbursements]]/'[2]1.) CLM Reference'!$B$5</f>
        <v>0</v>
      </c>
      <c r="H313" s="133">
        <v>0</v>
      </c>
      <c r="I313" s="132">
        <f>[2]!Table3[[#This Row],[CLM $ Collected ]]/'[2]1.) CLM Reference'!$B$4</f>
        <v>2.8728310456207508E-6</v>
      </c>
      <c r="J313" s="131">
        <v>0</v>
      </c>
      <c r="K313" s="132">
        <f>[2]!Table3[[#This Row],[Incentive Disbursements]]/'[2]1.) CLM Reference'!$B$5</f>
        <v>0</v>
      </c>
      <c r="L313" s="133">
        <v>64.73960100001058</v>
      </c>
      <c r="M313" s="194">
        <f>[2]!Table3[[#This Row],[CLM $ Collected ]]/'[2]1.) CLM Reference'!$B$4</f>
        <v>2.8728310456207508E-6</v>
      </c>
      <c r="N313" s="131">
        <v>0</v>
      </c>
      <c r="O313" s="195">
        <f>[2]!Table3[[#This Row],[Incentive Disbursements]]/'[2]1.) CLM Reference'!$B$5</f>
        <v>0</v>
      </c>
      <c r="P313" t="str">
        <f t="shared" si="4"/>
        <v>N/A</v>
      </c>
      <c r="Q313" t="str">
        <f>VLOOKUP(Table8[[#This Row],[Census Tract]],'UI EnergyBurden'!$A$2:$B$184,2,FALSE)</f>
        <v>No</v>
      </c>
      <c r="R313">
        <f>VLOOKUP(Table8[[#This Row],[Census Tract]],'Population and Diversity Data'!$B$2:$K$823,10,FALSE)</f>
        <v>1</v>
      </c>
    </row>
    <row r="314" spans="1:18" ht="17" thickBot="1" x14ac:dyDescent="0.25">
      <c r="A314" s="143">
        <v>9009180601</v>
      </c>
      <c r="B314" s="143" t="s">
        <v>3004</v>
      </c>
      <c r="C314" s="138" t="s">
        <v>3886</v>
      </c>
      <c r="D314" s="186">
        <f>[2]!Table3[[#This Row],[Residential CLM $ Collected]]+[2]!Table3[[#This Row],[C&amp;I CLM $ Collected]]</f>
        <v>41.831671158888668</v>
      </c>
      <c r="E314" s="193">
        <f>[2]!Table3[[#This Row],[CLM $ Collected ]]/'[2]1.) CLM Reference'!$B$4</f>
        <v>1.8562876776987535E-6</v>
      </c>
      <c r="F314" s="188">
        <f>[2]!Table3[[#This Row],[Residential Incentive Disbursements]]+[2]!Table3[[#This Row],[C&amp;I Incentive Disbursements]]</f>
        <v>0</v>
      </c>
      <c r="G314" s="193">
        <f>[2]!Table3[[#This Row],[Incentive Disbursements]]/'[2]1.) CLM Reference'!$B$5</f>
        <v>0</v>
      </c>
      <c r="H314" s="133">
        <v>41.831671158888668</v>
      </c>
      <c r="I314" s="132">
        <f>[2]!Table3[[#This Row],[CLM $ Collected ]]/'[2]1.) CLM Reference'!$B$4</f>
        <v>1.8562876776987535E-6</v>
      </c>
      <c r="J314" s="131">
        <v>0</v>
      </c>
      <c r="K314" s="132">
        <f>[2]!Table3[[#This Row],[Incentive Disbursements]]/'[2]1.) CLM Reference'!$B$5</f>
        <v>0</v>
      </c>
      <c r="L314" s="133">
        <v>0</v>
      </c>
      <c r="M314" s="194">
        <f>[2]!Table3[[#This Row],[CLM $ Collected ]]/'[2]1.) CLM Reference'!$B$4</f>
        <v>1.8562876776987535E-6</v>
      </c>
      <c r="N314" s="131">
        <v>0</v>
      </c>
      <c r="O314" s="195">
        <f>[2]!Table3[[#This Row],[Incentive Disbursements]]/'[2]1.) CLM Reference'!$B$5</f>
        <v>0</v>
      </c>
      <c r="P314" t="str">
        <f t="shared" si="4"/>
        <v>N/A</v>
      </c>
      <c r="Q314" t="str">
        <f>VLOOKUP(Table8[[#This Row],[Census Tract]],'UI EnergyBurden'!$A$2:$B$184,2,FALSE)</f>
        <v>No</v>
      </c>
      <c r="R314">
        <f>VLOOKUP(Table8[[#This Row],[Census Tract]],'Population and Diversity Data'!$B$2:$K$823,10,FALSE)</f>
        <v>1</v>
      </c>
    </row>
    <row r="315" spans="1:18" ht="17" thickBot="1" x14ac:dyDescent="0.25">
      <c r="A315" s="143">
        <v>9009180602</v>
      </c>
      <c r="B315" s="143" t="s">
        <v>3880</v>
      </c>
      <c r="C315" s="138" t="s">
        <v>3886</v>
      </c>
      <c r="D315" s="186">
        <f>[2]!Table3[[#This Row],[Residential CLM $ Collected]]+[2]!Table3[[#This Row],[C&amp;I CLM $ Collected]]</f>
        <v>59584.638134874076</v>
      </c>
      <c r="E315" s="193">
        <f>[2]!Table3[[#This Row],[CLM $ Collected ]]/'[2]1.) CLM Reference'!$B$4</f>
        <v>2.6440786725873762E-3</v>
      </c>
      <c r="F315" s="188">
        <f>[2]!Table3[[#This Row],[Residential Incentive Disbursements]]+[2]!Table3[[#This Row],[C&amp;I Incentive Disbursements]]</f>
        <v>28583.770000000004</v>
      </c>
      <c r="G315" s="193">
        <f>[2]!Table3[[#This Row],[Incentive Disbursements]]/'[2]1.) CLM Reference'!$B$5</f>
        <v>8.8247177920669137E-4</v>
      </c>
      <c r="H315" s="133">
        <v>56163.900662167747</v>
      </c>
      <c r="I315" s="132">
        <f>[2]!Table3[[#This Row],[CLM $ Collected ]]/'[2]1.) CLM Reference'!$B$4</f>
        <v>2.6440786725873762E-3</v>
      </c>
      <c r="J315" s="131">
        <v>23783.770000000004</v>
      </c>
      <c r="K315" s="132">
        <f>[2]!Table3[[#This Row],[Incentive Disbursements]]/'[2]1.) CLM Reference'!$B$5</f>
        <v>8.8247177920669137E-4</v>
      </c>
      <c r="L315" s="133">
        <v>3420.7374727063279</v>
      </c>
      <c r="M315" s="194">
        <f>[2]!Table3[[#This Row],[CLM $ Collected ]]/'[2]1.) CLM Reference'!$B$4</f>
        <v>2.6440786725873762E-3</v>
      </c>
      <c r="N315" s="131">
        <v>4800</v>
      </c>
      <c r="O315" s="195">
        <f>[2]!Table3[[#This Row],[Incentive Disbursements]]/'[2]1.) CLM Reference'!$B$5</f>
        <v>8.8247177920669137E-4</v>
      </c>
      <c r="P315" t="str">
        <f t="shared" si="4"/>
        <v>NO</v>
      </c>
      <c r="Q315" t="str">
        <f>VLOOKUP(Table8[[#This Row],[Census Tract]],'UI EnergyBurden'!$A$2:$B$184,2,FALSE)</f>
        <v>No</v>
      </c>
      <c r="R315">
        <f>VLOOKUP(Table8[[#This Row],[Census Tract]],'Population and Diversity Data'!$B$2:$K$823,10,FALSE)</f>
        <v>1</v>
      </c>
    </row>
    <row r="316" spans="1:18" ht="17" thickBot="1" x14ac:dyDescent="0.25">
      <c r="A316" s="143">
        <v>9009180602</v>
      </c>
      <c r="B316" s="143" t="s">
        <v>943</v>
      </c>
      <c r="C316" s="138" t="s">
        <v>3886</v>
      </c>
      <c r="D316" s="186">
        <f>[2]!Table3[[#This Row],[Residential CLM $ Collected]]+[2]!Table3[[#This Row],[C&amp;I CLM $ Collected]]</f>
        <v>795.54503632046112</v>
      </c>
      <c r="E316" s="193">
        <f>[2]!Table3[[#This Row],[CLM $ Collected ]]/'[2]1.) CLM Reference'!$B$4</f>
        <v>3.5302449246335873E-5</v>
      </c>
      <c r="F316" s="188">
        <f>[2]!Table3[[#This Row],[Residential Incentive Disbursements]]+[2]!Table3[[#This Row],[C&amp;I Incentive Disbursements]]</f>
        <v>0</v>
      </c>
      <c r="G316" s="193">
        <f>[2]!Table3[[#This Row],[Incentive Disbursements]]/'[2]1.) CLM Reference'!$B$5</f>
        <v>0</v>
      </c>
      <c r="H316" s="133">
        <v>0</v>
      </c>
      <c r="I316" s="132">
        <f>[2]!Table3[[#This Row],[CLM $ Collected ]]/'[2]1.) CLM Reference'!$B$4</f>
        <v>3.5302449246335873E-5</v>
      </c>
      <c r="J316" s="131">
        <v>0</v>
      </c>
      <c r="K316" s="132">
        <f>[2]!Table3[[#This Row],[Incentive Disbursements]]/'[2]1.) CLM Reference'!$B$5</f>
        <v>0</v>
      </c>
      <c r="L316" s="133">
        <v>795.54503632046112</v>
      </c>
      <c r="M316" s="194">
        <f>[2]!Table3[[#This Row],[CLM $ Collected ]]/'[2]1.) CLM Reference'!$B$4</f>
        <v>3.5302449246335873E-5</v>
      </c>
      <c r="N316" s="131">
        <v>0</v>
      </c>
      <c r="O316" s="195">
        <f>[2]!Table3[[#This Row],[Incentive Disbursements]]/'[2]1.) CLM Reference'!$B$5</f>
        <v>0</v>
      </c>
      <c r="P316" t="str">
        <f t="shared" si="4"/>
        <v>NO</v>
      </c>
      <c r="Q316" t="str">
        <f>VLOOKUP(Table8[[#This Row],[Census Tract]],'UI EnergyBurden'!$A$2:$B$184,2,FALSE)</f>
        <v>No</v>
      </c>
      <c r="R316">
        <f>VLOOKUP(Table8[[#This Row],[Census Tract]],'Population and Diversity Data'!$B$2:$K$823,10,FALSE)</f>
        <v>1</v>
      </c>
    </row>
    <row r="317" spans="1:18" ht="17" thickBot="1" x14ac:dyDescent="0.25">
      <c r="A317" s="143">
        <v>9009180602</v>
      </c>
      <c r="B317" s="143" t="s">
        <v>3004</v>
      </c>
      <c r="C317" s="138" t="s">
        <v>3886</v>
      </c>
      <c r="D317" s="186">
        <f>[2]!Table3[[#This Row],[Residential CLM $ Collected]]+[2]!Table3[[#This Row],[C&amp;I CLM $ Collected]]</f>
        <v>1150.978049326937</v>
      </c>
      <c r="E317" s="193">
        <f>[2]!Table3[[#This Row],[CLM $ Collected ]]/'[2]1.) CLM Reference'!$B$4</f>
        <v>5.1074850970025232E-5</v>
      </c>
      <c r="F317" s="188">
        <f>[2]!Table3[[#This Row],[Residential Incentive Disbursements]]+[2]!Table3[[#This Row],[C&amp;I Incentive Disbursements]]</f>
        <v>1040.42</v>
      </c>
      <c r="G317" s="193">
        <f>[2]!Table3[[#This Row],[Incentive Disbursements]]/'[2]1.) CLM Reference'!$B$5</f>
        <v>3.2121070401917795E-5</v>
      </c>
      <c r="H317" s="133">
        <v>1142.5018382853611</v>
      </c>
      <c r="I317" s="132">
        <f>[2]!Table3[[#This Row],[CLM $ Collected ]]/'[2]1.) CLM Reference'!$B$4</f>
        <v>5.1074850970025232E-5</v>
      </c>
      <c r="J317" s="131">
        <v>1040.42</v>
      </c>
      <c r="K317" s="132">
        <f>[2]!Table3[[#This Row],[Incentive Disbursements]]/'[2]1.) CLM Reference'!$B$5</f>
        <v>3.2121070401917795E-5</v>
      </c>
      <c r="L317" s="133">
        <v>8.476211041575942</v>
      </c>
      <c r="M317" s="194">
        <f>[2]!Table3[[#This Row],[CLM $ Collected ]]/'[2]1.) CLM Reference'!$B$4</f>
        <v>5.1074850970025232E-5</v>
      </c>
      <c r="N317" s="131">
        <v>0</v>
      </c>
      <c r="O317" s="195">
        <f>[2]!Table3[[#This Row],[Incentive Disbursements]]/'[2]1.) CLM Reference'!$B$5</f>
        <v>3.2121070401917795E-5</v>
      </c>
      <c r="P317" t="str">
        <f t="shared" si="4"/>
        <v>NO</v>
      </c>
      <c r="Q317" t="str">
        <f>VLOOKUP(Table8[[#This Row],[Census Tract]],'UI EnergyBurden'!$A$2:$B$184,2,FALSE)</f>
        <v>No</v>
      </c>
      <c r="R317">
        <f>VLOOKUP(Table8[[#This Row],[Census Tract]],'Population and Diversity Data'!$B$2:$K$823,10,FALSE)</f>
        <v>1</v>
      </c>
    </row>
    <row r="318" spans="1:18" ht="17" thickBot="1" x14ac:dyDescent="0.25">
      <c r="A318" s="143">
        <v>9009184700</v>
      </c>
      <c r="B318" s="143" t="s">
        <v>3005</v>
      </c>
      <c r="C318" s="138" t="s">
        <v>944</v>
      </c>
      <c r="D318" s="186">
        <f>[2]!Table3[[#This Row],[Residential CLM $ Collected]]+[2]!Table3[[#This Row],[C&amp;I CLM $ Collected]]</f>
        <v>2141.1112224618778</v>
      </c>
      <c r="E318" s="193">
        <f>[2]!Table3[[#This Row],[CLM $ Collected ]]/'[2]1.) CLM Reference'!$B$4</f>
        <v>9.5012182605426864E-5</v>
      </c>
      <c r="F318" s="188">
        <f>[2]!Table3[[#This Row],[Residential Incentive Disbursements]]+[2]!Table3[[#This Row],[C&amp;I Incentive Disbursements]]</f>
        <v>22205.02</v>
      </c>
      <c r="G318" s="193">
        <f>[2]!Table3[[#This Row],[Incentive Disbursements]]/'[2]1.) CLM Reference'!$B$5</f>
        <v>6.85539503946476E-4</v>
      </c>
      <c r="H318" s="133">
        <v>2062.7939871082317</v>
      </c>
      <c r="I318" s="132">
        <f>[2]!Table3[[#This Row],[CLM $ Collected ]]/'[2]1.) CLM Reference'!$B$4</f>
        <v>9.5012182605426864E-5</v>
      </c>
      <c r="J318" s="131">
        <v>22205.02</v>
      </c>
      <c r="K318" s="132">
        <f>[2]!Table3[[#This Row],[Incentive Disbursements]]/'[2]1.) CLM Reference'!$B$5</f>
        <v>6.85539503946476E-4</v>
      </c>
      <c r="L318" s="133">
        <v>78.317235353646126</v>
      </c>
      <c r="M318" s="194">
        <f>[2]!Table3[[#This Row],[CLM $ Collected ]]/'[2]1.) CLM Reference'!$B$4</f>
        <v>9.5012182605426864E-5</v>
      </c>
      <c r="N318" s="131">
        <v>0</v>
      </c>
      <c r="O318" s="195">
        <f>[2]!Table3[[#This Row],[Incentive Disbursements]]/'[2]1.) CLM Reference'!$B$5</f>
        <v>6.85539503946476E-4</v>
      </c>
      <c r="P318" t="str">
        <f t="shared" si="4"/>
        <v>YES</v>
      </c>
      <c r="Q318" t="str">
        <f>VLOOKUP(Table8[[#This Row],[Census Tract]],'UI EnergyBurden'!$A$2:$B$184,2,FALSE)</f>
        <v>No</v>
      </c>
      <c r="R318">
        <f>VLOOKUP(Table8[[#This Row],[Census Tract]],'Population and Diversity Data'!$B$2:$K$823,10,FALSE)</f>
        <v>4</v>
      </c>
    </row>
    <row r="319" spans="1:18" ht="17" thickBot="1" x14ac:dyDescent="0.25">
      <c r="A319" s="143">
        <v>9009186100</v>
      </c>
      <c r="B319" s="143" t="s">
        <v>3880</v>
      </c>
      <c r="C319" s="138" t="s">
        <v>3886</v>
      </c>
      <c r="D319" s="186">
        <f>[2]!Table3[[#This Row],[Residential CLM $ Collected]]+[2]!Table3[[#This Row],[C&amp;I CLM $ Collected]]</f>
        <v>57.985408868297284</v>
      </c>
      <c r="E319" s="193">
        <f>[2]!Table3[[#This Row],[CLM $ Collected ]]/'[2]1.) CLM Reference'!$B$4</f>
        <v>2.5731125959492711E-6</v>
      </c>
      <c r="F319" s="188">
        <f>[2]!Table3[[#This Row],[Residential Incentive Disbursements]]+[2]!Table3[[#This Row],[C&amp;I Incentive Disbursements]]</f>
        <v>0</v>
      </c>
      <c r="G319" s="193">
        <f>[2]!Table3[[#This Row],[Incentive Disbursements]]/'[2]1.) CLM Reference'!$B$5</f>
        <v>0</v>
      </c>
      <c r="H319" s="133">
        <v>57.985408868297284</v>
      </c>
      <c r="I319" s="132">
        <f>[2]!Table3[[#This Row],[CLM $ Collected ]]/'[2]1.) CLM Reference'!$B$4</f>
        <v>2.5731125959492711E-6</v>
      </c>
      <c r="J319" s="131">
        <v>0</v>
      </c>
      <c r="K319" s="132">
        <f>[2]!Table3[[#This Row],[Incentive Disbursements]]/'[2]1.) CLM Reference'!$B$5</f>
        <v>0</v>
      </c>
      <c r="L319" s="133">
        <v>0</v>
      </c>
      <c r="M319" s="194">
        <f>[2]!Table3[[#This Row],[CLM $ Collected ]]/'[2]1.) CLM Reference'!$B$4</f>
        <v>2.5731125959492711E-6</v>
      </c>
      <c r="N319" s="131">
        <v>0</v>
      </c>
      <c r="O319" s="195">
        <f>[2]!Table3[[#This Row],[Incentive Disbursements]]/'[2]1.) CLM Reference'!$B$5</f>
        <v>0</v>
      </c>
      <c r="P319" t="str">
        <f t="shared" si="4"/>
        <v>N/A</v>
      </c>
      <c r="Q319" t="str">
        <f>VLOOKUP(Table8[[#This Row],[Census Tract]],'UI EnergyBurden'!$A$2:$B$184,2,FALSE)</f>
        <v>No</v>
      </c>
      <c r="R319">
        <f>VLOOKUP(Table8[[#This Row],[Census Tract]],'Population and Diversity Data'!$B$2:$K$823,10,FALSE)</f>
        <v>2</v>
      </c>
    </row>
    <row r="320" spans="1:18" ht="17" thickBot="1" x14ac:dyDescent="0.25">
      <c r="A320" s="143">
        <v>9009186100</v>
      </c>
      <c r="B320" s="143" t="s">
        <v>3005</v>
      </c>
      <c r="C320" s="138" t="s">
        <v>3886</v>
      </c>
      <c r="D320" s="186">
        <f>[2]!Table3[[#This Row],[Residential CLM $ Collected]]+[2]!Table3[[#This Row],[C&amp;I CLM $ Collected]]</f>
        <v>138409.2642828082</v>
      </c>
      <c r="E320" s="193">
        <f>[2]!Table3[[#This Row],[CLM $ Collected ]]/'[2]1.) CLM Reference'!$B$4</f>
        <v>6.141935157016395E-3</v>
      </c>
      <c r="F320" s="188">
        <f>[2]!Table3[[#This Row],[Residential Incentive Disbursements]]+[2]!Table3[[#This Row],[C&amp;I Incentive Disbursements]]</f>
        <v>344100.64</v>
      </c>
      <c r="G320" s="193">
        <f>[2]!Table3[[#This Row],[Incentive Disbursements]]/'[2]1.) CLM Reference'!$B$5</f>
        <v>1.0623479828131879E-2</v>
      </c>
      <c r="H320" s="133">
        <v>103724.03161659437</v>
      </c>
      <c r="I320" s="132">
        <f>[2]!Table3[[#This Row],[CLM $ Collected ]]/'[2]1.) CLM Reference'!$B$4</f>
        <v>6.141935157016395E-3</v>
      </c>
      <c r="J320" s="131">
        <v>102407.64000000001</v>
      </c>
      <c r="K320" s="132">
        <f>[2]!Table3[[#This Row],[Incentive Disbursements]]/'[2]1.) CLM Reference'!$B$5</f>
        <v>1.0623479828131879E-2</v>
      </c>
      <c r="L320" s="133">
        <v>34685.232666213829</v>
      </c>
      <c r="M320" s="194">
        <f>[2]!Table3[[#This Row],[CLM $ Collected ]]/'[2]1.) CLM Reference'!$B$4</f>
        <v>6.141935157016395E-3</v>
      </c>
      <c r="N320" s="131">
        <v>241693</v>
      </c>
      <c r="O320" s="195">
        <f>[2]!Table3[[#This Row],[Incentive Disbursements]]/'[2]1.) CLM Reference'!$B$5</f>
        <v>1.0623479828131879E-2</v>
      </c>
      <c r="P320" t="str">
        <f t="shared" si="4"/>
        <v>YES</v>
      </c>
      <c r="Q320" t="str">
        <f>VLOOKUP(Table8[[#This Row],[Census Tract]],'UI EnergyBurden'!$A$2:$B$184,2,FALSE)</f>
        <v>No</v>
      </c>
      <c r="R320">
        <f>VLOOKUP(Table8[[#This Row],[Census Tract]],'Population and Diversity Data'!$B$2:$K$823,10,FALSE)</f>
        <v>2</v>
      </c>
    </row>
    <row r="321" spans="1:18" ht="17" thickBot="1" x14ac:dyDescent="0.25">
      <c r="A321" s="143">
        <v>9009186200</v>
      </c>
      <c r="B321" s="143" t="s">
        <v>3005</v>
      </c>
      <c r="C321" s="138" t="s">
        <v>3886</v>
      </c>
      <c r="D321" s="186">
        <f>[2]!Table3[[#This Row],[Residential CLM $ Collected]]+[2]!Table3[[#This Row],[C&amp;I CLM $ Collected]]</f>
        <v>8799.7613130502159</v>
      </c>
      <c r="E321" s="193">
        <f>[2]!Table3[[#This Row],[CLM $ Collected ]]/'[2]1.) CLM Reference'!$B$4</f>
        <v>3.9049093759751396E-4</v>
      </c>
      <c r="F321" s="188">
        <f>[2]!Table3[[#This Row],[Residential Incentive Disbursements]]+[2]!Table3[[#This Row],[C&amp;I Incentive Disbursements]]</f>
        <v>27720.739999999998</v>
      </c>
      <c r="G321" s="193">
        <f>[2]!Table3[[#This Row],[Incentive Disbursements]]/'[2]1.) CLM Reference'!$B$5</f>
        <v>8.5582730160248602E-4</v>
      </c>
      <c r="H321" s="133">
        <v>8126.2349356779314</v>
      </c>
      <c r="I321" s="132">
        <f>[2]!Table3[[#This Row],[CLM $ Collected ]]/'[2]1.) CLM Reference'!$B$4</f>
        <v>3.9049093759751396E-4</v>
      </c>
      <c r="J321" s="131">
        <v>16693.739999999998</v>
      </c>
      <c r="K321" s="132">
        <f>[2]!Table3[[#This Row],[Incentive Disbursements]]/'[2]1.) CLM Reference'!$B$5</f>
        <v>8.5582730160248602E-4</v>
      </c>
      <c r="L321" s="133">
        <v>673.5263773722844</v>
      </c>
      <c r="M321" s="194">
        <f>[2]!Table3[[#This Row],[CLM $ Collected ]]/'[2]1.) CLM Reference'!$B$4</f>
        <v>3.9049093759751396E-4</v>
      </c>
      <c r="N321" s="131">
        <v>11027</v>
      </c>
      <c r="O321" s="195">
        <f>[2]!Table3[[#This Row],[Incentive Disbursements]]/'[2]1.) CLM Reference'!$B$5</f>
        <v>8.5582730160248602E-4</v>
      </c>
      <c r="P321" t="str">
        <f t="shared" si="4"/>
        <v>YES</v>
      </c>
      <c r="Q321" t="str">
        <f>VLOOKUP(Table8[[#This Row],[Census Tract]],'UI EnergyBurden'!$A$2:$B$184,2,FALSE)</f>
        <v>No</v>
      </c>
      <c r="R321">
        <f>VLOOKUP(Table8[[#This Row],[Census Tract]],'Population and Diversity Data'!$B$2:$K$823,10,FALSE)</f>
        <v>1</v>
      </c>
    </row>
    <row r="322" spans="1:18" ht="17" thickBot="1" x14ac:dyDescent="0.25">
      <c r="A322" s="143">
        <v>9009186200</v>
      </c>
      <c r="B322" s="143" t="s">
        <v>3004</v>
      </c>
      <c r="C322" s="138" t="s">
        <v>3886</v>
      </c>
      <c r="D322" s="186">
        <f>[2]!Table3[[#This Row],[Residential CLM $ Collected]]+[2]!Table3[[#This Row],[C&amp;I CLM $ Collected]]</f>
        <v>89.854300382457808</v>
      </c>
      <c r="E322" s="193">
        <f>[2]!Table3[[#This Row],[CLM $ Collected ]]/'[2]1.) CLM Reference'!$B$4</f>
        <v>3.9873001954586513E-6</v>
      </c>
      <c r="F322" s="188">
        <f>[2]!Table3[[#This Row],[Residential Incentive Disbursements]]+[2]!Table3[[#This Row],[C&amp;I Incentive Disbursements]]</f>
        <v>0</v>
      </c>
      <c r="G322" s="193">
        <f>[2]!Table3[[#This Row],[Incentive Disbursements]]/'[2]1.) CLM Reference'!$B$5</f>
        <v>0</v>
      </c>
      <c r="H322" s="133">
        <v>89.854300382457808</v>
      </c>
      <c r="I322" s="132">
        <f>[2]!Table3[[#This Row],[CLM $ Collected ]]/'[2]1.) CLM Reference'!$B$4</f>
        <v>3.9873001954586513E-6</v>
      </c>
      <c r="J322" s="131">
        <v>0</v>
      </c>
      <c r="K322" s="132">
        <f>[2]!Table3[[#This Row],[Incentive Disbursements]]/'[2]1.) CLM Reference'!$B$5</f>
        <v>0</v>
      </c>
      <c r="L322" s="133">
        <v>0</v>
      </c>
      <c r="M322" s="194">
        <f>[2]!Table3[[#This Row],[CLM $ Collected ]]/'[2]1.) CLM Reference'!$B$4</f>
        <v>3.9873001954586513E-6</v>
      </c>
      <c r="N322" s="131">
        <v>0</v>
      </c>
      <c r="O322" s="195">
        <f>[2]!Table3[[#This Row],[Incentive Disbursements]]/'[2]1.) CLM Reference'!$B$5</f>
        <v>0</v>
      </c>
      <c r="P322" t="str">
        <f t="shared" si="4"/>
        <v>N/A</v>
      </c>
      <c r="Q322" t="str">
        <f>VLOOKUP(Table8[[#This Row],[Census Tract]],'UI EnergyBurden'!$A$2:$B$184,2,FALSE)</f>
        <v>No</v>
      </c>
      <c r="R322">
        <f>VLOOKUP(Table8[[#This Row],[Census Tract]],'Population and Diversity Data'!$B$2:$K$823,10,FALSE)</f>
        <v>1</v>
      </c>
    </row>
    <row r="323" spans="1:18" ht="17" thickBot="1" x14ac:dyDescent="0.25">
      <c r="A323" s="143">
        <v>9009190302</v>
      </c>
      <c r="B323" s="143" t="s">
        <v>3005</v>
      </c>
      <c r="C323" s="138" t="s">
        <v>944</v>
      </c>
      <c r="D323" s="186">
        <f>[2]!Table3[[#This Row],[Residential CLM $ Collected]]+[2]!Table3[[#This Row],[C&amp;I CLM $ Collected]]</f>
        <v>195.11905417274812</v>
      </c>
      <c r="E323" s="193">
        <f>[2]!Table3[[#This Row],[CLM $ Collected ]]/'[2]1.) CLM Reference'!$B$4</f>
        <v>8.6584419391082802E-6</v>
      </c>
      <c r="F323" s="188">
        <f>[2]!Table3[[#This Row],[Residential Incentive Disbursements]]+[2]!Table3[[#This Row],[C&amp;I Incentive Disbursements]]</f>
        <v>0</v>
      </c>
      <c r="G323" s="193">
        <f>[2]!Table3[[#This Row],[Incentive Disbursements]]/'[2]1.) CLM Reference'!$B$5</f>
        <v>0</v>
      </c>
      <c r="H323" s="133">
        <v>195.11905417274812</v>
      </c>
      <c r="I323" s="132">
        <f>[2]!Table3[[#This Row],[CLM $ Collected ]]/'[2]1.) CLM Reference'!$B$4</f>
        <v>8.6584419391082802E-6</v>
      </c>
      <c r="J323" s="131">
        <v>0</v>
      </c>
      <c r="K323" s="132">
        <f>[2]!Table3[[#This Row],[Incentive Disbursements]]/'[2]1.) CLM Reference'!$B$5</f>
        <v>0</v>
      </c>
      <c r="L323" s="133">
        <v>0</v>
      </c>
      <c r="M323" s="194">
        <f>[2]!Table3[[#This Row],[CLM $ Collected ]]/'[2]1.) CLM Reference'!$B$4</f>
        <v>8.6584419391082802E-6</v>
      </c>
      <c r="N323" s="131">
        <v>0</v>
      </c>
      <c r="O323" s="195">
        <f>[2]!Table3[[#This Row],[Incentive Disbursements]]/'[2]1.) CLM Reference'!$B$5</f>
        <v>0</v>
      </c>
      <c r="P323" t="str">
        <f t="shared" si="4"/>
        <v>NO</v>
      </c>
      <c r="Q323" t="str">
        <f>VLOOKUP(Table8[[#This Row],[Census Tract]],'UI EnergyBurden'!$A$2:$B$184,2,FALSE)</f>
        <v>No</v>
      </c>
      <c r="R323">
        <f>VLOOKUP(Table8[[#This Row],[Census Tract]],'Population and Diversity Data'!$B$2:$K$823,10,FALSE)</f>
        <v>2</v>
      </c>
    </row>
    <row r="324" spans="1:18" ht="17" thickBot="1" x14ac:dyDescent="0.25">
      <c r="A324" s="143">
        <v>9009361401</v>
      </c>
      <c r="B324" s="143" t="s">
        <v>943</v>
      </c>
      <c r="C324" s="138" t="s">
        <v>3887</v>
      </c>
      <c r="D324" s="186">
        <f>[2]!Table3[[#This Row],[Residential CLM $ Collected]]+[2]!Table3[[#This Row],[C&amp;I CLM $ Collected]]</f>
        <v>82338.989742603269</v>
      </c>
      <c r="E324" s="193">
        <f>[2]!Table3[[#This Row],[CLM $ Collected ]]/'[2]1.) CLM Reference'!$B$4</f>
        <v>3.6538069797118549E-3</v>
      </c>
      <c r="F324" s="188">
        <f>[2]!Table3[[#This Row],[Residential Incentive Disbursements]]+[2]!Table3[[#This Row],[C&amp;I Incentive Disbursements]]</f>
        <v>103978.23</v>
      </c>
      <c r="G324" s="193">
        <f>[2]!Table3[[#This Row],[Incentive Disbursements]]/'[2]1.) CLM Reference'!$B$5</f>
        <v>3.2101382577197674E-3</v>
      </c>
      <c r="H324" s="133">
        <v>19730.306351775813</v>
      </c>
      <c r="I324" s="132">
        <f>[2]!Table3[[#This Row],[CLM $ Collected ]]/'[2]1.) CLM Reference'!$B$4</f>
        <v>3.6538069797118549E-3</v>
      </c>
      <c r="J324" s="131">
        <v>7281.23</v>
      </c>
      <c r="K324" s="132">
        <f>[2]!Table3[[#This Row],[Incentive Disbursements]]/'[2]1.) CLM Reference'!$B$5</f>
        <v>3.2101382577197674E-3</v>
      </c>
      <c r="L324" s="133">
        <v>62608.683390827464</v>
      </c>
      <c r="M324" s="194">
        <f>[2]!Table3[[#This Row],[CLM $ Collected ]]/'[2]1.) CLM Reference'!$B$4</f>
        <v>3.6538069797118549E-3</v>
      </c>
      <c r="N324" s="131">
        <v>96697</v>
      </c>
      <c r="O324" s="195">
        <f>[2]!Table3[[#This Row],[Incentive Disbursements]]/'[2]1.) CLM Reference'!$B$5</f>
        <v>3.2101382577197674E-3</v>
      </c>
      <c r="P324" t="str">
        <f t="shared" si="4"/>
        <v>NO</v>
      </c>
      <c r="Q324" t="str">
        <f>VLOOKUP(Table8[[#This Row],[Census Tract]],'UI EnergyBurden'!$A$2:$B$184,2,FALSE)</f>
        <v>No</v>
      </c>
      <c r="R324">
        <f>VLOOKUP(Table8[[#This Row],[Census Tract]],'Population and Diversity Data'!$B$2:$K$823,10,FALSE)</f>
        <v>5</v>
      </c>
    </row>
    <row r="325" spans="1:18" ht="17" thickBot="1" x14ac:dyDescent="0.25">
      <c r="A325" s="143">
        <v>9009361402</v>
      </c>
      <c r="B325" s="143" t="s">
        <v>943</v>
      </c>
      <c r="C325" s="138" t="s">
        <v>3887</v>
      </c>
      <c r="D325" s="186">
        <f>[2]!Table3[[#This Row],[Residential CLM $ Collected]]+[2]!Table3[[#This Row],[C&amp;I CLM $ Collected]]</f>
        <v>28191.254673469699</v>
      </c>
      <c r="E325" s="193">
        <f>[2]!Table3[[#This Row],[CLM $ Collected ]]/'[2]1.) CLM Reference'!$B$4</f>
        <v>1.2509918255586962E-3</v>
      </c>
      <c r="F325" s="188">
        <f>[2]!Table3[[#This Row],[Residential Incentive Disbursements]]+[2]!Table3[[#This Row],[C&amp;I Incentive Disbursements]]</f>
        <v>18689.349999999999</v>
      </c>
      <c r="G325" s="193">
        <f>[2]!Table3[[#This Row],[Incentive Disbursements]]/'[2]1.) CLM Reference'!$B$5</f>
        <v>5.7699960315649656E-4</v>
      </c>
      <c r="H325" s="133">
        <v>4245.1551799712388</v>
      </c>
      <c r="I325" s="132">
        <f>[2]!Table3[[#This Row],[CLM $ Collected ]]/'[2]1.) CLM Reference'!$B$4</f>
        <v>1.2509918255586962E-3</v>
      </c>
      <c r="J325" s="131">
        <v>858.35000000000014</v>
      </c>
      <c r="K325" s="132">
        <f>[2]!Table3[[#This Row],[Incentive Disbursements]]/'[2]1.) CLM Reference'!$B$5</f>
        <v>5.7699960315649656E-4</v>
      </c>
      <c r="L325" s="133">
        <v>23946.099493498459</v>
      </c>
      <c r="M325" s="194">
        <f>[2]!Table3[[#This Row],[CLM $ Collected ]]/'[2]1.) CLM Reference'!$B$4</f>
        <v>1.2509918255586962E-3</v>
      </c>
      <c r="N325" s="131">
        <v>17831</v>
      </c>
      <c r="O325" s="195">
        <f>[2]!Table3[[#This Row],[Incentive Disbursements]]/'[2]1.) CLM Reference'!$B$5</f>
        <v>5.7699960315649656E-4</v>
      </c>
      <c r="P325" t="str">
        <f t="shared" si="4"/>
        <v>NO</v>
      </c>
      <c r="Q325" t="str">
        <f>VLOOKUP(Table8[[#This Row],[Census Tract]],'UI EnergyBurden'!$A$2:$B$184,2,FALSE)</f>
        <v>No</v>
      </c>
      <c r="R325">
        <f>VLOOKUP(Table8[[#This Row],[Census Tract]],'Population and Diversity Data'!$B$2:$K$823,10,FALSE)</f>
        <v>5</v>
      </c>
    </row>
    <row r="326" spans="1:18" ht="17" thickBot="1" x14ac:dyDescent="0.25">
      <c r="A326" s="143">
        <v>9009361500</v>
      </c>
      <c r="B326" s="143" t="s">
        <v>3880</v>
      </c>
      <c r="C326" s="138" t="s">
        <v>3886</v>
      </c>
      <c r="D326" s="186">
        <f>[2]!Table3[[#This Row],[Residential CLM $ Collected]]+[2]!Table3[[#This Row],[C&amp;I CLM $ Collected]]</f>
        <v>158.79045684913098</v>
      </c>
      <c r="E326" s="193">
        <f>[2]!Table3[[#This Row],[CLM $ Collected ]]/'[2]1.) CLM Reference'!$B$4</f>
        <v>7.0463541192416544E-6</v>
      </c>
      <c r="F326" s="188">
        <f>[2]!Table3[[#This Row],[Residential Incentive Disbursements]]+[2]!Table3[[#This Row],[C&amp;I Incentive Disbursements]]</f>
        <v>0</v>
      </c>
      <c r="G326" s="193">
        <f>[2]!Table3[[#This Row],[Incentive Disbursements]]/'[2]1.) CLM Reference'!$B$5</f>
        <v>0</v>
      </c>
      <c r="H326" s="133">
        <v>158.79045684913098</v>
      </c>
      <c r="I326" s="132">
        <f>[2]!Table3[[#This Row],[CLM $ Collected ]]/'[2]1.) CLM Reference'!$B$4</f>
        <v>7.0463541192416544E-6</v>
      </c>
      <c r="J326" s="131">
        <v>0</v>
      </c>
      <c r="K326" s="132">
        <f>[2]!Table3[[#This Row],[Incentive Disbursements]]/'[2]1.) CLM Reference'!$B$5</f>
        <v>0</v>
      </c>
      <c r="L326" s="133">
        <v>0</v>
      </c>
      <c r="M326" s="194">
        <f>[2]!Table3[[#This Row],[CLM $ Collected ]]/'[2]1.) CLM Reference'!$B$4</f>
        <v>7.0463541192416544E-6</v>
      </c>
      <c r="N326" s="131">
        <v>0</v>
      </c>
      <c r="O326" s="195">
        <f>[2]!Table3[[#This Row],[Incentive Disbursements]]/'[2]1.) CLM Reference'!$B$5</f>
        <v>0</v>
      </c>
      <c r="P326" t="str">
        <f t="shared" ref="P326:P389" si="5">IF(ROUND(M326,5)&lt;0.00001,"N/A",IF(ROUND(M326,5)&lt;=ROUND(O326,5),"YES","NO"))</f>
        <v>NO</v>
      </c>
      <c r="Q326" t="str">
        <f>VLOOKUP(Table8[[#This Row],[Census Tract]],'UI EnergyBurden'!$A$2:$B$184,2,FALSE)</f>
        <v>No</v>
      </c>
      <c r="R326">
        <f>VLOOKUP(Table8[[#This Row],[Census Tract]],'Population and Diversity Data'!$B$2:$K$823,10,FALSE)</f>
        <v>5</v>
      </c>
    </row>
    <row r="327" spans="1:18" ht="17" thickBot="1" x14ac:dyDescent="0.25">
      <c r="A327" s="143">
        <v>9009361500</v>
      </c>
      <c r="B327" s="143" t="s">
        <v>950</v>
      </c>
      <c r="C327" s="138" t="s">
        <v>3886</v>
      </c>
      <c r="D327" s="186">
        <f>[2]!Table3[[#This Row],[Residential CLM $ Collected]]+[2]!Table3[[#This Row],[C&amp;I CLM $ Collected]]</f>
        <v>113292.50586434576</v>
      </c>
      <c r="E327" s="193">
        <f>[2]!Table3[[#This Row],[CLM $ Collected ]]/'[2]1.) CLM Reference'!$B$4</f>
        <v>5.027374637097474E-3</v>
      </c>
      <c r="F327" s="188">
        <f>[2]!Table3[[#This Row],[Residential Incentive Disbursements]]+[2]!Table3[[#This Row],[C&amp;I Incentive Disbursements]]</f>
        <v>149937.84999999998</v>
      </c>
      <c r="G327" s="193">
        <f>[2]!Table3[[#This Row],[Incentive Disbursements]]/'[2]1.) CLM Reference'!$B$5</f>
        <v>4.6290577226141254E-3</v>
      </c>
      <c r="H327" s="133">
        <v>69749.143292380933</v>
      </c>
      <c r="I327" s="132">
        <f>[2]!Table3[[#This Row],[CLM $ Collected ]]/'[2]1.) CLM Reference'!$B$4</f>
        <v>5.027374637097474E-3</v>
      </c>
      <c r="J327" s="131">
        <v>77419.95</v>
      </c>
      <c r="K327" s="132">
        <f>[2]!Table3[[#This Row],[Incentive Disbursements]]/'[2]1.) CLM Reference'!$B$5</f>
        <v>4.6290577226141254E-3</v>
      </c>
      <c r="L327" s="133">
        <v>43543.362571964833</v>
      </c>
      <c r="M327" s="194">
        <f>[2]!Table3[[#This Row],[CLM $ Collected ]]/'[2]1.) CLM Reference'!$B$4</f>
        <v>5.027374637097474E-3</v>
      </c>
      <c r="N327" s="131">
        <v>72517.899999999994</v>
      </c>
      <c r="O327" s="195">
        <f>[2]!Table3[[#This Row],[Incentive Disbursements]]/'[2]1.) CLM Reference'!$B$5</f>
        <v>4.6290577226141254E-3</v>
      </c>
      <c r="P327" t="str">
        <f t="shared" si="5"/>
        <v>NO</v>
      </c>
      <c r="Q327" t="str">
        <f>VLOOKUP(Table8[[#This Row],[Census Tract]],'UI EnergyBurden'!$A$2:$B$184,2,FALSE)</f>
        <v>No</v>
      </c>
      <c r="R327">
        <f>VLOOKUP(Table8[[#This Row],[Census Tract]],'Population and Diversity Data'!$B$2:$K$823,10,FALSE)</f>
        <v>5</v>
      </c>
    </row>
    <row r="328" spans="1:18" ht="17" thickBot="1" x14ac:dyDescent="0.25">
      <c r="A328" s="137" t="s">
        <v>3882</v>
      </c>
      <c r="B328" s="143" t="s">
        <v>3882</v>
      </c>
      <c r="C328" s="138" t="s">
        <v>944</v>
      </c>
      <c r="D328" s="186">
        <f>[2]!Table3[[#This Row],[Residential CLM $ Collected]]+[2]!Table3[[#This Row],[C&amp;I CLM $ Collected]]</f>
        <v>0</v>
      </c>
      <c r="E328" s="193">
        <f>[2]!Table3[[#This Row],[CLM $ Collected ]]/'[2]1.) CLM Reference'!$B$4</f>
        <v>0</v>
      </c>
      <c r="F328" s="188">
        <f>[2]!Table3[[#This Row],[Residential Incentive Disbursements]]+[2]!Table3[[#This Row],[C&amp;I Incentive Disbursements]]</f>
        <v>695447.01</v>
      </c>
      <c r="G328" s="193">
        <f>[2]!Table3[[#This Row],[Incentive Disbursements]]/'[2]1.) CLM Reference'!$B$5</f>
        <v>2.147065835817576E-2</v>
      </c>
      <c r="H328" s="133">
        <v>0</v>
      </c>
      <c r="I328" s="132">
        <f>[2]!Table3[[#This Row],[CLM $ Collected ]]/'[2]1.) CLM Reference'!$B$4</f>
        <v>0</v>
      </c>
      <c r="J328" s="131">
        <v>695447.01</v>
      </c>
      <c r="K328" s="132">
        <f>[2]!Table3[[#This Row],[Incentive Disbursements]]/'[2]1.) CLM Reference'!$B$5</f>
        <v>2.147065835817576E-2</v>
      </c>
      <c r="L328" s="133">
        <v>0</v>
      </c>
      <c r="M328" s="194">
        <f>[2]!Table3[[#This Row],[CLM $ Collected ]]/'[2]1.) CLM Reference'!$B$4</f>
        <v>0</v>
      </c>
      <c r="N328" s="131">
        <v>0</v>
      </c>
      <c r="O328" s="195">
        <f>[2]!Table3[[#This Row],[Incentive Disbursements]]/'[2]1.) CLM Reference'!$B$5</f>
        <v>2.147065835817576E-2</v>
      </c>
      <c r="P328" t="str">
        <f t="shared" si="5"/>
        <v>N/A</v>
      </c>
      <c r="Q328" t="e">
        <f>VLOOKUP(Table8[[#This Row],[Census Tract]],'UI EnergyBurden'!$A$2:$B$184,2,FALSE)</f>
        <v>#N/A</v>
      </c>
      <c r="R328" t="e">
        <f>VLOOKUP(Table8[[#This Row],[Census Tract]],'Population and Diversity Data'!$B$2:$K$823,10,FALSE)</f>
        <v>#N/A</v>
      </c>
    </row>
    <row r="329" spans="1:18" ht="17" thickBot="1" x14ac:dyDescent="0.25">
      <c r="A329" s="137" t="s">
        <v>3889</v>
      </c>
      <c r="B329" s="143" t="s">
        <v>3889</v>
      </c>
      <c r="C329" s="138" t="s">
        <v>944</v>
      </c>
      <c r="D329" s="186">
        <f>[2]!Table3[[#This Row],[Residential CLM $ Collected]]+[2]!Table3[[#This Row],[C&amp;I CLM $ Collected]]</f>
        <v>0</v>
      </c>
      <c r="E329" s="193">
        <f>[2]!Table3[[#This Row],[CLM $ Collected ]]/'[2]1.) CLM Reference'!$B$4</f>
        <v>0</v>
      </c>
      <c r="F329" s="188">
        <f>[2]!Table3[[#This Row],[Residential Incentive Disbursements]]+[2]!Table3[[#This Row],[C&amp;I Incentive Disbursements]]</f>
        <v>55275</v>
      </c>
      <c r="G329" s="193">
        <f>[2]!Table3[[#This Row],[Incentive Disbursements]]/'[2]1.) CLM Reference'!$B$5</f>
        <v>1.7065148367640048E-3</v>
      </c>
      <c r="H329" s="133">
        <v>0</v>
      </c>
      <c r="I329" s="132">
        <f>[2]!Table3[[#This Row],[CLM $ Collected ]]/'[2]1.) CLM Reference'!$B$4</f>
        <v>0</v>
      </c>
      <c r="J329" s="131">
        <v>55275</v>
      </c>
      <c r="K329" s="132">
        <f>[2]!Table3[[#This Row],[Incentive Disbursements]]/'[2]1.) CLM Reference'!$B$5</f>
        <v>1.7065148367640048E-3</v>
      </c>
      <c r="L329" s="133">
        <v>0</v>
      </c>
      <c r="M329" s="194">
        <f>[2]!Table3[[#This Row],[CLM $ Collected ]]/'[2]1.) CLM Reference'!$B$4</f>
        <v>0</v>
      </c>
      <c r="N329" s="131">
        <v>0</v>
      </c>
      <c r="O329" s="195">
        <f>[2]!Table3[[#This Row],[Incentive Disbursements]]/'[2]1.) CLM Reference'!$B$5</f>
        <v>1.7065148367640048E-3</v>
      </c>
      <c r="P329" t="str">
        <f t="shared" si="5"/>
        <v>N/A</v>
      </c>
      <c r="Q329" t="e">
        <f>VLOOKUP(Table8[[#This Row],[Census Tract]],'UI EnergyBurden'!$A$2:$B$184,2,FALSE)</f>
        <v>#N/A</v>
      </c>
      <c r="R329" t="e">
        <f>VLOOKUP(Table8[[#This Row],[Census Tract]],'Population and Diversity Data'!$B$2:$K$823,10,FALSE)</f>
        <v>#N/A</v>
      </c>
    </row>
    <row r="330" spans="1:18" ht="17" thickBot="1" x14ac:dyDescent="0.25">
      <c r="A330" s="137" t="s">
        <v>3881</v>
      </c>
      <c r="B330" s="143" t="s">
        <v>2992</v>
      </c>
      <c r="C330" s="138" t="s">
        <v>944</v>
      </c>
      <c r="D330" s="186">
        <f>[2]!Table3[[#This Row],[Residential CLM $ Collected]]+[2]!Table3[[#This Row],[C&amp;I CLM $ Collected]]</f>
        <v>0</v>
      </c>
      <c r="E330" s="193">
        <f>[2]!Table3[[#This Row],[CLM $ Collected ]]/'[2]1.) CLM Reference'!$B$4</f>
        <v>0</v>
      </c>
      <c r="F330" s="188">
        <f>[2]!Table3[[#This Row],[Residential Incentive Disbursements]]+[2]!Table3[[#This Row],[C&amp;I Incentive Disbursements]]</f>
        <v>387573.84000000008</v>
      </c>
      <c r="G330" s="193">
        <f>[2]!Table3[[#This Row],[Incentive Disbursements]]/'[2]1.) CLM Reference'!$B$5</f>
        <v>1.1965635609255516E-2</v>
      </c>
      <c r="H330" s="133">
        <v>0</v>
      </c>
      <c r="I330" s="132">
        <f>[2]!Table3[[#This Row],[CLM $ Collected ]]/'[2]1.) CLM Reference'!$B$4</f>
        <v>0</v>
      </c>
      <c r="J330" s="131">
        <v>387573.84000000008</v>
      </c>
      <c r="K330" s="132">
        <f>[2]!Table3[[#This Row],[Incentive Disbursements]]/'[2]1.) CLM Reference'!$B$5</f>
        <v>1.1965635609255516E-2</v>
      </c>
      <c r="L330" s="133">
        <v>0</v>
      </c>
      <c r="M330" s="194">
        <f>[2]!Table3[[#This Row],[CLM $ Collected ]]/'[2]1.) CLM Reference'!$B$4</f>
        <v>0</v>
      </c>
      <c r="N330" s="131">
        <v>0</v>
      </c>
      <c r="O330" s="195">
        <f>[2]!Table3[[#This Row],[Incentive Disbursements]]/'[2]1.) CLM Reference'!$B$5</f>
        <v>1.1965635609255516E-2</v>
      </c>
      <c r="P330" t="str">
        <f t="shared" si="5"/>
        <v>N/A</v>
      </c>
      <c r="Q330" t="e">
        <f>VLOOKUP(Table8[[#This Row],[Census Tract]],'UI EnergyBurden'!$A$2:$B$184,2,FALSE)</f>
        <v>#N/A</v>
      </c>
      <c r="R330" t="e">
        <f>VLOOKUP(Table8[[#This Row],[Census Tract]],'Population and Diversity Data'!$B$2:$K$823,10,FALSE)</f>
        <v>#N/A</v>
      </c>
    </row>
    <row r="331" spans="1:18" ht="17" thickBot="1" x14ac:dyDescent="0.25">
      <c r="A331" s="137" t="s">
        <v>3890</v>
      </c>
      <c r="B331" s="143" t="s">
        <v>3890</v>
      </c>
      <c r="C331" s="138" t="s">
        <v>944</v>
      </c>
      <c r="D331" s="186">
        <f>[2]!Table3[[#This Row],[Residential CLM $ Collected]]+[2]!Table3[[#This Row],[C&amp;I CLM $ Collected]]</f>
        <v>0</v>
      </c>
      <c r="E331" s="193">
        <f>[2]!Table3[[#This Row],[CLM $ Collected ]]/'[2]1.) CLM Reference'!$B$4</f>
        <v>0</v>
      </c>
      <c r="F331" s="188">
        <f>[2]!Table3[[#This Row],[Residential Incentive Disbursements]]+[2]!Table3[[#This Row],[C&amp;I Incentive Disbursements]]</f>
        <v>98104</v>
      </c>
      <c r="G331" s="193">
        <f>[2]!Table3[[#This Row],[Incentive Disbursements]]/'[2]1.) CLM Reference'!$B$5</f>
        <v>3.0287821175196007E-3</v>
      </c>
      <c r="H331" s="133">
        <v>0</v>
      </c>
      <c r="I331" s="132">
        <f>[2]!Table3[[#This Row],[CLM $ Collected ]]/'[2]1.) CLM Reference'!$B$4</f>
        <v>0</v>
      </c>
      <c r="J331" s="131">
        <v>56961.5</v>
      </c>
      <c r="K331" s="132">
        <f>[2]!Table3[[#This Row],[Incentive Disbursements]]/'[2]1.) CLM Reference'!$B$5</f>
        <v>3.0287821175196007E-3</v>
      </c>
      <c r="L331" s="133">
        <v>0</v>
      </c>
      <c r="M331" s="194">
        <f>[2]!Table3[[#This Row],[CLM $ Collected ]]/'[2]1.) CLM Reference'!$B$4</f>
        <v>0</v>
      </c>
      <c r="N331" s="131">
        <v>41142.5</v>
      </c>
      <c r="O331" s="195">
        <f>[2]!Table3[[#This Row],[Incentive Disbursements]]/'[2]1.) CLM Reference'!$B$5</f>
        <v>3.0287821175196007E-3</v>
      </c>
      <c r="P331" t="str">
        <f t="shared" si="5"/>
        <v>N/A</v>
      </c>
      <c r="Q331" t="e">
        <f>VLOOKUP(Table8[[#This Row],[Census Tract]],'UI EnergyBurden'!$A$2:$B$184,2,FALSE)</f>
        <v>#N/A</v>
      </c>
      <c r="R331" t="e">
        <f>VLOOKUP(Table8[[#This Row],[Census Tract]],'Population and Diversity Data'!$B$2:$K$823,10,FALSE)</f>
        <v>#N/A</v>
      </c>
    </row>
    <row r="332" spans="1:18" ht="16" thickBot="1" x14ac:dyDescent="0.25">
      <c r="A332" s="137"/>
      <c r="B332" s="143"/>
      <c r="C332" s="138"/>
      <c r="D332" s="115"/>
      <c r="E332" s="193">
        <f>[2]!Table3[[#This Row],[CLM $ Collected ]]/'[2]1.) CLM Reference'!$B$4</f>
        <v>0</v>
      </c>
      <c r="F332" s="196"/>
      <c r="G332" s="193"/>
      <c r="H332" s="133"/>
      <c r="I332" s="132"/>
      <c r="J332" s="131"/>
      <c r="K332" s="132"/>
      <c r="L332" s="133"/>
      <c r="M332" s="194"/>
      <c r="N332" s="131"/>
      <c r="O332" s="195"/>
      <c r="P332" t="str">
        <f t="shared" si="5"/>
        <v>N/A</v>
      </c>
      <c r="Q332" t="e">
        <f>VLOOKUP(Table8[[#This Row],[Census Tract]],'UI EnergyBurden'!$A$2:$B$184,2,FALSE)</f>
        <v>#N/A</v>
      </c>
      <c r="R332" t="e">
        <f>VLOOKUP(Table8[[#This Row],[Census Tract]],'Population and Diversity Data'!$B$2:$K$823,10,FALSE)</f>
        <v>#N/A</v>
      </c>
    </row>
    <row r="333" spans="1:18" x14ac:dyDescent="0.2">
      <c r="A333" s="144"/>
      <c r="B333" s="144"/>
      <c r="C333" s="139"/>
      <c r="D333" s="186"/>
      <c r="E333" s="187"/>
      <c r="F333" s="188"/>
      <c r="G333" s="187"/>
      <c r="H333" s="43"/>
      <c r="I333" s="44"/>
      <c r="J333" s="45"/>
      <c r="K333" s="44"/>
      <c r="L333" s="43"/>
      <c r="M333" s="189"/>
      <c r="N333" s="45"/>
      <c r="O333" s="190"/>
      <c r="P333" t="str">
        <f t="shared" si="5"/>
        <v>N/A</v>
      </c>
      <c r="Q333" t="e">
        <f>VLOOKUP(Table8[[#This Row],[Census Tract]],'UI EnergyBurden'!$A$2:$B$184,2,FALSE)</f>
        <v>#N/A</v>
      </c>
      <c r="R333" t="e">
        <f>VLOOKUP(Table8[[#This Row],[Census Tract]],'Population and Diversity Data'!$B$2:$K$823,10,FALSE)</f>
        <v>#N/A</v>
      </c>
    </row>
    <row r="334" spans="1:18" x14ac:dyDescent="0.2">
      <c r="A334" s="46"/>
      <c r="B334" s="197"/>
      <c r="C334" s="140" t="s">
        <v>2695</v>
      </c>
      <c r="D334" s="141">
        <f>SUBTOTAL(109,D6:D333)</f>
        <v>13879276.81892151</v>
      </c>
      <c r="E334" s="198">
        <f>[2]!Table3[[#This Row],[CLM $ Collected ]]/'[2]1.) CLM Reference'!$B$4</f>
        <v>0.61589532095132338</v>
      </c>
      <c r="F334" s="142">
        <f>SUBTOTAL(109,F6:F333)</f>
        <v>22621425.560000002</v>
      </c>
      <c r="G334" s="198">
        <f>[2]!Table3[[#This Row],[Incentive Disbursements]]/'[2]1.) CLM Reference'!$B$5</f>
        <v>0.69839526633907711</v>
      </c>
      <c r="H334" s="141">
        <f>SUBTOTAL(109,H6:H333)</f>
        <v>9920837.9213258997</v>
      </c>
      <c r="I334" s="199">
        <f>[2]!Table3[[#This Row],[CLM $ Collected ]]/'[2]1.) CLM Reference'!$B$4</f>
        <v>0.61589532095132338</v>
      </c>
      <c r="J334" s="142">
        <f>SUBTOTAL(109,J6:J333)</f>
        <v>11519360.850000001</v>
      </c>
      <c r="K334" s="199">
        <f>[2]!Table3[[#This Row],[Incentive Disbursements]]/'[2]1.) CLM Reference'!$B$5</f>
        <v>0.69839526633907711</v>
      </c>
      <c r="L334" s="141">
        <f>SUBTOTAL(109,L6:L333)</f>
        <v>3958438.8975956053</v>
      </c>
      <c r="M334" s="200">
        <f>[2]!Table3[[#This Row],[CLM $ Collected ]]/'[2]1.) CLM Reference'!$B$4</f>
        <v>0.61589532095132338</v>
      </c>
      <c r="N334" s="142">
        <f>SUBTOTAL(109,N6:N333)</f>
        <v>11102064.709999997</v>
      </c>
      <c r="O334" s="201">
        <f>[2]!Table3[[#This Row],[Incentive Disbursements]]/'[2]1.) CLM Reference'!$B$5</f>
        <v>0.69839526633907711</v>
      </c>
      <c r="P334" t="str">
        <f t="shared" si="5"/>
        <v>YES</v>
      </c>
      <c r="Q334" t="e">
        <f>VLOOKUP(Table8[[#This Row],[Census Tract]],'UI EnergyBurden'!$A$2:$B$184,2,FALSE)</f>
        <v>#N/A</v>
      </c>
      <c r="R334" t="e">
        <f>VLOOKUP(Table8[[#This Row],[Census Tract]],'Population and Diversity Data'!$B$2:$K$823,10,FALSE)</f>
        <v>#N/A</v>
      </c>
    </row>
    <row r="335" spans="1:18" x14ac:dyDescent="0.2">
      <c r="P335" t="str">
        <f t="shared" si="5"/>
        <v>N/A</v>
      </c>
      <c r="Q335" t="e">
        <f>VLOOKUP(Table8[[#This Row],[Census Tract]],'UI EnergyBurden'!$A$2:$B$184,2,FALSE)</f>
        <v>#N/A</v>
      </c>
      <c r="R335" t="e">
        <f>VLOOKUP(Table8[[#This Row],[Census Tract]],'Population and Diversity Data'!$B$2:$K$823,10,FALSE)</f>
        <v>#N/A</v>
      </c>
    </row>
    <row r="336" spans="1:18" x14ac:dyDescent="0.2">
      <c r="J336" s="32"/>
      <c r="N336" s="32"/>
      <c r="P336" t="str">
        <f t="shared" si="5"/>
        <v>N/A</v>
      </c>
      <c r="Q336" t="e">
        <f>VLOOKUP(Table8[[#This Row],[Census Tract]],'UI EnergyBurden'!$A$2:$B$184,2,FALSE)</f>
        <v>#N/A</v>
      </c>
      <c r="R336" t="e">
        <f>VLOOKUP(Table8[[#This Row],[Census Tract]],'Population and Diversity Data'!$B$2:$K$823,10,FALSE)</f>
        <v>#N/A</v>
      </c>
    </row>
    <row r="337" spans="16:18" ht="15.75" customHeight="1" x14ac:dyDescent="0.2">
      <c r="P337" t="str">
        <f t="shared" si="5"/>
        <v>N/A</v>
      </c>
      <c r="Q337" t="e">
        <f>VLOOKUP(Table8[[#This Row],[Census Tract]],'UI EnergyBurden'!$A$2:$B$184,2,FALSE)</f>
        <v>#N/A</v>
      </c>
      <c r="R337" t="e">
        <f>VLOOKUP(Table8[[#This Row],[Census Tract]],'Population and Diversity Data'!$B$2:$K$823,10,FALSE)</f>
        <v>#N/A</v>
      </c>
    </row>
    <row r="338" spans="16:18" ht="15.75" customHeight="1" x14ac:dyDescent="0.2">
      <c r="P338" t="str">
        <f t="shared" si="5"/>
        <v>N/A</v>
      </c>
      <c r="Q338" t="e">
        <f>VLOOKUP(Table8[[#This Row],[Census Tract]],'UI EnergyBurden'!$A$2:$B$184,2,FALSE)</f>
        <v>#N/A</v>
      </c>
      <c r="R338" t="e">
        <f>VLOOKUP(Table8[[#This Row],[Census Tract]],'Population and Diversity Data'!$B$2:$K$823,10,FALSE)</f>
        <v>#N/A</v>
      </c>
    </row>
    <row r="339" spans="16:18" x14ac:dyDescent="0.2">
      <c r="P339" t="str">
        <f t="shared" si="5"/>
        <v>N/A</v>
      </c>
      <c r="Q339" t="e">
        <f>VLOOKUP(Table8[[#This Row],[Census Tract]],'UI EnergyBurden'!$A$2:$B$184,2,FALSE)</f>
        <v>#N/A</v>
      </c>
      <c r="R339" t="e">
        <f>VLOOKUP(Table8[[#This Row],[Census Tract]],'Population and Diversity Data'!$B$2:$K$823,10,FALSE)</f>
        <v>#N/A</v>
      </c>
    </row>
    <row r="340" spans="16:18" x14ac:dyDescent="0.2">
      <c r="P340" t="str">
        <f t="shared" si="5"/>
        <v>N/A</v>
      </c>
      <c r="Q340" t="e">
        <f>VLOOKUP(Table8[[#This Row],[Census Tract]],'UI EnergyBurden'!$A$2:$B$184,2,FALSE)</f>
        <v>#N/A</v>
      </c>
      <c r="R340" t="e">
        <f>VLOOKUP(Table8[[#This Row],[Census Tract]],'Population and Diversity Data'!$B$2:$K$823,10,FALSE)</f>
        <v>#N/A</v>
      </c>
    </row>
    <row r="341" spans="16:18" x14ac:dyDescent="0.2">
      <c r="P341" t="str">
        <f t="shared" si="5"/>
        <v>N/A</v>
      </c>
      <c r="Q341" t="e">
        <f>VLOOKUP(Table8[[#This Row],[Census Tract]],'UI EnergyBurden'!$A$2:$B$184,2,FALSE)</f>
        <v>#N/A</v>
      </c>
      <c r="R341" t="e">
        <f>VLOOKUP(Table8[[#This Row],[Census Tract]],'Population and Diversity Data'!$B$2:$K$823,10,FALSE)</f>
        <v>#N/A</v>
      </c>
    </row>
    <row r="342" spans="16:18" x14ac:dyDescent="0.2">
      <c r="P342" t="str">
        <f t="shared" si="5"/>
        <v>N/A</v>
      </c>
      <c r="Q342" t="e">
        <f>VLOOKUP(Table8[[#This Row],[Census Tract]],'UI EnergyBurden'!$A$2:$B$184,2,FALSE)</f>
        <v>#N/A</v>
      </c>
      <c r="R342" t="e">
        <f>VLOOKUP(Table8[[#This Row],[Census Tract]],'Population and Diversity Data'!$B$2:$K$823,10,FALSE)</f>
        <v>#N/A</v>
      </c>
    </row>
    <row r="343" spans="16:18" x14ac:dyDescent="0.2">
      <c r="P343" t="str">
        <f t="shared" si="5"/>
        <v>N/A</v>
      </c>
      <c r="Q343" t="e">
        <f>VLOOKUP(Table8[[#This Row],[Census Tract]],'UI EnergyBurden'!$A$2:$B$184,2,FALSE)</f>
        <v>#N/A</v>
      </c>
      <c r="R343" t="e">
        <f>VLOOKUP(Table8[[#This Row],[Census Tract]],'Population and Diversity Data'!$B$2:$K$823,10,FALSE)</f>
        <v>#N/A</v>
      </c>
    </row>
    <row r="344" spans="16:18" x14ac:dyDescent="0.2">
      <c r="P344" t="str">
        <f t="shared" si="5"/>
        <v>N/A</v>
      </c>
      <c r="Q344" t="e">
        <f>VLOOKUP(Table8[[#This Row],[Census Tract]],'UI EnergyBurden'!$A$2:$B$184,2,FALSE)</f>
        <v>#N/A</v>
      </c>
      <c r="R344" t="e">
        <f>VLOOKUP(Table8[[#This Row],[Census Tract]],'Population and Diversity Data'!$B$2:$K$823,10,FALSE)</f>
        <v>#N/A</v>
      </c>
    </row>
    <row r="345" spans="16:18" x14ac:dyDescent="0.2">
      <c r="P345" t="str">
        <f t="shared" si="5"/>
        <v>N/A</v>
      </c>
      <c r="Q345" t="e">
        <f>VLOOKUP(Table8[[#This Row],[Census Tract]],'UI EnergyBurden'!$A$2:$B$184,2,FALSE)</f>
        <v>#N/A</v>
      </c>
      <c r="R345" t="e">
        <f>VLOOKUP(Table8[[#This Row],[Census Tract]],'Population and Diversity Data'!$B$2:$K$823,10,FALSE)</f>
        <v>#N/A</v>
      </c>
    </row>
    <row r="346" spans="16:18" x14ac:dyDescent="0.2">
      <c r="P346" t="str">
        <f t="shared" si="5"/>
        <v>N/A</v>
      </c>
      <c r="Q346" t="e">
        <f>VLOOKUP(Table8[[#This Row],[Census Tract]],'UI EnergyBurden'!$A$2:$B$184,2,FALSE)</f>
        <v>#N/A</v>
      </c>
      <c r="R346" t="e">
        <f>VLOOKUP(Table8[[#This Row],[Census Tract]],'Population and Diversity Data'!$B$2:$K$823,10,FALSE)</f>
        <v>#N/A</v>
      </c>
    </row>
    <row r="347" spans="16:18" x14ac:dyDescent="0.2">
      <c r="P347" t="str">
        <f t="shared" si="5"/>
        <v>N/A</v>
      </c>
      <c r="Q347" t="e">
        <f>VLOOKUP(Table8[[#This Row],[Census Tract]],'UI EnergyBurden'!$A$2:$B$184,2,FALSE)</f>
        <v>#N/A</v>
      </c>
      <c r="R347" t="e">
        <f>VLOOKUP(Table8[[#This Row],[Census Tract]],'Population and Diversity Data'!$B$2:$K$823,10,FALSE)</f>
        <v>#N/A</v>
      </c>
    </row>
    <row r="348" spans="16:18" x14ac:dyDescent="0.2">
      <c r="P348" t="str">
        <f t="shared" si="5"/>
        <v>N/A</v>
      </c>
      <c r="Q348" t="e">
        <f>VLOOKUP(Table8[[#This Row],[Census Tract]],'UI EnergyBurden'!$A$2:$B$184,2,FALSE)</f>
        <v>#N/A</v>
      </c>
      <c r="R348" t="e">
        <f>VLOOKUP(Table8[[#This Row],[Census Tract]],'Population and Diversity Data'!$B$2:$K$823,10,FALSE)</f>
        <v>#N/A</v>
      </c>
    </row>
    <row r="349" spans="16:18" x14ac:dyDescent="0.2">
      <c r="P349" t="str">
        <f t="shared" si="5"/>
        <v>N/A</v>
      </c>
      <c r="Q349" t="e">
        <f>VLOOKUP(Table8[[#This Row],[Census Tract]],'UI EnergyBurden'!$A$2:$B$184,2,FALSE)</f>
        <v>#N/A</v>
      </c>
      <c r="R349" t="e">
        <f>VLOOKUP(Table8[[#This Row],[Census Tract]],'Population and Diversity Data'!$B$2:$K$823,10,FALSE)</f>
        <v>#N/A</v>
      </c>
    </row>
    <row r="350" spans="16:18" x14ac:dyDescent="0.2">
      <c r="P350" t="str">
        <f t="shared" si="5"/>
        <v>N/A</v>
      </c>
      <c r="Q350" t="e">
        <f>VLOOKUP(Table8[[#This Row],[Census Tract]],'UI EnergyBurden'!$A$2:$B$184,2,FALSE)</f>
        <v>#N/A</v>
      </c>
      <c r="R350" t="e">
        <f>VLOOKUP(Table8[[#This Row],[Census Tract]],'Population and Diversity Data'!$B$2:$K$823,10,FALSE)</f>
        <v>#N/A</v>
      </c>
    </row>
    <row r="351" spans="16:18" x14ac:dyDescent="0.2">
      <c r="P351" t="str">
        <f t="shared" si="5"/>
        <v>N/A</v>
      </c>
      <c r="Q351" t="e">
        <f>VLOOKUP(Table8[[#This Row],[Census Tract]],'UI EnergyBurden'!$A$2:$B$184,2,FALSE)</f>
        <v>#N/A</v>
      </c>
      <c r="R351" t="e">
        <f>VLOOKUP(Table8[[#This Row],[Census Tract]],'Population and Diversity Data'!$B$2:$K$823,10,FALSE)</f>
        <v>#N/A</v>
      </c>
    </row>
    <row r="352" spans="16:18" x14ac:dyDescent="0.2">
      <c r="P352" t="str">
        <f t="shared" si="5"/>
        <v>N/A</v>
      </c>
      <c r="Q352" t="e">
        <f>VLOOKUP(Table8[[#This Row],[Census Tract]],'UI EnergyBurden'!$A$2:$B$184,2,FALSE)</f>
        <v>#N/A</v>
      </c>
      <c r="R352" t="e">
        <f>VLOOKUP(Table8[[#This Row],[Census Tract]],'Population and Diversity Data'!$B$2:$K$823,10,FALSE)</f>
        <v>#N/A</v>
      </c>
    </row>
    <row r="353" spans="16:18" x14ac:dyDescent="0.2">
      <c r="P353" t="str">
        <f t="shared" si="5"/>
        <v>N/A</v>
      </c>
      <c r="Q353" t="e">
        <f>VLOOKUP(Table8[[#This Row],[Census Tract]],'UI EnergyBurden'!$A$2:$B$184,2,FALSE)</f>
        <v>#N/A</v>
      </c>
      <c r="R353" t="e">
        <f>VLOOKUP(Table8[[#This Row],[Census Tract]],'Population and Diversity Data'!$B$2:$K$823,10,FALSE)</f>
        <v>#N/A</v>
      </c>
    </row>
    <row r="354" spans="16:18" x14ac:dyDescent="0.2">
      <c r="P354" t="str">
        <f t="shared" si="5"/>
        <v>N/A</v>
      </c>
      <c r="Q354" t="e">
        <f>VLOOKUP(Table8[[#This Row],[Census Tract]],'UI EnergyBurden'!$A$2:$B$184,2,FALSE)</f>
        <v>#N/A</v>
      </c>
      <c r="R354" t="e">
        <f>VLOOKUP(Table8[[#This Row],[Census Tract]],'Population and Diversity Data'!$B$2:$K$823,10,FALSE)</f>
        <v>#N/A</v>
      </c>
    </row>
    <row r="355" spans="16:18" x14ac:dyDescent="0.2">
      <c r="P355" t="str">
        <f t="shared" si="5"/>
        <v>N/A</v>
      </c>
      <c r="Q355" t="e">
        <f>VLOOKUP(Table8[[#This Row],[Census Tract]],'UI EnergyBurden'!$A$2:$B$184,2,FALSE)</f>
        <v>#N/A</v>
      </c>
      <c r="R355" t="e">
        <f>VLOOKUP(Table8[[#This Row],[Census Tract]],'Population and Diversity Data'!$B$2:$K$823,10,FALSE)</f>
        <v>#N/A</v>
      </c>
    </row>
    <row r="356" spans="16:18" x14ac:dyDescent="0.2">
      <c r="P356" t="str">
        <f t="shared" si="5"/>
        <v>N/A</v>
      </c>
      <c r="Q356" t="e">
        <f>VLOOKUP(Table8[[#This Row],[Census Tract]],'UI EnergyBurden'!$A$2:$B$184,2,FALSE)</f>
        <v>#N/A</v>
      </c>
      <c r="R356" t="e">
        <f>VLOOKUP(Table8[[#This Row],[Census Tract]],'Population and Diversity Data'!$B$2:$K$823,10,FALSE)</f>
        <v>#N/A</v>
      </c>
    </row>
    <row r="357" spans="16:18" x14ac:dyDescent="0.2">
      <c r="P357" t="str">
        <f t="shared" si="5"/>
        <v>N/A</v>
      </c>
      <c r="Q357" t="e">
        <f>VLOOKUP(Table8[[#This Row],[Census Tract]],'UI EnergyBurden'!$A$2:$B$184,2,FALSE)</f>
        <v>#N/A</v>
      </c>
      <c r="R357" t="e">
        <f>VLOOKUP(Table8[[#This Row],[Census Tract]],'Population and Diversity Data'!$B$2:$K$823,10,FALSE)</f>
        <v>#N/A</v>
      </c>
    </row>
    <row r="358" spans="16:18" x14ac:dyDescent="0.2">
      <c r="P358" t="str">
        <f t="shared" si="5"/>
        <v>N/A</v>
      </c>
      <c r="Q358" t="e">
        <f>VLOOKUP(Table8[[#This Row],[Census Tract]],'UI EnergyBurden'!$A$2:$B$184,2,FALSE)</f>
        <v>#N/A</v>
      </c>
      <c r="R358" t="e">
        <f>VLOOKUP(Table8[[#This Row],[Census Tract]],'Population and Diversity Data'!$B$2:$K$823,10,FALSE)</f>
        <v>#N/A</v>
      </c>
    </row>
    <row r="359" spans="16:18" x14ac:dyDescent="0.2">
      <c r="P359" t="str">
        <f t="shared" si="5"/>
        <v>N/A</v>
      </c>
      <c r="Q359" t="e">
        <f>VLOOKUP(Table8[[#This Row],[Census Tract]],'UI EnergyBurden'!$A$2:$B$184,2,FALSE)</f>
        <v>#N/A</v>
      </c>
      <c r="R359" t="e">
        <f>VLOOKUP(Table8[[#This Row],[Census Tract]],'Population and Diversity Data'!$B$2:$K$823,10,FALSE)</f>
        <v>#N/A</v>
      </c>
    </row>
    <row r="360" spans="16:18" x14ac:dyDescent="0.2">
      <c r="P360" t="str">
        <f t="shared" si="5"/>
        <v>N/A</v>
      </c>
      <c r="Q360" t="e">
        <f>VLOOKUP(Table8[[#This Row],[Census Tract]],'UI EnergyBurden'!$A$2:$B$184,2,FALSE)</f>
        <v>#N/A</v>
      </c>
      <c r="R360" t="e">
        <f>VLOOKUP(Table8[[#This Row],[Census Tract]],'Population and Diversity Data'!$B$2:$K$823,10,FALSE)</f>
        <v>#N/A</v>
      </c>
    </row>
    <row r="361" spans="16:18" x14ac:dyDescent="0.2">
      <c r="P361" t="str">
        <f t="shared" si="5"/>
        <v>N/A</v>
      </c>
      <c r="Q361" t="e">
        <f>VLOOKUP(Table8[[#This Row],[Census Tract]],'UI EnergyBurden'!$A$2:$B$184,2,FALSE)</f>
        <v>#N/A</v>
      </c>
      <c r="R361" t="e">
        <f>VLOOKUP(Table8[[#This Row],[Census Tract]],'Population and Diversity Data'!$B$2:$K$823,10,FALSE)</f>
        <v>#N/A</v>
      </c>
    </row>
    <row r="362" spans="16:18" x14ac:dyDescent="0.2">
      <c r="P362" t="str">
        <f t="shared" si="5"/>
        <v>N/A</v>
      </c>
      <c r="Q362" t="e">
        <f>VLOOKUP(Table8[[#This Row],[Census Tract]],'UI EnergyBurden'!$A$2:$B$184,2,FALSE)</f>
        <v>#N/A</v>
      </c>
      <c r="R362" t="e">
        <f>VLOOKUP(Table8[[#This Row],[Census Tract]],'Population and Diversity Data'!$B$2:$K$823,10,FALSE)</f>
        <v>#N/A</v>
      </c>
    </row>
    <row r="363" spans="16:18" x14ac:dyDescent="0.2">
      <c r="P363" t="str">
        <f t="shared" si="5"/>
        <v>N/A</v>
      </c>
      <c r="Q363" t="e">
        <f>VLOOKUP(Table8[[#This Row],[Census Tract]],'UI EnergyBurden'!$A$2:$B$184,2,FALSE)</f>
        <v>#N/A</v>
      </c>
      <c r="R363" t="e">
        <f>VLOOKUP(Table8[[#This Row],[Census Tract]],'Population and Diversity Data'!$B$2:$K$823,10,FALSE)</f>
        <v>#N/A</v>
      </c>
    </row>
    <row r="364" spans="16:18" x14ac:dyDescent="0.2">
      <c r="P364" t="str">
        <f t="shared" si="5"/>
        <v>N/A</v>
      </c>
      <c r="Q364" t="e">
        <f>VLOOKUP(Table8[[#This Row],[Census Tract]],'UI EnergyBurden'!$A$2:$B$184,2,FALSE)</f>
        <v>#N/A</v>
      </c>
      <c r="R364" t="e">
        <f>VLOOKUP(Table8[[#This Row],[Census Tract]],'Population and Diversity Data'!$B$2:$K$823,10,FALSE)</f>
        <v>#N/A</v>
      </c>
    </row>
    <row r="365" spans="16:18" x14ac:dyDescent="0.2">
      <c r="P365" t="str">
        <f t="shared" si="5"/>
        <v>N/A</v>
      </c>
      <c r="Q365" t="e">
        <f>VLOOKUP(Table8[[#This Row],[Census Tract]],'UI EnergyBurden'!$A$2:$B$184,2,FALSE)</f>
        <v>#N/A</v>
      </c>
      <c r="R365" t="e">
        <f>VLOOKUP(Table8[[#This Row],[Census Tract]],'Population and Diversity Data'!$B$2:$K$823,10,FALSE)</f>
        <v>#N/A</v>
      </c>
    </row>
    <row r="366" spans="16:18" x14ac:dyDescent="0.2">
      <c r="P366" t="str">
        <f t="shared" si="5"/>
        <v>N/A</v>
      </c>
      <c r="Q366" t="e">
        <f>VLOOKUP(Table8[[#This Row],[Census Tract]],'UI EnergyBurden'!$A$2:$B$184,2,FALSE)</f>
        <v>#N/A</v>
      </c>
      <c r="R366" t="e">
        <f>VLOOKUP(Table8[[#This Row],[Census Tract]],'Population and Diversity Data'!$B$2:$K$823,10,FALSE)</f>
        <v>#N/A</v>
      </c>
    </row>
    <row r="367" spans="16:18" x14ac:dyDescent="0.2">
      <c r="P367" t="str">
        <f t="shared" si="5"/>
        <v>N/A</v>
      </c>
      <c r="Q367" t="e">
        <f>VLOOKUP(Table8[[#This Row],[Census Tract]],'UI EnergyBurden'!$A$2:$B$184,2,FALSE)</f>
        <v>#N/A</v>
      </c>
      <c r="R367" t="e">
        <f>VLOOKUP(Table8[[#This Row],[Census Tract]],'Population and Diversity Data'!$B$2:$K$823,10,FALSE)</f>
        <v>#N/A</v>
      </c>
    </row>
    <row r="368" spans="16:18" x14ac:dyDescent="0.2">
      <c r="P368" t="str">
        <f t="shared" si="5"/>
        <v>N/A</v>
      </c>
      <c r="Q368" t="e">
        <f>VLOOKUP(Table8[[#This Row],[Census Tract]],'UI EnergyBurden'!$A$2:$B$184,2,FALSE)</f>
        <v>#N/A</v>
      </c>
      <c r="R368" t="e">
        <f>VLOOKUP(Table8[[#This Row],[Census Tract]],'Population and Diversity Data'!$B$2:$K$823,10,FALSE)</f>
        <v>#N/A</v>
      </c>
    </row>
    <row r="369" spans="16:18" x14ac:dyDescent="0.2">
      <c r="P369" t="str">
        <f t="shared" si="5"/>
        <v>N/A</v>
      </c>
      <c r="Q369" t="e">
        <f>VLOOKUP(Table8[[#This Row],[Census Tract]],'UI EnergyBurden'!$A$2:$B$184,2,FALSE)</f>
        <v>#N/A</v>
      </c>
      <c r="R369" t="e">
        <f>VLOOKUP(Table8[[#This Row],[Census Tract]],'Population and Diversity Data'!$B$2:$K$823,10,FALSE)</f>
        <v>#N/A</v>
      </c>
    </row>
    <row r="370" spans="16:18" x14ac:dyDescent="0.2">
      <c r="P370" t="str">
        <f t="shared" si="5"/>
        <v>N/A</v>
      </c>
      <c r="Q370" t="e">
        <f>VLOOKUP(Table8[[#This Row],[Census Tract]],'UI EnergyBurden'!$A$2:$B$184,2,FALSE)</f>
        <v>#N/A</v>
      </c>
      <c r="R370" t="e">
        <f>VLOOKUP(Table8[[#This Row],[Census Tract]],'Population and Diversity Data'!$B$2:$K$823,10,FALSE)</f>
        <v>#N/A</v>
      </c>
    </row>
    <row r="371" spans="16:18" x14ac:dyDescent="0.2">
      <c r="P371" t="str">
        <f t="shared" si="5"/>
        <v>N/A</v>
      </c>
      <c r="Q371" t="e">
        <f>VLOOKUP(Table8[[#This Row],[Census Tract]],'UI EnergyBurden'!$A$2:$B$184,2,FALSE)</f>
        <v>#N/A</v>
      </c>
      <c r="R371" t="e">
        <f>VLOOKUP(Table8[[#This Row],[Census Tract]],'Population and Diversity Data'!$B$2:$K$823,10,FALSE)</f>
        <v>#N/A</v>
      </c>
    </row>
    <row r="372" spans="16:18" x14ac:dyDescent="0.2">
      <c r="P372" t="str">
        <f t="shared" si="5"/>
        <v>N/A</v>
      </c>
      <c r="Q372" t="e">
        <f>VLOOKUP(Table8[[#This Row],[Census Tract]],'UI EnergyBurden'!$A$2:$B$184,2,FALSE)</f>
        <v>#N/A</v>
      </c>
      <c r="R372" t="e">
        <f>VLOOKUP(Table8[[#This Row],[Census Tract]],'Population and Diversity Data'!$B$2:$K$823,10,FALSE)</f>
        <v>#N/A</v>
      </c>
    </row>
    <row r="373" spans="16:18" x14ac:dyDescent="0.2">
      <c r="P373" t="str">
        <f t="shared" si="5"/>
        <v>N/A</v>
      </c>
      <c r="Q373" t="e">
        <f>VLOOKUP(Table8[[#This Row],[Census Tract]],'UI EnergyBurden'!$A$2:$B$184,2,FALSE)</f>
        <v>#N/A</v>
      </c>
      <c r="R373" t="e">
        <f>VLOOKUP(Table8[[#This Row],[Census Tract]],'Population and Diversity Data'!$B$2:$K$823,10,FALSE)</f>
        <v>#N/A</v>
      </c>
    </row>
    <row r="374" spans="16:18" x14ac:dyDescent="0.2">
      <c r="P374" t="str">
        <f t="shared" si="5"/>
        <v>N/A</v>
      </c>
      <c r="Q374" t="e">
        <f>VLOOKUP(Table8[[#This Row],[Census Tract]],'UI EnergyBurden'!$A$2:$B$184,2,FALSE)</f>
        <v>#N/A</v>
      </c>
      <c r="R374" t="e">
        <f>VLOOKUP(Table8[[#This Row],[Census Tract]],'Population and Diversity Data'!$B$2:$K$823,10,FALSE)</f>
        <v>#N/A</v>
      </c>
    </row>
    <row r="375" spans="16:18" x14ac:dyDescent="0.2">
      <c r="P375" t="str">
        <f t="shared" si="5"/>
        <v>N/A</v>
      </c>
      <c r="Q375" t="e">
        <f>VLOOKUP(Table8[[#This Row],[Census Tract]],'UI EnergyBurden'!$A$2:$B$184,2,FALSE)</f>
        <v>#N/A</v>
      </c>
      <c r="R375" t="e">
        <f>VLOOKUP(Table8[[#This Row],[Census Tract]],'Population and Diversity Data'!$B$2:$K$823,10,FALSE)</f>
        <v>#N/A</v>
      </c>
    </row>
    <row r="376" spans="16:18" x14ac:dyDescent="0.2">
      <c r="P376" t="str">
        <f t="shared" si="5"/>
        <v>N/A</v>
      </c>
      <c r="Q376" t="e">
        <f>VLOOKUP(Table8[[#This Row],[Census Tract]],'UI EnergyBurden'!$A$2:$B$184,2,FALSE)</f>
        <v>#N/A</v>
      </c>
      <c r="R376" t="e">
        <f>VLOOKUP(Table8[[#This Row],[Census Tract]],'Population and Diversity Data'!$B$2:$K$823,10,FALSE)</f>
        <v>#N/A</v>
      </c>
    </row>
    <row r="377" spans="16:18" x14ac:dyDescent="0.2">
      <c r="P377" t="str">
        <f t="shared" si="5"/>
        <v>N/A</v>
      </c>
      <c r="Q377" t="e">
        <f>VLOOKUP(Table8[[#This Row],[Census Tract]],'UI EnergyBurden'!$A$2:$B$184,2,FALSE)</f>
        <v>#N/A</v>
      </c>
      <c r="R377" t="e">
        <f>VLOOKUP(Table8[[#This Row],[Census Tract]],'Population and Diversity Data'!$B$2:$K$823,10,FALSE)</f>
        <v>#N/A</v>
      </c>
    </row>
    <row r="378" spans="16:18" x14ac:dyDescent="0.2">
      <c r="P378" t="str">
        <f t="shared" si="5"/>
        <v>N/A</v>
      </c>
      <c r="Q378" t="e">
        <f>VLOOKUP(Table8[[#This Row],[Census Tract]],'UI EnergyBurden'!$A$2:$B$184,2,FALSE)</f>
        <v>#N/A</v>
      </c>
      <c r="R378" t="e">
        <f>VLOOKUP(Table8[[#This Row],[Census Tract]],'Population and Diversity Data'!$B$2:$K$823,10,FALSE)</f>
        <v>#N/A</v>
      </c>
    </row>
    <row r="379" spans="16:18" x14ac:dyDescent="0.2">
      <c r="P379" t="str">
        <f t="shared" si="5"/>
        <v>N/A</v>
      </c>
      <c r="Q379" t="e">
        <f>VLOOKUP(Table8[[#This Row],[Census Tract]],'UI EnergyBurden'!$A$2:$B$184,2,FALSE)</f>
        <v>#N/A</v>
      </c>
      <c r="R379" t="e">
        <f>VLOOKUP(Table8[[#This Row],[Census Tract]],'Population and Diversity Data'!$B$2:$K$823,10,FALSE)</f>
        <v>#N/A</v>
      </c>
    </row>
    <row r="380" spans="16:18" x14ac:dyDescent="0.2">
      <c r="P380" t="str">
        <f t="shared" si="5"/>
        <v>N/A</v>
      </c>
      <c r="Q380" t="e">
        <f>VLOOKUP(Table8[[#This Row],[Census Tract]],'UI EnergyBurden'!$A$2:$B$184,2,FALSE)</f>
        <v>#N/A</v>
      </c>
      <c r="R380" t="e">
        <f>VLOOKUP(Table8[[#This Row],[Census Tract]],'Population and Diversity Data'!$B$2:$K$823,10,FALSE)</f>
        <v>#N/A</v>
      </c>
    </row>
    <row r="381" spans="16:18" x14ac:dyDescent="0.2">
      <c r="P381" t="str">
        <f t="shared" si="5"/>
        <v>N/A</v>
      </c>
      <c r="Q381" t="e">
        <f>VLOOKUP(Table8[[#This Row],[Census Tract]],'UI EnergyBurden'!$A$2:$B$184,2,FALSE)</f>
        <v>#N/A</v>
      </c>
      <c r="R381" t="e">
        <f>VLOOKUP(Table8[[#This Row],[Census Tract]],'Population and Diversity Data'!$B$2:$K$823,10,FALSE)</f>
        <v>#N/A</v>
      </c>
    </row>
    <row r="382" spans="16:18" x14ac:dyDescent="0.2">
      <c r="P382" t="str">
        <f t="shared" si="5"/>
        <v>N/A</v>
      </c>
      <c r="Q382" t="e">
        <f>VLOOKUP(Table8[[#This Row],[Census Tract]],'UI EnergyBurden'!$A$2:$B$184,2,FALSE)</f>
        <v>#N/A</v>
      </c>
      <c r="R382" t="e">
        <f>VLOOKUP(Table8[[#This Row],[Census Tract]],'Population and Diversity Data'!$B$2:$K$823,10,FALSE)</f>
        <v>#N/A</v>
      </c>
    </row>
    <row r="383" spans="16:18" x14ac:dyDescent="0.2">
      <c r="P383" t="str">
        <f t="shared" si="5"/>
        <v>N/A</v>
      </c>
      <c r="Q383" t="e">
        <f>VLOOKUP(Table8[[#This Row],[Census Tract]],'UI EnergyBurden'!$A$2:$B$184,2,FALSE)</f>
        <v>#N/A</v>
      </c>
      <c r="R383" t="e">
        <f>VLOOKUP(Table8[[#This Row],[Census Tract]],'Population and Diversity Data'!$B$2:$K$823,10,FALSE)</f>
        <v>#N/A</v>
      </c>
    </row>
    <row r="384" spans="16:18" x14ac:dyDescent="0.2">
      <c r="P384" t="str">
        <f t="shared" si="5"/>
        <v>N/A</v>
      </c>
      <c r="Q384" t="e">
        <f>VLOOKUP(Table8[[#This Row],[Census Tract]],'UI EnergyBurden'!$A$2:$B$184,2,FALSE)</f>
        <v>#N/A</v>
      </c>
      <c r="R384" t="e">
        <f>VLOOKUP(Table8[[#This Row],[Census Tract]],'Population and Diversity Data'!$B$2:$K$823,10,FALSE)</f>
        <v>#N/A</v>
      </c>
    </row>
    <row r="385" spans="16:18" x14ac:dyDescent="0.2">
      <c r="P385" t="str">
        <f t="shared" si="5"/>
        <v>N/A</v>
      </c>
      <c r="Q385" t="e">
        <f>VLOOKUP(Table8[[#This Row],[Census Tract]],'UI EnergyBurden'!$A$2:$B$184,2,FALSE)</f>
        <v>#N/A</v>
      </c>
      <c r="R385" t="e">
        <f>VLOOKUP(Table8[[#This Row],[Census Tract]],'Population and Diversity Data'!$B$2:$K$823,10,FALSE)</f>
        <v>#N/A</v>
      </c>
    </row>
    <row r="386" spans="16:18" x14ac:dyDescent="0.2">
      <c r="P386" t="str">
        <f t="shared" si="5"/>
        <v>N/A</v>
      </c>
      <c r="Q386" t="e">
        <f>VLOOKUP(Table8[[#This Row],[Census Tract]],'UI EnergyBurden'!$A$2:$B$184,2,FALSE)</f>
        <v>#N/A</v>
      </c>
      <c r="R386" t="e">
        <f>VLOOKUP(Table8[[#This Row],[Census Tract]],'Population and Diversity Data'!$B$2:$K$823,10,FALSE)</f>
        <v>#N/A</v>
      </c>
    </row>
    <row r="387" spans="16:18" x14ac:dyDescent="0.2">
      <c r="P387" t="str">
        <f t="shared" si="5"/>
        <v>N/A</v>
      </c>
      <c r="Q387" t="e">
        <f>VLOOKUP(Table8[[#This Row],[Census Tract]],'UI EnergyBurden'!$A$2:$B$184,2,FALSE)</f>
        <v>#N/A</v>
      </c>
      <c r="R387" t="e">
        <f>VLOOKUP(Table8[[#This Row],[Census Tract]],'Population and Diversity Data'!$B$2:$K$823,10,FALSE)</f>
        <v>#N/A</v>
      </c>
    </row>
    <row r="388" spans="16:18" x14ac:dyDescent="0.2">
      <c r="P388" t="str">
        <f t="shared" si="5"/>
        <v>N/A</v>
      </c>
      <c r="Q388" t="e">
        <f>VLOOKUP(Table8[[#This Row],[Census Tract]],'UI EnergyBurden'!$A$2:$B$184,2,FALSE)</f>
        <v>#N/A</v>
      </c>
      <c r="R388" t="e">
        <f>VLOOKUP(Table8[[#This Row],[Census Tract]],'Population and Diversity Data'!$B$2:$K$823,10,FALSE)</f>
        <v>#N/A</v>
      </c>
    </row>
    <row r="389" spans="16:18" x14ac:dyDescent="0.2">
      <c r="P389" t="str">
        <f t="shared" si="5"/>
        <v>N/A</v>
      </c>
      <c r="Q389" t="e">
        <f>VLOOKUP(Table8[[#This Row],[Census Tract]],'UI EnergyBurden'!$A$2:$B$184,2,FALSE)</f>
        <v>#N/A</v>
      </c>
      <c r="R389" t="e">
        <f>VLOOKUP(Table8[[#This Row],[Census Tract]],'Population and Diversity Data'!$B$2:$K$823,10,FALSE)</f>
        <v>#N/A</v>
      </c>
    </row>
    <row r="390" spans="16:18" x14ac:dyDescent="0.2">
      <c r="P390" t="str">
        <f t="shared" ref="P390:P423" si="6">IF(ROUND(M390,5)&lt;0.00001,"N/A",IF(ROUND(M390,5)&lt;=ROUND(O390,5),"YES","NO"))</f>
        <v>N/A</v>
      </c>
      <c r="Q390" t="e">
        <f>VLOOKUP(Table8[[#This Row],[Census Tract]],'UI EnergyBurden'!$A$2:$B$184,2,FALSE)</f>
        <v>#N/A</v>
      </c>
      <c r="R390" t="e">
        <f>VLOOKUP(Table8[[#This Row],[Census Tract]],'Population and Diversity Data'!$B$2:$K$823,10,FALSE)</f>
        <v>#N/A</v>
      </c>
    </row>
    <row r="391" spans="16:18" x14ac:dyDescent="0.2">
      <c r="P391" t="str">
        <f t="shared" si="6"/>
        <v>N/A</v>
      </c>
      <c r="Q391" t="e">
        <f>VLOOKUP(Table8[[#This Row],[Census Tract]],'UI EnergyBurden'!$A$2:$B$184,2,FALSE)</f>
        <v>#N/A</v>
      </c>
      <c r="R391" t="e">
        <f>VLOOKUP(Table8[[#This Row],[Census Tract]],'Population and Diversity Data'!$B$2:$K$823,10,FALSE)</f>
        <v>#N/A</v>
      </c>
    </row>
    <row r="392" spans="16:18" x14ac:dyDescent="0.2">
      <c r="P392" t="str">
        <f t="shared" si="6"/>
        <v>N/A</v>
      </c>
      <c r="Q392" t="e">
        <f>VLOOKUP(Table8[[#This Row],[Census Tract]],'UI EnergyBurden'!$A$2:$B$184,2,FALSE)</f>
        <v>#N/A</v>
      </c>
      <c r="R392" t="e">
        <f>VLOOKUP(Table8[[#This Row],[Census Tract]],'Population and Diversity Data'!$B$2:$K$823,10,FALSE)</f>
        <v>#N/A</v>
      </c>
    </row>
    <row r="393" spans="16:18" x14ac:dyDescent="0.2">
      <c r="P393" t="str">
        <f t="shared" si="6"/>
        <v>N/A</v>
      </c>
      <c r="Q393" t="e">
        <f>VLOOKUP(Table8[[#This Row],[Census Tract]],'UI EnergyBurden'!$A$2:$B$184,2,FALSE)</f>
        <v>#N/A</v>
      </c>
      <c r="R393" t="e">
        <f>VLOOKUP(Table8[[#This Row],[Census Tract]],'Population and Diversity Data'!$B$2:$K$823,10,FALSE)</f>
        <v>#N/A</v>
      </c>
    </row>
    <row r="394" spans="16:18" x14ac:dyDescent="0.2">
      <c r="P394" t="str">
        <f t="shared" si="6"/>
        <v>N/A</v>
      </c>
      <c r="Q394" t="e">
        <f>VLOOKUP(Table8[[#This Row],[Census Tract]],'UI EnergyBurden'!$A$2:$B$184,2,FALSE)</f>
        <v>#N/A</v>
      </c>
      <c r="R394" t="e">
        <f>VLOOKUP(Table8[[#This Row],[Census Tract]],'Population and Diversity Data'!$B$2:$K$823,10,FALSE)</f>
        <v>#N/A</v>
      </c>
    </row>
    <row r="395" spans="16:18" x14ac:dyDescent="0.2">
      <c r="P395" t="str">
        <f t="shared" si="6"/>
        <v>N/A</v>
      </c>
      <c r="Q395" t="e">
        <f>VLOOKUP(Table8[[#This Row],[Census Tract]],'UI EnergyBurden'!$A$2:$B$184,2,FALSE)</f>
        <v>#N/A</v>
      </c>
      <c r="R395" t="e">
        <f>VLOOKUP(Table8[[#This Row],[Census Tract]],'Population and Diversity Data'!$B$2:$K$823,10,FALSE)</f>
        <v>#N/A</v>
      </c>
    </row>
    <row r="396" spans="16:18" ht="15" customHeight="1" x14ac:dyDescent="0.2">
      <c r="P396" t="str">
        <f t="shared" si="6"/>
        <v>N/A</v>
      </c>
      <c r="Q396" t="e">
        <f>VLOOKUP(Table8[[#This Row],[Census Tract]],'UI EnergyBurden'!$A$2:$B$184,2,FALSE)</f>
        <v>#N/A</v>
      </c>
      <c r="R396" t="e">
        <f>VLOOKUP(Table8[[#This Row],[Census Tract]],'Population and Diversity Data'!$B$2:$K$823,10,FALSE)</f>
        <v>#N/A</v>
      </c>
    </row>
    <row r="397" spans="16:18" ht="15" customHeight="1" x14ac:dyDescent="0.2">
      <c r="P397" t="str">
        <f t="shared" si="6"/>
        <v>N/A</v>
      </c>
      <c r="Q397" t="e">
        <f>VLOOKUP(Table8[[#This Row],[Census Tract]],'UI EnergyBurden'!$A$2:$B$184,2,FALSE)</f>
        <v>#N/A</v>
      </c>
      <c r="R397" t="e">
        <f>VLOOKUP(Table8[[#This Row],[Census Tract]],'Population and Diversity Data'!$B$2:$K$823,10,FALSE)</f>
        <v>#N/A</v>
      </c>
    </row>
    <row r="398" spans="16:18" ht="15" customHeight="1" x14ac:dyDescent="0.2">
      <c r="P398" t="str">
        <f t="shared" si="6"/>
        <v>N/A</v>
      </c>
      <c r="Q398" t="e">
        <f>VLOOKUP(Table8[[#This Row],[Census Tract]],'UI EnergyBurden'!$A$2:$B$184,2,FALSE)</f>
        <v>#N/A</v>
      </c>
      <c r="R398" t="e">
        <f>VLOOKUP(Table8[[#This Row],[Census Tract]],'Population and Diversity Data'!$B$2:$K$823,10,FALSE)</f>
        <v>#N/A</v>
      </c>
    </row>
    <row r="399" spans="16:18" ht="15" customHeight="1" x14ac:dyDescent="0.2">
      <c r="P399" t="str">
        <f t="shared" si="6"/>
        <v>N/A</v>
      </c>
      <c r="Q399" t="e">
        <f>VLOOKUP(Table8[[#This Row],[Census Tract]],'UI EnergyBurden'!$A$2:$B$184,2,FALSE)</f>
        <v>#N/A</v>
      </c>
      <c r="R399" t="e">
        <f>VLOOKUP(Table8[[#This Row],[Census Tract]],'Population and Diversity Data'!$B$2:$K$823,10,FALSE)</f>
        <v>#N/A</v>
      </c>
    </row>
    <row r="400" spans="16:18" ht="15" customHeight="1" x14ac:dyDescent="0.2">
      <c r="P400" t="str">
        <f t="shared" si="6"/>
        <v>N/A</v>
      </c>
      <c r="Q400" t="e">
        <f>VLOOKUP(Table8[[#This Row],[Census Tract]],'UI EnergyBurden'!$A$2:$B$184,2,FALSE)</f>
        <v>#N/A</v>
      </c>
      <c r="R400" t="e">
        <f>VLOOKUP(Table8[[#This Row],[Census Tract]],'Population and Diversity Data'!$B$2:$K$823,10,FALSE)</f>
        <v>#N/A</v>
      </c>
    </row>
    <row r="401" spans="16:18" ht="15" customHeight="1" x14ac:dyDescent="0.2">
      <c r="P401" t="str">
        <f t="shared" si="6"/>
        <v>N/A</v>
      </c>
      <c r="Q401" t="e">
        <f>VLOOKUP(Table8[[#This Row],[Census Tract]],'UI EnergyBurden'!$A$2:$B$184,2,FALSE)</f>
        <v>#N/A</v>
      </c>
      <c r="R401" t="e">
        <f>VLOOKUP(Table8[[#This Row],[Census Tract]],'Population and Diversity Data'!$B$2:$K$823,10,FALSE)</f>
        <v>#N/A</v>
      </c>
    </row>
    <row r="402" spans="16:18" ht="15" customHeight="1" x14ac:dyDescent="0.2">
      <c r="P402" t="str">
        <f t="shared" si="6"/>
        <v>N/A</v>
      </c>
      <c r="Q402" t="e">
        <f>VLOOKUP(Table8[[#This Row],[Census Tract]],'UI EnergyBurden'!$A$2:$B$184,2,FALSE)</f>
        <v>#N/A</v>
      </c>
      <c r="R402" t="e">
        <f>VLOOKUP(Table8[[#This Row],[Census Tract]],'Population and Diversity Data'!$B$2:$K$823,10,FALSE)</f>
        <v>#N/A</v>
      </c>
    </row>
    <row r="403" spans="16:18" ht="15" customHeight="1" x14ac:dyDescent="0.2">
      <c r="P403" t="str">
        <f t="shared" si="6"/>
        <v>N/A</v>
      </c>
      <c r="Q403" t="e">
        <f>VLOOKUP(Table8[[#This Row],[Census Tract]],'UI EnergyBurden'!$A$2:$B$184,2,FALSE)</f>
        <v>#N/A</v>
      </c>
      <c r="R403" t="e">
        <f>VLOOKUP(Table8[[#This Row],[Census Tract]],'Population and Diversity Data'!$B$2:$K$823,10,FALSE)</f>
        <v>#N/A</v>
      </c>
    </row>
    <row r="404" spans="16:18" ht="15" customHeight="1" x14ac:dyDescent="0.2">
      <c r="P404" t="str">
        <f t="shared" si="6"/>
        <v>N/A</v>
      </c>
      <c r="Q404" t="e">
        <f>VLOOKUP(Table8[[#This Row],[Census Tract]],'UI EnergyBurden'!$A$2:$B$184,2,FALSE)</f>
        <v>#N/A</v>
      </c>
      <c r="R404" t="e">
        <f>VLOOKUP(Table8[[#This Row],[Census Tract]],'Population and Diversity Data'!$B$2:$K$823,10,FALSE)</f>
        <v>#N/A</v>
      </c>
    </row>
    <row r="405" spans="16:18" ht="15" customHeight="1" x14ac:dyDescent="0.2">
      <c r="P405" t="str">
        <f t="shared" si="6"/>
        <v>N/A</v>
      </c>
      <c r="Q405" t="e">
        <f>VLOOKUP(Table8[[#This Row],[Census Tract]],'UI EnergyBurden'!$A$2:$B$184,2,FALSE)</f>
        <v>#N/A</v>
      </c>
      <c r="R405" t="e">
        <f>VLOOKUP(Table8[[#This Row],[Census Tract]],'Population and Diversity Data'!$B$2:$K$823,10,FALSE)</f>
        <v>#N/A</v>
      </c>
    </row>
    <row r="406" spans="16:18" ht="15" customHeight="1" x14ac:dyDescent="0.2">
      <c r="P406" t="str">
        <f t="shared" si="6"/>
        <v>N/A</v>
      </c>
      <c r="Q406" t="e">
        <f>VLOOKUP(Table8[[#This Row],[Census Tract]],'UI EnergyBurden'!$A$2:$B$184,2,FALSE)</f>
        <v>#N/A</v>
      </c>
      <c r="R406" t="e">
        <f>VLOOKUP(Table8[[#This Row],[Census Tract]],'Population and Diversity Data'!$B$2:$K$823,10,FALSE)</f>
        <v>#N/A</v>
      </c>
    </row>
    <row r="407" spans="16:18" ht="15" customHeight="1" x14ac:dyDescent="0.2">
      <c r="P407" t="str">
        <f t="shared" si="6"/>
        <v>N/A</v>
      </c>
      <c r="Q407" t="e">
        <f>VLOOKUP(Table8[[#This Row],[Census Tract]],'UI EnergyBurden'!$A$2:$B$184,2,FALSE)</f>
        <v>#N/A</v>
      </c>
      <c r="R407" t="e">
        <f>VLOOKUP(Table8[[#This Row],[Census Tract]],'Population and Diversity Data'!$B$2:$K$823,10,FALSE)</f>
        <v>#N/A</v>
      </c>
    </row>
    <row r="408" spans="16:18" ht="15" customHeight="1" x14ac:dyDescent="0.2">
      <c r="P408" t="str">
        <f t="shared" si="6"/>
        <v>N/A</v>
      </c>
      <c r="Q408" t="e">
        <f>VLOOKUP(Table8[[#This Row],[Census Tract]],'UI EnergyBurden'!$A$2:$B$184,2,FALSE)</f>
        <v>#N/A</v>
      </c>
      <c r="R408" t="e">
        <f>VLOOKUP(Table8[[#This Row],[Census Tract]],'Population and Diversity Data'!$B$2:$K$823,10,FALSE)</f>
        <v>#N/A</v>
      </c>
    </row>
    <row r="409" spans="16:18" ht="15" customHeight="1" x14ac:dyDescent="0.2">
      <c r="P409" t="str">
        <f t="shared" si="6"/>
        <v>N/A</v>
      </c>
      <c r="Q409" t="e">
        <f>VLOOKUP(Table8[[#This Row],[Census Tract]],'UI EnergyBurden'!$A$2:$B$184,2,FALSE)</f>
        <v>#N/A</v>
      </c>
      <c r="R409" t="e">
        <f>VLOOKUP(Table8[[#This Row],[Census Tract]],'Population and Diversity Data'!$B$2:$K$823,10,FALSE)</f>
        <v>#N/A</v>
      </c>
    </row>
    <row r="410" spans="16:18" ht="15" customHeight="1" x14ac:dyDescent="0.2">
      <c r="P410" t="str">
        <f t="shared" si="6"/>
        <v>N/A</v>
      </c>
      <c r="Q410" t="e">
        <f>VLOOKUP(Table8[[#This Row],[Census Tract]],'UI EnergyBurden'!$A$2:$B$184,2,FALSE)</f>
        <v>#N/A</v>
      </c>
      <c r="R410" t="e">
        <f>VLOOKUP(Table8[[#This Row],[Census Tract]],'Population and Diversity Data'!$B$2:$K$823,10,FALSE)</f>
        <v>#N/A</v>
      </c>
    </row>
    <row r="411" spans="16:18" ht="15" customHeight="1" x14ac:dyDescent="0.2">
      <c r="P411" t="str">
        <f t="shared" si="6"/>
        <v>N/A</v>
      </c>
      <c r="Q411" t="e">
        <f>VLOOKUP(Table8[[#This Row],[Census Tract]],'UI EnergyBurden'!$A$2:$B$184,2,FALSE)</f>
        <v>#N/A</v>
      </c>
      <c r="R411" t="e">
        <f>VLOOKUP(Table8[[#This Row],[Census Tract]],'Population and Diversity Data'!$B$2:$K$823,10,FALSE)</f>
        <v>#N/A</v>
      </c>
    </row>
    <row r="412" spans="16:18" ht="15" customHeight="1" x14ac:dyDescent="0.2">
      <c r="P412" t="str">
        <f t="shared" si="6"/>
        <v>N/A</v>
      </c>
      <c r="Q412" t="e">
        <f>VLOOKUP(Table8[[#This Row],[Census Tract]],'UI EnergyBurden'!$A$2:$B$184,2,FALSE)</f>
        <v>#N/A</v>
      </c>
      <c r="R412" t="e">
        <f>VLOOKUP(Table8[[#This Row],[Census Tract]],'Population and Diversity Data'!$B$2:$K$823,10,FALSE)</f>
        <v>#N/A</v>
      </c>
    </row>
    <row r="413" spans="16:18" ht="15" customHeight="1" x14ac:dyDescent="0.2">
      <c r="P413" t="str">
        <f t="shared" si="6"/>
        <v>N/A</v>
      </c>
      <c r="Q413" t="e">
        <f>VLOOKUP(Table8[[#This Row],[Census Tract]],'UI EnergyBurden'!$A$2:$B$184,2,FALSE)</f>
        <v>#N/A</v>
      </c>
      <c r="R413" t="e">
        <f>VLOOKUP(Table8[[#This Row],[Census Tract]],'Population and Diversity Data'!$B$2:$K$823,10,FALSE)</f>
        <v>#N/A</v>
      </c>
    </row>
    <row r="414" spans="16:18" ht="15" customHeight="1" x14ac:dyDescent="0.2">
      <c r="P414" t="str">
        <f t="shared" si="6"/>
        <v>N/A</v>
      </c>
      <c r="Q414" t="e">
        <f>VLOOKUP(Table8[[#This Row],[Census Tract]],'UI EnergyBurden'!$A$2:$B$184,2,FALSE)</f>
        <v>#N/A</v>
      </c>
      <c r="R414" t="e">
        <f>VLOOKUP(Table8[[#This Row],[Census Tract]],'Population and Diversity Data'!$B$2:$K$823,10,FALSE)</f>
        <v>#N/A</v>
      </c>
    </row>
    <row r="415" spans="16:18" ht="15" customHeight="1" x14ac:dyDescent="0.2">
      <c r="P415" t="str">
        <f t="shared" si="6"/>
        <v>N/A</v>
      </c>
      <c r="Q415" t="e">
        <f>VLOOKUP(Table8[[#This Row],[Census Tract]],'UI EnergyBurden'!$A$2:$B$184,2,FALSE)</f>
        <v>#N/A</v>
      </c>
      <c r="R415" t="e">
        <f>VLOOKUP(Table8[[#This Row],[Census Tract]],'Population and Diversity Data'!$B$2:$K$823,10,FALSE)</f>
        <v>#N/A</v>
      </c>
    </row>
    <row r="416" spans="16:18" ht="15" customHeight="1" x14ac:dyDescent="0.2">
      <c r="P416" t="str">
        <f t="shared" si="6"/>
        <v>N/A</v>
      </c>
      <c r="Q416" t="e">
        <f>VLOOKUP(Table8[[#This Row],[Census Tract]],'UI EnergyBurden'!$A$2:$B$184,2,FALSE)</f>
        <v>#N/A</v>
      </c>
      <c r="R416" t="e">
        <f>VLOOKUP(Table8[[#This Row],[Census Tract]],'Population and Diversity Data'!$B$2:$K$823,10,FALSE)</f>
        <v>#N/A</v>
      </c>
    </row>
    <row r="417" spans="16:18" ht="15" customHeight="1" x14ac:dyDescent="0.2">
      <c r="P417" t="str">
        <f t="shared" si="6"/>
        <v>N/A</v>
      </c>
      <c r="Q417" t="e">
        <f>VLOOKUP(Table8[[#This Row],[Census Tract]],'UI EnergyBurden'!$A$2:$B$184,2,FALSE)</f>
        <v>#N/A</v>
      </c>
      <c r="R417" t="e">
        <f>VLOOKUP(Table8[[#This Row],[Census Tract]],'Population and Diversity Data'!$B$2:$K$823,10,FALSE)</f>
        <v>#N/A</v>
      </c>
    </row>
    <row r="418" spans="16:18" ht="15" customHeight="1" x14ac:dyDescent="0.2">
      <c r="P418" t="str">
        <f t="shared" si="6"/>
        <v>N/A</v>
      </c>
      <c r="Q418" t="e">
        <f>VLOOKUP(Table8[[#This Row],[Census Tract]],'UI EnergyBurden'!$A$2:$B$184,2,FALSE)</f>
        <v>#N/A</v>
      </c>
      <c r="R418" t="e">
        <f>VLOOKUP(Table8[[#This Row],[Census Tract]],'Population and Diversity Data'!$B$2:$K$823,10,FALSE)</f>
        <v>#N/A</v>
      </c>
    </row>
    <row r="419" spans="16:18" ht="15" customHeight="1" x14ac:dyDescent="0.2">
      <c r="P419" t="str">
        <f t="shared" si="6"/>
        <v>N/A</v>
      </c>
      <c r="Q419" t="e">
        <f>VLOOKUP(Table8[[#This Row],[Census Tract]],'UI EnergyBurden'!$A$2:$B$184,2,FALSE)</f>
        <v>#N/A</v>
      </c>
      <c r="R419" t="e">
        <f>VLOOKUP(Table8[[#This Row],[Census Tract]],'Population and Diversity Data'!$B$2:$K$823,10,FALSE)</f>
        <v>#N/A</v>
      </c>
    </row>
    <row r="420" spans="16:18" ht="15" customHeight="1" x14ac:dyDescent="0.2">
      <c r="P420" t="str">
        <f t="shared" si="6"/>
        <v>N/A</v>
      </c>
      <c r="Q420" t="e">
        <f>VLOOKUP(Table8[[#This Row],[Census Tract]],'UI EnergyBurden'!$A$2:$B$184,2,FALSE)</f>
        <v>#N/A</v>
      </c>
      <c r="R420" t="e">
        <f>VLOOKUP(Table8[[#This Row],[Census Tract]],'Population and Diversity Data'!$B$2:$K$823,10,FALSE)</f>
        <v>#N/A</v>
      </c>
    </row>
    <row r="421" spans="16:18" ht="15" customHeight="1" x14ac:dyDescent="0.2">
      <c r="P421" t="str">
        <f t="shared" si="6"/>
        <v>N/A</v>
      </c>
      <c r="Q421" t="e">
        <f>VLOOKUP(Table8[[#This Row],[Census Tract]],'UI EnergyBurden'!$A$2:$B$184,2,FALSE)</f>
        <v>#N/A</v>
      </c>
      <c r="R421" t="e">
        <f>VLOOKUP(Table8[[#This Row],[Census Tract]],'Population and Diversity Data'!$B$2:$K$823,10,FALSE)</f>
        <v>#N/A</v>
      </c>
    </row>
    <row r="422" spans="16:18" ht="15" customHeight="1" x14ac:dyDescent="0.2">
      <c r="P422" t="str">
        <f t="shared" si="6"/>
        <v>N/A</v>
      </c>
      <c r="Q422" t="e">
        <f>VLOOKUP(Table8[[#This Row],[Census Tract]],'UI EnergyBurden'!$A$2:$B$184,2,FALSE)</f>
        <v>#N/A</v>
      </c>
      <c r="R422" t="e">
        <f>VLOOKUP(Table8[[#This Row],[Census Tract]],'Population and Diversity Data'!$B$2:$K$823,10,FALSE)</f>
        <v>#N/A</v>
      </c>
    </row>
    <row r="423" spans="16:18" ht="15" customHeight="1" x14ac:dyDescent="0.2">
      <c r="P423" t="str">
        <f t="shared" si="6"/>
        <v>N/A</v>
      </c>
      <c r="Q423" t="e">
        <f>VLOOKUP(Table8[[#This Row],[Census Tract]],'UI EnergyBurden'!$A$2:$B$184,2,FALSE)</f>
        <v>#N/A</v>
      </c>
      <c r="R423" t="e">
        <f>VLOOKUP(Table8[[#This Row],[Census Tract]],'Population and Diversity Data'!$B$2:$K$823,10,FALSE)</f>
        <v>#N/A</v>
      </c>
    </row>
  </sheetData>
  <mergeCells count="7">
    <mergeCell ref="A1:R2"/>
    <mergeCell ref="A3:C3"/>
    <mergeCell ref="D3:R3"/>
    <mergeCell ref="A4:C4"/>
    <mergeCell ref="D4:G4"/>
    <mergeCell ref="H4:K4"/>
    <mergeCell ref="L4:O4"/>
  </mergeCells>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6383-24D3-4F96-A595-9B62B7041A0F}">
  <sheetPr>
    <tabColor theme="7" tint="0.59999389629810485"/>
  </sheetPr>
  <dimension ref="A1:Q210"/>
  <sheetViews>
    <sheetView topLeftCell="I1" workbookViewId="0">
      <selection activeCell="A6" sqref="A6:A178"/>
    </sheetView>
  </sheetViews>
  <sheetFormatPr baseColWidth="10" defaultColWidth="8.83203125" defaultRowHeight="15" x14ac:dyDescent="0.2"/>
  <cols>
    <col min="1" max="2" width="15.6640625" style="30" customWidth="1"/>
    <col min="3" max="3" width="20" style="30" customWidth="1"/>
    <col min="4" max="4" width="22.6640625" style="122" customWidth="1"/>
    <col min="5" max="5" width="27.33203125" style="30" customWidth="1"/>
    <col min="6" max="6" width="25" style="122" customWidth="1"/>
    <col min="7" max="7" width="34.5" style="30" customWidth="1"/>
    <col min="8" max="8" width="30.33203125" style="30" customWidth="1"/>
    <col min="9" max="9" width="40.33203125" style="30" customWidth="1"/>
    <col min="10" max="10" width="38.5" style="30" customWidth="1"/>
    <col min="11" max="11" width="49.33203125" style="30" customWidth="1"/>
    <col min="12" max="12" width="22.6640625" style="30" customWidth="1"/>
    <col min="13" max="13" width="32.6640625" style="123" customWidth="1"/>
    <col min="14" max="14" width="31.33203125" style="30" customWidth="1"/>
    <col min="15" max="15" width="41.33203125" style="30" customWidth="1"/>
    <col min="16" max="16" width="13.5" bestFit="1" customWidth="1"/>
  </cols>
  <sheetData>
    <row r="1" spans="1:17" ht="15" customHeight="1" x14ac:dyDescent="0.2">
      <c r="A1" s="311" t="s">
        <v>2710</v>
      </c>
      <c r="B1" s="311"/>
      <c r="C1" s="311"/>
      <c r="D1" s="311"/>
      <c r="E1" s="311"/>
      <c r="F1" s="311"/>
      <c r="G1" s="311"/>
      <c r="H1" s="311"/>
      <c r="I1" s="311"/>
      <c r="J1" s="311"/>
      <c r="K1" s="311"/>
      <c r="L1" s="311"/>
      <c r="M1" s="311"/>
      <c r="N1" s="311"/>
      <c r="O1" s="311"/>
    </row>
    <row r="2" spans="1:17" ht="15.75" customHeight="1" x14ac:dyDescent="0.2">
      <c r="A2" s="311"/>
      <c r="B2" s="311"/>
      <c r="C2" s="311"/>
      <c r="D2" s="311"/>
      <c r="E2" s="311"/>
      <c r="F2" s="311"/>
      <c r="G2" s="311"/>
      <c r="H2" s="311"/>
      <c r="I2" s="311"/>
      <c r="J2" s="311"/>
      <c r="K2" s="311"/>
      <c r="L2" s="311"/>
      <c r="M2" s="311"/>
      <c r="N2" s="311"/>
      <c r="O2" s="311"/>
    </row>
    <row r="3" spans="1:17" ht="16" x14ac:dyDescent="0.2">
      <c r="A3" s="312" t="s">
        <v>3884</v>
      </c>
      <c r="B3" s="312"/>
      <c r="C3" s="312"/>
      <c r="D3" s="313" t="s">
        <v>2874</v>
      </c>
      <c r="E3" s="313"/>
      <c r="F3" s="313"/>
      <c r="G3" s="313"/>
      <c r="H3" s="313"/>
      <c r="I3" s="313"/>
      <c r="J3" s="313"/>
      <c r="K3" s="313"/>
      <c r="L3" s="313"/>
      <c r="M3" s="313"/>
      <c r="N3" s="313"/>
      <c r="O3" s="313"/>
    </row>
    <row r="4" spans="1:17" x14ac:dyDescent="0.2">
      <c r="A4" s="314"/>
      <c r="B4" s="314"/>
      <c r="C4" s="314"/>
      <c r="D4" s="315" t="s">
        <v>2699</v>
      </c>
      <c r="E4" s="315"/>
      <c r="F4" s="315"/>
      <c r="G4" s="315"/>
      <c r="H4" s="316" t="s">
        <v>2700</v>
      </c>
      <c r="I4" s="316"/>
      <c r="J4" s="316"/>
      <c r="K4" s="316"/>
      <c r="L4" s="317" t="s">
        <v>2701</v>
      </c>
      <c r="M4" s="317"/>
      <c r="N4" s="317"/>
      <c r="O4" s="317"/>
    </row>
    <row r="5" spans="1:17" ht="34" x14ac:dyDescent="0.2">
      <c r="A5" s="145" t="s">
        <v>2711</v>
      </c>
      <c r="B5" s="145" t="s">
        <v>2712</v>
      </c>
      <c r="C5" s="146" t="s">
        <v>2713</v>
      </c>
      <c r="D5" s="124" t="s">
        <v>2714</v>
      </c>
      <c r="E5" s="125" t="s">
        <v>2715</v>
      </c>
      <c r="F5" s="124" t="s">
        <v>2716</v>
      </c>
      <c r="G5" s="125" t="s">
        <v>2717</v>
      </c>
      <c r="H5" s="126" t="s">
        <v>2718</v>
      </c>
      <c r="I5" s="126" t="s">
        <v>2719</v>
      </c>
      <c r="J5" s="126" t="s">
        <v>2720</v>
      </c>
      <c r="K5" s="126" t="s">
        <v>2721</v>
      </c>
      <c r="L5" s="126" t="s">
        <v>2722</v>
      </c>
      <c r="M5" s="127" t="s">
        <v>2723</v>
      </c>
      <c r="N5" s="126" t="s">
        <v>2724</v>
      </c>
      <c r="O5" s="126" t="s">
        <v>2725</v>
      </c>
      <c r="P5" s="63" t="s">
        <v>2728</v>
      </c>
      <c r="Q5" s="63" t="s">
        <v>2727</v>
      </c>
    </row>
    <row r="6" spans="1:17" x14ac:dyDescent="0.2">
      <c r="A6" s="121">
        <v>9001060100</v>
      </c>
      <c r="B6" s="121" t="s">
        <v>2983</v>
      </c>
      <c r="C6" s="128" t="s">
        <v>3886</v>
      </c>
      <c r="D6" s="88">
        <f>[2]!Table32[[#This Row],[Residential CLM $ Collected]]+[2]!Table32[[#This Row],[C&amp;I CLM $ Collected]]</f>
        <v>86001.594697046079</v>
      </c>
      <c r="E6" s="28">
        <f>[2]!Table3[[#This Row],[CLM $ Collected ]]/'[2]1.) CLM Reference'!$B$4</f>
        <v>1.5104949427701888E-5</v>
      </c>
      <c r="F6" s="88">
        <f>[2]!Table32[[#This Row],[Residential Incentive Disbursements]]+[2]!Table32[[#This Row],[C&amp;I Incentive Disbursements]]</f>
        <v>40</v>
      </c>
      <c r="G6" s="28">
        <f>[2]!Table3[[#This Row],[Incentive Disbursements]]/'[2]1.) CLM Reference'!$B$5</f>
        <v>0</v>
      </c>
      <c r="H6" s="88">
        <v>0</v>
      </c>
      <c r="I6" s="28">
        <f>[2]!Table3[[#This Row],[CLM $ Collected ]]/'[2]1.) CLM Reference'!$B$4</f>
        <v>1.5104949427701888E-5</v>
      </c>
      <c r="J6" s="88">
        <v>0</v>
      </c>
      <c r="K6" s="28">
        <f>[2]!Table3[[#This Row],[Incentive Disbursements]]/'[2]1.) CLM Reference'!$B$5</f>
        <v>0</v>
      </c>
      <c r="L6" s="88">
        <v>86001.594697046079</v>
      </c>
      <c r="M6" s="203">
        <f>[2]!Table32[[#This Row],[CLM $ Collected ]]/'[2]1.) CLM Reference'!$B$4</f>
        <v>3.8163357110978569E-3</v>
      </c>
      <c r="N6" s="88">
        <v>40</v>
      </c>
      <c r="O6" s="204">
        <f>[2]!Table3[[#This Row],[Incentive Disbursements]]/'[2]1.) CLM Reference'!$B$5</f>
        <v>0</v>
      </c>
      <c r="P6" t="str">
        <f>VLOOKUP(Table325[[#This Row],[Census Tract]],'UI EnergyBurden'!$A$2:$B$184,2,FALSE)</f>
        <v>No</v>
      </c>
      <c r="Q6">
        <f>VLOOKUP(Table325[[#This Row],[Census Tract]],'Population and Diversity Data'!B2:K823,10,FALSE)</f>
        <v>2</v>
      </c>
    </row>
    <row r="7" spans="1:17" x14ac:dyDescent="0.2">
      <c r="A7" s="121">
        <v>9001060200</v>
      </c>
      <c r="B7" s="121" t="s">
        <v>2983</v>
      </c>
      <c r="C7" s="128" t="s">
        <v>3886</v>
      </c>
      <c r="D7" s="88">
        <f>[2]!Table32[[#This Row],[Residential CLM $ Collected]]+[2]!Table32[[#This Row],[C&amp;I CLM $ Collected]]</f>
        <v>63287.195774694788</v>
      </c>
      <c r="E7" s="28">
        <f>[2]!Table3[[#This Row],[CLM $ Collected ]]/'[2]1.) CLM Reference'!$B$4</f>
        <v>3.085010401960294E-5</v>
      </c>
      <c r="F7" s="88">
        <f>[2]!Table32[[#This Row],[Residential Incentive Disbursements]]+[2]!Table32[[#This Row],[C&amp;I Incentive Disbursements]]</f>
        <v>0</v>
      </c>
      <c r="G7" s="28">
        <f>[2]!Table3[[#This Row],[Incentive Disbursements]]/'[2]1.) CLM Reference'!$B$5</f>
        <v>0</v>
      </c>
      <c r="H7" s="88">
        <v>0</v>
      </c>
      <c r="I7" s="28">
        <f>[2]!Table3[[#This Row],[CLM $ Collected ]]/'[2]1.) CLM Reference'!$B$4</f>
        <v>3.085010401960294E-5</v>
      </c>
      <c r="J7" s="88">
        <v>0</v>
      </c>
      <c r="K7" s="28">
        <f>[2]!Table3[[#This Row],[Incentive Disbursements]]/'[2]1.) CLM Reference'!$B$5</f>
        <v>0</v>
      </c>
      <c r="L7" s="88">
        <v>63287.195774694788</v>
      </c>
      <c r="M7" s="203">
        <f>[2]!Table32[[#This Row],[CLM $ Collected ]]/'[2]1.) CLM Reference'!$B$4</f>
        <v>2.8083803113304927E-3</v>
      </c>
      <c r="N7" s="88">
        <v>0</v>
      </c>
      <c r="O7" s="204">
        <f>[2]!Table3[[#This Row],[Incentive Disbursements]]/'[2]1.) CLM Reference'!$B$5</f>
        <v>0</v>
      </c>
      <c r="P7" t="str">
        <f>VLOOKUP(Table325[[#This Row],[Census Tract]],'UI EnergyBurden'!$A$2:$B$184,2,FALSE)</f>
        <v>No</v>
      </c>
      <c r="Q7">
        <f>VLOOKUP(Table325[[#This Row],[Census Tract]],'Population and Diversity Data'!B3:K824,10,FALSE)</f>
        <v>3</v>
      </c>
    </row>
    <row r="8" spans="1:17" x14ac:dyDescent="0.2">
      <c r="A8" s="121">
        <v>9001060300</v>
      </c>
      <c r="B8" s="121" t="s">
        <v>2983</v>
      </c>
      <c r="C8" s="128" t="s">
        <v>3886</v>
      </c>
      <c r="D8" s="88">
        <f>[2]!Table32[[#This Row],[Residential CLM $ Collected]]+[2]!Table32[[#This Row],[C&amp;I CLM $ Collected]]</f>
        <v>32091.045803550849</v>
      </c>
      <c r="E8" s="28">
        <f>[2]!Table3[[#This Row],[CLM $ Collected ]]/'[2]1.) CLM Reference'!$B$4</f>
        <v>3.1959041796822169E-8</v>
      </c>
      <c r="F8" s="88">
        <f>[2]!Table32[[#This Row],[Residential Incentive Disbursements]]+[2]!Table32[[#This Row],[C&amp;I Incentive Disbursements]]</f>
        <v>120</v>
      </c>
      <c r="G8" s="28">
        <f>[2]!Table3[[#This Row],[Incentive Disbursements]]/'[2]1.) CLM Reference'!$B$5</f>
        <v>7.5639282678820652E-6</v>
      </c>
      <c r="H8" s="88">
        <v>0</v>
      </c>
      <c r="I8" s="28">
        <f>[2]!Table3[[#This Row],[CLM $ Collected ]]/'[2]1.) CLM Reference'!$B$4</f>
        <v>3.1959041796822169E-8</v>
      </c>
      <c r="J8" s="88">
        <v>0</v>
      </c>
      <c r="K8" s="28">
        <f>[2]!Table3[[#This Row],[Incentive Disbursements]]/'[2]1.) CLM Reference'!$B$5</f>
        <v>7.5639282678820652E-6</v>
      </c>
      <c r="L8" s="88">
        <v>32091.045803550849</v>
      </c>
      <c r="M8" s="203">
        <f>[2]!Table32[[#This Row],[CLM $ Collected ]]/'[2]1.) CLM Reference'!$B$4</f>
        <v>1.4240457347097851E-3</v>
      </c>
      <c r="N8" s="88">
        <v>120</v>
      </c>
      <c r="O8" s="204">
        <f>[2]!Table3[[#This Row],[Incentive Disbursements]]/'[2]1.) CLM Reference'!$B$5</f>
        <v>7.5639282678820652E-6</v>
      </c>
      <c r="P8" t="str">
        <f>VLOOKUP(Table325[[#This Row],[Census Tract]],'UI EnergyBurden'!$A$2:$B$184,2,FALSE)</f>
        <v>No</v>
      </c>
      <c r="Q8">
        <f>VLOOKUP(Table325[[#This Row],[Census Tract]],'Population and Diversity Data'!B4:K825,10,FALSE)</f>
        <v>2</v>
      </c>
    </row>
    <row r="9" spans="1:17" x14ac:dyDescent="0.2">
      <c r="A9" s="121">
        <v>9001060400</v>
      </c>
      <c r="B9" s="121" t="s">
        <v>2983</v>
      </c>
      <c r="C9" s="128" t="s">
        <v>3886</v>
      </c>
      <c r="D9" s="88">
        <f>[2]!Table32[[#This Row],[Residential CLM $ Collected]]+[2]!Table32[[#This Row],[C&amp;I CLM $ Collected]]</f>
        <v>10147.815885766473</v>
      </c>
      <c r="E9" s="28">
        <f>[2]!Table3[[#This Row],[CLM $ Collected ]]/'[2]1.) CLM Reference'!$B$4</f>
        <v>2.7437290135663974E-3</v>
      </c>
      <c r="F9" s="88">
        <f>[2]!Table32[[#This Row],[Residential Incentive Disbursements]]+[2]!Table32[[#This Row],[C&amp;I Incentive Disbursements]]</f>
        <v>0</v>
      </c>
      <c r="G9" s="28">
        <f>[2]!Table3[[#This Row],[Incentive Disbursements]]/'[2]1.) CLM Reference'!$B$5</f>
        <v>4.9891877705233343E-3</v>
      </c>
      <c r="H9" s="88">
        <v>0</v>
      </c>
      <c r="I9" s="28">
        <f>[2]!Table3[[#This Row],[CLM $ Collected ]]/'[2]1.) CLM Reference'!$B$4</f>
        <v>2.7437290135663974E-3</v>
      </c>
      <c r="J9" s="88">
        <v>0</v>
      </c>
      <c r="K9" s="28">
        <f>[2]!Table3[[#This Row],[Incentive Disbursements]]/'[2]1.) CLM Reference'!$B$5</f>
        <v>4.9891877705233343E-3</v>
      </c>
      <c r="L9" s="88">
        <v>10147.815885766473</v>
      </c>
      <c r="M9" s="203">
        <f>[2]!Table32[[#This Row],[CLM $ Collected ]]/'[2]1.) CLM Reference'!$B$4</f>
        <v>4.5031109354332598E-4</v>
      </c>
      <c r="N9" s="88">
        <v>0</v>
      </c>
      <c r="O9" s="204">
        <f>[2]!Table3[[#This Row],[Incentive Disbursements]]/'[2]1.) CLM Reference'!$B$5</f>
        <v>4.9891877705233343E-3</v>
      </c>
      <c r="P9" t="str">
        <f>VLOOKUP(Table325[[#This Row],[Census Tract]],'UI EnergyBurden'!$A$2:$B$184,2,FALSE)</f>
        <v>No</v>
      </c>
      <c r="Q9">
        <f>VLOOKUP(Table325[[#This Row],[Census Tract]],'Population and Diversity Data'!B5:K826,10,FALSE)</f>
        <v>1</v>
      </c>
    </row>
    <row r="10" spans="1:17" x14ac:dyDescent="0.2">
      <c r="A10" s="121">
        <v>9001060500</v>
      </c>
      <c r="B10" s="121" t="s">
        <v>2983</v>
      </c>
      <c r="C10" s="128" t="s">
        <v>3886</v>
      </c>
      <c r="D10" s="88">
        <f>[2]!Table32[[#This Row],[Residential CLM $ Collected]]+[2]!Table32[[#This Row],[C&amp;I CLM $ Collected]]</f>
        <v>4504.3952010048006</v>
      </c>
      <c r="E10" s="28">
        <f>[2]!Table3[[#This Row],[CLM $ Collected ]]/'[2]1.) CLM Reference'!$B$4</f>
        <v>3.772600991592821E-6</v>
      </c>
      <c r="F10" s="88">
        <f>[2]!Table32[[#This Row],[Residential Incentive Disbursements]]+[2]!Table32[[#This Row],[C&amp;I Incentive Disbursements]]</f>
        <v>0</v>
      </c>
      <c r="G10" s="28">
        <f>[2]!Table3[[#This Row],[Incentive Disbursements]]/'[2]1.) CLM Reference'!$B$5</f>
        <v>0</v>
      </c>
      <c r="H10" s="88">
        <v>0</v>
      </c>
      <c r="I10" s="28">
        <f>[2]!Table3[[#This Row],[CLM $ Collected ]]/'[2]1.) CLM Reference'!$B$4</f>
        <v>3.772600991592821E-6</v>
      </c>
      <c r="J10" s="88">
        <v>0</v>
      </c>
      <c r="K10" s="28">
        <f>[2]!Table3[[#This Row],[Incentive Disbursements]]/'[2]1.) CLM Reference'!$B$5</f>
        <v>0</v>
      </c>
      <c r="L10" s="88">
        <v>4504.3952010048006</v>
      </c>
      <c r="M10" s="203">
        <f>[2]!Table32[[#This Row],[CLM $ Collected ]]/'[2]1.) CLM Reference'!$B$4</f>
        <v>1.9988331987386821E-4</v>
      </c>
      <c r="N10" s="88">
        <v>0</v>
      </c>
      <c r="O10" s="204">
        <f>[2]!Table3[[#This Row],[Incentive Disbursements]]/'[2]1.) CLM Reference'!$B$5</f>
        <v>0</v>
      </c>
      <c r="P10" t="str">
        <f>VLOOKUP(Table325[[#This Row],[Census Tract]],'UI EnergyBurden'!$A$2:$B$184,2,FALSE)</f>
        <v>No</v>
      </c>
      <c r="Q10">
        <f>VLOOKUP(Table325[[#This Row],[Census Tract]],'Population and Diversity Data'!B6:K827,10,FALSE)</f>
        <v>1</v>
      </c>
    </row>
    <row r="11" spans="1:17" x14ac:dyDescent="0.2">
      <c r="A11" s="148">
        <v>9001060600</v>
      </c>
      <c r="B11" s="148" t="s">
        <v>2983</v>
      </c>
      <c r="C11" s="149" t="s">
        <v>3886</v>
      </c>
      <c r="D11" s="88">
        <f>[2]!Table32[[#This Row],[Residential CLM $ Collected]]+[2]!Table32[[#This Row],[C&amp;I CLM $ Collected]]</f>
        <v>26970.047799325523</v>
      </c>
      <c r="E11" s="28">
        <f>[2]!Table3[[#This Row],[CLM $ Collected ]]/'[2]1.) CLM Reference'!$B$4</f>
        <v>3.5159424339668965E-3</v>
      </c>
      <c r="F11" s="88">
        <f>[2]!Table32[[#This Row],[Residential Incentive Disbursements]]+[2]!Table32[[#This Row],[C&amp;I Incentive Disbursements]]</f>
        <v>0</v>
      </c>
      <c r="G11" s="28">
        <f>[2]!Table3[[#This Row],[Incentive Disbursements]]/'[2]1.) CLM Reference'!$B$5</f>
        <v>2.2967457572175068E-3</v>
      </c>
      <c r="H11" s="88">
        <v>0</v>
      </c>
      <c r="I11" s="147">
        <f>[2]!Table32[[#This Row],[Residential CLM $ Collected]]/'[2]1.) CLM Reference'!$B$4</f>
        <v>0</v>
      </c>
      <c r="J11" s="150">
        <v>0</v>
      </c>
      <c r="K11" s="28">
        <f>[2]!Table32[[#This Row],[Residential Incentive Disbursements]]/'[2]1.) CLM Reference'!$B$5</f>
        <v>0</v>
      </c>
      <c r="L11" s="150">
        <v>26970.047799325523</v>
      </c>
      <c r="M11" s="203">
        <f>[2]!Table32[[#This Row],[CLM $ Collected ]]/'[2]1.) CLM Reference'!$B$4</f>
        <v>1.1968005582821759E-3</v>
      </c>
      <c r="N11" s="150">
        <v>0</v>
      </c>
      <c r="O11" s="204">
        <f>[2]!Table3[[#This Row],[Incentive Disbursements]]/'[2]1.) CLM Reference'!$B$5</f>
        <v>2.2967457572175068E-3</v>
      </c>
      <c r="P11" t="str">
        <f>VLOOKUP(Table325[[#This Row],[Census Tract]],'UI EnergyBurden'!$A$2:$B$184,2,FALSE)</f>
        <v>No</v>
      </c>
      <c r="Q11">
        <f>VLOOKUP(Table325[[#This Row],[Census Tract]],'Population and Diversity Data'!B7:K828,10,FALSE)</f>
        <v>2</v>
      </c>
    </row>
    <row r="12" spans="1:17" x14ac:dyDescent="0.2">
      <c r="A12" s="148">
        <v>9001060700</v>
      </c>
      <c r="B12" s="148" t="s">
        <v>2983</v>
      </c>
      <c r="C12" s="149" t="s">
        <v>3886</v>
      </c>
      <c r="D12" s="88">
        <f>[2]!Table32[[#This Row],[Residential CLM $ Collected]]+[2]!Table32[[#This Row],[C&amp;I CLM $ Collected]]</f>
        <v>76168.451221189083</v>
      </c>
      <c r="E12" s="28">
        <f>[2]!Table3[[#This Row],[CLM $ Collected ]]/'[2]1.) CLM Reference'!$B$4</f>
        <v>3.6949083561190932E-3</v>
      </c>
      <c r="F12" s="88">
        <f>[2]!Table32[[#This Row],[Residential Incentive Disbursements]]+[2]!Table32[[#This Row],[C&amp;I Incentive Disbursements]]</f>
        <v>336245</v>
      </c>
      <c r="G12" s="28">
        <f>[2]!Table3[[#This Row],[Incentive Disbursements]]/'[2]1.) CLM Reference'!$B$5</f>
        <v>1.9189809508323211E-3</v>
      </c>
      <c r="H12" s="88">
        <v>0</v>
      </c>
      <c r="I12" s="147">
        <f>[2]!Table32[[#This Row],[Residential CLM $ Collected]]/'[2]1.) CLM Reference'!$B$4</f>
        <v>0</v>
      </c>
      <c r="J12" s="150">
        <v>0</v>
      </c>
      <c r="K12" s="28">
        <f>[2]!Table32[[#This Row],[Residential Incentive Disbursements]]/'[2]1.) CLM Reference'!$B$5</f>
        <v>0</v>
      </c>
      <c r="L12" s="150">
        <v>76168.451221189083</v>
      </c>
      <c r="M12" s="203">
        <f>[2]!Table32[[#This Row],[CLM $ Collected ]]/'[2]1.) CLM Reference'!$B$4</f>
        <v>3.3799882604319113E-3</v>
      </c>
      <c r="N12" s="150">
        <v>336245</v>
      </c>
      <c r="O12" s="204">
        <f>[2]!Table3[[#This Row],[Incentive Disbursements]]/'[2]1.) CLM Reference'!$B$5</f>
        <v>1.9189809508323211E-3</v>
      </c>
      <c r="P12" t="str">
        <f>VLOOKUP(Table325[[#This Row],[Census Tract]],'UI EnergyBurden'!$A$2:$B$184,2,FALSE)</f>
        <v>No</v>
      </c>
      <c r="Q12">
        <f>VLOOKUP(Table325[[#This Row],[Census Tract]],'Population and Diversity Data'!B8:K829,10,FALSE)</f>
        <v>2</v>
      </c>
    </row>
    <row r="13" spans="1:17" x14ac:dyDescent="0.2">
      <c r="A13" s="148">
        <v>9001060900</v>
      </c>
      <c r="B13" s="148" t="s">
        <v>2983</v>
      </c>
      <c r="C13" s="149" t="s">
        <v>3886</v>
      </c>
      <c r="D13" s="88">
        <f>[2]!Table32[[#This Row],[Residential CLM $ Collected]]+[2]!Table32[[#This Row],[C&amp;I CLM $ Collected]]</f>
        <v>1826.8173797122004</v>
      </c>
      <c r="E13" s="28">
        <f>[2]!Table3[[#This Row],[CLM $ Collected ]]/'[2]1.) CLM Reference'!$B$4</f>
        <v>6.3480695425463503E-3</v>
      </c>
      <c r="F13" s="88">
        <f>[2]!Table32[[#This Row],[Residential Incentive Disbursements]]+[2]!Table32[[#This Row],[C&amp;I Incentive Disbursements]]</f>
        <v>0</v>
      </c>
      <c r="G13" s="28">
        <f>[2]!Table3[[#This Row],[Incentive Disbursements]]/'[2]1.) CLM Reference'!$B$5</f>
        <v>1.3162442327319995E-3</v>
      </c>
      <c r="H13" s="88">
        <v>0</v>
      </c>
      <c r="I13" s="147">
        <f>[2]!Table32[[#This Row],[Residential CLM $ Collected]]/'[2]1.) CLM Reference'!$B$4</f>
        <v>0</v>
      </c>
      <c r="J13" s="150">
        <v>0</v>
      </c>
      <c r="K13" s="28">
        <f>[2]!Table32[[#This Row],[Residential Incentive Disbursements]]/'[2]1.) CLM Reference'!$B$5</f>
        <v>0</v>
      </c>
      <c r="L13" s="150">
        <v>1826.8173797122004</v>
      </c>
      <c r="M13" s="203">
        <f>[2]!Table32[[#This Row],[CLM $ Collected ]]/'[2]1.) CLM Reference'!$B$4</f>
        <v>8.1065338711554664E-5</v>
      </c>
      <c r="N13" s="150">
        <v>0</v>
      </c>
      <c r="O13" s="204">
        <f>[2]!Table3[[#This Row],[Incentive Disbursements]]/'[2]1.) CLM Reference'!$B$5</f>
        <v>1.3162442327319995E-3</v>
      </c>
      <c r="P13" t="str">
        <f>VLOOKUP(Table325[[#This Row],[Census Tract]],'UI EnergyBurden'!$A$2:$B$184,2,FALSE)</f>
        <v>No</v>
      </c>
      <c r="Q13">
        <f>VLOOKUP(Table325[[#This Row],[Census Tract]],'Population and Diversity Data'!B9:K830,10,FALSE)</f>
        <v>1</v>
      </c>
    </row>
    <row r="14" spans="1:17" x14ac:dyDescent="0.2">
      <c r="A14" s="148">
        <v>9001061000</v>
      </c>
      <c r="B14" s="148" t="s">
        <v>2983</v>
      </c>
      <c r="C14" s="149" t="s">
        <v>3886</v>
      </c>
      <c r="D14" s="88">
        <f>[2]!Table32[[#This Row],[Residential CLM $ Collected]]+[2]!Table32[[#This Row],[C&amp;I CLM $ Collected]]</f>
        <v>37567.435270728529</v>
      </c>
      <c r="E14" s="28">
        <f>[2]!Table3[[#This Row],[CLM $ Collected ]]/'[2]1.) CLM Reference'!$B$4</f>
        <v>2.789688369192403E-3</v>
      </c>
      <c r="F14" s="88">
        <f>[2]!Table32[[#This Row],[Residential Incentive Disbursements]]+[2]!Table32[[#This Row],[C&amp;I Incentive Disbursements]]</f>
        <v>57468</v>
      </c>
      <c r="G14" s="28">
        <f>[2]!Table3[[#This Row],[Incentive Disbursements]]/'[2]1.) CLM Reference'!$B$5</f>
        <v>4.6690184187509962E-4</v>
      </c>
      <c r="H14" s="88">
        <v>0</v>
      </c>
      <c r="I14" s="147">
        <f>[2]!Table32[[#This Row],[Residential CLM $ Collected]]/'[2]1.) CLM Reference'!$B$4</f>
        <v>0</v>
      </c>
      <c r="J14" s="150">
        <v>0</v>
      </c>
      <c r="K14" s="28">
        <f>[2]!Table32[[#This Row],[Residential Incentive Disbursements]]/'[2]1.) CLM Reference'!$B$5</f>
        <v>0</v>
      </c>
      <c r="L14" s="150">
        <v>37567.435270728529</v>
      </c>
      <c r="M14" s="203">
        <f>[2]!Table32[[#This Row],[CLM $ Collected ]]/'[2]1.) CLM Reference'!$B$4</f>
        <v>1.6670614690702107E-3</v>
      </c>
      <c r="N14" s="150">
        <v>57468</v>
      </c>
      <c r="O14" s="204">
        <f>[2]!Table3[[#This Row],[Incentive Disbursements]]/'[2]1.) CLM Reference'!$B$5</f>
        <v>4.6690184187509962E-4</v>
      </c>
      <c r="P14" t="str">
        <f>VLOOKUP(Table325[[#This Row],[Census Tract]],'UI EnergyBurden'!$A$2:$B$184,2,FALSE)</f>
        <v>No</v>
      </c>
      <c r="Q14">
        <f>VLOOKUP(Table325[[#This Row],[Census Tract]],'Population and Diversity Data'!B10:K831,10,FALSE)</f>
        <v>3</v>
      </c>
    </row>
    <row r="15" spans="1:17" x14ac:dyDescent="0.2">
      <c r="A15" s="148">
        <v>9001061100</v>
      </c>
      <c r="B15" s="148" t="s">
        <v>2983</v>
      </c>
      <c r="C15" s="149" t="s">
        <v>3886</v>
      </c>
      <c r="D15" s="88">
        <f>[2]!Table32[[#This Row],[Residential CLM $ Collected]]+[2]!Table32[[#This Row],[C&amp;I CLM $ Collected]]</f>
        <v>2512.9472735025147</v>
      </c>
      <c r="E15" s="28">
        <f>[2]!Table3[[#This Row],[CLM $ Collected ]]/'[2]1.) CLM Reference'!$B$4</f>
        <v>4.3061774760903664E-3</v>
      </c>
      <c r="F15" s="88">
        <f>[2]!Table32[[#This Row],[Residential Incentive Disbursements]]+[2]!Table32[[#This Row],[C&amp;I Incentive Disbursements]]</f>
        <v>0</v>
      </c>
      <c r="G15" s="28">
        <f>[2]!Table3[[#This Row],[Incentive Disbursements]]/'[2]1.) CLM Reference'!$B$5</f>
        <v>3.7931010149372495E-3</v>
      </c>
      <c r="H15" s="88">
        <v>0</v>
      </c>
      <c r="I15" s="147">
        <f>[2]!Table32[[#This Row],[Residential CLM $ Collected]]/'[2]1.) CLM Reference'!$B$4</f>
        <v>0</v>
      </c>
      <c r="J15" s="150">
        <v>0</v>
      </c>
      <c r="K15" s="28">
        <f>[2]!Table32[[#This Row],[Residential Incentive Disbursements]]/'[2]1.) CLM Reference'!$B$5</f>
        <v>0</v>
      </c>
      <c r="L15" s="150">
        <v>2512.9472735025147</v>
      </c>
      <c r="M15" s="203">
        <f>[2]!Table32[[#This Row],[CLM $ Collected ]]/'[2]1.) CLM Reference'!$B$4</f>
        <v>1.115124719926041E-4</v>
      </c>
      <c r="N15" s="150">
        <v>0</v>
      </c>
      <c r="O15" s="204">
        <f>[2]!Table3[[#This Row],[Incentive Disbursements]]/'[2]1.) CLM Reference'!$B$5</f>
        <v>3.7931010149372495E-3</v>
      </c>
      <c r="P15" t="str">
        <f>VLOOKUP(Table325[[#This Row],[Census Tract]],'UI EnergyBurden'!$A$2:$B$184,2,FALSE)</f>
        <v>No</v>
      </c>
      <c r="Q15">
        <f>VLOOKUP(Table325[[#This Row],[Census Tract]],'Population and Diversity Data'!B11:K832,10,FALSE)</f>
        <v>1</v>
      </c>
    </row>
    <row r="16" spans="1:17" x14ac:dyDescent="0.2">
      <c r="A16" s="148">
        <v>9001061300</v>
      </c>
      <c r="B16" s="148" t="s">
        <v>2983</v>
      </c>
      <c r="C16" s="149" t="s">
        <v>3886</v>
      </c>
      <c r="D16" s="88">
        <f>[2]!Table32[[#This Row],[Residential CLM $ Collected]]+[2]!Table32[[#This Row],[C&amp;I CLM $ Collected]]</f>
        <v>14027.852273447348</v>
      </c>
      <c r="E16" s="28">
        <f>[2]!Table3[[#This Row],[CLM $ Collected ]]/'[2]1.) CLM Reference'!$B$4</f>
        <v>4.2855198480161163E-3</v>
      </c>
      <c r="F16" s="88">
        <f>[2]!Table32[[#This Row],[Residential Incentive Disbursements]]+[2]!Table32[[#This Row],[C&amp;I Incentive Disbursements]]</f>
        <v>32914</v>
      </c>
      <c r="G16" s="28">
        <f>[2]!Table3[[#This Row],[Incentive Disbursements]]/'[2]1.) CLM Reference'!$B$5</f>
        <v>9.1415599415966794E-4</v>
      </c>
      <c r="H16" s="88">
        <v>1635.4101303746522</v>
      </c>
      <c r="I16" s="147">
        <f>[2]!Table32[[#This Row],[Residential CLM $ Collected]]/'[2]1.) CLM Reference'!$B$4</f>
        <v>7.257160875709155E-5</v>
      </c>
      <c r="J16" s="150">
        <v>0</v>
      </c>
      <c r="K16" s="28">
        <f>[2]!Table32[[#This Row],[Residential Incentive Disbursements]]/'[2]1.) CLM Reference'!$B$5</f>
        <v>0</v>
      </c>
      <c r="L16" s="150">
        <v>12392.442143072696</v>
      </c>
      <c r="M16" s="203">
        <f>[2]!Table32[[#This Row],[CLM $ Collected ]]/'[2]1.) CLM Reference'!$B$4</f>
        <v>6.2248838256718001E-4</v>
      </c>
      <c r="N16" s="150">
        <v>32914</v>
      </c>
      <c r="O16" s="204">
        <f>[2]!Table3[[#This Row],[Incentive Disbursements]]/'[2]1.) CLM Reference'!$B$5</f>
        <v>9.1415599415966794E-4</v>
      </c>
      <c r="P16" t="str">
        <f>VLOOKUP(Table325[[#This Row],[Census Tract]],'UI EnergyBurden'!$A$2:$B$184,2,FALSE)</f>
        <v>No</v>
      </c>
      <c r="Q16">
        <f>VLOOKUP(Table325[[#This Row],[Census Tract]],'Population and Diversity Data'!B12:K833,10,FALSE)</f>
        <v>4</v>
      </c>
    </row>
    <row r="17" spans="1:17" x14ac:dyDescent="0.2">
      <c r="A17" s="148">
        <v>9001061400</v>
      </c>
      <c r="B17" s="148" t="s">
        <v>2983</v>
      </c>
      <c r="C17" s="149" t="s">
        <v>3886</v>
      </c>
      <c r="D17" s="88">
        <f>[2]!Table32[[#This Row],[Residential CLM $ Collected]]+[2]!Table32[[#This Row],[C&amp;I CLM $ Collected]]</f>
        <v>87202.575928176564</v>
      </c>
      <c r="E17" s="28">
        <f>[2]!Table3[[#This Row],[CLM $ Collected ]]/'[2]1.) CLM Reference'!$B$4</f>
        <v>1.537514673684182E-3</v>
      </c>
      <c r="F17" s="88">
        <f>[2]!Table32[[#This Row],[Residential Incentive Disbursements]]+[2]!Table32[[#This Row],[C&amp;I Incentive Disbursements]]</f>
        <v>289123</v>
      </c>
      <c r="G17" s="28">
        <f>[2]!Table3[[#This Row],[Incentive Disbursements]]/'[2]1.) CLM Reference'!$B$5</f>
        <v>3.5061740473410718E-4</v>
      </c>
      <c r="H17" s="88">
        <v>0</v>
      </c>
      <c r="I17" s="147">
        <f>[2]!Table32[[#This Row],[Residential CLM $ Collected]]/'[2]1.) CLM Reference'!$B$4</f>
        <v>0</v>
      </c>
      <c r="J17" s="150">
        <v>2250</v>
      </c>
      <c r="K17" s="28">
        <f>[2]!Table32[[#This Row],[Residential Incentive Disbursements]]/'[2]1.) CLM Reference'!$B$5</f>
        <v>6.9464647358100594E-5</v>
      </c>
      <c r="L17" s="150">
        <v>87202.575928176564</v>
      </c>
      <c r="M17" s="203">
        <f>[2]!Table32[[#This Row],[CLM $ Collected ]]/'[2]1.) CLM Reference'!$B$4</f>
        <v>3.8696294619505836E-3</v>
      </c>
      <c r="N17" s="150">
        <v>286873</v>
      </c>
      <c r="O17" s="204">
        <f>[2]!Table3[[#This Row],[Incentive Disbursements]]/'[2]1.) CLM Reference'!$B$5</f>
        <v>3.5061740473410718E-4</v>
      </c>
      <c r="P17" t="str">
        <f>VLOOKUP(Table325[[#This Row],[Census Tract]],'UI EnergyBurden'!$A$2:$B$184,2,FALSE)</f>
        <v>No</v>
      </c>
      <c r="Q17">
        <f>VLOOKUP(Table325[[#This Row],[Census Tract]],'Population and Diversity Data'!B13:K834,10,FALSE)</f>
        <v>5</v>
      </c>
    </row>
    <row r="18" spans="1:17" x14ac:dyDescent="0.2">
      <c r="A18" s="148">
        <v>9001061500</v>
      </c>
      <c r="B18" s="148" t="s">
        <v>934</v>
      </c>
      <c r="C18" s="149" t="s">
        <v>3886</v>
      </c>
      <c r="D18" s="88">
        <f>[2]!Table32[[#This Row],[Residential CLM $ Collected]]+[2]!Table32[[#This Row],[C&amp;I CLM $ Collected]]</f>
        <v>2443.1431825718887</v>
      </c>
      <c r="E18" s="28">
        <f>[2]!Table3[[#This Row],[CLM $ Collected ]]/'[2]1.) CLM Reference'!$B$4</f>
        <v>1.8413634197765932E-3</v>
      </c>
      <c r="F18" s="88">
        <f>[2]!Table32[[#This Row],[Residential Incentive Disbursements]]+[2]!Table32[[#This Row],[C&amp;I Incentive Disbursements]]</f>
        <v>0</v>
      </c>
      <c r="G18" s="28">
        <f>[2]!Table3[[#This Row],[Incentive Disbursements]]/'[2]1.) CLM Reference'!$B$5</f>
        <v>7.3987104632878978E-4</v>
      </c>
      <c r="H18" s="88">
        <v>0</v>
      </c>
      <c r="I18" s="147">
        <f>[2]!Table32[[#This Row],[Residential CLM $ Collected]]/'[2]1.) CLM Reference'!$B$4</f>
        <v>0</v>
      </c>
      <c r="J18" s="150">
        <v>0</v>
      </c>
      <c r="K18" s="28">
        <f>[2]!Table32[[#This Row],[Residential Incentive Disbursements]]/'[2]1.) CLM Reference'!$B$5</f>
        <v>0</v>
      </c>
      <c r="L18" s="150">
        <v>2443.1431825718887</v>
      </c>
      <c r="M18" s="203">
        <f>[2]!Table32[[#This Row],[CLM $ Collected ]]/'[2]1.) CLM Reference'!$B$4</f>
        <v>1.0841490332614285E-4</v>
      </c>
      <c r="N18" s="150">
        <v>0</v>
      </c>
      <c r="O18" s="204">
        <f>[2]!Table3[[#This Row],[Incentive Disbursements]]/'[2]1.) CLM Reference'!$B$5</f>
        <v>7.3987104632878978E-4</v>
      </c>
      <c r="P18" t="str">
        <f>VLOOKUP(Table325[[#This Row],[Census Tract]],'UI EnergyBurden'!$A$2:$B$184,2,FALSE)</f>
        <v>No</v>
      </c>
      <c r="Q18">
        <f>VLOOKUP(Table325[[#This Row],[Census Tract]],'Population and Diversity Data'!B14:K835,10,FALSE)</f>
        <v>4</v>
      </c>
    </row>
    <row r="19" spans="1:17" x14ac:dyDescent="0.2">
      <c r="A19" s="148">
        <v>9001061500</v>
      </c>
      <c r="B19" s="148" t="s">
        <v>2983</v>
      </c>
      <c r="C19" s="149" t="s">
        <v>3886</v>
      </c>
      <c r="D19" s="88">
        <f>[2]!Table32[[#This Row],[Residential CLM $ Collected]]+[2]!Table32[[#This Row],[C&amp;I CLM $ Collected]]</f>
        <v>44970.269914065684</v>
      </c>
      <c r="E19" s="28">
        <f>[2]!Table3[[#This Row],[CLM $ Collected ]]/'[2]1.) CLM Reference'!$B$4</f>
        <v>4.8746077540551781E-3</v>
      </c>
      <c r="F19" s="88">
        <f>[2]!Table32[[#This Row],[Residential Incentive Disbursements]]+[2]!Table32[[#This Row],[C&amp;I Incentive Disbursements]]</f>
        <v>36584.68</v>
      </c>
      <c r="G19" s="28">
        <f>[2]!Table3[[#This Row],[Incentive Disbursements]]/'[2]1.) CLM Reference'!$B$5</f>
        <v>2.9244548616771827E-3</v>
      </c>
      <c r="H19" s="88">
        <v>0</v>
      </c>
      <c r="I19" s="147">
        <f>[2]!Table32[[#This Row],[Residential CLM $ Collected]]/'[2]1.) CLM Reference'!$B$4</f>
        <v>0</v>
      </c>
      <c r="J19" s="150">
        <v>0</v>
      </c>
      <c r="K19" s="28">
        <f>[2]!Table32[[#This Row],[Residential Incentive Disbursements]]/'[2]1.) CLM Reference'!$B$5</f>
        <v>0</v>
      </c>
      <c r="L19" s="150">
        <v>44970.269914065684</v>
      </c>
      <c r="M19" s="203">
        <f>[2]!Table32[[#This Row],[CLM $ Collected ]]/'[2]1.) CLM Reference'!$B$4</f>
        <v>1.9955635429240843E-3</v>
      </c>
      <c r="N19" s="150">
        <v>36584.68</v>
      </c>
      <c r="O19" s="204">
        <f>[2]!Table3[[#This Row],[Incentive Disbursements]]/'[2]1.) CLM Reference'!$B$5</f>
        <v>2.9244548616771827E-3</v>
      </c>
      <c r="P19" t="str">
        <f>VLOOKUP(Table325[[#This Row],[Census Tract]],'UI EnergyBurden'!$A$2:$B$184,2,FALSE)</f>
        <v>No</v>
      </c>
      <c r="Q19">
        <f>VLOOKUP(Table325[[#This Row],[Census Tract]],'Population and Diversity Data'!B15:K836,10,FALSE)</f>
        <v>4</v>
      </c>
    </row>
    <row r="20" spans="1:17" x14ac:dyDescent="0.2">
      <c r="A20" s="148">
        <v>9001061600</v>
      </c>
      <c r="B20" s="148" t="s">
        <v>2983</v>
      </c>
      <c r="C20" s="149" t="s">
        <v>3886</v>
      </c>
      <c r="D20" s="88">
        <f>[2]!Table32[[#This Row],[Residential CLM $ Collected]]+[2]!Table32[[#This Row],[C&amp;I CLM $ Collected]]</f>
        <v>26349.566991053296</v>
      </c>
      <c r="E20" s="28">
        <f>[2]!Table3[[#This Row],[CLM $ Collected ]]/'[2]1.) CLM Reference'!$B$4</f>
        <v>2.6927789257787651E-3</v>
      </c>
      <c r="F20" s="88">
        <f>[2]!Table32[[#This Row],[Residential Incentive Disbursements]]+[2]!Table32[[#This Row],[C&amp;I Incentive Disbursements]]</f>
        <v>26897</v>
      </c>
      <c r="G20" s="28">
        <f>[2]!Table3[[#This Row],[Incentive Disbursements]]/'[2]1.) CLM Reference'!$B$5</f>
        <v>1.7492609108940519E-3</v>
      </c>
      <c r="H20" s="88">
        <v>1490.6312751111329</v>
      </c>
      <c r="I20" s="147">
        <f>[2]!Table32[[#This Row],[Residential CLM $ Collected]]/'[2]1.) CLM Reference'!$B$4</f>
        <v>6.6147021893320126E-5</v>
      </c>
      <c r="J20" s="150">
        <v>0</v>
      </c>
      <c r="K20" s="28">
        <f>[2]!Table32[[#This Row],[Residential Incentive Disbursements]]/'[2]1.) CLM Reference'!$B$5</f>
        <v>0</v>
      </c>
      <c r="L20" s="150">
        <v>24858.935715942163</v>
      </c>
      <c r="M20" s="203">
        <f>[2]!Table32[[#This Row],[CLM $ Collected ]]/'[2]1.) CLM Reference'!$B$4</f>
        <v>1.1692666145802983E-3</v>
      </c>
      <c r="N20" s="150">
        <v>26897</v>
      </c>
      <c r="O20" s="204">
        <f>[2]!Table3[[#This Row],[Incentive Disbursements]]/'[2]1.) CLM Reference'!$B$5</f>
        <v>1.7492609108940519E-3</v>
      </c>
      <c r="P20" t="str">
        <f>VLOOKUP(Table325[[#This Row],[Census Tract]],'UI EnergyBurden'!$A$2:$B$184,2,FALSE)</f>
        <v>No</v>
      </c>
      <c r="Q20">
        <f>VLOOKUP(Table325[[#This Row],[Census Tract]],'Population and Diversity Data'!B16:K837,10,FALSE)</f>
        <v>1</v>
      </c>
    </row>
    <row r="21" spans="1:17" x14ac:dyDescent="0.2">
      <c r="A21" s="148">
        <v>9001070100</v>
      </c>
      <c r="B21" s="148" t="s">
        <v>934</v>
      </c>
      <c r="C21" s="149" t="s">
        <v>3887</v>
      </c>
      <c r="D21" s="88">
        <f>[2]!Table32[[#This Row],[Residential CLM $ Collected]]+[2]!Table32[[#This Row],[C&amp;I CLM $ Collected]]</f>
        <v>5885.3343332249515</v>
      </c>
      <c r="E21" s="28">
        <f>[2]!Table3[[#This Row],[CLM $ Collected ]]/'[2]1.) CLM Reference'!$B$4</f>
        <v>1.3875685858117629E-3</v>
      </c>
      <c r="F21" s="88">
        <f>[2]!Table32[[#This Row],[Residential Incentive Disbursements]]+[2]!Table32[[#This Row],[C&amp;I Incentive Disbursements]]</f>
        <v>750</v>
      </c>
      <c r="G21" s="28">
        <f>[2]!Table3[[#This Row],[Incentive Disbursements]]/'[2]1.) CLM Reference'!$B$5</f>
        <v>2.9661898392734619E-4</v>
      </c>
      <c r="H21" s="88">
        <v>0</v>
      </c>
      <c r="I21" s="147">
        <f>[2]!Table32[[#This Row],[Residential CLM $ Collected]]/'[2]1.) CLM Reference'!$B$4</f>
        <v>0</v>
      </c>
      <c r="J21" s="150">
        <v>0</v>
      </c>
      <c r="K21" s="28">
        <f>[2]!Table32[[#This Row],[Residential Incentive Disbursements]]/'[2]1.) CLM Reference'!$B$5</f>
        <v>0</v>
      </c>
      <c r="L21" s="150">
        <v>5885.3343332249515</v>
      </c>
      <c r="M21" s="203">
        <f>[2]!Table32[[#This Row],[CLM $ Collected ]]/'[2]1.) CLM Reference'!$B$4</f>
        <v>2.6116273386274933E-4</v>
      </c>
      <c r="N21" s="150">
        <v>750</v>
      </c>
      <c r="O21" s="204">
        <f>[2]!Table3[[#This Row],[Incentive Disbursements]]/'[2]1.) CLM Reference'!$B$5</f>
        <v>2.9661898392734619E-4</v>
      </c>
      <c r="P21" t="str">
        <f>VLOOKUP(Table325[[#This Row],[Census Tract]],'UI EnergyBurden'!$A$2:$B$184,2,FALSE)</f>
        <v>No</v>
      </c>
      <c r="Q21">
        <f>VLOOKUP(Table325[[#This Row],[Census Tract]],'Population and Diversity Data'!B17:K838,10,FALSE)</f>
        <v>4</v>
      </c>
    </row>
    <row r="22" spans="1:17" x14ac:dyDescent="0.2">
      <c r="A22" s="148">
        <v>9001070200</v>
      </c>
      <c r="B22" s="148" t="s">
        <v>934</v>
      </c>
      <c r="C22" s="149" t="s">
        <v>3887</v>
      </c>
      <c r="D22" s="88">
        <f>[2]!Table32[[#This Row],[Residential CLM $ Collected]]+[2]!Table32[[#This Row],[C&amp;I CLM $ Collected]]</f>
        <v>18975.355718335843</v>
      </c>
      <c r="E22" s="28">
        <f>[2]!Table3[[#This Row],[CLM $ Collected ]]/'[2]1.) CLM Reference'!$B$4</f>
        <v>2.6718391977009694E-3</v>
      </c>
      <c r="F22" s="88">
        <f>[2]!Table32[[#This Row],[Residential Incentive Disbursements]]+[2]!Table32[[#This Row],[C&amp;I Incentive Disbursements]]</f>
        <v>0</v>
      </c>
      <c r="G22" s="28">
        <f>[2]!Table3[[#This Row],[Incentive Disbursements]]/'[2]1.) CLM Reference'!$B$5</f>
        <v>2.0353752964820228E-3</v>
      </c>
      <c r="H22" s="88">
        <v>0</v>
      </c>
      <c r="I22" s="147">
        <f>[2]!Table32[[#This Row],[Residential CLM $ Collected]]/'[2]1.) CLM Reference'!$B$4</f>
        <v>0</v>
      </c>
      <c r="J22" s="150">
        <v>0</v>
      </c>
      <c r="K22" s="28">
        <f>[2]!Table32[[#This Row],[Residential Incentive Disbursements]]/'[2]1.) CLM Reference'!$B$5</f>
        <v>0</v>
      </c>
      <c r="L22" s="150">
        <v>18975.355718335843</v>
      </c>
      <c r="M22" s="203">
        <f>[2]!Table32[[#This Row],[CLM $ Collected ]]/'[2]1.) CLM Reference'!$B$4</f>
        <v>8.4203470777219564E-4</v>
      </c>
      <c r="N22" s="150">
        <v>0</v>
      </c>
      <c r="O22" s="204">
        <f>[2]!Table3[[#This Row],[Incentive Disbursements]]/'[2]1.) CLM Reference'!$B$5</f>
        <v>2.0353752964820228E-3</v>
      </c>
      <c r="P22" t="str">
        <f>VLOOKUP(Table325[[#This Row],[Census Tract]],'UI EnergyBurden'!$A$2:$B$184,2,FALSE)</f>
        <v>No</v>
      </c>
      <c r="Q22">
        <f>VLOOKUP(Table325[[#This Row],[Census Tract]],'Population and Diversity Data'!B18:K839,10,FALSE)</f>
        <v>4</v>
      </c>
    </row>
    <row r="23" spans="1:17" x14ac:dyDescent="0.2">
      <c r="A23" s="148">
        <v>9001070300</v>
      </c>
      <c r="B23" s="148" t="s">
        <v>934</v>
      </c>
      <c r="C23" s="149" t="s">
        <v>3887</v>
      </c>
      <c r="D23" s="88">
        <f>[2]!Table32[[#This Row],[Residential CLM $ Collected]]+[2]!Table32[[#This Row],[C&amp;I CLM $ Collected]]</f>
        <v>73313.316168600737</v>
      </c>
      <c r="E23" s="28">
        <f>[2]!Table3[[#This Row],[CLM $ Collected ]]/'[2]1.) CLM Reference'!$B$4</f>
        <v>4.7867156772039149E-3</v>
      </c>
      <c r="F23" s="88">
        <f>[2]!Table32[[#This Row],[Residential Incentive Disbursements]]+[2]!Table32[[#This Row],[C&amp;I Incentive Disbursements]]</f>
        <v>53135</v>
      </c>
      <c r="G23" s="28">
        <f>[2]!Table3[[#This Row],[Incentive Disbursements]]/'[2]1.) CLM Reference'!$B$5</f>
        <v>5.3581904606566522E-3</v>
      </c>
      <c r="H23" s="88">
        <v>0</v>
      </c>
      <c r="I23" s="147">
        <f>[2]!Table32[[#This Row],[Residential CLM $ Collected]]/'[2]1.) CLM Reference'!$B$4</f>
        <v>0</v>
      </c>
      <c r="J23" s="150">
        <v>0</v>
      </c>
      <c r="K23" s="28">
        <f>[2]!Table32[[#This Row],[Residential Incentive Disbursements]]/'[2]1.) CLM Reference'!$B$5</f>
        <v>0</v>
      </c>
      <c r="L23" s="150">
        <v>73313.316168600737</v>
      </c>
      <c r="M23" s="203">
        <f>[2]!Table32[[#This Row],[CLM $ Collected ]]/'[2]1.) CLM Reference'!$B$4</f>
        <v>3.2532911462727666E-3</v>
      </c>
      <c r="N23" s="150">
        <v>53135</v>
      </c>
      <c r="O23" s="204">
        <f>[2]!Table3[[#This Row],[Incentive Disbursements]]/'[2]1.) CLM Reference'!$B$5</f>
        <v>5.3581904606566522E-3</v>
      </c>
      <c r="P23" t="str">
        <f>VLOOKUP(Table325[[#This Row],[Census Tract]],'UI EnergyBurden'!$A$2:$B$184,2,FALSE)</f>
        <v>Yes</v>
      </c>
      <c r="Q23">
        <f>VLOOKUP(Table325[[#This Row],[Census Tract]],'Population and Diversity Data'!B19:K840,10,FALSE)</f>
        <v>4</v>
      </c>
    </row>
    <row r="24" spans="1:17" x14ac:dyDescent="0.2">
      <c r="A24" s="148">
        <v>9001070400</v>
      </c>
      <c r="B24" s="148" t="s">
        <v>934</v>
      </c>
      <c r="C24" s="149" t="s">
        <v>3887</v>
      </c>
      <c r="D24" s="88">
        <f>[2]!Table32[[#This Row],[Residential CLM $ Collected]]+[2]!Table32[[#This Row],[C&amp;I CLM $ Collected]]</f>
        <v>26414.662075849716</v>
      </c>
      <c r="E24" s="28">
        <f>[2]!Table3[[#This Row],[CLM $ Collected ]]/'[2]1.) CLM Reference'!$B$4</f>
        <v>2.1320368460226169E-5</v>
      </c>
      <c r="F24" s="88">
        <f>[2]!Table32[[#This Row],[Residential Incentive Disbursements]]+[2]!Table32[[#This Row],[C&amp;I Incentive Disbursements]]</f>
        <v>75574</v>
      </c>
      <c r="G24" s="28">
        <f>[2]!Table3[[#This Row],[Incentive Disbursements]]/'[2]1.) CLM Reference'!$B$5</f>
        <v>0</v>
      </c>
      <c r="H24" s="88">
        <v>0</v>
      </c>
      <c r="I24" s="147">
        <f>[2]!Table32[[#This Row],[Residential CLM $ Collected]]/'[2]1.) CLM Reference'!$B$4</f>
        <v>0</v>
      </c>
      <c r="J24" s="150">
        <v>0</v>
      </c>
      <c r="K24" s="28">
        <f>[2]!Table32[[#This Row],[Residential Incentive Disbursements]]/'[2]1.) CLM Reference'!$B$5</f>
        <v>0</v>
      </c>
      <c r="L24" s="150">
        <v>26414.662075849716</v>
      </c>
      <c r="M24" s="203">
        <f>[2]!Table32[[#This Row],[CLM $ Collected ]]/'[2]1.) CLM Reference'!$B$4</f>
        <v>1.1721552202811651E-3</v>
      </c>
      <c r="N24" s="150">
        <v>75574</v>
      </c>
      <c r="O24" s="204">
        <f>[2]!Table3[[#This Row],[Incentive Disbursements]]/'[2]1.) CLM Reference'!$B$5</f>
        <v>0</v>
      </c>
      <c r="P24" t="str">
        <f>VLOOKUP(Table325[[#This Row],[Census Tract]],'UI EnergyBurden'!$A$2:$B$184,2,FALSE)</f>
        <v>Yes</v>
      </c>
      <c r="Q24">
        <f>VLOOKUP(Table325[[#This Row],[Census Tract]],'Population and Diversity Data'!B20:K841,10,FALSE)</f>
        <v>5</v>
      </c>
    </row>
    <row r="25" spans="1:17" x14ac:dyDescent="0.2">
      <c r="A25" s="148">
        <v>9001070500</v>
      </c>
      <c r="B25" s="148" t="s">
        <v>934</v>
      </c>
      <c r="C25" s="149" t="s">
        <v>3887</v>
      </c>
      <c r="D25" s="88">
        <f>[2]!Table32[[#This Row],[Residential CLM $ Collected]]+[2]!Table32[[#This Row],[C&amp;I CLM $ Collected]]</f>
        <v>14839.832664510734</v>
      </c>
      <c r="E25" s="28">
        <f>[2]!Table3[[#This Row],[CLM $ Collected ]]/'[2]1.) CLM Reference'!$B$4</f>
        <v>6.6937725463190887E-3</v>
      </c>
      <c r="F25" s="88">
        <f>[2]!Table32[[#This Row],[Residential Incentive Disbursements]]+[2]!Table32[[#This Row],[C&amp;I Incentive Disbursements]]</f>
        <v>0</v>
      </c>
      <c r="G25" s="28">
        <f>[2]!Table3[[#This Row],[Incentive Disbursements]]/'[2]1.) CLM Reference'!$B$5</f>
        <v>2.4501493233207734E-3</v>
      </c>
      <c r="H25" s="88">
        <v>0</v>
      </c>
      <c r="I25" s="147">
        <f>[2]!Table32[[#This Row],[Residential CLM $ Collected]]/'[2]1.) CLM Reference'!$B$4</f>
        <v>0</v>
      </c>
      <c r="J25" s="150">
        <v>0</v>
      </c>
      <c r="K25" s="28">
        <f>[2]!Table32[[#This Row],[Residential Incentive Disbursements]]/'[2]1.) CLM Reference'!$B$5</f>
        <v>0</v>
      </c>
      <c r="L25" s="150">
        <v>14839.832664510734</v>
      </c>
      <c r="M25" s="203">
        <f>[2]!Table32[[#This Row],[CLM $ Collected ]]/'[2]1.) CLM Reference'!$B$4</f>
        <v>6.5852015353657148E-4</v>
      </c>
      <c r="N25" s="150">
        <v>0</v>
      </c>
      <c r="O25" s="204">
        <f>[2]!Table3[[#This Row],[Incentive Disbursements]]/'[2]1.) CLM Reference'!$B$5</f>
        <v>2.4501493233207734E-3</v>
      </c>
      <c r="P25" t="str">
        <f>VLOOKUP(Table325[[#This Row],[Census Tract]],'UI EnergyBurden'!$A$2:$B$184,2,FALSE)</f>
        <v>Yes</v>
      </c>
      <c r="Q25">
        <f>VLOOKUP(Table325[[#This Row],[Census Tract]],'Population and Diversity Data'!B21:K842,10,FALSE)</f>
        <v>5</v>
      </c>
    </row>
    <row r="26" spans="1:17" x14ac:dyDescent="0.2">
      <c r="A26" s="148">
        <v>9001070600</v>
      </c>
      <c r="B26" s="148" t="s">
        <v>934</v>
      </c>
      <c r="C26" s="149" t="s">
        <v>3887</v>
      </c>
      <c r="D26" s="88">
        <f>[2]!Table32[[#This Row],[Residential CLM $ Collected]]+[2]!Table32[[#This Row],[C&amp;I CLM $ Collected]]</f>
        <v>224947.0070282704</v>
      </c>
      <c r="E26" s="28">
        <f>[2]!Table3[[#This Row],[CLM $ Collected ]]/'[2]1.) CLM Reference'!$B$4</f>
        <v>6.3707149820472217E-3</v>
      </c>
      <c r="F26" s="88">
        <f>[2]!Table32[[#This Row],[Residential Incentive Disbursements]]+[2]!Table32[[#This Row],[C&amp;I Incentive Disbursements]]</f>
        <v>55484</v>
      </c>
      <c r="G26" s="28">
        <f>[2]!Table3[[#This Row],[Incentive Disbursements]]/'[2]1.) CLM Reference'!$B$5</f>
        <v>1.2578223031814745E-3</v>
      </c>
      <c r="H26" s="88">
        <v>0</v>
      </c>
      <c r="I26" s="147">
        <f>[2]!Table32[[#This Row],[Residential CLM $ Collected]]/'[2]1.) CLM Reference'!$B$4</f>
        <v>0</v>
      </c>
      <c r="J26" s="150">
        <v>0</v>
      </c>
      <c r="K26" s="28">
        <f>[2]!Table32[[#This Row],[Residential Incentive Disbursements]]/'[2]1.) CLM Reference'!$B$5</f>
        <v>0</v>
      </c>
      <c r="L26" s="150">
        <v>224947.0070282704</v>
      </c>
      <c r="M26" s="203">
        <f>[2]!Table32[[#This Row],[CLM $ Collected ]]/'[2]1.) CLM Reference'!$B$4</f>
        <v>9.9820625309411295E-3</v>
      </c>
      <c r="N26" s="150">
        <v>55484</v>
      </c>
      <c r="O26" s="204">
        <f>[2]!Table3[[#This Row],[Incentive Disbursements]]/'[2]1.) CLM Reference'!$B$5</f>
        <v>1.2578223031814745E-3</v>
      </c>
      <c r="P26" t="str">
        <f>VLOOKUP(Table325[[#This Row],[Census Tract]],'UI EnergyBurden'!$A$2:$B$184,2,FALSE)</f>
        <v>No</v>
      </c>
      <c r="Q26">
        <f>VLOOKUP(Table325[[#This Row],[Census Tract]],'Population and Diversity Data'!B22:K843,10,FALSE)</f>
        <v>4</v>
      </c>
    </row>
    <row r="27" spans="1:17" x14ac:dyDescent="0.2">
      <c r="A27" s="148">
        <v>9001070900</v>
      </c>
      <c r="B27" s="148" t="s">
        <v>934</v>
      </c>
      <c r="C27" s="149" t="s">
        <v>3887</v>
      </c>
      <c r="D27" s="88">
        <f>[2]!Table32[[#This Row],[Residential CLM $ Collected]]+[2]!Table32[[#This Row],[C&amp;I CLM $ Collected]]</f>
        <v>8142.8872740368433</v>
      </c>
      <c r="E27" s="28">
        <f>[2]!Table3[[#This Row],[CLM $ Collected ]]/'[2]1.) CLM Reference'!$B$4</f>
        <v>4.4359729783785854E-3</v>
      </c>
      <c r="F27" s="88">
        <f>[2]!Table32[[#This Row],[Residential Incentive Disbursements]]+[2]!Table32[[#This Row],[C&amp;I Incentive Disbursements]]</f>
        <v>252907</v>
      </c>
      <c r="G27" s="28">
        <f>[2]!Table3[[#This Row],[Incentive Disbursements]]/'[2]1.) CLM Reference'!$B$5</f>
        <v>3.730288610941926E-3</v>
      </c>
      <c r="H27" s="88">
        <v>0</v>
      </c>
      <c r="I27" s="147">
        <f>[2]!Table32[[#This Row],[Residential CLM $ Collected]]/'[2]1.) CLM Reference'!$B$4</f>
        <v>0</v>
      </c>
      <c r="J27" s="150">
        <v>0</v>
      </c>
      <c r="K27" s="28">
        <f>[2]!Table32[[#This Row],[Residential Incentive Disbursements]]/'[2]1.) CLM Reference'!$B$5</f>
        <v>0</v>
      </c>
      <c r="L27" s="150">
        <v>8142.8872740368433</v>
      </c>
      <c r="M27" s="203">
        <f>[2]!Table32[[#This Row],[CLM $ Collected ]]/'[2]1.) CLM Reference'!$B$4</f>
        <v>3.613420379566341E-4</v>
      </c>
      <c r="N27" s="150">
        <v>252907</v>
      </c>
      <c r="O27" s="204">
        <f>[2]!Table3[[#This Row],[Incentive Disbursements]]/'[2]1.) CLM Reference'!$B$5</f>
        <v>3.730288610941926E-3</v>
      </c>
      <c r="P27" t="str">
        <f>VLOOKUP(Table325[[#This Row],[Census Tract]],'UI EnergyBurden'!$A$2:$B$184,2,FALSE)</f>
        <v>Yes</v>
      </c>
      <c r="Q27">
        <f>VLOOKUP(Table325[[#This Row],[Census Tract]],'Population and Diversity Data'!B23:K844,10,FALSE)</f>
        <v>5</v>
      </c>
    </row>
    <row r="28" spans="1:17" x14ac:dyDescent="0.2">
      <c r="A28" s="148">
        <v>9001071000</v>
      </c>
      <c r="B28" s="148" t="s">
        <v>934</v>
      </c>
      <c r="C28" s="149" t="s">
        <v>3887</v>
      </c>
      <c r="D28" s="88">
        <f>[2]!Table32[[#This Row],[Residential CLM $ Collected]]+[2]!Table32[[#This Row],[C&amp;I CLM $ Collected]]</f>
        <v>17254.537143370144</v>
      </c>
      <c r="E28" s="28">
        <f>[2]!Table3[[#This Row],[CLM $ Collected ]]/'[2]1.) CLM Reference'!$B$4</f>
        <v>2.4153615364462385E-3</v>
      </c>
      <c r="F28" s="88">
        <f>[2]!Table32[[#This Row],[Residential Incentive Disbursements]]+[2]!Table32[[#This Row],[C&amp;I Incentive Disbursements]]</f>
        <v>205978</v>
      </c>
      <c r="G28" s="28">
        <f>[2]!Table3[[#This Row],[Incentive Disbursements]]/'[2]1.) CLM Reference'!$B$5</f>
        <v>8.2778735641579821E-4</v>
      </c>
      <c r="H28" s="88">
        <v>0</v>
      </c>
      <c r="I28" s="147">
        <f>[2]!Table32[[#This Row],[Residential CLM $ Collected]]/'[2]1.) CLM Reference'!$B$4</f>
        <v>0</v>
      </c>
      <c r="J28" s="150">
        <v>0</v>
      </c>
      <c r="K28" s="28">
        <f>[2]!Table32[[#This Row],[Residential Incentive Disbursements]]/'[2]1.) CLM Reference'!$B$5</f>
        <v>0</v>
      </c>
      <c r="L28" s="150">
        <v>17254.537143370144</v>
      </c>
      <c r="M28" s="203">
        <f>[2]!Table32[[#This Row],[CLM $ Collected ]]/'[2]1.) CLM Reference'!$B$4</f>
        <v>7.6567308444304492E-4</v>
      </c>
      <c r="N28" s="150">
        <v>205978</v>
      </c>
      <c r="O28" s="204">
        <f>[2]!Table3[[#This Row],[Incentive Disbursements]]/'[2]1.) CLM Reference'!$B$5</f>
        <v>8.2778735641579821E-4</v>
      </c>
      <c r="P28" t="str">
        <f>VLOOKUP(Table325[[#This Row],[Census Tract]],'UI EnergyBurden'!$A$2:$B$184,2,FALSE)</f>
        <v>Yes</v>
      </c>
      <c r="Q28">
        <f>VLOOKUP(Table325[[#This Row],[Census Tract]],'Population and Diversity Data'!B24:K845,10,FALSE)</f>
        <v>5</v>
      </c>
    </row>
    <row r="29" spans="1:17" x14ac:dyDescent="0.2">
      <c r="A29" s="148">
        <v>9001071100</v>
      </c>
      <c r="B29" s="148" t="s">
        <v>934</v>
      </c>
      <c r="C29" s="149" t="s">
        <v>3886</v>
      </c>
      <c r="D29" s="88">
        <f>[2]!Table32[[#This Row],[Residential CLM $ Collected]]+[2]!Table32[[#This Row],[C&amp;I CLM $ Collected]]</f>
        <v>4064.5186279975264</v>
      </c>
      <c r="E29" s="28">
        <f>[2]!Table3[[#This Row],[CLM $ Collected ]]/'[2]1.) CLM Reference'!$B$4</f>
        <v>1.6661172432776367E-3</v>
      </c>
      <c r="F29" s="88">
        <f>[2]!Table32[[#This Row],[Residential Incentive Disbursements]]+[2]!Table32[[#This Row],[C&amp;I Incentive Disbursements]]</f>
        <v>2540</v>
      </c>
      <c r="G29" s="28">
        <f>[2]!Table3[[#This Row],[Incentive Disbursements]]/'[2]1.) CLM Reference'!$B$5</f>
        <v>1.0265263299708558E-3</v>
      </c>
      <c r="H29" s="88">
        <v>0</v>
      </c>
      <c r="I29" s="147">
        <f>[2]!Table32[[#This Row],[Residential CLM $ Collected]]/'[2]1.) CLM Reference'!$B$4</f>
        <v>0</v>
      </c>
      <c r="J29" s="150">
        <v>0</v>
      </c>
      <c r="K29" s="28">
        <f>[2]!Table32[[#This Row],[Residential Incentive Disbursements]]/'[2]1.) CLM Reference'!$B$5</f>
        <v>0</v>
      </c>
      <c r="L29" s="150">
        <v>4064.5186279975264</v>
      </c>
      <c r="M29" s="203">
        <f>[2]!Table32[[#This Row],[CLM $ Collected ]]/'[2]1.) CLM Reference'!$B$4</f>
        <v>1.8036372049950146E-4</v>
      </c>
      <c r="N29" s="150">
        <v>2540</v>
      </c>
      <c r="O29" s="204">
        <f>[2]!Table3[[#This Row],[Incentive Disbursements]]/'[2]1.) CLM Reference'!$B$5</f>
        <v>1.0265263299708558E-3</v>
      </c>
      <c r="P29" t="str">
        <f>VLOOKUP(Table325[[#This Row],[Census Tract]],'UI EnergyBurden'!$A$2:$B$184,2,FALSE)</f>
        <v>Yes</v>
      </c>
      <c r="Q29">
        <f>VLOOKUP(Table325[[#This Row],[Census Tract]],'Population and Diversity Data'!B25:K846,10,FALSE)</f>
        <v>5</v>
      </c>
    </row>
    <row r="30" spans="1:17" x14ac:dyDescent="0.2">
      <c r="A30" s="148">
        <v>9001071200</v>
      </c>
      <c r="B30" s="148" t="s">
        <v>934</v>
      </c>
      <c r="C30" s="149" t="s">
        <v>3887</v>
      </c>
      <c r="D30" s="88">
        <f>[2]!Table32[[#This Row],[Residential CLM $ Collected]]+[2]!Table32[[#This Row],[C&amp;I CLM $ Collected]]</f>
        <v>19852.061860381196</v>
      </c>
      <c r="E30" s="28">
        <f>[2]!Table3[[#This Row],[CLM $ Collected ]]/'[2]1.) CLM Reference'!$B$4</f>
        <v>1.114149764285586E-3</v>
      </c>
      <c r="F30" s="88">
        <f>[2]!Table32[[#This Row],[Residential Incentive Disbursements]]+[2]!Table32[[#This Row],[C&amp;I Incentive Disbursements]]</f>
        <v>700</v>
      </c>
      <c r="G30" s="28">
        <f>[2]!Table3[[#This Row],[Incentive Disbursements]]/'[2]1.) CLM Reference'!$B$5</f>
        <v>4.0782817956647275E-4</v>
      </c>
      <c r="H30" s="88">
        <v>1120.9281268489317</v>
      </c>
      <c r="I30" s="147">
        <f>[2]!Table32[[#This Row],[Residential CLM $ Collected]]/'[2]1.) CLM Reference'!$B$4</f>
        <v>4.9741380437618078E-5</v>
      </c>
      <c r="J30" s="150">
        <v>0</v>
      </c>
      <c r="K30" s="28">
        <f>[2]!Table32[[#This Row],[Residential Incentive Disbursements]]/'[2]1.) CLM Reference'!$B$5</f>
        <v>0</v>
      </c>
      <c r="L30" s="150">
        <v>18731.133733532264</v>
      </c>
      <c r="M30" s="203">
        <f>[2]!Table32[[#This Row],[CLM $ Collected ]]/'[2]1.) CLM Reference'!$B$4</f>
        <v>8.8093869519025026E-4</v>
      </c>
      <c r="N30" s="150">
        <v>700</v>
      </c>
      <c r="O30" s="204">
        <f>[2]!Table3[[#This Row],[Incentive Disbursements]]/'[2]1.) CLM Reference'!$B$5</f>
        <v>4.0782817956647275E-4</v>
      </c>
      <c r="P30" t="str">
        <f>VLOOKUP(Table325[[#This Row],[Census Tract]],'UI EnergyBurden'!$A$2:$B$184,2,FALSE)</f>
        <v>Yes</v>
      </c>
      <c r="Q30">
        <f>VLOOKUP(Table325[[#This Row],[Census Tract]],'Population and Diversity Data'!B26:K847,10,FALSE)</f>
        <v>5</v>
      </c>
    </row>
    <row r="31" spans="1:17" x14ac:dyDescent="0.2">
      <c r="A31" s="148">
        <v>9001071300</v>
      </c>
      <c r="B31" s="148" t="s">
        <v>934</v>
      </c>
      <c r="C31" s="149" t="s">
        <v>3887</v>
      </c>
      <c r="D31" s="88">
        <f>[2]!Table32[[#This Row],[Residential CLM $ Collected]]+[2]!Table32[[#This Row],[C&amp;I CLM $ Collected]]</f>
        <v>25224.022191523771</v>
      </c>
      <c r="E31" s="28">
        <f>[2]!Table3[[#This Row],[CLM $ Collected ]]/'[2]1.) CLM Reference'!$B$4</f>
        <v>5.2896311486791555E-7</v>
      </c>
      <c r="F31" s="88">
        <f>[2]!Table32[[#This Row],[Residential Incentive Disbursements]]+[2]!Table32[[#This Row],[C&amp;I Incentive Disbursements]]</f>
        <v>0</v>
      </c>
      <c r="G31" s="28">
        <f>[2]!Table3[[#This Row],[Incentive Disbursements]]/'[2]1.) CLM Reference'!$B$5</f>
        <v>0</v>
      </c>
      <c r="H31" s="88">
        <v>0</v>
      </c>
      <c r="I31" s="147">
        <f>[2]!Table32[[#This Row],[Residential CLM $ Collected]]/'[2]1.) CLM Reference'!$B$4</f>
        <v>0</v>
      </c>
      <c r="J31" s="150">
        <v>0</v>
      </c>
      <c r="K31" s="28">
        <f>[2]!Table32[[#This Row],[Residential Incentive Disbursements]]/'[2]1.) CLM Reference'!$B$5</f>
        <v>0</v>
      </c>
      <c r="L31" s="150">
        <v>25224.022191523771</v>
      </c>
      <c r="M31" s="203">
        <f>[2]!Table32[[#This Row],[CLM $ Collected ]]/'[2]1.) CLM Reference'!$B$4</f>
        <v>1.1193203684901367E-3</v>
      </c>
      <c r="N31" s="150">
        <v>0</v>
      </c>
      <c r="O31" s="204">
        <f>[2]!Table3[[#This Row],[Incentive Disbursements]]/'[2]1.) CLM Reference'!$B$5</f>
        <v>0</v>
      </c>
      <c r="P31" t="str">
        <f>VLOOKUP(Table325[[#This Row],[Census Tract]],'UI EnergyBurden'!$A$2:$B$184,2,FALSE)</f>
        <v>Yes</v>
      </c>
      <c r="Q31">
        <f>VLOOKUP(Table325[[#This Row],[Census Tract]],'Population and Diversity Data'!B27:K848,10,FALSE)</f>
        <v>5</v>
      </c>
    </row>
    <row r="32" spans="1:17" x14ac:dyDescent="0.2">
      <c r="A32" s="148">
        <v>9001071400</v>
      </c>
      <c r="B32" s="148" t="s">
        <v>934</v>
      </c>
      <c r="C32" s="149" t="s">
        <v>3886</v>
      </c>
      <c r="D32" s="88">
        <f>[2]!Table32[[#This Row],[Residential CLM $ Collected]]+[2]!Table32[[#This Row],[C&amp;I CLM $ Collected]]</f>
        <v>12393.827144876874</v>
      </c>
      <c r="E32" s="28">
        <f>[2]!Table3[[#This Row],[CLM $ Collected ]]/'[2]1.) CLM Reference'!$B$4</f>
        <v>9.5459916489061168E-4</v>
      </c>
      <c r="F32" s="88">
        <f>[2]!Table32[[#This Row],[Residential Incentive Disbursements]]+[2]!Table32[[#This Row],[C&amp;I Incentive Disbursements]]</f>
        <v>0</v>
      </c>
      <c r="G32" s="28">
        <f>[2]!Table3[[#This Row],[Incentive Disbursements]]/'[2]1.) CLM Reference'!$B$5</f>
        <v>5.4331758494550076E-4</v>
      </c>
      <c r="H32" s="88">
        <v>0</v>
      </c>
      <c r="I32" s="147">
        <f>[2]!Table32[[#This Row],[Residential CLM $ Collected]]/'[2]1.) CLM Reference'!$B$4</f>
        <v>0</v>
      </c>
      <c r="J32" s="150">
        <v>0</v>
      </c>
      <c r="K32" s="28">
        <f>[2]!Table32[[#This Row],[Residential Incentive Disbursements]]/'[2]1.) CLM Reference'!$B$5</f>
        <v>0</v>
      </c>
      <c r="L32" s="150">
        <v>12393.827144876874</v>
      </c>
      <c r="M32" s="203">
        <f>[2]!Table32[[#This Row],[CLM $ Collected ]]/'[2]1.) CLM Reference'!$B$4</f>
        <v>5.4997823350585149E-4</v>
      </c>
      <c r="N32" s="150">
        <v>0</v>
      </c>
      <c r="O32" s="204">
        <f>[2]!Table3[[#This Row],[Incentive Disbursements]]/'[2]1.) CLM Reference'!$B$5</f>
        <v>5.4331758494550076E-4</v>
      </c>
      <c r="P32" t="str">
        <f>VLOOKUP(Table325[[#This Row],[Census Tract]],'UI EnergyBurden'!$A$2:$B$184,2,FALSE)</f>
        <v>Yes</v>
      </c>
      <c r="Q32">
        <f>VLOOKUP(Table325[[#This Row],[Census Tract]],'Population and Diversity Data'!B28:K849,10,FALSE)</f>
        <v>5</v>
      </c>
    </row>
    <row r="33" spans="1:17" x14ac:dyDescent="0.2">
      <c r="A33" s="148">
        <v>9001071900</v>
      </c>
      <c r="B33" s="148" t="s">
        <v>934</v>
      </c>
      <c r="C33" s="149" t="s">
        <v>3887</v>
      </c>
      <c r="D33" s="88">
        <f>[2]!Table32[[#This Row],[Residential CLM $ Collected]]+[2]!Table32[[#This Row],[C&amp;I CLM $ Collected]]</f>
        <v>17265.063157081906</v>
      </c>
      <c r="E33" s="28">
        <f>[2]!Table3[[#This Row],[CLM $ Collected ]]/'[2]1.) CLM Reference'!$B$4</f>
        <v>4.923890440296755E-3</v>
      </c>
      <c r="F33" s="88">
        <f>[2]!Table32[[#This Row],[Residential Incentive Disbursements]]+[2]!Table32[[#This Row],[C&amp;I Incentive Disbursements]]</f>
        <v>156616</v>
      </c>
      <c r="G33" s="28">
        <f>[2]!Table3[[#This Row],[Incentive Disbursements]]/'[2]1.) CLM Reference'!$B$5</f>
        <v>5.581777092937586E-3</v>
      </c>
      <c r="H33" s="88">
        <v>0</v>
      </c>
      <c r="I33" s="147">
        <f>[2]!Table32[[#This Row],[Residential CLM $ Collected]]/'[2]1.) CLM Reference'!$B$4</f>
        <v>0</v>
      </c>
      <c r="J33" s="150">
        <v>0</v>
      </c>
      <c r="K33" s="28">
        <f>[2]!Table32[[#This Row],[Residential Incentive Disbursements]]/'[2]1.) CLM Reference'!$B$5</f>
        <v>0</v>
      </c>
      <c r="L33" s="150">
        <v>17265.063157081906</v>
      </c>
      <c r="M33" s="203">
        <f>[2]!Table32[[#This Row],[CLM $ Collected ]]/'[2]1.) CLM Reference'!$B$4</f>
        <v>7.6614017813084461E-4</v>
      </c>
      <c r="N33" s="150">
        <v>156616</v>
      </c>
      <c r="O33" s="204">
        <f>[2]!Table3[[#This Row],[Incentive Disbursements]]/'[2]1.) CLM Reference'!$B$5</f>
        <v>5.581777092937586E-3</v>
      </c>
      <c r="P33" t="str">
        <f>VLOOKUP(Table325[[#This Row],[Census Tract]],'UI EnergyBurden'!$A$2:$B$184,2,FALSE)</f>
        <v>Yes</v>
      </c>
      <c r="Q33">
        <f>VLOOKUP(Table325[[#This Row],[Census Tract]],'Population and Diversity Data'!B29:K850,10,FALSE)</f>
        <v>5</v>
      </c>
    </row>
    <row r="34" spans="1:17" x14ac:dyDescent="0.2">
      <c r="A34" s="148">
        <v>9001072000</v>
      </c>
      <c r="B34" s="148" t="s">
        <v>934</v>
      </c>
      <c r="C34" s="149" t="s">
        <v>3887</v>
      </c>
      <c r="D34" s="88">
        <f>[2]!Table32[[#This Row],[Residential CLM $ Collected]]+[2]!Table32[[#This Row],[C&amp;I CLM $ Collected]]</f>
        <v>12996.11826278755</v>
      </c>
      <c r="E34" s="28">
        <f>[2]!Table3[[#This Row],[CLM $ Collected ]]/'[2]1.) CLM Reference'!$B$4</f>
        <v>1.4512910227072293E-3</v>
      </c>
      <c r="F34" s="88">
        <f>[2]!Table32[[#This Row],[Residential Incentive Disbursements]]+[2]!Table32[[#This Row],[C&amp;I Incentive Disbursements]]</f>
        <v>0</v>
      </c>
      <c r="G34" s="28">
        <f>[2]!Table3[[#This Row],[Incentive Disbursements]]/'[2]1.) CLM Reference'!$B$5</f>
        <v>4.9573708009109619E-4</v>
      </c>
      <c r="H34" s="88">
        <v>0</v>
      </c>
      <c r="I34" s="147">
        <f>[2]!Table32[[#This Row],[Residential CLM $ Collected]]/'[2]1.) CLM Reference'!$B$4</f>
        <v>0</v>
      </c>
      <c r="J34" s="150">
        <v>0</v>
      </c>
      <c r="K34" s="28">
        <f>[2]!Table32[[#This Row],[Residential Incentive Disbursements]]/'[2]1.) CLM Reference'!$B$5</f>
        <v>0</v>
      </c>
      <c r="L34" s="150">
        <v>12996.11826278755</v>
      </c>
      <c r="M34" s="203">
        <f>[2]!Table32[[#This Row],[CLM $ Collected ]]/'[2]1.) CLM Reference'!$B$4</f>
        <v>5.7670500653670678E-4</v>
      </c>
      <c r="N34" s="150">
        <v>0</v>
      </c>
      <c r="O34" s="204">
        <f>[2]!Table3[[#This Row],[Incentive Disbursements]]/'[2]1.) CLM Reference'!$B$5</f>
        <v>4.9573708009109619E-4</v>
      </c>
      <c r="P34" t="str">
        <f>VLOOKUP(Table325[[#This Row],[Census Tract]],'UI EnergyBurden'!$A$2:$B$184,2,FALSE)</f>
        <v>No</v>
      </c>
      <c r="Q34">
        <f>VLOOKUP(Table325[[#This Row],[Census Tract]],'Population and Diversity Data'!B30:K851,10,FALSE)</f>
        <v>5</v>
      </c>
    </row>
    <row r="35" spans="1:17" x14ac:dyDescent="0.2">
      <c r="A35" s="148">
        <v>9001072100</v>
      </c>
      <c r="B35" s="148" t="s">
        <v>934</v>
      </c>
      <c r="C35" s="149" t="s">
        <v>3886</v>
      </c>
      <c r="D35" s="88">
        <f>[2]!Table32[[#This Row],[Residential CLM $ Collected]]+[2]!Table32[[#This Row],[C&amp;I CLM $ Collected]]</f>
        <v>64220.225323443425</v>
      </c>
      <c r="E35" s="28">
        <f>[2]!Table3[[#This Row],[CLM $ Collected ]]/'[2]1.) CLM Reference'!$B$4</f>
        <v>2.2595011820505414E-3</v>
      </c>
      <c r="F35" s="88">
        <f>[2]!Table32[[#This Row],[Residential Incentive Disbursements]]+[2]!Table32[[#This Row],[C&amp;I Incentive Disbursements]]</f>
        <v>22531</v>
      </c>
      <c r="G35" s="28">
        <f>[2]!Table3[[#This Row],[Incentive Disbursements]]/'[2]1.) CLM Reference'!$B$5</f>
        <v>1.8655820871152024E-3</v>
      </c>
      <c r="H35" s="88">
        <v>3090.2160254843529</v>
      </c>
      <c r="I35" s="147">
        <f>[2]!Table32[[#This Row],[Residential CLM $ Collected]]/'[2]1.) CLM Reference'!$B$4</f>
        <v>1.3712887318667231E-4</v>
      </c>
      <c r="J35" s="150">
        <v>0</v>
      </c>
      <c r="K35" s="28">
        <f>[2]!Table32[[#This Row],[Residential Incentive Disbursements]]/'[2]1.) CLM Reference'!$B$5</f>
        <v>0</v>
      </c>
      <c r="L35" s="150">
        <v>61130.00929795907</v>
      </c>
      <c r="M35" s="203">
        <f>[2]!Table32[[#This Row],[CLM $ Collected ]]/'[2]1.) CLM Reference'!$B$4</f>
        <v>2.8497836597095811E-3</v>
      </c>
      <c r="N35" s="150">
        <v>22531</v>
      </c>
      <c r="O35" s="204">
        <f>[2]!Table3[[#This Row],[Incentive Disbursements]]/'[2]1.) CLM Reference'!$B$5</f>
        <v>1.8655820871152024E-3</v>
      </c>
      <c r="P35" t="str">
        <f>VLOOKUP(Table325[[#This Row],[Census Tract]],'UI EnergyBurden'!$A$2:$B$184,2,FALSE)</f>
        <v>No</v>
      </c>
      <c r="Q35">
        <f>VLOOKUP(Table325[[#This Row],[Census Tract]],'Population and Diversity Data'!B31:K852,10,FALSE)</f>
        <v>5</v>
      </c>
    </row>
    <row r="36" spans="1:17" x14ac:dyDescent="0.2">
      <c r="A36" s="148">
        <v>9001072200</v>
      </c>
      <c r="B36" s="148" t="s">
        <v>934</v>
      </c>
      <c r="C36" s="149" t="s">
        <v>3887</v>
      </c>
      <c r="D36" s="88">
        <f>[2]!Table32[[#This Row],[Residential CLM $ Collected]]+[2]!Table32[[#This Row],[C&amp;I CLM $ Collected]]</f>
        <v>5787.2762054890727</v>
      </c>
      <c r="E36" s="28">
        <f>[2]!Table3[[#This Row],[CLM $ Collected ]]/'[2]1.) CLM Reference'!$B$4</f>
        <v>2.3780632860128229E-3</v>
      </c>
      <c r="F36" s="88">
        <f>[2]!Table32[[#This Row],[Residential Incentive Disbursements]]+[2]!Table32[[#This Row],[C&amp;I Incentive Disbursements]]</f>
        <v>0</v>
      </c>
      <c r="G36" s="28">
        <f>[2]!Table3[[#This Row],[Incentive Disbursements]]/'[2]1.) CLM Reference'!$B$5</f>
        <v>6.0861929317037201E-3</v>
      </c>
      <c r="H36" s="88">
        <v>0</v>
      </c>
      <c r="I36" s="147">
        <f>[2]!Table32[[#This Row],[Residential CLM $ Collected]]/'[2]1.) CLM Reference'!$B$4</f>
        <v>0</v>
      </c>
      <c r="J36" s="150">
        <v>0</v>
      </c>
      <c r="K36" s="28">
        <f>[2]!Table32[[#This Row],[Residential Incentive Disbursements]]/'[2]1.) CLM Reference'!$B$5</f>
        <v>0</v>
      </c>
      <c r="L36" s="150">
        <v>5787.2762054890727</v>
      </c>
      <c r="M36" s="203">
        <f>[2]!Table32[[#This Row],[CLM $ Collected ]]/'[2]1.) CLM Reference'!$B$4</f>
        <v>2.5681138740272044E-4</v>
      </c>
      <c r="N36" s="150">
        <v>0</v>
      </c>
      <c r="O36" s="204">
        <f>[2]!Table3[[#This Row],[Incentive Disbursements]]/'[2]1.) CLM Reference'!$B$5</f>
        <v>6.0861929317037201E-3</v>
      </c>
      <c r="P36" t="str">
        <f>VLOOKUP(Table325[[#This Row],[Census Tract]],'UI EnergyBurden'!$A$2:$B$184,2,FALSE)</f>
        <v>No</v>
      </c>
      <c r="Q36">
        <f>VLOOKUP(Table325[[#This Row],[Census Tract]],'Population and Diversity Data'!B32:K853,10,FALSE)</f>
        <v>4</v>
      </c>
    </row>
    <row r="37" spans="1:17" x14ac:dyDescent="0.2">
      <c r="A37" s="148">
        <v>9001072300</v>
      </c>
      <c r="B37" s="148" t="s">
        <v>934</v>
      </c>
      <c r="C37" s="149" t="s">
        <v>3886</v>
      </c>
      <c r="D37" s="88">
        <f>[2]!Table32[[#This Row],[Residential CLM $ Collected]]+[2]!Table32[[#This Row],[C&amp;I CLM $ Collected]]</f>
        <v>6100.9329474088272</v>
      </c>
      <c r="E37" s="28">
        <f>[2]!Table3[[#This Row],[CLM $ Collected ]]/'[2]1.) CLM Reference'!$B$4</f>
        <v>2.4106910092995463E-3</v>
      </c>
      <c r="F37" s="88">
        <f>[2]!Table32[[#This Row],[Residential Incentive Disbursements]]+[2]!Table32[[#This Row],[C&amp;I Incentive Disbursements]]</f>
        <v>227809</v>
      </c>
      <c r="G37" s="28">
        <f>[2]!Table3[[#This Row],[Incentive Disbursements]]/'[2]1.) CLM Reference'!$B$5</f>
        <v>1.3322522835327321E-3</v>
      </c>
      <c r="H37" s="88">
        <v>0</v>
      </c>
      <c r="I37" s="147">
        <f>[2]!Table32[[#This Row],[Residential CLM $ Collected]]/'[2]1.) CLM Reference'!$B$4</f>
        <v>0</v>
      </c>
      <c r="J37" s="150">
        <v>0</v>
      </c>
      <c r="K37" s="28">
        <f>[2]!Table32[[#This Row],[Residential Incentive Disbursements]]/'[2]1.) CLM Reference'!$B$5</f>
        <v>0</v>
      </c>
      <c r="L37" s="150">
        <v>6100.9329474088272</v>
      </c>
      <c r="M37" s="203">
        <f>[2]!Table32[[#This Row],[CLM $ Collected ]]/'[2]1.) CLM Reference'!$B$4</f>
        <v>2.7072995983654156E-4</v>
      </c>
      <c r="N37" s="150">
        <v>227809</v>
      </c>
      <c r="O37" s="204">
        <f>[2]!Table3[[#This Row],[Incentive Disbursements]]/'[2]1.) CLM Reference'!$B$5</f>
        <v>1.3322522835327321E-3</v>
      </c>
      <c r="P37" t="str">
        <f>VLOOKUP(Table325[[#This Row],[Census Tract]],'UI EnergyBurden'!$A$2:$B$184,2,FALSE)</f>
        <v>No</v>
      </c>
      <c r="Q37">
        <f>VLOOKUP(Table325[[#This Row],[Census Tract]],'Population and Diversity Data'!B33:K854,10,FALSE)</f>
        <v>5</v>
      </c>
    </row>
    <row r="38" spans="1:17" x14ac:dyDescent="0.2">
      <c r="A38" s="148">
        <v>9001072400</v>
      </c>
      <c r="B38" s="148" t="s">
        <v>934</v>
      </c>
      <c r="C38" s="149" t="s">
        <v>3886</v>
      </c>
      <c r="D38" s="88">
        <f>[2]!Table32[[#This Row],[Residential CLM $ Collected]]+[2]!Table32[[#This Row],[C&amp;I CLM $ Collected]]</f>
        <v>3993.2372018091105</v>
      </c>
      <c r="E38" s="28">
        <f>[2]!Table3[[#This Row],[CLM $ Collected ]]/'[2]1.) CLM Reference'!$B$4</f>
        <v>1.8814029775066983E-3</v>
      </c>
      <c r="F38" s="88">
        <f>[2]!Table32[[#This Row],[Residential Incentive Disbursements]]+[2]!Table32[[#This Row],[C&amp;I Incentive Disbursements]]</f>
        <v>0</v>
      </c>
      <c r="G38" s="28">
        <f>[2]!Table3[[#This Row],[Incentive Disbursements]]/'[2]1.) CLM Reference'!$B$5</f>
        <v>6.2610635436947679E-3</v>
      </c>
      <c r="H38" s="88">
        <v>0</v>
      </c>
      <c r="I38" s="147">
        <f>[2]!Table32[[#This Row],[Residential CLM $ Collected]]/'[2]1.) CLM Reference'!$B$4</f>
        <v>0</v>
      </c>
      <c r="J38" s="150">
        <v>0</v>
      </c>
      <c r="K38" s="28">
        <f>[2]!Table32[[#This Row],[Residential Incentive Disbursements]]/'[2]1.) CLM Reference'!$B$5</f>
        <v>0</v>
      </c>
      <c r="L38" s="150">
        <v>3993.2372018091105</v>
      </c>
      <c r="M38" s="203">
        <f>[2]!Table32[[#This Row],[CLM $ Collected ]]/'[2]1.) CLM Reference'!$B$4</f>
        <v>1.7720059482422628E-4</v>
      </c>
      <c r="N38" s="150">
        <v>0</v>
      </c>
      <c r="O38" s="204">
        <f>[2]!Table3[[#This Row],[Incentive Disbursements]]/'[2]1.) CLM Reference'!$B$5</f>
        <v>6.2610635436947679E-3</v>
      </c>
      <c r="P38" t="str">
        <f>VLOOKUP(Table325[[#This Row],[Census Tract]],'UI EnergyBurden'!$A$2:$B$184,2,FALSE)</f>
        <v>No</v>
      </c>
      <c r="Q38">
        <f>VLOOKUP(Table325[[#This Row],[Census Tract]],'Population and Diversity Data'!B34:K855,10,FALSE)</f>
        <v>5</v>
      </c>
    </row>
    <row r="39" spans="1:17" x14ac:dyDescent="0.2">
      <c r="A39" s="148">
        <v>9001072500</v>
      </c>
      <c r="B39" s="148" t="s">
        <v>934</v>
      </c>
      <c r="C39" s="149" t="s">
        <v>3886</v>
      </c>
      <c r="D39" s="88">
        <f>[2]!Table32[[#This Row],[Residential CLM $ Collected]]+[2]!Table32[[#This Row],[C&amp;I CLM $ Collected]]</f>
        <v>2421.1678206122474</v>
      </c>
      <c r="E39" s="28">
        <f>[2]!Table3[[#This Row],[CLM $ Collected ]]/'[2]1.) CLM Reference'!$B$4</f>
        <v>2.4680898580979487E-3</v>
      </c>
      <c r="F39" s="88">
        <f>[2]!Table32[[#This Row],[Residential Incentive Disbursements]]+[2]!Table32[[#This Row],[C&amp;I Incentive Disbursements]]</f>
        <v>130</v>
      </c>
      <c r="G39" s="28">
        <f>[2]!Table3[[#This Row],[Incentive Disbursements]]/'[2]1.) CLM Reference'!$B$5</f>
        <v>9.7231920649025472E-4</v>
      </c>
      <c r="H39" s="88">
        <v>0</v>
      </c>
      <c r="I39" s="147">
        <f>[2]!Table32[[#This Row],[Residential CLM $ Collected]]/'[2]1.) CLM Reference'!$B$4</f>
        <v>0</v>
      </c>
      <c r="J39" s="150">
        <v>0</v>
      </c>
      <c r="K39" s="28">
        <f>[2]!Table32[[#This Row],[Residential Incentive Disbursements]]/'[2]1.) CLM Reference'!$B$5</f>
        <v>0</v>
      </c>
      <c r="L39" s="150">
        <v>2421.1678206122474</v>
      </c>
      <c r="M39" s="203">
        <f>[2]!Table32[[#This Row],[CLM $ Collected ]]/'[2]1.) CLM Reference'!$B$4</f>
        <v>1.0743974282003469E-4</v>
      </c>
      <c r="N39" s="150">
        <v>130</v>
      </c>
      <c r="O39" s="204">
        <f>[2]!Table3[[#This Row],[Incentive Disbursements]]/'[2]1.) CLM Reference'!$B$5</f>
        <v>9.7231920649025472E-4</v>
      </c>
      <c r="P39" t="str">
        <f>VLOOKUP(Table325[[#This Row],[Census Tract]],'UI EnergyBurden'!$A$2:$B$184,2,FALSE)</f>
        <v>No</v>
      </c>
      <c r="Q39">
        <f>VLOOKUP(Table325[[#This Row],[Census Tract]],'Population and Diversity Data'!B35:K856,10,FALSE)</f>
        <v>4</v>
      </c>
    </row>
    <row r="40" spans="1:17" x14ac:dyDescent="0.2">
      <c r="A40" s="148">
        <v>9001072600</v>
      </c>
      <c r="B40" s="148" t="s">
        <v>2990</v>
      </c>
      <c r="C40" s="149" t="s">
        <v>3886</v>
      </c>
      <c r="D40" s="88">
        <f>[2]!Table32[[#This Row],[Residential CLM $ Collected]]+[2]!Table32[[#This Row],[C&amp;I CLM $ Collected]]</f>
        <v>0</v>
      </c>
      <c r="E40" s="28">
        <f>[2]!Table3[[#This Row],[CLM $ Collected ]]/'[2]1.) CLM Reference'!$B$4</f>
        <v>1.1024781583288622E-3</v>
      </c>
      <c r="F40" s="88">
        <f>[2]!Table32[[#This Row],[Residential Incentive Disbursements]]+[2]!Table32[[#This Row],[C&amp;I Incentive Disbursements]]</f>
        <v>106552</v>
      </c>
      <c r="G40" s="28">
        <f>[2]!Table3[[#This Row],[Incentive Disbursements]]/'[2]1.) CLM Reference'!$B$5</f>
        <v>2.8071219714587316E-4</v>
      </c>
      <c r="H40" s="88">
        <v>0</v>
      </c>
      <c r="I40" s="147">
        <f>[2]!Table32[[#This Row],[Residential CLM $ Collected]]/'[2]1.) CLM Reference'!$B$4</f>
        <v>0</v>
      </c>
      <c r="J40" s="150">
        <v>0</v>
      </c>
      <c r="K40" s="28">
        <f>[2]!Table32[[#This Row],[Residential Incentive Disbursements]]/'[2]1.) CLM Reference'!$B$5</f>
        <v>0</v>
      </c>
      <c r="L40" s="150">
        <v>0</v>
      </c>
      <c r="M40" s="203">
        <f>[2]!Table32[[#This Row],[CLM $ Collected ]]/'[2]1.) CLM Reference'!$B$4</f>
        <v>0</v>
      </c>
      <c r="N40" s="150">
        <v>106552</v>
      </c>
      <c r="O40" s="204">
        <f>[2]!Table3[[#This Row],[Incentive Disbursements]]/'[2]1.) CLM Reference'!$B$5</f>
        <v>2.8071219714587316E-4</v>
      </c>
      <c r="P40" t="str">
        <f>VLOOKUP(Table325[[#This Row],[Census Tract]],'UI EnergyBurden'!$A$2:$B$184,2,FALSE)</f>
        <v>No</v>
      </c>
      <c r="Q40">
        <f>VLOOKUP(Table325[[#This Row],[Census Tract]],'Population and Diversity Data'!B36:K857,10,FALSE)</f>
        <v>3</v>
      </c>
    </row>
    <row r="41" spans="1:17" x14ac:dyDescent="0.2">
      <c r="A41" s="148">
        <v>9001072600</v>
      </c>
      <c r="B41" s="148" t="s">
        <v>934</v>
      </c>
      <c r="C41" s="149" t="s">
        <v>3886</v>
      </c>
      <c r="D41" s="88">
        <f>[2]!Table32[[#This Row],[Residential CLM $ Collected]]+[2]!Table32[[#This Row],[C&amp;I CLM $ Collected]]</f>
        <v>21502.984010962653</v>
      </c>
      <c r="E41" s="28">
        <f>[2]!Table3[[#This Row],[CLM $ Collected ]]/'[2]1.) CLM Reference'!$B$4</f>
        <v>2.6803314935958627E-3</v>
      </c>
      <c r="F41" s="88">
        <f>[2]!Table32[[#This Row],[Residential Incentive Disbursements]]+[2]!Table32[[#This Row],[C&amp;I Incentive Disbursements]]</f>
        <v>19527</v>
      </c>
      <c r="G41" s="28">
        <f>[2]!Table3[[#This Row],[Incentive Disbursements]]/'[2]1.) CLM Reference'!$B$5</f>
        <v>1.0662264564971918E-3</v>
      </c>
      <c r="H41" s="88">
        <v>0</v>
      </c>
      <c r="I41" s="147">
        <f>[2]!Table32[[#This Row],[Residential CLM $ Collected]]/'[2]1.) CLM Reference'!$B$4</f>
        <v>0</v>
      </c>
      <c r="J41" s="150">
        <v>0</v>
      </c>
      <c r="K41" s="28">
        <f>[2]!Table32[[#This Row],[Residential Incentive Disbursements]]/'[2]1.) CLM Reference'!$B$5</f>
        <v>0</v>
      </c>
      <c r="L41" s="150">
        <v>21502.984010962653</v>
      </c>
      <c r="M41" s="203">
        <f>[2]!Table32[[#This Row],[CLM $ Collected ]]/'[2]1.) CLM Reference'!$B$4</f>
        <v>9.5419865253988873E-4</v>
      </c>
      <c r="N41" s="150">
        <v>19527</v>
      </c>
      <c r="O41" s="204">
        <f>[2]!Table3[[#This Row],[Incentive Disbursements]]/'[2]1.) CLM Reference'!$B$5</f>
        <v>1.0662264564971918E-3</v>
      </c>
      <c r="P41" t="str">
        <f>VLOOKUP(Table325[[#This Row],[Census Tract]],'UI EnergyBurden'!$A$2:$B$184,2,FALSE)</f>
        <v>No</v>
      </c>
      <c r="Q41">
        <f>VLOOKUP(Table325[[#This Row],[Census Tract]],'Population and Diversity Data'!B37:K858,10,FALSE)</f>
        <v>3</v>
      </c>
    </row>
    <row r="42" spans="1:17" x14ac:dyDescent="0.2">
      <c r="A42" s="148">
        <v>9001072700</v>
      </c>
      <c r="B42" s="148" t="s">
        <v>934</v>
      </c>
      <c r="C42" s="149" t="s">
        <v>3886</v>
      </c>
      <c r="D42" s="88">
        <f>[2]!Table32[[#This Row],[Residential CLM $ Collected]]+[2]!Table32[[#This Row],[C&amp;I CLM $ Collected]]</f>
        <v>3365.0003834334816</v>
      </c>
      <c r="E42" s="28">
        <f>[2]!Table3[[#This Row],[CLM $ Collected ]]/'[2]1.) CLM Reference'!$B$4</f>
        <v>1.9299661755765392E-3</v>
      </c>
      <c r="F42" s="88">
        <f>[2]!Table32[[#This Row],[Residential Incentive Disbursements]]+[2]!Table32[[#This Row],[C&amp;I Incentive Disbursements]]</f>
        <v>1100</v>
      </c>
      <c r="G42" s="28">
        <f>[2]!Table3[[#This Row],[Incentive Disbursements]]/'[2]1.) CLM Reference'!$B$5</f>
        <v>5.6885834648612733E-4</v>
      </c>
      <c r="H42" s="88">
        <v>0</v>
      </c>
      <c r="I42" s="147">
        <f>[2]!Table32[[#This Row],[Residential CLM $ Collected]]/'[2]1.) CLM Reference'!$B$4</f>
        <v>0</v>
      </c>
      <c r="J42" s="150">
        <v>0</v>
      </c>
      <c r="K42" s="28">
        <f>[2]!Table32[[#This Row],[Residential Incentive Disbursements]]/'[2]1.) CLM Reference'!$B$5</f>
        <v>0</v>
      </c>
      <c r="L42" s="150">
        <v>3365.0003834334816</v>
      </c>
      <c r="M42" s="203">
        <f>[2]!Table32[[#This Row],[CLM $ Collected ]]/'[2]1.) CLM Reference'!$B$4</f>
        <v>1.4932247682607522E-4</v>
      </c>
      <c r="N42" s="150">
        <v>1100</v>
      </c>
      <c r="O42" s="204">
        <f>[2]!Table3[[#This Row],[Incentive Disbursements]]/'[2]1.) CLM Reference'!$B$5</f>
        <v>5.6885834648612733E-4</v>
      </c>
      <c r="P42" t="str">
        <f>VLOOKUP(Table325[[#This Row],[Census Tract]],'UI EnergyBurden'!$A$2:$B$184,2,FALSE)</f>
        <v>No</v>
      </c>
      <c r="Q42">
        <f>VLOOKUP(Table325[[#This Row],[Census Tract]],'Population and Diversity Data'!B38:K859,10,FALSE)</f>
        <v>4</v>
      </c>
    </row>
    <row r="43" spans="1:17" x14ac:dyDescent="0.2">
      <c r="A43" s="148">
        <v>9001072800</v>
      </c>
      <c r="B43" s="148" t="s">
        <v>934</v>
      </c>
      <c r="C43" s="149" t="s">
        <v>3886</v>
      </c>
      <c r="D43" s="88">
        <f>[2]!Table32[[#This Row],[Residential CLM $ Collected]]+[2]!Table32[[#This Row],[C&amp;I CLM $ Collected]]</f>
        <v>1297.1003563405102</v>
      </c>
      <c r="E43" s="28">
        <f>[2]!Table3[[#This Row],[CLM $ Collected ]]/'[2]1.) CLM Reference'!$B$4</f>
        <v>5.4724272390713081E-3</v>
      </c>
      <c r="F43" s="88">
        <f>[2]!Table32[[#This Row],[Residential Incentive Disbursements]]+[2]!Table32[[#This Row],[C&amp;I Incentive Disbursements]]</f>
        <v>0</v>
      </c>
      <c r="G43" s="28">
        <f>[2]!Table3[[#This Row],[Incentive Disbursements]]/'[2]1.) CLM Reference'!$B$5</f>
        <v>7.5732846927835523E-3</v>
      </c>
      <c r="H43" s="88">
        <v>0</v>
      </c>
      <c r="I43" s="147">
        <f>[2]!Table32[[#This Row],[Residential CLM $ Collected]]/'[2]1.) CLM Reference'!$B$4</f>
        <v>0</v>
      </c>
      <c r="J43" s="150">
        <v>0</v>
      </c>
      <c r="K43" s="28">
        <f>[2]!Table32[[#This Row],[Residential Incentive Disbursements]]/'[2]1.) CLM Reference'!$B$5</f>
        <v>0</v>
      </c>
      <c r="L43" s="150">
        <v>1297.1003563405102</v>
      </c>
      <c r="M43" s="203">
        <f>[2]!Table32[[#This Row],[CLM $ Collected ]]/'[2]1.) CLM Reference'!$B$4</f>
        <v>5.755905373868689E-5</v>
      </c>
      <c r="N43" s="150">
        <v>0</v>
      </c>
      <c r="O43" s="204">
        <f>[2]!Table3[[#This Row],[Incentive Disbursements]]/'[2]1.) CLM Reference'!$B$5</f>
        <v>7.5732846927835523E-3</v>
      </c>
      <c r="P43" t="str">
        <f>VLOOKUP(Table325[[#This Row],[Census Tract]],'UI EnergyBurden'!$A$2:$B$184,2,FALSE)</f>
        <v>No</v>
      </c>
      <c r="Q43">
        <f>VLOOKUP(Table325[[#This Row],[Census Tract]],'Population and Diversity Data'!B39:K860,10,FALSE)</f>
        <v>5</v>
      </c>
    </row>
    <row r="44" spans="1:17" x14ac:dyDescent="0.2">
      <c r="A44" s="148">
        <v>9001072900</v>
      </c>
      <c r="B44" s="148" t="s">
        <v>934</v>
      </c>
      <c r="C44" s="149" t="s">
        <v>3886</v>
      </c>
      <c r="D44" s="88">
        <f>[2]!Table32[[#This Row],[Residential CLM $ Collected]]+[2]!Table32[[#This Row],[C&amp;I CLM $ Collected]]</f>
        <v>29494.167420715083</v>
      </c>
      <c r="E44" s="28">
        <f>[2]!Table3[[#This Row],[CLM $ Collected ]]/'[2]1.) CLM Reference'!$B$4</f>
        <v>2.2999652214127135E-5</v>
      </c>
      <c r="F44" s="88">
        <f>[2]!Table32[[#This Row],[Residential Incentive Disbursements]]+[2]!Table32[[#This Row],[C&amp;I Incentive Disbursements]]</f>
        <v>150</v>
      </c>
      <c r="G44" s="28">
        <f>[2]!Table3[[#This Row],[Incentive Disbursements]]/'[2]1.) CLM Reference'!$B$5</f>
        <v>2.3939061138431646E-4</v>
      </c>
      <c r="H44" s="88">
        <v>0</v>
      </c>
      <c r="I44" s="147">
        <f>[2]!Table32[[#This Row],[Residential CLM $ Collected]]/'[2]1.) CLM Reference'!$B$4</f>
        <v>0</v>
      </c>
      <c r="J44" s="150">
        <v>0</v>
      </c>
      <c r="K44" s="28">
        <f>[2]!Table32[[#This Row],[Residential Incentive Disbursements]]/'[2]1.) CLM Reference'!$B$5</f>
        <v>0</v>
      </c>
      <c r="L44" s="150">
        <v>29494.167420715083</v>
      </c>
      <c r="M44" s="203">
        <f>[2]!Table32[[#This Row],[CLM $ Collected ]]/'[2]1.) CLM Reference'!$B$4</f>
        <v>1.3088088051539358E-3</v>
      </c>
      <c r="N44" s="150">
        <v>150</v>
      </c>
      <c r="O44" s="204">
        <f>[2]!Table3[[#This Row],[Incentive Disbursements]]/'[2]1.) CLM Reference'!$B$5</f>
        <v>2.3939061138431646E-4</v>
      </c>
      <c r="P44" t="str">
        <f>VLOOKUP(Table325[[#This Row],[Census Tract]],'UI EnergyBurden'!$A$2:$B$184,2,FALSE)</f>
        <v>No</v>
      </c>
      <c r="Q44">
        <f>VLOOKUP(Table325[[#This Row],[Census Tract]],'Population and Diversity Data'!B40:K861,10,FALSE)</f>
        <v>4</v>
      </c>
    </row>
    <row r="45" spans="1:17" x14ac:dyDescent="0.2">
      <c r="A45" s="148">
        <v>9001073000</v>
      </c>
      <c r="B45" s="148" t="s">
        <v>934</v>
      </c>
      <c r="C45" s="149" t="s">
        <v>3886</v>
      </c>
      <c r="D45" s="88">
        <f>[2]!Table32[[#This Row],[Residential CLM $ Collected]]+[2]!Table32[[#This Row],[C&amp;I CLM $ Collected]]</f>
        <v>11017.597018790932</v>
      </c>
      <c r="E45" s="28">
        <f>[2]!Table3[[#This Row],[CLM $ Collected ]]/'[2]1.) CLM Reference'!$B$4</f>
        <v>1.7420842953599855E-3</v>
      </c>
      <c r="F45" s="88">
        <f>[2]!Table32[[#This Row],[Residential Incentive Disbursements]]+[2]!Table32[[#This Row],[C&amp;I Incentive Disbursements]]</f>
        <v>0</v>
      </c>
      <c r="G45" s="28">
        <f>[2]!Table3[[#This Row],[Incentive Disbursements]]/'[2]1.) CLM Reference'!$B$5</f>
        <v>1.7804934512733177E-3</v>
      </c>
      <c r="H45" s="88">
        <v>0</v>
      </c>
      <c r="I45" s="147">
        <f>[2]!Table32[[#This Row],[Residential CLM $ Collected]]/'[2]1.) CLM Reference'!$B$4</f>
        <v>0</v>
      </c>
      <c r="J45" s="150">
        <v>0</v>
      </c>
      <c r="K45" s="28">
        <f>[2]!Table32[[#This Row],[Residential Incentive Disbursements]]/'[2]1.) CLM Reference'!$B$5</f>
        <v>0</v>
      </c>
      <c r="L45" s="150">
        <v>11017.597018790932</v>
      </c>
      <c r="M45" s="203">
        <f>[2]!Table32[[#This Row],[CLM $ Collected ]]/'[2]1.) CLM Reference'!$B$4</f>
        <v>4.8890778248256498E-4</v>
      </c>
      <c r="N45" s="150">
        <v>0</v>
      </c>
      <c r="O45" s="204">
        <f>[2]!Table3[[#This Row],[Incentive Disbursements]]/'[2]1.) CLM Reference'!$B$5</f>
        <v>1.7804934512733177E-3</v>
      </c>
      <c r="P45" t="str">
        <f>VLOOKUP(Table325[[#This Row],[Census Tract]],'UI EnergyBurden'!$A$2:$B$184,2,FALSE)</f>
        <v>No</v>
      </c>
      <c r="Q45">
        <f>VLOOKUP(Table325[[#This Row],[Census Tract]],'Population and Diversity Data'!B41:K862,10,FALSE)</f>
        <v>4</v>
      </c>
    </row>
    <row r="46" spans="1:17" x14ac:dyDescent="0.2">
      <c r="A46" s="121">
        <v>9001073100</v>
      </c>
      <c r="B46" s="121" t="s">
        <v>934</v>
      </c>
      <c r="C46" s="128" t="s">
        <v>3887</v>
      </c>
      <c r="D46" s="88">
        <f>[2]!Table32[[#This Row],[Residential CLM $ Collected]]+[2]!Table32[[#This Row],[C&amp;I CLM $ Collected]]</f>
        <v>21832.152773089216</v>
      </c>
      <c r="E46" s="28">
        <f>[2]!Table3[[#This Row],[CLM $ Collected ]]/'[2]1.) CLM Reference'!$B$4</f>
        <v>5.6542920102069978E-8</v>
      </c>
      <c r="F46" s="88">
        <f>[2]!Table32[[#This Row],[Residential Incentive Disbursements]]+[2]!Table32[[#This Row],[C&amp;I Incentive Disbursements]]</f>
        <v>297346</v>
      </c>
      <c r="G46" s="28">
        <f>[2]!Table3[[#This Row],[Incentive Disbursements]]/'[2]1.) CLM Reference'!$B$5</f>
        <v>0</v>
      </c>
      <c r="H46" s="88">
        <v>0</v>
      </c>
      <c r="I46" s="28">
        <f>[2]!Table3[[#This Row],[CLM $ Collected ]]/'[2]1.) CLM Reference'!$B$4</f>
        <v>5.6542920102069978E-8</v>
      </c>
      <c r="J46" s="88">
        <v>257877</v>
      </c>
      <c r="K46" s="28">
        <f>[2]!Table3[[#This Row],[Incentive Disbursements]]/'[2]1.) CLM Reference'!$B$5</f>
        <v>0</v>
      </c>
      <c r="L46" s="88">
        <v>21832.152773089216</v>
      </c>
      <c r="M46" s="203">
        <f>[2]!Table32[[#This Row],[CLM $ Collected ]]/'[2]1.) CLM Reference'!$B$4</f>
        <v>9.6880557356625687E-4</v>
      </c>
      <c r="N46" s="88">
        <v>39469</v>
      </c>
      <c r="O46" s="204">
        <f>[2]!Table3[[#This Row],[Incentive Disbursements]]/'[2]1.) CLM Reference'!$B$5</f>
        <v>0</v>
      </c>
      <c r="P46" t="str">
        <f>VLOOKUP(Table325[[#This Row],[Census Tract]],'UI EnergyBurden'!$A$2:$B$184,2,FALSE)</f>
        <v>No</v>
      </c>
      <c r="Q46">
        <f>VLOOKUP(Table325[[#This Row],[Census Tract]],'Population and Diversity Data'!B42:K863,10,FALSE)</f>
        <v>5</v>
      </c>
    </row>
    <row r="47" spans="1:17" x14ac:dyDescent="0.2">
      <c r="A47" s="121">
        <v>9001073300</v>
      </c>
      <c r="B47" s="121" t="s">
        <v>934</v>
      </c>
      <c r="C47" s="128" t="s">
        <v>3887</v>
      </c>
      <c r="D47" s="88">
        <f>[2]!Table32[[#This Row],[Residential CLM $ Collected]]+[2]!Table32[[#This Row],[C&amp;I CLM $ Collected]]</f>
        <v>5988.19380054865</v>
      </c>
      <c r="E47" s="28">
        <f>[2]!Table3[[#This Row],[CLM $ Collected ]]/'[2]1.) CLM Reference'!$B$4</f>
        <v>2.6489163701065499E-3</v>
      </c>
      <c r="F47" s="88">
        <f>[2]!Table32[[#This Row],[Residential Incentive Disbursements]]+[2]!Table32[[#This Row],[C&amp;I Incentive Disbursements]]</f>
        <v>285</v>
      </c>
      <c r="G47" s="28">
        <f>[2]!Table3[[#This Row],[Incentive Disbursements]]/'[2]1.) CLM Reference'!$B$5</f>
        <v>9.5365853235574078E-4</v>
      </c>
      <c r="H47" s="88">
        <v>0</v>
      </c>
      <c r="I47" s="28">
        <f>[2]!Table3[[#This Row],[CLM $ Collected ]]/'[2]1.) CLM Reference'!$B$4</f>
        <v>2.6489163701065499E-3</v>
      </c>
      <c r="J47" s="88">
        <v>0</v>
      </c>
      <c r="K47" s="28">
        <f>[2]!Table3[[#This Row],[Incentive Disbursements]]/'[2]1.) CLM Reference'!$B$5</f>
        <v>9.5365853235574078E-4</v>
      </c>
      <c r="L47" s="88">
        <v>5988.19380054865</v>
      </c>
      <c r="M47" s="203">
        <f>[2]!Table32[[#This Row],[CLM $ Collected ]]/'[2]1.) CLM Reference'!$B$4</f>
        <v>2.6572714060142362E-4</v>
      </c>
      <c r="N47" s="88">
        <v>285</v>
      </c>
      <c r="O47" s="204">
        <f>[2]!Table3[[#This Row],[Incentive Disbursements]]/'[2]1.) CLM Reference'!$B$5</f>
        <v>9.5365853235574078E-4</v>
      </c>
      <c r="P47" t="str">
        <f>VLOOKUP(Table325[[#This Row],[Census Tract]],'UI EnergyBurden'!$A$2:$B$184,2,FALSE)</f>
        <v>Yes</v>
      </c>
      <c r="Q47">
        <f>VLOOKUP(Table325[[#This Row],[Census Tract]],'Population and Diversity Data'!B43:K864,10,FALSE)</f>
        <v>5</v>
      </c>
    </row>
    <row r="48" spans="1:17" x14ac:dyDescent="0.2">
      <c r="A48" s="121">
        <v>9001073400</v>
      </c>
      <c r="B48" s="121" t="s">
        <v>934</v>
      </c>
      <c r="C48" s="128" t="s">
        <v>3887</v>
      </c>
      <c r="D48" s="88">
        <f>[2]!Table32[[#This Row],[Residential CLM $ Collected]]+[2]!Table32[[#This Row],[C&amp;I CLM $ Collected]]</f>
        <v>9320.1388075890573</v>
      </c>
      <c r="E48" s="28">
        <f>[2]!Table3[[#This Row],[CLM $ Collected ]]/'[2]1.) CLM Reference'!$B$4</f>
        <v>1.718298368771398E-3</v>
      </c>
      <c r="F48" s="88">
        <f>[2]!Table32[[#This Row],[Residential Incentive Disbursements]]+[2]!Table32[[#This Row],[C&amp;I Incentive Disbursements]]</f>
        <v>0</v>
      </c>
      <c r="G48" s="28">
        <f>[2]!Table3[[#This Row],[Incentive Disbursements]]/'[2]1.) CLM Reference'!$B$5</f>
        <v>7.7159200036192488E-4</v>
      </c>
      <c r="H48" s="88">
        <v>0</v>
      </c>
      <c r="I48" s="28">
        <f>[2]!Table3[[#This Row],[CLM $ Collected ]]/'[2]1.) CLM Reference'!$B$4</f>
        <v>1.718298368771398E-3</v>
      </c>
      <c r="J48" s="88">
        <v>0</v>
      </c>
      <c r="K48" s="28">
        <f>[2]!Table3[[#This Row],[Incentive Disbursements]]/'[2]1.) CLM Reference'!$B$5</f>
        <v>7.7159200036192488E-4</v>
      </c>
      <c r="L48" s="88">
        <v>9320.1388075890573</v>
      </c>
      <c r="M48" s="203">
        <f>[2]!Table32[[#This Row],[CLM $ Collected ]]/'[2]1.) CLM Reference'!$B$4</f>
        <v>4.1358277935528572E-4</v>
      </c>
      <c r="N48" s="88">
        <v>0</v>
      </c>
      <c r="O48" s="204">
        <f>[2]!Table3[[#This Row],[Incentive Disbursements]]/'[2]1.) CLM Reference'!$B$5</f>
        <v>7.7159200036192488E-4</v>
      </c>
      <c r="P48" t="str">
        <f>VLOOKUP(Table325[[#This Row],[Census Tract]],'UI EnergyBurden'!$A$2:$B$184,2,FALSE)</f>
        <v>Yes</v>
      </c>
      <c r="Q48">
        <f>VLOOKUP(Table325[[#This Row],[Census Tract]],'Population and Diversity Data'!B44:K865,10,FALSE)</f>
        <v>5</v>
      </c>
    </row>
    <row r="49" spans="1:17" x14ac:dyDescent="0.2">
      <c r="A49" s="121">
        <v>9001073500</v>
      </c>
      <c r="B49" s="121" t="s">
        <v>934</v>
      </c>
      <c r="C49" s="128" t="s">
        <v>3887</v>
      </c>
      <c r="D49" s="88">
        <f>[2]!Table32[[#This Row],[Residential CLM $ Collected]]+[2]!Table32[[#This Row],[C&amp;I CLM $ Collected]]</f>
        <v>1567.8220423307132</v>
      </c>
      <c r="E49" s="28">
        <f>[2]!Table3[[#This Row],[CLM $ Collected ]]/'[2]1.) CLM Reference'!$B$4</f>
        <v>3.4332375554380324E-3</v>
      </c>
      <c r="F49" s="88">
        <f>[2]!Table32[[#This Row],[Residential Incentive Disbursements]]+[2]!Table32[[#This Row],[C&amp;I Incentive Disbursements]]</f>
        <v>0</v>
      </c>
      <c r="G49" s="28">
        <f>[2]!Table3[[#This Row],[Incentive Disbursements]]/'[2]1.) CLM Reference'!$B$5</f>
        <v>1.5505799789110083E-3</v>
      </c>
      <c r="H49" s="88">
        <v>0</v>
      </c>
      <c r="I49" s="28">
        <f>[2]!Table3[[#This Row],[CLM $ Collected ]]/'[2]1.) CLM Reference'!$B$4</f>
        <v>3.4332375554380324E-3</v>
      </c>
      <c r="J49" s="88">
        <v>0</v>
      </c>
      <c r="K49" s="28">
        <f>[2]!Table3[[#This Row],[Incentive Disbursements]]/'[2]1.) CLM Reference'!$B$5</f>
        <v>1.5505799789110083E-3</v>
      </c>
      <c r="L49" s="88">
        <v>1567.8220423307132</v>
      </c>
      <c r="M49" s="203">
        <f>[2]!Table32[[#This Row],[CLM $ Collected ]]/'[2]1.) CLM Reference'!$B$4</f>
        <v>6.9572375603851316E-5</v>
      </c>
      <c r="N49" s="88">
        <v>0</v>
      </c>
      <c r="O49" s="204">
        <f>[2]!Table3[[#This Row],[Incentive Disbursements]]/'[2]1.) CLM Reference'!$B$5</f>
        <v>1.5505799789110083E-3</v>
      </c>
      <c r="P49" t="str">
        <f>VLOOKUP(Table325[[#This Row],[Census Tract]],'UI EnergyBurden'!$A$2:$B$184,2,FALSE)</f>
        <v>Yes</v>
      </c>
      <c r="Q49">
        <f>VLOOKUP(Table325[[#This Row],[Census Tract]],'Population and Diversity Data'!B45:K866,10,FALSE)</f>
        <v>5</v>
      </c>
    </row>
    <row r="50" spans="1:17" x14ac:dyDescent="0.2">
      <c r="A50" s="121">
        <v>9001073600</v>
      </c>
      <c r="B50" s="121" t="s">
        <v>934</v>
      </c>
      <c r="C50" s="128" t="s">
        <v>3887</v>
      </c>
      <c r="D50" s="88">
        <f>[2]!Table32[[#This Row],[Residential CLM $ Collected]]+[2]!Table32[[#This Row],[C&amp;I CLM $ Collected]]</f>
        <v>4443.0857878064735</v>
      </c>
      <c r="E50" s="28">
        <f>[2]!Table3[[#This Row],[CLM $ Collected ]]/'[2]1.) CLM Reference'!$B$4</f>
        <v>1.9814605914029741E-6</v>
      </c>
      <c r="F50" s="88">
        <f>[2]!Table32[[#This Row],[Residential Incentive Disbursements]]+[2]!Table32[[#This Row],[C&amp;I Incentive Disbursements]]</f>
        <v>0</v>
      </c>
      <c r="G50" s="28">
        <f>[2]!Table3[[#This Row],[Incentive Disbursements]]/'[2]1.) CLM Reference'!$B$5</f>
        <v>0</v>
      </c>
      <c r="H50" s="88">
        <v>0</v>
      </c>
      <c r="I50" s="28">
        <f>[2]!Table3[[#This Row],[CLM $ Collected ]]/'[2]1.) CLM Reference'!$B$4</f>
        <v>1.9814605914029741E-6</v>
      </c>
      <c r="J50" s="88">
        <v>0</v>
      </c>
      <c r="K50" s="28">
        <f>[2]!Table3[[#This Row],[Incentive Disbursements]]/'[2]1.) CLM Reference'!$B$5</f>
        <v>0</v>
      </c>
      <c r="L50" s="88">
        <v>4443.0857878064735</v>
      </c>
      <c r="M50" s="203">
        <f>[2]!Table32[[#This Row],[CLM $ Collected ]]/'[2]1.) CLM Reference'!$B$4</f>
        <v>1.9716270400808747E-4</v>
      </c>
      <c r="N50" s="88">
        <v>0</v>
      </c>
      <c r="O50" s="204">
        <f>[2]!Table3[[#This Row],[Incentive Disbursements]]/'[2]1.) CLM Reference'!$B$5</f>
        <v>0</v>
      </c>
      <c r="P50" t="str">
        <f>VLOOKUP(Table325[[#This Row],[Census Tract]],'UI EnergyBurden'!$A$2:$B$184,2,FALSE)</f>
        <v>Yes</v>
      </c>
      <c r="Q50">
        <f>VLOOKUP(Table325[[#This Row],[Census Tract]],'Population and Diversity Data'!B46:K867,10,FALSE)</f>
        <v>5</v>
      </c>
    </row>
    <row r="51" spans="1:17" x14ac:dyDescent="0.2">
      <c r="A51" s="121">
        <v>9001073700</v>
      </c>
      <c r="B51" s="121" t="s">
        <v>934</v>
      </c>
      <c r="C51" s="128" t="s">
        <v>3887</v>
      </c>
      <c r="D51" s="88">
        <f>[2]!Table32[[#This Row],[Residential CLM $ Collected]]+[2]!Table32[[#This Row],[C&amp;I CLM $ Collected]]</f>
        <v>150419.69061157989</v>
      </c>
      <c r="E51" s="28">
        <f>[2]!Table3[[#This Row],[CLM $ Collected ]]/'[2]1.) CLM Reference'!$B$4</f>
        <v>5.2090613799811005E-3</v>
      </c>
      <c r="F51" s="88">
        <f>[2]!Table32[[#This Row],[Residential Incentive Disbursements]]+[2]!Table32[[#This Row],[C&amp;I Incentive Disbursements]]</f>
        <v>31728</v>
      </c>
      <c r="G51" s="28">
        <f>[2]!Table3[[#This Row],[Incentive Disbursements]]/'[2]1.) CLM Reference'!$B$5</f>
        <v>3.3070846632315626E-3</v>
      </c>
      <c r="H51" s="88">
        <v>0</v>
      </c>
      <c r="I51" s="28">
        <f>[2]!Table3[[#This Row],[CLM $ Collected ]]/'[2]1.) CLM Reference'!$B$4</f>
        <v>5.2090613799811005E-3</v>
      </c>
      <c r="J51" s="88">
        <v>0</v>
      </c>
      <c r="K51" s="28">
        <f>[2]!Table3[[#This Row],[Incentive Disbursements]]/'[2]1.) CLM Reference'!$B$5</f>
        <v>3.3070846632315626E-3</v>
      </c>
      <c r="L51" s="88">
        <v>150419.69061157989</v>
      </c>
      <c r="M51" s="203">
        <f>[2]!Table32[[#This Row],[CLM $ Collected ]]/'[2]1.) CLM Reference'!$B$4</f>
        <v>6.6748999126754627E-3</v>
      </c>
      <c r="N51" s="88">
        <v>31728</v>
      </c>
      <c r="O51" s="204">
        <f>[2]!Table3[[#This Row],[Incentive Disbursements]]/'[2]1.) CLM Reference'!$B$5</f>
        <v>3.3070846632315626E-3</v>
      </c>
      <c r="P51" t="str">
        <f>VLOOKUP(Table325[[#This Row],[Census Tract]],'UI EnergyBurden'!$A$2:$B$184,2,FALSE)</f>
        <v>Yes</v>
      </c>
      <c r="Q51">
        <f>VLOOKUP(Table325[[#This Row],[Census Tract]],'Population and Diversity Data'!B47:K868,10,FALSE)</f>
        <v>5</v>
      </c>
    </row>
    <row r="52" spans="1:17" x14ac:dyDescent="0.2">
      <c r="A52" s="121">
        <v>9001073800</v>
      </c>
      <c r="B52" s="121" t="s">
        <v>934</v>
      </c>
      <c r="C52" s="128" t="s">
        <v>3887</v>
      </c>
      <c r="D52" s="88">
        <f>[2]!Table32[[#This Row],[Residential CLM $ Collected]]+[2]!Table32[[#This Row],[C&amp;I CLM $ Collected]]</f>
        <v>34043.252013268058</v>
      </c>
      <c r="E52" s="28">
        <f>[2]!Table3[[#This Row],[CLM $ Collected ]]/'[2]1.) CLM Reference'!$B$4</f>
        <v>1.3361337858902186E-6</v>
      </c>
      <c r="F52" s="88">
        <f>[2]!Table32[[#This Row],[Residential Incentive Disbursements]]+[2]!Table32[[#This Row],[C&amp;I Incentive Disbursements]]</f>
        <v>132590.02000000002</v>
      </c>
      <c r="G52" s="28">
        <f>[2]!Table3[[#This Row],[Incentive Disbursements]]/'[2]1.) CLM Reference'!$B$5</f>
        <v>0</v>
      </c>
      <c r="H52" s="88">
        <v>0</v>
      </c>
      <c r="I52" s="28">
        <f>[2]!Table3[[#This Row],[CLM $ Collected ]]/'[2]1.) CLM Reference'!$B$4</f>
        <v>1.3361337858902186E-6</v>
      </c>
      <c r="J52" s="88">
        <v>0</v>
      </c>
      <c r="K52" s="28">
        <f>[2]!Table3[[#This Row],[Incentive Disbursements]]/'[2]1.) CLM Reference'!$B$5</f>
        <v>0</v>
      </c>
      <c r="L52" s="88">
        <v>34043.252013268058</v>
      </c>
      <c r="M52" s="203">
        <f>[2]!Table32[[#This Row],[CLM $ Collected ]]/'[2]1.) CLM Reference'!$B$4</f>
        <v>1.5106752245444273E-3</v>
      </c>
      <c r="N52" s="88">
        <v>132590.02000000002</v>
      </c>
      <c r="O52" s="204">
        <f>[2]!Table3[[#This Row],[Incentive Disbursements]]/'[2]1.) CLM Reference'!$B$5</f>
        <v>0</v>
      </c>
      <c r="P52" t="str">
        <f>VLOOKUP(Table325[[#This Row],[Census Tract]],'UI EnergyBurden'!$A$2:$B$184,2,FALSE)</f>
        <v>Yes</v>
      </c>
      <c r="Q52">
        <f>VLOOKUP(Table325[[#This Row],[Census Tract]],'Population and Diversity Data'!B48:K869,10,FALSE)</f>
        <v>5</v>
      </c>
    </row>
    <row r="53" spans="1:17" x14ac:dyDescent="0.2">
      <c r="A53" s="121">
        <v>9001073900</v>
      </c>
      <c r="B53" s="121" t="s">
        <v>934</v>
      </c>
      <c r="C53" s="128" t="s">
        <v>3887</v>
      </c>
      <c r="D53" s="88">
        <f>[2]!Table32[[#This Row],[Residential CLM $ Collected]]+[2]!Table32[[#This Row],[C&amp;I CLM $ Collected]]</f>
        <v>5427.7297371241848</v>
      </c>
      <c r="E53" s="28">
        <f>[2]!Table3[[#This Row],[CLM $ Collected ]]/'[2]1.) CLM Reference'!$B$4</f>
        <v>2.8545035594785338E-3</v>
      </c>
      <c r="F53" s="88">
        <f>[2]!Table32[[#This Row],[Residential Incentive Disbursements]]+[2]!Table32[[#This Row],[C&amp;I Incentive Disbursements]]</f>
        <v>0</v>
      </c>
      <c r="G53" s="28">
        <f>[2]!Table3[[#This Row],[Incentive Disbursements]]/'[2]1.) CLM Reference'!$B$5</f>
        <v>1.6808799120347372E-3</v>
      </c>
      <c r="H53" s="88">
        <v>4483.7125073957268</v>
      </c>
      <c r="I53" s="28">
        <f>[2]!Table3[[#This Row],[CLM $ Collected ]]/'[2]1.) CLM Reference'!$B$4</f>
        <v>2.8545035594785338E-3</v>
      </c>
      <c r="J53" s="88">
        <v>0</v>
      </c>
      <c r="K53" s="28">
        <f>[2]!Table3[[#This Row],[Incentive Disbursements]]/'[2]1.) CLM Reference'!$B$5</f>
        <v>1.6808799120347372E-3</v>
      </c>
      <c r="L53" s="88">
        <v>944.01722972845789</v>
      </c>
      <c r="M53" s="203">
        <f>[2]!Table32[[#This Row],[CLM $ Collected ]]/'[2]1.) CLM Reference'!$B$4</f>
        <v>2.408564503826146E-4</v>
      </c>
      <c r="N53" s="88">
        <v>0</v>
      </c>
      <c r="O53" s="204">
        <f>[2]!Table3[[#This Row],[Incentive Disbursements]]/'[2]1.) CLM Reference'!$B$5</f>
        <v>1.6808799120347372E-3</v>
      </c>
      <c r="P53" t="str">
        <f>VLOOKUP(Table325[[#This Row],[Census Tract]],'UI EnergyBurden'!$A$2:$B$184,2,FALSE)</f>
        <v>Yes</v>
      </c>
      <c r="Q53">
        <f>VLOOKUP(Table325[[#This Row],[Census Tract]],'Population and Diversity Data'!B49:K870,10,FALSE)</f>
        <v>5</v>
      </c>
    </row>
    <row r="54" spans="1:17" x14ac:dyDescent="0.2">
      <c r="A54" s="121">
        <v>9001074000</v>
      </c>
      <c r="B54" s="121" t="s">
        <v>934</v>
      </c>
      <c r="C54" s="128" t="s">
        <v>3887</v>
      </c>
      <c r="D54" s="88">
        <f>[2]!Table32[[#This Row],[Residential CLM $ Collected]]+[2]!Table32[[#This Row],[C&amp;I CLM $ Collected]]</f>
        <v>17076.795245167163</v>
      </c>
      <c r="E54" s="28">
        <f>[2]!Table3[[#This Row],[CLM $ Collected ]]/'[2]1.) CLM Reference'!$B$4</f>
        <v>1.1113142187887273E-5</v>
      </c>
      <c r="F54" s="88">
        <f>[2]!Table32[[#This Row],[Residential Incentive Disbursements]]+[2]!Table32[[#This Row],[C&amp;I Incentive Disbursements]]</f>
        <v>0</v>
      </c>
      <c r="G54" s="28">
        <f>[2]!Table3[[#This Row],[Incentive Disbursements]]/'[2]1.) CLM Reference'!$B$5</f>
        <v>0</v>
      </c>
      <c r="H54" s="88">
        <v>0</v>
      </c>
      <c r="I54" s="28">
        <f>[2]!Table3[[#This Row],[CLM $ Collected ]]/'[2]1.) CLM Reference'!$B$4</f>
        <v>1.1113142187887273E-5</v>
      </c>
      <c r="J54" s="88">
        <v>0</v>
      </c>
      <c r="K54" s="28">
        <f>[2]!Table3[[#This Row],[Incentive Disbursements]]/'[2]1.) CLM Reference'!$B$5</f>
        <v>0</v>
      </c>
      <c r="L54" s="88">
        <v>17076.795245167163</v>
      </c>
      <c r="M54" s="203">
        <f>[2]!Table32[[#This Row],[CLM $ Collected ]]/'[2]1.) CLM Reference'!$B$4</f>
        <v>7.5778575682011122E-4</v>
      </c>
      <c r="N54" s="88">
        <v>0</v>
      </c>
      <c r="O54" s="204">
        <f>[2]!Table3[[#This Row],[Incentive Disbursements]]/'[2]1.) CLM Reference'!$B$5</f>
        <v>0</v>
      </c>
      <c r="P54" t="str">
        <f>VLOOKUP(Table325[[#This Row],[Census Tract]],'UI EnergyBurden'!$A$2:$B$184,2,FALSE)</f>
        <v>Yes</v>
      </c>
      <c r="Q54">
        <f>VLOOKUP(Table325[[#This Row],[Census Tract]],'Population and Diversity Data'!B50:K871,10,FALSE)</f>
        <v>5</v>
      </c>
    </row>
    <row r="55" spans="1:17" x14ac:dyDescent="0.2">
      <c r="A55" s="121">
        <v>9001074000</v>
      </c>
      <c r="B55" s="121" t="s">
        <v>943</v>
      </c>
      <c r="C55" s="128" t="s">
        <v>3887</v>
      </c>
      <c r="D55" s="88">
        <f>[2]!Table32[[#This Row],[Residential CLM $ Collected]]+[2]!Table32[[#This Row],[C&amp;I CLM $ Collected]]</f>
        <v>449.94091945097563</v>
      </c>
      <c r="E55" s="28">
        <f>[2]!Table3[[#This Row],[CLM $ Collected ]]/'[2]1.) CLM Reference'!$B$4</f>
        <v>2.8206212389356288E-3</v>
      </c>
      <c r="F55" s="88">
        <f>[2]!Table32[[#This Row],[Residential Incentive Disbursements]]+[2]!Table32[[#This Row],[C&amp;I Incentive Disbursements]]</f>
        <v>0</v>
      </c>
      <c r="G55" s="28">
        <f>[2]!Table3[[#This Row],[Incentive Disbursements]]/'[2]1.) CLM Reference'!$B$5</f>
        <v>1.4451218386096008E-3</v>
      </c>
      <c r="H55" s="88">
        <v>0</v>
      </c>
      <c r="I55" s="28">
        <f>[2]!Table3[[#This Row],[CLM $ Collected ]]/'[2]1.) CLM Reference'!$B$4</f>
        <v>2.8206212389356288E-3</v>
      </c>
      <c r="J55" s="88">
        <v>0</v>
      </c>
      <c r="K55" s="28">
        <f>[2]!Table3[[#This Row],[Incentive Disbursements]]/'[2]1.) CLM Reference'!$B$5</f>
        <v>1.4451218386096008E-3</v>
      </c>
      <c r="L55" s="88">
        <v>449.94091945097563</v>
      </c>
      <c r="M55" s="203">
        <f>[2]!Table32[[#This Row],[CLM $ Collected ]]/'[2]1.) CLM Reference'!$B$4</f>
        <v>1.9966206496912101E-5</v>
      </c>
      <c r="N55" s="88">
        <v>0</v>
      </c>
      <c r="O55" s="204">
        <f>[2]!Table3[[#This Row],[Incentive Disbursements]]/'[2]1.) CLM Reference'!$B$5</f>
        <v>1.4451218386096008E-3</v>
      </c>
      <c r="P55" t="str">
        <f>VLOOKUP(Table325[[#This Row],[Census Tract]],'UI EnergyBurden'!$A$2:$B$184,2,FALSE)</f>
        <v>Yes</v>
      </c>
      <c r="Q55">
        <f>VLOOKUP(Table325[[#This Row],[Census Tract]],'Population and Diversity Data'!B51:K872,10,FALSE)</f>
        <v>5</v>
      </c>
    </row>
    <row r="56" spans="1:17" x14ac:dyDescent="0.2">
      <c r="A56" s="121">
        <v>9001074300</v>
      </c>
      <c r="B56" s="121" t="s">
        <v>934</v>
      </c>
      <c r="C56" s="128" t="s">
        <v>3887</v>
      </c>
      <c r="D56" s="88">
        <f>[2]!Table32[[#This Row],[Residential CLM $ Collected]]+[2]!Table32[[#This Row],[C&amp;I CLM $ Collected]]</f>
        <v>54597.786788728888</v>
      </c>
      <c r="E56" s="28">
        <f>[2]!Table3[[#This Row],[CLM $ Collected ]]/'[2]1.) CLM Reference'!$B$4</f>
        <v>2.8157046681402315E-3</v>
      </c>
      <c r="F56" s="88">
        <f>[2]!Table32[[#This Row],[Residential Incentive Disbursements]]+[2]!Table32[[#This Row],[C&amp;I Incentive Disbursements]]</f>
        <v>3418</v>
      </c>
      <c r="G56" s="28">
        <f>[2]!Table3[[#This Row],[Incentive Disbursements]]/'[2]1.) CLM Reference'!$B$5</f>
        <v>2.2252045800010473E-3</v>
      </c>
      <c r="H56" s="88">
        <v>0</v>
      </c>
      <c r="I56" s="28">
        <f>[2]!Table3[[#This Row],[CLM $ Collected ]]/'[2]1.) CLM Reference'!$B$4</f>
        <v>2.8157046681402315E-3</v>
      </c>
      <c r="J56" s="88">
        <v>0</v>
      </c>
      <c r="K56" s="28">
        <f>[2]!Table3[[#This Row],[Incentive Disbursements]]/'[2]1.) CLM Reference'!$B$5</f>
        <v>2.2252045800010473E-3</v>
      </c>
      <c r="L56" s="88">
        <v>54597.786788728888</v>
      </c>
      <c r="M56" s="203">
        <f>[2]!Table32[[#This Row],[CLM $ Collected ]]/'[2]1.) CLM Reference'!$B$4</f>
        <v>2.4227862774257318E-3</v>
      </c>
      <c r="N56" s="88">
        <v>3418</v>
      </c>
      <c r="O56" s="204">
        <f>[2]!Table3[[#This Row],[Incentive Disbursements]]/'[2]1.) CLM Reference'!$B$5</f>
        <v>2.2252045800010473E-3</v>
      </c>
      <c r="P56" t="str">
        <f>VLOOKUP(Table325[[#This Row],[Census Tract]],'UI EnergyBurden'!$A$2:$B$184,2,FALSE)</f>
        <v>Yes</v>
      </c>
      <c r="Q56">
        <f>VLOOKUP(Table325[[#This Row],[Census Tract]],'Population and Diversity Data'!B52:K873,10,FALSE)</f>
        <v>5</v>
      </c>
    </row>
    <row r="57" spans="1:17" x14ac:dyDescent="0.2">
      <c r="A57" s="121">
        <v>9001074400</v>
      </c>
      <c r="B57" s="121" t="s">
        <v>934</v>
      </c>
      <c r="C57" s="128" t="s">
        <v>3887</v>
      </c>
      <c r="D57" s="88">
        <f>[2]!Table32[[#This Row],[Residential CLM $ Collected]]+[2]!Table32[[#This Row],[C&amp;I CLM $ Collected]]</f>
        <v>50554.504855062107</v>
      </c>
      <c r="E57" s="28">
        <f>[2]!Table3[[#This Row],[CLM $ Collected ]]/'[2]1.) CLM Reference'!$B$4</f>
        <v>2.2801547128117347E-7</v>
      </c>
      <c r="F57" s="88">
        <f>[2]!Table32[[#This Row],[Residential Incentive Disbursements]]+[2]!Table32[[#This Row],[C&amp;I Incentive Disbursements]]</f>
        <v>10431</v>
      </c>
      <c r="G57" s="28">
        <f>[2]!Table3[[#This Row],[Incentive Disbursements]]/'[2]1.) CLM Reference'!$B$5</f>
        <v>0</v>
      </c>
      <c r="H57" s="88">
        <v>0</v>
      </c>
      <c r="I57" s="28">
        <f>[2]!Table3[[#This Row],[CLM $ Collected ]]/'[2]1.) CLM Reference'!$B$4</f>
        <v>2.2801547128117347E-7</v>
      </c>
      <c r="J57" s="88">
        <v>0</v>
      </c>
      <c r="K57" s="28">
        <f>[2]!Table3[[#This Row],[Incentive Disbursements]]/'[2]1.) CLM Reference'!$B$5</f>
        <v>0</v>
      </c>
      <c r="L57" s="88">
        <v>50554.504855062107</v>
      </c>
      <c r="M57" s="203">
        <f>[2]!Table32[[#This Row],[CLM $ Collected ]]/'[2]1.) CLM Reference'!$B$4</f>
        <v>2.2433649389279318E-3</v>
      </c>
      <c r="N57" s="88">
        <v>10431</v>
      </c>
      <c r="O57" s="204">
        <f>[2]!Table3[[#This Row],[Incentive Disbursements]]/'[2]1.) CLM Reference'!$B$5</f>
        <v>0</v>
      </c>
      <c r="P57" t="str">
        <f>VLOOKUP(Table325[[#This Row],[Census Tract]],'UI EnergyBurden'!$A$2:$B$184,2,FALSE)</f>
        <v>Yes</v>
      </c>
      <c r="Q57">
        <f>VLOOKUP(Table325[[#This Row],[Census Tract]],'Population and Diversity Data'!B53:K874,10,FALSE)</f>
        <v>5</v>
      </c>
    </row>
    <row r="58" spans="1:17" x14ac:dyDescent="0.2">
      <c r="A58" s="121">
        <v>9001080100</v>
      </c>
      <c r="B58" s="121" t="s">
        <v>956</v>
      </c>
      <c r="C58" s="128" t="s">
        <v>3886</v>
      </c>
      <c r="D58" s="88">
        <f>[2]!Table32[[#This Row],[Residential CLM $ Collected]]+[2]!Table32[[#This Row],[C&amp;I CLM $ Collected]]</f>
        <v>19361.401887887354</v>
      </c>
      <c r="E58" s="28">
        <f>[2]!Table3[[#This Row],[CLM $ Collected ]]/'[2]1.) CLM Reference'!$B$4</f>
        <v>5.507403337333142E-6</v>
      </c>
      <c r="F58" s="88">
        <f>[2]!Table32[[#This Row],[Residential Incentive Disbursements]]+[2]!Table32[[#This Row],[C&amp;I Incentive Disbursements]]</f>
        <v>3000</v>
      </c>
      <c r="G58" s="28">
        <f>[2]!Table3[[#This Row],[Incentive Disbursements]]/'[2]1.) CLM Reference'!$B$5</f>
        <v>0</v>
      </c>
      <c r="H58" s="88">
        <v>0</v>
      </c>
      <c r="I58" s="28">
        <f>[2]!Table3[[#This Row],[CLM $ Collected ]]/'[2]1.) CLM Reference'!$B$4</f>
        <v>5.507403337333142E-6</v>
      </c>
      <c r="J58" s="88">
        <v>3000</v>
      </c>
      <c r="K58" s="28">
        <f>[2]!Table3[[#This Row],[Incentive Disbursements]]/'[2]1.) CLM Reference'!$B$5</f>
        <v>0</v>
      </c>
      <c r="L58" s="88">
        <v>19361.401887887354</v>
      </c>
      <c r="M58" s="203">
        <f>[2]!Table32[[#This Row],[CLM $ Collected ]]/'[2]1.) CLM Reference'!$B$4</f>
        <v>8.5916557363790232E-4</v>
      </c>
      <c r="N58" s="88">
        <v>0</v>
      </c>
      <c r="O58" s="204">
        <f>[2]!Table3[[#This Row],[Incentive Disbursements]]/'[2]1.) CLM Reference'!$B$5</f>
        <v>0</v>
      </c>
      <c r="P58" t="str">
        <f>VLOOKUP(Table325[[#This Row],[Census Tract]],'UI EnergyBurden'!$A$2:$B$184,2,FALSE)</f>
        <v>No</v>
      </c>
      <c r="Q58">
        <f>VLOOKUP(Table325[[#This Row],[Census Tract]],'Population and Diversity Data'!B54:K875,10,FALSE)</f>
        <v>5</v>
      </c>
    </row>
    <row r="59" spans="1:17" x14ac:dyDescent="0.2">
      <c r="A59" s="121">
        <v>9001080200</v>
      </c>
      <c r="B59" s="121" t="s">
        <v>956</v>
      </c>
      <c r="C59" s="128" t="s">
        <v>3886</v>
      </c>
      <c r="D59" s="88">
        <f>[2]!Table32[[#This Row],[Residential CLM $ Collected]]+[2]!Table32[[#This Row],[C&amp;I CLM $ Collected]]</f>
        <v>20546.594098450194</v>
      </c>
      <c r="E59" s="28">
        <f>[2]!Table3[[#This Row],[CLM $ Collected ]]/'[2]1.) CLM Reference'!$B$4</f>
        <v>1.5689525372609319E-3</v>
      </c>
      <c r="F59" s="88">
        <f>[2]!Table32[[#This Row],[Residential Incentive Disbursements]]+[2]!Table32[[#This Row],[C&amp;I Incentive Disbursements]]</f>
        <v>37851.880000000005</v>
      </c>
      <c r="G59" s="28">
        <f>[2]!Table3[[#This Row],[Incentive Disbursements]]/'[2]1.) CLM Reference'!$B$5</f>
        <v>1.1724891517808894E-3</v>
      </c>
      <c r="H59" s="88">
        <v>0</v>
      </c>
      <c r="I59" s="28">
        <f>[2]!Table3[[#This Row],[CLM $ Collected ]]/'[2]1.) CLM Reference'!$B$4</f>
        <v>1.5689525372609319E-3</v>
      </c>
      <c r="J59" s="88">
        <v>0</v>
      </c>
      <c r="K59" s="28">
        <f>[2]!Table3[[#This Row],[Incentive Disbursements]]/'[2]1.) CLM Reference'!$B$5</f>
        <v>1.1724891517808894E-3</v>
      </c>
      <c r="L59" s="88">
        <v>20546.594098450194</v>
      </c>
      <c r="M59" s="203">
        <f>[2]!Table32[[#This Row],[CLM $ Collected ]]/'[2]1.) CLM Reference'!$B$4</f>
        <v>9.1175868395892913E-4</v>
      </c>
      <c r="N59" s="88">
        <v>37851.880000000005</v>
      </c>
      <c r="O59" s="204">
        <f>[2]!Table3[[#This Row],[Incentive Disbursements]]/'[2]1.) CLM Reference'!$B$5</f>
        <v>1.1724891517808894E-3</v>
      </c>
      <c r="P59" t="str">
        <f>VLOOKUP(Table325[[#This Row],[Census Tract]],'UI EnergyBurden'!$A$2:$B$184,2,FALSE)</f>
        <v>No</v>
      </c>
      <c r="Q59">
        <f>VLOOKUP(Table325[[#This Row],[Census Tract]],'Population and Diversity Data'!B55:K876,10,FALSE)</f>
        <v>4</v>
      </c>
    </row>
    <row r="60" spans="1:17" x14ac:dyDescent="0.2">
      <c r="A60" s="121">
        <v>9001080400</v>
      </c>
      <c r="B60" s="121" t="s">
        <v>956</v>
      </c>
      <c r="C60" s="128" t="s">
        <v>3886</v>
      </c>
      <c r="D60" s="88">
        <f>[2]!Table32[[#This Row],[Residential CLM $ Collected]]+[2]!Table32[[#This Row],[C&amp;I CLM $ Collected]]</f>
        <v>68678.084463827821</v>
      </c>
      <c r="E60" s="28">
        <f>[2]!Table3[[#This Row],[CLM $ Collected ]]/'[2]1.) CLM Reference'!$B$4</f>
        <v>6.9824360356480113E-6</v>
      </c>
      <c r="F60" s="88">
        <f>[2]!Table32[[#This Row],[Residential Incentive Disbursements]]+[2]!Table32[[#This Row],[C&amp;I Incentive Disbursements]]</f>
        <v>144168</v>
      </c>
      <c r="G60" s="28">
        <f>[2]!Table3[[#This Row],[Incentive Disbursements]]/'[2]1.) CLM Reference'!$B$5</f>
        <v>0</v>
      </c>
      <c r="H60" s="88">
        <v>0</v>
      </c>
      <c r="I60" s="28">
        <f>[2]!Table3[[#This Row],[CLM $ Collected ]]/'[2]1.) CLM Reference'!$B$4</f>
        <v>6.9824360356480113E-6</v>
      </c>
      <c r="J60" s="88">
        <v>0</v>
      </c>
      <c r="K60" s="28">
        <f>[2]!Table3[[#This Row],[Incentive Disbursements]]/'[2]1.) CLM Reference'!$B$5</f>
        <v>0</v>
      </c>
      <c r="L60" s="88">
        <v>68678.084463827821</v>
      </c>
      <c r="M60" s="203">
        <f>[2]!Table32[[#This Row],[CLM $ Collected ]]/'[2]1.) CLM Reference'!$B$4</f>
        <v>3.0476019338058088E-3</v>
      </c>
      <c r="N60" s="88">
        <v>144168</v>
      </c>
      <c r="O60" s="204">
        <f>[2]!Table3[[#This Row],[Incentive Disbursements]]/'[2]1.) CLM Reference'!$B$5</f>
        <v>0</v>
      </c>
      <c r="P60" t="str">
        <f>VLOOKUP(Table325[[#This Row],[Census Tract]],'UI EnergyBurden'!$A$2:$B$184,2,FALSE)</f>
        <v>No</v>
      </c>
      <c r="Q60">
        <f>VLOOKUP(Table325[[#This Row],[Census Tract]],'Population and Diversity Data'!B56:K877,10,FALSE)</f>
        <v>3</v>
      </c>
    </row>
    <row r="61" spans="1:17" x14ac:dyDescent="0.2">
      <c r="A61" s="121">
        <v>9001080500</v>
      </c>
      <c r="B61" s="121" t="s">
        <v>956</v>
      </c>
      <c r="C61" s="128" t="s">
        <v>3886</v>
      </c>
      <c r="D61" s="88">
        <f>[2]!Table32[[#This Row],[Residential CLM $ Collected]]+[2]!Table32[[#This Row],[C&amp;I CLM $ Collected]]</f>
        <v>65994.338767833935</v>
      </c>
      <c r="E61" s="28">
        <f>[2]!Table3[[#This Row],[CLM $ Collected ]]/'[2]1.) CLM Reference'!$B$4</f>
        <v>3.0916271528061523E-3</v>
      </c>
      <c r="F61" s="88">
        <f>[2]!Table32[[#This Row],[Residential Incentive Disbursements]]+[2]!Table32[[#This Row],[C&amp;I Incentive Disbursements]]</f>
        <v>26394</v>
      </c>
      <c r="G61" s="28">
        <f>[2]!Table3[[#This Row],[Incentive Disbursements]]/'[2]1.) CLM Reference'!$B$5</f>
        <v>4.6359501592908806E-3</v>
      </c>
      <c r="H61" s="88">
        <v>0</v>
      </c>
      <c r="I61" s="28">
        <f>[2]!Table3[[#This Row],[CLM $ Collected ]]/'[2]1.) CLM Reference'!$B$4</f>
        <v>3.0916271528061523E-3</v>
      </c>
      <c r="J61" s="88">
        <v>0</v>
      </c>
      <c r="K61" s="28">
        <f>[2]!Table3[[#This Row],[Incentive Disbursements]]/'[2]1.) CLM Reference'!$B$5</f>
        <v>4.6359501592908806E-3</v>
      </c>
      <c r="L61" s="88">
        <v>65994.338767833935</v>
      </c>
      <c r="M61" s="203">
        <f>[2]!Table32[[#This Row],[CLM $ Collected ]]/'[2]1.) CLM Reference'!$B$4</f>
        <v>2.9285102521316967E-3</v>
      </c>
      <c r="N61" s="88">
        <v>26394</v>
      </c>
      <c r="O61" s="204">
        <f>[2]!Table3[[#This Row],[Incentive Disbursements]]/'[2]1.) CLM Reference'!$B$5</f>
        <v>4.6359501592908806E-3</v>
      </c>
      <c r="P61" t="str">
        <f>VLOOKUP(Table325[[#This Row],[Census Tract]],'UI EnergyBurden'!$A$2:$B$184,2,FALSE)</f>
        <v>No</v>
      </c>
      <c r="Q61">
        <f>VLOOKUP(Table325[[#This Row],[Census Tract]],'Population and Diversity Data'!B57:K878,10,FALSE)</f>
        <v>1</v>
      </c>
    </row>
    <row r="62" spans="1:17" x14ac:dyDescent="0.2">
      <c r="A62" s="121">
        <v>9001080600</v>
      </c>
      <c r="B62" s="121" t="s">
        <v>956</v>
      </c>
      <c r="C62" s="128" t="s">
        <v>3886</v>
      </c>
      <c r="D62" s="88">
        <f>[2]!Table32[[#This Row],[Residential CLM $ Collected]]+[2]!Table32[[#This Row],[C&amp;I CLM $ Collected]]</f>
        <v>39840.223231386386</v>
      </c>
      <c r="E62" s="28">
        <f>[2]!Table3[[#This Row],[CLM $ Collected ]]/'[2]1.) CLM Reference'!$B$4</f>
        <v>3.5298351933284986E-6</v>
      </c>
      <c r="F62" s="88">
        <f>[2]!Table32[[#This Row],[Residential Incentive Disbursements]]+[2]!Table32[[#This Row],[C&amp;I Incentive Disbursements]]</f>
        <v>440</v>
      </c>
      <c r="G62" s="28">
        <f>[2]!Table3[[#This Row],[Incentive Disbursements]]/'[2]1.) CLM Reference'!$B$5</f>
        <v>0</v>
      </c>
      <c r="H62" s="88">
        <v>0</v>
      </c>
      <c r="I62" s="28">
        <f>[2]!Table3[[#This Row],[CLM $ Collected ]]/'[2]1.) CLM Reference'!$B$4</f>
        <v>3.5298351933284986E-6</v>
      </c>
      <c r="J62" s="88">
        <v>0</v>
      </c>
      <c r="K62" s="28">
        <f>[2]!Table3[[#This Row],[Incentive Disbursements]]/'[2]1.) CLM Reference'!$B$5</f>
        <v>0</v>
      </c>
      <c r="L62" s="88">
        <v>39840.223231386386</v>
      </c>
      <c r="M62" s="203">
        <f>[2]!Table32[[#This Row],[CLM $ Collected ]]/'[2]1.) CLM Reference'!$B$4</f>
        <v>1.7679168298174895E-3</v>
      </c>
      <c r="N62" s="88">
        <v>440</v>
      </c>
      <c r="O62" s="204">
        <f>[2]!Table3[[#This Row],[Incentive Disbursements]]/'[2]1.) CLM Reference'!$B$5</f>
        <v>0</v>
      </c>
      <c r="P62" t="str">
        <f>VLOOKUP(Table325[[#This Row],[Census Tract]],'UI EnergyBurden'!$A$2:$B$184,2,FALSE)</f>
        <v>No</v>
      </c>
      <c r="Q62">
        <f>VLOOKUP(Table325[[#This Row],[Census Tract]],'Population and Diversity Data'!B58:K879,10,FALSE)</f>
        <v>2</v>
      </c>
    </row>
    <row r="63" spans="1:17" x14ac:dyDescent="0.2">
      <c r="A63" s="121">
        <v>9001080700</v>
      </c>
      <c r="B63" s="121" t="s">
        <v>956</v>
      </c>
      <c r="C63" s="128" t="s">
        <v>3886</v>
      </c>
      <c r="D63" s="88">
        <f>[2]!Table32[[#This Row],[Residential CLM $ Collected]]+[2]!Table32[[#This Row],[C&amp;I CLM $ Collected]]</f>
        <v>31330.495146149311</v>
      </c>
      <c r="E63" s="28">
        <f>[2]!Table3[[#This Row],[CLM $ Collected ]]/'[2]1.) CLM Reference'!$B$4</f>
        <v>8.5365878489752683E-4</v>
      </c>
      <c r="F63" s="88">
        <f>[2]!Table32[[#This Row],[Residential Incentive Disbursements]]+[2]!Table32[[#This Row],[C&amp;I Incentive Disbursements]]</f>
        <v>0</v>
      </c>
      <c r="G63" s="28">
        <f>[2]!Table3[[#This Row],[Incentive Disbursements]]/'[2]1.) CLM Reference'!$B$5</f>
        <v>3.4051878866706953E-5</v>
      </c>
      <c r="H63" s="88">
        <v>0</v>
      </c>
      <c r="I63" s="28">
        <f>[2]!Table3[[#This Row],[CLM $ Collected ]]/'[2]1.) CLM Reference'!$B$4</f>
        <v>8.5365878489752683E-4</v>
      </c>
      <c r="J63" s="88">
        <v>0</v>
      </c>
      <c r="K63" s="28">
        <f>[2]!Table3[[#This Row],[Incentive Disbursements]]/'[2]1.) CLM Reference'!$B$5</f>
        <v>3.4051878866706953E-5</v>
      </c>
      <c r="L63" s="88">
        <v>31330.495146149311</v>
      </c>
      <c r="M63" s="203">
        <f>[2]!Table32[[#This Row],[CLM $ Collected ]]/'[2]1.) CLM Reference'!$B$4</f>
        <v>1.3902961671097304E-3</v>
      </c>
      <c r="N63" s="88">
        <v>0</v>
      </c>
      <c r="O63" s="204">
        <f>[2]!Table3[[#This Row],[Incentive Disbursements]]/'[2]1.) CLM Reference'!$B$5</f>
        <v>3.4051878866706953E-5</v>
      </c>
      <c r="P63" t="str">
        <f>VLOOKUP(Table325[[#This Row],[Census Tract]],'UI EnergyBurden'!$A$2:$B$184,2,FALSE)</f>
        <v>No</v>
      </c>
      <c r="Q63">
        <f>VLOOKUP(Table325[[#This Row],[Census Tract]],'Population and Diversity Data'!B59:K880,10,FALSE)</f>
        <v>1</v>
      </c>
    </row>
    <row r="64" spans="1:17" x14ac:dyDescent="0.2">
      <c r="A64" s="121">
        <v>9001080800</v>
      </c>
      <c r="B64" s="121" t="s">
        <v>956</v>
      </c>
      <c r="C64" s="128" t="s">
        <v>3886</v>
      </c>
      <c r="D64" s="88">
        <f>[2]!Table32[[#This Row],[Residential CLM $ Collected]]+[2]!Table32[[#This Row],[C&amp;I CLM $ Collected]]</f>
        <v>57311.743990744588</v>
      </c>
      <c r="E64" s="28">
        <f>[2]!Table3[[#This Row],[CLM $ Collected ]]/'[2]1.) CLM Reference'!$B$4</f>
        <v>1.2976190432119971E-6</v>
      </c>
      <c r="F64" s="88">
        <f>[2]!Table32[[#This Row],[Residential Incentive Disbursements]]+[2]!Table32[[#This Row],[C&amp;I Incentive Disbursements]]</f>
        <v>59165</v>
      </c>
      <c r="G64" s="28">
        <f>[2]!Table3[[#This Row],[Incentive Disbursements]]/'[2]1.) CLM Reference'!$B$5</f>
        <v>0</v>
      </c>
      <c r="H64" s="88">
        <v>0</v>
      </c>
      <c r="I64" s="28">
        <f>[2]!Table3[[#This Row],[CLM $ Collected ]]/'[2]1.) CLM Reference'!$B$4</f>
        <v>1.2976190432119971E-6</v>
      </c>
      <c r="J64" s="88">
        <v>0</v>
      </c>
      <c r="K64" s="28">
        <f>[2]!Table3[[#This Row],[Incentive Disbursements]]/'[2]1.) CLM Reference'!$B$5</f>
        <v>0</v>
      </c>
      <c r="L64" s="88">
        <v>57311.743990744588</v>
      </c>
      <c r="M64" s="203">
        <f>[2]!Table32[[#This Row],[CLM $ Collected ]]/'[2]1.) CLM Reference'!$B$4</f>
        <v>2.5432185999300898E-3</v>
      </c>
      <c r="N64" s="88">
        <v>59165</v>
      </c>
      <c r="O64" s="204">
        <f>[2]!Table3[[#This Row],[Incentive Disbursements]]/'[2]1.) CLM Reference'!$B$5</f>
        <v>0</v>
      </c>
      <c r="P64" t="str">
        <f>VLOOKUP(Table325[[#This Row],[Census Tract]],'UI EnergyBurden'!$A$2:$B$184,2,FALSE)</f>
        <v>No</v>
      </c>
      <c r="Q64">
        <f>VLOOKUP(Table325[[#This Row],[Census Tract]],'Population and Diversity Data'!B60:K881,10,FALSE)</f>
        <v>2</v>
      </c>
    </row>
    <row r="65" spans="1:17" x14ac:dyDescent="0.2">
      <c r="A65" s="121">
        <v>9001081000</v>
      </c>
      <c r="B65" s="121" t="s">
        <v>956</v>
      </c>
      <c r="C65" s="128" t="s">
        <v>3886</v>
      </c>
      <c r="D65" s="88">
        <f>[2]!Table32[[#This Row],[Residential CLM $ Collected]]+[2]!Table32[[#This Row],[C&amp;I CLM $ Collected]]</f>
        <v>1651.6608182103535</v>
      </c>
      <c r="E65" s="28">
        <f>[2]!Table3[[#This Row],[CLM $ Collected ]]/'[2]1.) CLM Reference'!$B$4</f>
        <v>2.3755575742165596E-3</v>
      </c>
      <c r="F65" s="88">
        <f>[2]!Table32[[#This Row],[Residential Incentive Disbursements]]+[2]!Table32[[#This Row],[C&amp;I Incentive Disbursements]]</f>
        <v>0</v>
      </c>
      <c r="G65" s="28">
        <f>[2]!Table3[[#This Row],[Incentive Disbursements]]/'[2]1.) CLM Reference'!$B$5</f>
        <v>2.8024891425775952E-3</v>
      </c>
      <c r="H65" s="88">
        <v>0</v>
      </c>
      <c r="I65" s="28">
        <f>[2]!Table3[[#This Row],[CLM $ Collected ]]/'[2]1.) CLM Reference'!$B$4</f>
        <v>2.3755575742165596E-3</v>
      </c>
      <c r="J65" s="88">
        <v>0</v>
      </c>
      <c r="K65" s="28">
        <f>[2]!Table3[[#This Row],[Incentive Disbursements]]/'[2]1.) CLM Reference'!$B$5</f>
        <v>2.8024891425775952E-3</v>
      </c>
      <c r="L65" s="88">
        <v>1651.6608182103535</v>
      </c>
      <c r="M65" s="203">
        <f>[2]!Table32[[#This Row],[CLM $ Collected ]]/'[2]1.) CLM Reference'!$B$4</f>
        <v>7.3292735854045492E-5</v>
      </c>
      <c r="N65" s="88">
        <v>0</v>
      </c>
      <c r="O65" s="204">
        <f>[2]!Table3[[#This Row],[Incentive Disbursements]]/'[2]1.) CLM Reference'!$B$5</f>
        <v>2.8024891425775952E-3</v>
      </c>
      <c r="P65" t="str">
        <f>VLOOKUP(Table325[[#This Row],[Census Tract]],'UI EnergyBurden'!$A$2:$B$184,2,FALSE)</f>
        <v>No</v>
      </c>
      <c r="Q65">
        <f>VLOOKUP(Table325[[#This Row],[Census Tract]],'Population and Diversity Data'!B61:K882,10,FALSE)</f>
        <v>2</v>
      </c>
    </row>
    <row r="66" spans="1:17" x14ac:dyDescent="0.2">
      <c r="A66" s="121">
        <v>9001081100</v>
      </c>
      <c r="B66" s="121" t="s">
        <v>956</v>
      </c>
      <c r="C66" s="128" t="s">
        <v>3886</v>
      </c>
      <c r="D66" s="88">
        <f>[2]!Table32[[#This Row],[Residential CLM $ Collected]]+[2]!Table32[[#This Row],[C&amp;I CLM $ Collected]]</f>
        <v>22025.406691499</v>
      </c>
      <c r="E66" s="28">
        <f>[2]!Table3[[#This Row],[CLM $ Collected ]]/'[2]1.) CLM Reference'!$B$4</f>
        <v>2.7241260338714403E-3</v>
      </c>
      <c r="F66" s="88">
        <f>[2]!Table32[[#This Row],[Residential Incentive Disbursements]]+[2]!Table32[[#This Row],[C&amp;I Incentive Disbursements]]</f>
        <v>64965</v>
      </c>
      <c r="G66" s="28">
        <f>[2]!Table3[[#This Row],[Incentive Disbursements]]/'[2]1.) CLM Reference'!$B$5</f>
        <v>5.1456869900446444E-3</v>
      </c>
      <c r="H66" s="88">
        <v>0</v>
      </c>
      <c r="I66" s="28">
        <f>[2]!Table3[[#This Row],[CLM $ Collected ]]/'[2]1.) CLM Reference'!$B$4</f>
        <v>2.7241260338714403E-3</v>
      </c>
      <c r="J66" s="88">
        <v>0</v>
      </c>
      <c r="K66" s="28">
        <f>[2]!Table3[[#This Row],[Incentive Disbursements]]/'[2]1.) CLM Reference'!$B$5</f>
        <v>5.1456869900446444E-3</v>
      </c>
      <c r="L66" s="88">
        <v>22025.406691499</v>
      </c>
      <c r="M66" s="203">
        <f>[2]!Table32[[#This Row],[CLM $ Collected ]]/'[2]1.) CLM Reference'!$B$4</f>
        <v>9.7738124978173743E-4</v>
      </c>
      <c r="N66" s="88">
        <v>64965</v>
      </c>
      <c r="O66" s="204">
        <f>[2]!Table3[[#This Row],[Incentive Disbursements]]/'[2]1.) CLM Reference'!$B$5</f>
        <v>5.1456869900446444E-3</v>
      </c>
      <c r="P66" t="str">
        <f>VLOOKUP(Table325[[#This Row],[Census Tract]],'UI EnergyBurden'!$A$2:$B$184,2,FALSE)</f>
        <v>No</v>
      </c>
      <c r="Q66">
        <f>VLOOKUP(Table325[[#This Row],[Census Tract]],'Population and Diversity Data'!B62:K883,10,FALSE)</f>
        <v>1</v>
      </c>
    </row>
    <row r="67" spans="1:17" x14ac:dyDescent="0.2">
      <c r="A67" s="121">
        <v>9001081200</v>
      </c>
      <c r="B67" s="121" t="s">
        <v>956</v>
      </c>
      <c r="C67" s="128" t="s">
        <v>3886</v>
      </c>
      <c r="D67" s="88">
        <f>[2]!Table32[[#This Row],[Residential CLM $ Collected]]+[2]!Table32[[#This Row],[C&amp;I CLM $ Collected]]</f>
        <v>11655.621183249426</v>
      </c>
      <c r="E67" s="28">
        <f>[2]!Table3[[#This Row],[CLM $ Collected ]]/'[2]1.) CLM Reference'!$B$4</f>
        <v>1.6775716916426629E-3</v>
      </c>
      <c r="F67" s="88">
        <f>[2]!Table32[[#This Row],[Residential Incentive Disbursements]]+[2]!Table32[[#This Row],[C&amp;I Incentive Disbursements]]</f>
        <v>0</v>
      </c>
      <c r="G67" s="28">
        <f>[2]!Table3[[#This Row],[Incentive Disbursements]]/'[2]1.) CLM Reference'!$B$5</f>
        <v>4.2874413925187988E-4</v>
      </c>
      <c r="H67" s="88">
        <v>0</v>
      </c>
      <c r="I67" s="28">
        <f>[2]!Table3[[#This Row],[CLM $ Collected ]]/'[2]1.) CLM Reference'!$B$4</f>
        <v>1.6775716916426629E-3</v>
      </c>
      <c r="J67" s="88">
        <v>0</v>
      </c>
      <c r="K67" s="28">
        <f>[2]!Table3[[#This Row],[Incentive Disbursements]]/'[2]1.) CLM Reference'!$B$5</f>
        <v>4.2874413925187988E-4</v>
      </c>
      <c r="L67" s="88">
        <v>11655.621183249426</v>
      </c>
      <c r="M67" s="203">
        <f>[2]!Table32[[#This Row],[CLM $ Collected ]]/'[2]1.) CLM Reference'!$B$4</f>
        <v>5.1722021566410873E-4</v>
      </c>
      <c r="N67" s="88">
        <v>0</v>
      </c>
      <c r="O67" s="204">
        <f>[2]!Table3[[#This Row],[Incentive Disbursements]]/'[2]1.) CLM Reference'!$B$5</f>
        <v>4.2874413925187988E-4</v>
      </c>
      <c r="P67" t="str">
        <f>VLOOKUP(Table325[[#This Row],[Census Tract]],'UI EnergyBurden'!$A$2:$B$184,2,FALSE)</f>
        <v>No</v>
      </c>
      <c r="Q67">
        <f>VLOOKUP(Table325[[#This Row],[Census Tract]],'Population and Diversity Data'!B63:K884,10,FALSE)</f>
        <v>3</v>
      </c>
    </row>
    <row r="68" spans="1:17" x14ac:dyDescent="0.2">
      <c r="A68" s="121">
        <v>9001081300</v>
      </c>
      <c r="B68" s="121" t="s">
        <v>956</v>
      </c>
      <c r="C68" s="128" t="s">
        <v>3886</v>
      </c>
      <c r="D68" s="88">
        <f>[2]!Table32[[#This Row],[Residential CLM $ Collected]]+[2]!Table32[[#This Row],[C&amp;I CLM $ Collected]]</f>
        <v>74188.083308120244</v>
      </c>
      <c r="E68" s="28">
        <f>[2]!Table3[[#This Row],[CLM $ Collected ]]/'[2]1.) CLM Reference'!$B$4</f>
        <v>1.1107063823976311E-3</v>
      </c>
      <c r="F68" s="88">
        <f>[2]!Table32[[#This Row],[Residential Incentive Disbursements]]+[2]!Table32[[#This Row],[C&amp;I Incentive Disbursements]]</f>
        <v>338232</v>
      </c>
      <c r="G68" s="28">
        <f>[2]!Table3[[#This Row],[Incentive Disbursements]]/'[2]1.) CLM Reference'!$B$5</f>
        <v>3.1133746214134654E-5</v>
      </c>
      <c r="H68" s="88">
        <v>0</v>
      </c>
      <c r="I68" s="28">
        <f>[2]!Table3[[#This Row],[CLM $ Collected ]]/'[2]1.) CLM Reference'!$B$4</f>
        <v>1.1107063823976311E-3</v>
      </c>
      <c r="J68" s="88">
        <v>0</v>
      </c>
      <c r="K68" s="28">
        <f>[2]!Table3[[#This Row],[Incentive Disbursements]]/'[2]1.) CLM Reference'!$B$5</f>
        <v>3.1133746214134654E-5</v>
      </c>
      <c r="L68" s="88">
        <v>74188.083308120244</v>
      </c>
      <c r="M68" s="203">
        <f>[2]!Table32[[#This Row],[CLM $ Collected ]]/'[2]1.) CLM Reference'!$B$4</f>
        <v>3.2921090901167527E-3</v>
      </c>
      <c r="N68" s="88">
        <v>338232</v>
      </c>
      <c r="O68" s="204">
        <f>[2]!Table3[[#This Row],[Incentive Disbursements]]/'[2]1.) CLM Reference'!$B$5</f>
        <v>3.1133746214134654E-5</v>
      </c>
      <c r="P68" t="str">
        <f>VLOOKUP(Table325[[#This Row],[Census Tract]],'UI EnergyBurden'!$A$2:$B$184,2,FALSE)</f>
        <v>No</v>
      </c>
      <c r="Q68">
        <f>VLOOKUP(Table325[[#This Row],[Census Tract]],'Population and Diversity Data'!B64:K885,10,FALSE)</f>
        <v>4</v>
      </c>
    </row>
    <row r="69" spans="1:17" x14ac:dyDescent="0.2">
      <c r="A69" s="121">
        <v>9001090100</v>
      </c>
      <c r="B69" s="121" t="s">
        <v>2984</v>
      </c>
      <c r="C69" s="128" t="s">
        <v>3886</v>
      </c>
      <c r="D69" s="88">
        <f>[2]!Table32[[#This Row],[Residential CLM $ Collected]]+[2]!Table32[[#This Row],[C&amp;I CLM $ Collected]]</f>
        <v>52475.871691272936</v>
      </c>
      <c r="E69" s="28">
        <f>[2]!Table3[[#This Row],[CLM $ Collected ]]/'[2]1.) CLM Reference'!$B$4</f>
        <v>2.8814640842189407E-3</v>
      </c>
      <c r="F69" s="88">
        <f>[2]!Table32[[#This Row],[Residential Incentive Disbursements]]+[2]!Table32[[#This Row],[C&amp;I Incentive Disbursements]]</f>
        <v>36383</v>
      </c>
      <c r="G69" s="28">
        <f>[2]!Table3[[#This Row],[Incentive Disbursements]]/'[2]1.) CLM Reference'!$B$5</f>
        <v>1.3750986954867408E-3</v>
      </c>
      <c r="H69" s="88">
        <v>0</v>
      </c>
      <c r="I69" s="28">
        <f>[2]!Table3[[#This Row],[CLM $ Collected ]]/'[2]1.) CLM Reference'!$B$4</f>
        <v>2.8814640842189407E-3</v>
      </c>
      <c r="J69" s="88">
        <v>0</v>
      </c>
      <c r="K69" s="28">
        <f>[2]!Table3[[#This Row],[Incentive Disbursements]]/'[2]1.) CLM Reference'!$B$5</f>
        <v>1.3750986954867408E-3</v>
      </c>
      <c r="L69" s="88">
        <v>52475.871691272936</v>
      </c>
      <c r="M69" s="203">
        <f>[2]!Table32[[#This Row],[CLM $ Collected ]]/'[2]1.) CLM Reference'!$B$4</f>
        <v>2.3286259262035821E-3</v>
      </c>
      <c r="N69" s="88">
        <v>36383</v>
      </c>
      <c r="O69" s="204">
        <f>[2]!Table3[[#This Row],[Incentive Disbursements]]/'[2]1.) CLM Reference'!$B$5</f>
        <v>1.3750986954867408E-3</v>
      </c>
      <c r="P69" t="str">
        <f>VLOOKUP(Table325[[#This Row],[Census Tract]],'UI EnergyBurden'!$A$2:$B$184,2,FALSE)</f>
        <v>No</v>
      </c>
      <c r="Q69">
        <f>VLOOKUP(Table325[[#This Row],[Census Tract]],'Population and Diversity Data'!B65:K886,10,FALSE)</f>
        <v>1</v>
      </c>
    </row>
    <row r="70" spans="1:17" x14ac:dyDescent="0.2">
      <c r="A70" s="121">
        <v>9001090200</v>
      </c>
      <c r="B70" s="121" t="s">
        <v>2984</v>
      </c>
      <c r="C70" s="128" t="s">
        <v>3886</v>
      </c>
      <c r="D70" s="88">
        <f>[2]!Table32[[#This Row],[Residential CLM $ Collected]]+[2]!Table32[[#This Row],[C&amp;I CLM $ Collected]]</f>
        <v>25186.534809357323</v>
      </c>
      <c r="E70" s="28">
        <f>[2]!Table3[[#This Row],[CLM $ Collected ]]/'[2]1.) CLM Reference'!$B$4</f>
        <v>1.0038416974642859E-8</v>
      </c>
      <c r="F70" s="88">
        <f>[2]!Table32[[#This Row],[Residential Incentive Disbursements]]+[2]!Table32[[#This Row],[C&amp;I Incentive Disbursements]]</f>
        <v>0</v>
      </c>
      <c r="G70" s="28">
        <f>[2]!Table3[[#This Row],[Incentive Disbursements]]/'[2]1.) CLM Reference'!$B$5</f>
        <v>0</v>
      </c>
      <c r="H70" s="88">
        <v>0</v>
      </c>
      <c r="I70" s="28">
        <f>[2]!Table3[[#This Row],[CLM $ Collected ]]/'[2]1.) CLM Reference'!$B$4</f>
        <v>1.0038416974642859E-8</v>
      </c>
      <c r="J70" s="88">
        <v>0</v>
      </c>
      <c r="K70" s="28">
        <f>[2]!Table3[[#This Row],[Incentive Disbursements]]/'[2]1.) CLM Reference'!$B$5</f>
        <v>0</v>
      </c>
      <c r="L70" s="88">
        <v>25186.534809357323</v>
      </c>
      <c r="M70" s="203">
        <f>[2]!Table32[[#This Row],[CLM $ Collected ]]/'[2]1.) CLM Reference'!$B$4</f>
        <v>1.1176568593914814E-3</v>
      </c>
      <c r="N70" s="88">
        <v>0</v>
      </c>
      <c r="O70" s="204">
        <f>[2]!Table3[[#This Row],[Incentive Disbursements]]/'[2]1.) CLM Reference'!$B$5</f>
        <v>0</v>
      </c>
      <c r="P70" t="str">
        <f>VLOOKUP(Table325[[#This Row],[Census Tract]],'UI EnergyBurden'!$A$2:$B$184,2,FALSE)</f>
        <v>No</v>
      </c>
      <c r="Q70">
        <f>VLOOKUP(Table325[[#This Row],[Census Tract]],'Population and Diversity Data'!B66:K887,10,FALSE)</f>
        <v>3</v>
      </c>
    </row>
    <row r="71" spans="1:17" x14ac:dyDescent="0.2">
      <c r="A71" s="121">
        <v>9001090300</v>
      </c>
      <c r="B71" s="121" t="s">
        <v>2984</v>
      </c>
      <c r="C71" s="128" t="s">
        <v>3886</v>
      </c>
      <c r="D71" s="88">
        <f>[2]!Table32[[#This Row],[Residential CLM $ Collected]]+[2]!Table32[[#This Row],[C&amp;I CLM $ Collected]]</f>
        <v>71220.301442125303</v>
      </c>
      <c r="E71" s="28">
        <f>[2]!Table3[[#This Row],[CLM $ Collected ]]/'[2]1.) CLM Reference'!$B$4</f>
        <v>1.4313031004511468E-3</v>
      </c>
      <c r="F71" s="88">
        <f>[2]!Table32[[#This Row],[Residential Incentive Disbursements]]+[2]!Table32[[#This Row],[C&amp;I Incentive Disbursements]]</f>
        <v>0</v>
      </c>
      <c r="G71" s="28">
        <f>[2]!Table3[[#This Row],[Incentive Disbursements]]/'[2]1.) CLM Reference'!$B$5</f>
        <v>8.2716896668842807E-4</v>
      </c>
      <c r="H71" s="88">
        <v>1285.6510080926298</v>
      </c>
      <c r="I71" s="28">
        <f>[2]!Table3[[#This Row],[CLM $ Collected ]]/'[2]1.) CLM Reference'!$B$4</f>
        <v>1.4313031004511468E-3</v>
      </c>
      <c r="J71" s="88">
        <v>0</v>
      </c>
      <c r="K71" s="28">
        <f>[2]!Table3[[#This Row],[Incentive Disbursements]]/'[2]1.) CLM Reference'!$B$5</f>
        <v>8.2716896668842807E-4</v>
      </c>
      <c r="L71" s="88">
        <v>69934.650434032679</v>
      </c>
      <c r="M71" s="203">
        <f>[2]!Table32[[#This Row],[CLM $ Collected ]]/'[2]1.) CLM Reference'!$B$4</f>
        <v>3.1604132540355395E-3</v>
      </c>
      <c r="N71" s="88">
        <v>0</v>
      </c>
      <c r="O71" s="204">
        <f>[2]!Table3[[#This Row],[Incentive Disbursements]]/'[2]1.) CLM Reference'!$B$5</f>
        <v>8.2716896668842807E-4</v>
      </c>
      <c r="P71" t="str">
        <f>VLOOKUP(Table325[[#This Row],[Census Tract]],'UI EnergyBurden'!$A$2:$B$184,2,FALSE)</f>
        <v>No</v>
      </c>
      <c r="Q71">
        <f>VLOOKUP(Table325[[#This Row],[Census Tract]],'Population and Diversity Data'!B67:K888,10,FALSE)</f>
        <v>3</v>
      </c>
    </row>
    <row r="72" spans="1:17" x14ac:dyDescent="0.2">
      <c r="A72" s="121">
        <v>9001090400</v>
      </c>
      <c r="B72" s="121" t="s">
        <v>2984</v>
      </c>
      <c r="C72" s="128" t="s">
        <v>3886</v>
      </c>
      <c r="D72" s="88">
        <f>[2]!Table32[[#This Row],[Residential CLM $ Collected]]+[2]!Table32[[#This Row],[C&amp;I CLM $ Collected]]</f>
        <v>59782.86420976089</v>
      </c>
      <c r="E72" s="28">
        <f>[2]!Table3[[#This Row],[CLM $ Collected ]]/'[2]1.) CLM Reference'!$B$4</f>
        <v>1.7066411034103539E-3</v>
      </c>
      <c r="F72" s="88">
        <f>[2]!Table32[[#This Row],[Residential Incentive Disbursements]]+[2]!Table32[[#This Row],[C&amp;I Incentive Disbursements]]</f>
        <v>55921.86</v>
      </c>
      <c r="G72" s="28">
        <f>[2]!Table3[[#This Row],[Incentive Disbursements]]/'[2]1.) CLM Reference'!$B$5</f>
        <v>7.093800796515421E-4</v>
      </c>
      <c r="H72" s="88">
        <v>0</v>
      </c>
      <c r="I72" s="28">
        <f>[2]!Table3[[#This Row],[CLM $ Collected ]]/'[2]1.) CLM Reference'!$B$4</f>
        <v>1.7066411034103539E-3</v>
      </c>
      <c r="J72" s="88">
        <v>0</v>
      </c>
      <c r="K72" s="28">
        <f>[2]!Table3[[#This Row],[Incentive Disbursements]]/'[2]1.) CLM Reference'!$B$5</f>
        <v>7.093800796515421E-4</v>
      </c>
      <c r="L72" s="88">
        <v>59782.86420976089</v>
      </c>
      <c r="M72" s="203">
        <f>[2]!Table32[[#This Row],[CLM $ Collected ]]/'[2]1.) CLM Reference'!$B$4</f>
        <v>2.6528749891106475E-3</v>
      </c>
      <c r="N72" s="88">
        <v>55921.86</v>
      </c>
      <c r="O72" s="204">
        <f>[2]!Table3[[#This Row],[Incentive Disbursements]]/'[2]1.) CLM Reference'!$B$5</f>
        <v>7.093800796515421E-4</v>
      </c>
      <c r="P72" t="str">
        <f>VLOOKUP(Table325[[#This Row],[Census Tract]],'UI EnergyBurden'!$A$2:$B$184,2,FALSE)</f>
        <v>No</v>
      </c>
      <c r="Q72">
        <f>VLOOKUP(Table325[[#This Row],[Census Tract]],'Population and Diversity Data'!B68:K889,10,FALSE)</f>
        <v>4</v>
      </c>
    </row>
    <row r="73" spans="1:17" x14ac:dyDescent="0.2">
      <c r="A73" s="121">
        <v>9001090500</v>
      </c>
      <c r="B73" s="121" t="s">
        <v>2984</v>
      </c>
      <c r="C73" s="128" t="s">
        <v>3886</v>
      </c>
      <c r="D73" s="88">
        <f>[2]!Table32[[#This Row],[Residential CLM $ Collected]]+[2]!Table32[[#This Row],[C&amp;I CLM $ Collected]]</f>
        <v>187777.89827642377</v>
      </c>
      <c r="E73" s="28">
        <f>[2]!Table3[[#This Row],[CLM $ Collected ]]/'[2]1.) CLM Reference'!$B$4</f>
        <v>1.6965524943508385E-3</v>
      </c>
      <c r="F73" s="88">
        <f>[2]!Table32[[#This Row],[Residential Incentive Disbursements]]+[2]!Table32[[#This Row],[C&amp;I Incentive Disbursements]]</f>
        <v>11492</v>
      </c>
      <c r="G73" s="28">
        <f>[2]!Table3[[#This Row],[Incentive Disbursements]]/'[2]1.) CLM Reference'!$B$5</f>
        <v>1.0318883832833696E-3</v>
      </c>
      <c r="H73" s="88">
        <v>0</v>
      </c>
      <c r="I73" s="28">
        <f>[2]!Table3[[#This Row],[CLM $ Collected ]]/'[2]1.) CLM Reference'!$B$4</f>
        <v>1.6965524943508385E-3</v>
      </c>
      <c r="J73" s="88">
        <v>0</v>
      </c>
      <c r="K73" s="28">
        <f>[2]!Table3[[#This Row],[Incentive Disbursements]]/'[2]1.) CLM Reference'!$B$5</f>
        <v>1.0318883832833696E-3</v>
      </c>
      <c r="L73" s="88">
        <v>187777.89827642377</v>
      </c>
      <c r="M73" s="203">
        <f>[2]!Table32[[#This Row],[CLM $ Collected ]]/'[2]1.) CLM Reference'!$B$4</f>
        <v>8.3326768703723911E-3</v>
      </c>
      <c r="N73" s="88">
        <v>11492</v>
      </c>
      <c r="O73" s="204">
        <f>[2]!Table3[[#This Row],[Incentive Disbursements]]/'[2]1.) CLM Reference'!$B$5</f>
        <v>1.0318883832833696E-3</v>
      </c>
      <c r="P73" t="str">
        <f>VLOOKUP(Table325[[#This Row],[Census Tract]],'UI EnergyBurden'!$A$2:$B$184,2,FALSE)</f>
        <v>No</v>
      </c>
      <c r="Q73">
        <f>VLOOKUP(Table325[[#This Row],[Census Tract]],'Population and Diversity Data'!B69:K890,10,FALSE)</f>
        <v>3</v>
      </c>
    </row>
    <row r="74" spans="1:17" x14ac:dyDescent="0.2">
      <c r="A74" s="121">
        <v>9001090600</v>
      </c>
      <c r="B74" s="121" t="s">
        <v>2984</v>
      </c>
      <c r="C74" s="128" t="s">
        <v>3886</v>
      </c>
      <c r="D74" s="88">
        <f>[2]!Table32[[#This Row],[Residential CLM $ Collected]]+[2]!Table32[[#This Row],[C&amp;I CLM $ Collected]]</f>
        <v>16803.857556290273</v>
      </c>
      <c r="E74" s="28">
        <f>[2]!Table3[[#This Row],[CLM $ Collected ]]/'[2]1.) CLM Reference'!$B$4</f>
        <v>6.2138067398387624E-4</v>
      </c>
      <c r="F74" s="88">
        <f>[2]!Table32[[#This Row],[Residential Incentive Disbursements]]+[2]!Table32[[#This Row],[C&amp;I Incentive Disbursements]]</f>
        <v>237056</v>
      </c>
      <c r="G74" s="28">
        <f>[2]!Table3[[#This Row],[Incentive Disbursements]]/'[2]1.) CLM Reference'!$B$5</f>
        <v>0</v>
      </c>
      <c r="H74" s="88">
        <v>0</v>
      </c>
      <c r="I74" s="28">
        <f>[2]!Table3[[#This Row],[CLM $ Collected ]]/'[2]1.) CLM Reference'!$B$4</f>
        <v>6.2138067398387624E-4</v>
      </c>
      <c r="J74" s="88">
        <v>0</v>
      </c>
      <c r="K74" s="28">
        <f>[2]!Table3[[#This Row],[Incentive Disbursements]]/'[2]1.) CLM Reference'!$B$5</f>
        <v>0</v>
      </c>
      <c r="L74" s="88">
        <v>16803.857556290273</v>
      </c>
      <c r="M74" s="203">
        <f>[2]!Table32[[#This Row],[CLM $ Collected ]]/'[2]1.) CLM Reference'!$B$4</f>
        <v>7.4567409944172579E-4</v>
      </c>
      <c r="N74" s="88">
        <v>237056</v>
      </c>
      <c r="O74" s="204">
        <f>[2]!Table3[[#This Row],[Incentive Disbursements]]/'[2]1.) CLM Reference'!$B$5</f>
        <v>0</v>
      </c>
      <c r="P74" t="str">
        <f>VLOOKUP(Table325[[#This Row],[Census Tract]],'UI EnergyBurden'!$A$2:$B$184,2,FALSE)</f>
        <v>No</v>
      </c>
      <c r="Q74">
        <f>VLOOKUP(Table325[[#This Row],[Census Tract]],'Population and Diversity Data'!B70:K891,10,FALSE)</f>
        <v>2</v>
      </c>
    </row>
    <row r="75" spans="1:17" x14ac:dyDescent="0.2">
      <c r="A75" s="121">
        <v>9001090700</v>
      </c>
      <c r="B75" s="121" t="s">
        <v>2984</v>
      </c>
      <c r="C75" s="128" t="s">
        <v>3886</v>
      </c>
      <c r="D75" s="88">
        <f>[2]!Table32[[#This Row],[Residential CLM $ Collected]]+[2]!Table32[[#This Row],[C&amp;I CLM $ Collected]]</f>
        <v>32845.687119921218</v>
      </c>
      <c r="E75" s="28">
        <f>[2]!Table3[[#This Row],[CLM $ Collected ]]/'[2]1.) CLM Reference'!$B$4</f>
        <v>3.2892622770090067E-3</v>
      </c>
      <c r="F75" s="88">
        <f>[2]!Table32[[#This Row],[Residential Incentive Disbursements]]+[2]!Table32[[#This Row],[C&amp;I Incentive Disbursements]]</f>
        <v>131315</v>
      </c>
      <c r="G75" s="28">
        <f>[2]!Table3[[#This Row],[Incentive Disbursements]]/'[2]1.) CLM Reference'!$B$5</f>
        <v>1.4794330521597778E-3</v>
      </c>
      <c r="H75" s="88">
        <v>1507.9899643901772</v>
      </c>
      <c r="I75" s="28">
        <f>[2]!Table3[[#This Row],[CLM $ Collected ]]/'[2]1.) CLM Reference'!$B$4</f>
        <v>3.2892622770090067E-3</v>
      </c>
      <c r="J75" s="88">
        <v>4500</v>
      </c>
      <c r="K75" s="28">
        <f>[2]!Table3[[#This Row],[Incentive Disbursements]]/'[2]1.) CLM Reference'!$B$5</f>
        <v>1.4794330521597778E-3</v>
      </c>
      <c r="L75" s="88">
        <v>31337.697155531045</v>
      </c>
      <c r="M75" s="203">
        <f>[2]!Table32[[#This Row],[CLM $ Collected ]]/'[2]1.) CLM Reference'!$B$4</f>
        <v>1.4575330742745832E-3</v>
      </c>
      <c r="N75" s="88">
        <v>126815</v>
      </c>
      <c r="O75" s="204">
        <f>[2]!Table3[[#This Row],[Incentive Disbursements]]/'[2]1.) CLM Reference'!$B$5</f>
        <v>1.4794330521597778E-3</v>
      </c>
      <c r="P75" t="str">
        <f>VLOOKUP(Table325[[#This Row],[Census Tract]],'UI EnergyBurden'!$A$2:$B$184,2,FALSE)</f>
        <v>No</v>
      </c>
      <c r="Q75">
        <f>VLOOKUP(Table325[[#This Row],[Census Tract]],'Population and Diversity Data'!B71:K892,10,FALSE)</f>
        <v>3</v>
      </c>
    </row>
    <row r="76" spans="1:17" x14ac:dyDescent="0.2">
      <c r="A76" s="121">
        <v>9001105100</v>
      </c>
      <c r="B76" s="121" t="s">
        <v>2982</v>
      </c>
      <c r="C76" s="128" t="s">
        <v>3886</v>
      </c>
      <c r="D76" s="88">
        <f>[2]!Table32[[#This Row],[Residential CLM $ Collected]]+[2]!Table32[[#This Row],[C&amp;I CLM $ Collected]]</f>
        <v>25141.199083633859</v>
      </c>
      <c r="E76" s="28">
        <f>[2]!Table3[[#This Row],[CLM $ Collected ]]/'[2]1.) CLM Reference'!$B$4</f>
        <v>2.7290153575350505E-6</v>
      </c>
      <c r="F76" s="88">
        <f>[2]!Table32[[#This Row],[Residential Incentive Disbursements]]+[2]!Table32[[#This Row],[C&amp;I Incentive Disbursements]]</f>
        <v>69054</v>
      </c>
      <c r="G76" s="28">
        <f>[2]!Table3[[#This Row],[Incentive Disbursements]]/'[2]1.) CLM Reference'!$B$5</f>
        <v>0</v>
      </c>
      <c r="H76" s="88">
        <v>0</v>
      </c>
      <c r="I76" s="28">
        <f>[2]!Table3[[#This Row],[CLM $ Collected ]]/'[2]1.) CLM Reference'!$B$4</f>
        <v>2.7290153575350505E-6</v>
      </c>
      <c r="J76" s="88">
        <v>0</v>
      </c>
      <c r="K76" s="28">
        <f>[2]!Table3[[#This Row],[Incentive Disbursements]]/'[2]1.) CLM Reference'!$B$5</f>
        <v>0</v>
      </c>
      <c r="L76" s="88">
        <v>25141.199083633859</v>
      </c>
      <c r="M76" s="203">
        <f>[2]!Table32[[#This Row],[CLM $ Collected ]]/'[2]1.) CLM Reference'!$B$4</f>
        <v>1.1156450786835019E-3</v>
      </c>
      <c r="N76" s="88">
        <v>69054</v>
      </c>
      <c r="O76" s="204">
        <f>[2]!Table3[[#This Row],[Incentive Disbursements]]/'[2]1.) CLM Reference'!$B$5</f>
        <v>0</v>
      </c>
      <c r="P76" t="str">
        <f>VLOOKUP(Table325[[#This Row],[Census Tract]],'UI EnergyBurden'!$A$2:$B$184,2,FALSE)</f>
        <v>No</v>
      </c>
      <c r="Q76">
        <f>VLOOKUP(Table325[[#This Row],[Census Tract]],'Population and Diversity Data'!B72:K893,10,FALSE)</f>
        <v>1</v>
      </c>
    </row>
    <row r="77" spans="1:17" x14ac:dyDescent="0.2">
      <c r="A77" s="121">
        <v>9001105200</v>
      </c>
      <c r="B77" s="121" t="s">
        <v>2982</v>
      </c>
      <c r="C77" s="128" t="s">
        <v>3886</v>
      </c>
      <c r="D77" s="88">
        <f>[2]!Table32[[#This Row],[Residential CLM $ Collected]]+[2]!Table32[[#This Row],[C&amp;I CLM $ Collected]]</f>
        <v>1819.3383699696335</v>
      </c>
      <c r="E77" s="28">
        <f>[2]!Table3[[#This Row],[CLM $ Collected ]]/'[2]1.) CLM Reference'!$B$4</f>
        <v>2.9605121108499028E-3</v>
      </c>
      <c r="F77" s="88">
        <f>[2]!Table32[[#This Row],[Residential Incentive Disbursements]]+[2]!Table32[[#This Row],[C&amp;I Incentive Disbursements]]</f>
        <v>31524</v>
      </c>
      <c r="G77" s="28">
        <f>[2]!Table3[[#This Row],[Incentive Disbursements]]/'[2]1.) CLM Reference'!$B$5</f>
        <v>2.3065152652219497E-3</v>
      </c>
      <c r="H77" s="88">
        <v>0</v>
      </c>
      <c r="I77" s="28">
        <f>[2]!Table3[[#This Row],[CLM $ Collected ]]/'[2]1.) CLM Reference'!$B$4</f>
        <v>2.9605121108499028E-3</v>
      </c>
      <c r="J77" s="88">
        <v>0</v>
      </c>
      <c r="K77" s="28">
        <f>[2]!Table3[[#This Row],[Incentive Disbursements]]/'[2]1.) CLM Reference'!$B$5</f>
        <v>2.3065152652219497E-3</v>
      </c>
      <c r="L77" s="88">
        <v>1819.3383699696335</v>
      </c>
      <c r="M77" s="203">
        <f>[2]!Table32[[#This Row],[CLM $ Collected ]]/'[2]1.) CLM Reference'!$B$4</f>
        <v>8.073345635443383E-5</v>
      </c>
      <c r="N77" s="88">
        <v>31524</v>
      </c>
      <c r="O77" s="204">
        <f>[2]!Table3[[#This Row],[Incentive Disbursements]]/'[2]1.) CLM Reference'!$B$5</f>
        <v>2.3065152652219497E-3</v>
      </c>
      <c r="P77" t="str">
        <f>VLOOKUP(Table325[[#This Row],[Census Tract]],'UI EnergyBurden'!$A$2:$B$184,2,FALSE)</f>
        <v>No</v>
      </c>
      <c r="Q77">
        <f>VLOOKUP(Table325[[#This Row],[Census Tract]],'Population and Diversity Data'!B73:K894,10,FALSE)</f>
        <v>3</v>
      </c>
    </row>
    <row r="78" spans="1:17" x14ac:dyDescent="0.2">
      <c r="A78" s="121">
        <v>9001110100</v>
      </c>
      <c r="B78" s="121" t="s">
        <v>2989</v>
      </c>
      <c r="C78" s="128" t="s">
        <v>3886</v>
      </c>
      <c r="D78" s="88">
        <f>[2]!Table32[[#This Row],[Residential CLM $ Collected]]+[2]!Table32[[#This Row],[C&amp;I CLM $ Collected]]</f>
        <v>57056.137291110659</v>
      </c>
      <c r="E78" s="28">
        <f>[2]!Table3[[#This Row],[CLM $ Collected ]]/'[2]1.) CLM Reference'!$B$4</f>
        <v>9.4420530600880569E-6</v>
      </c>
      <c r="F78" s="88">
        <f>[2]!Table32[[#This Row],[Residential Incentive Disbursements]]+[2]!Table32[[#This Row],[C&amp;I Incentive Disbursements]]</f>
        <v>35</v>
      </c>
      <c r="G78" s="28">
        <f>[2]!Table3[[#This Row],[Incentive Disbursements]]/'[2]1.) CLM Reference'!$B$5</f>
        <v>0</v>
      </c>
      <c r="H78" s="88">
        <v>0</v>
      </c>
      <c r="I78" s="28">
        <f>[2]!Table3[[#This Row],[CLM $ Collected ]]/'[2]1.) CLM Reference'!$B$4</f>
        <v>9.4420530600880569E-6</v>
      </c>
      <c r="J78" s="88">
        <v>0</v>
      </c>
      <c r="K78" s="28">
        <f>[2]!Table3[[#This Row],[Incentive Disbursements]]/'[2]1.) CLM Reference'!$B$5</f>
        <v>0</v>
      </c>
      <c r="L78" s="88">
        <v>57056.137291110659</v>
      </c>
      <c r="M78" s="203">
        <f>[2]!Table32[[#This Row],[CLM $ Collected ]]/'[2]1.) CLM Reference'!$B$4</f>
        <v>2.5318760082113537E-3</v>
      </c>
      <c r="N78" s="88">
        <v>35</v>
      </c>
      <c r="O78" s="204">
        <f>[2]!Table3[[#This Row],[Incentive Disbursements]]/'[2]1.) CLM Reference'!$B$5</f>
        <v>0</v>
      </c>
      <c r="P78" t="str">
        <f>VLOOKUP(Table325[[#This Row],[Census Tract]],'UI EnergyBurden'!$A$2:$B$184,2,FALSE)</f>
        <v>No</v>
      </c>
      <c r="Q78">
        <f>VLOOKUP(Table325[[#This Row],[Census Tract]],'Population and Diversity Data'!B74:K895,10,FALSE)</f>
        <v>3</v>
      </c>
    </row>
    <row r="79" spans="1:17" x14ac:dyDescent="0.2">
      <c r="A79" s="121">
        <v>9001110201</v>
      </c>
      <c r="B79" s="121" t="s">
        <v>2989</v>
      </c>
      <c r="C79" s="128" t="s">
        <v>3886</v>
      </c>
      <c r="D79" s="88">
        <f>[2]!Table32[[#This Row],[Residential CLM $ Collected]]+[2]!Table32[[#This Row],[C&amp;I CLM $ Collected]]</f>
        <v>10221.220981387964</v>
      </c>
      <c r="E79" s="28">
        <f>[2]!Table3[[#This Row],[CLM $ Collected ]]/'[2]1.) CLM Reference'!$B$4</f>
        <v>2.8035055331282134E-3</v>
      </c>
      <c r="F79" s="88">
        <f>[2]!Table32[[#This Row],[Residential Incentive Disbursements]]+[2]!Table32[[#This Row],[C&amp;I Incentive Disbursements]]</f>
        <v>935</v>
      </c>
      <c r="G79" s="28">
        <f>[2]!Table3[[#This Row],[Incentive Disbursements]]/'[2]1.) CLM Reference'!$B$5</f>
        <v>1.422574849004225E-3</v>
      </c>
      <c r="H79" s="88">
        <v>0</v>
      </c>
      <c r="I79" s="28">
        <f>[2]!Table3[[#This Row],[CLM $ Collected ]]/'[2]1.) CLM Reference'!$B$4</f>
        <v>2.8035055331282134E-3</v>
      </c>
      <c r="J79" s="88">
        <v>0</v>
      </c>
      <c r="K79" s="28">
        <f>[2]!Table3[[#This Row],[Incentive Disbursements]]/'[2]1.) CLM Reference'!$B$5</f>
        <v>1.422574849004225E-3</v>
      </c>
      <c r="L79" s="88">
        <v>10221.220981387964</v>
      </c>
      <c r="M79" s="203">
        <f>[2]!Table32[[#This Row],[CLM $ Collected ]]/'[2]1.) CLM Reference'!$B$4</f>
        <v>4.5356845741877127E-4</v>
      </c>
      <c r="N79" s="88">
        <v>935</v>
      </c>
      <c r="O79" s="204">
        <f>[2]!Table3[[#This Row],[Incentive Disbursements]]/'[2]1.) CLM Reference'!$B$5</f>
        <v>1.422574849004225E-3</v>
      </c>
      <c r="P79" t="str">
        <f>VLOOKUP(Table325[[#This Row],[Census Tract]],'UI EnergyBurden'!$A$2:$B$184,2,FALSE)</f>
        <v>No</v>
      </c>
      <c r="Q79">
        <f>VLOOKUP(Table325[[#This Row],[Census Tract]],'Population and Diversity Data'!B75:K896,10,FALSE)</f>
        <v>4</v>
      </c>
    </row>
    <row r="80" spans="1:17" x14ac:dyDescent="0.2">
      <c r="A80" s="121">
        <v>9001110202</v>
      </c>
      <c r="B80" s="121" t="s">
        <v>2989</v>
      </c>
      <c r="C80" s="128" t="s">
        <v>3886</v>
      </c>
      <c r="D80" s="88">
        <f>[2]!Table32[[#This Row],[Residential CLM $ Collected]]+[2]!Table32[[#This Row],[C&amp;I CLM $ Collected]]</f>
        <v>362097.31852109823</v>
      </c>
      <c r="E80" s="28">
        <f>[2]!Table3[[#This Row],[CLM $ Collected ]]/'[2]1.) CLM Reference'!$B$4</f>
        <v>2.7662712007783933E-3</v>
      </c>
      <c r="F80" s="88">
        <f>[2]!Table32[[#This Row],[Residential Incentive Disbursements]]+[2]!Table32[[#This Row],[C&amp;I Incentive Disbursements]]</f>
        <v>72685</v>
      </c>
      <c r="G80" s="28">
        <f>[2]!Table3[[#This Row],[Incentive Disbursements]]/'[2]1.) CLM Reference'!$B$5</f>
        <v>9.9216170582515483E-3</v>
      </c>
      <c r="H80" s="88">
        <v>4640.3100447215747</v>
      </c>
      <c r="I80" s="28">
        <f>[2]!Table3[[#This Row],[CLM $ Collected ]]/'[2]1.) CLM Reference'!$B$4</f>
        <v>2.7662712007783933E-3</v>
      </c>
      <c r="J80" s="88">
        <v>0</v>
      </c>
      <c r="K80" s="28">
        <f>[2]!Table3[[#This Row],[Incentive Disbursements]]/'[2]1.) CLM Reference'!$B$5</f>
        <v>9.9216170582515483E-3</v>
      </c>
      <c r="L80" s="88">
        <v>357457.00847637665</v>
      </c>
      <c r="M80" s="203">
        <f>[2]!Table32[[#This Row],[CLM $ Collected ]]/'[2]1.) CLM Reference'!$B$4</f>
        <v>1.6068131439105821E-2</v>
      </c>
      <c r="N80" s="88">
        <v>72685</v>
      </c>
      <c r="O80" s="204">
        <f>[2]!Table3[[#This Row],[Incentive Disbursements]]/'[2]1.) CLM Reference'!$B$5</f>
        <v>9.9216170582515483E-3</v>
      </c>
      <c r="P80" t="str">
        <f>VLOOKUP(Table325[[#This Row],[Census Tract]],'UI EnergyBurden'!$A$2:$B$184,2,FALSE)</f>
        <v>No</v>
      </c>
      <c r="Q80">
        <f>VLOOKUP(Table325[[#This Row],[Census Tract]],'Population and Diversity Data'!B76:K897,10,FALSE)</f>
        <v>2</v>
      </c>
    </row>
    <row r="81" spans="1:17" x14ac:dyDescent="0.2">
      <c r="A81" s="121">
        <v>9001110301</v>
      </c>
      <c r="B81" s="121" t="s">
        <v>2989</v>
      </c>
      <c r="C81" s="128" t="s">
        <v>3886</v>
      </c>
      <c r="D81" s="88">
        <f>[2]!Table32[[#This Row],[Residential CLM $ Collected]]+[2]!Table32[[#This Row],[C&amp;I CLM $ Collected]]</f>
        <v>43849.526454123981</v>
      </c>
      <c r="E81" s="28">
        <f>[2]!Table3[[#This Row],[CLM $ Collected ]]/'[2]1.) CLM Reference'!$B$4</f>
        <v>1.059565154956181E-6</v>
      </c>
      <c r="F81" s="88">
        <f>[2]!Table32[[#This Row],[Residential Incentive Disbursements]]+[2]!Table32[[#This Row],[C&amp;I Incentive Disbursements]]</f>
        <v>17821</v>
      </c>
      <c r="G81" s="28">
        <f>[2]!Table3[[#This Row],[Incentive Disbursements]]/'[2]1.) CLM Reference'!$B$5</f>
        <v>0</v>
      </c>
      <c r="H81" s="88">
        <v>351.97512516870904</v>
      </c>
      <c r="I81" s="28">
        <f>[2]!Table3[[#This Row],[CLM $ Collected ]]/'[2]1.) CLM Reference'!$B$4</f>
        <v>1.059565154956181E-6</v>
      </c>
      <c r="J81" s="88">
        <v>0</v>
      </c>
      <c r="K81" s="28">
        <f>[2]!Table3[[#This Row],[Incentive Disbursements]]/'[2]1.) CLM Reference'!$B$5</f>
        <v>0</v>
      </c>
      <c r="L81" s="88">
        <v>43497.551328955269</v>
      </c>
      <c r="M81" s="203">
        <f>[2]!Table32[[#This Row],[CLM $ Collected ]]/'[2]1.) CLM Reference'!$B$4</f>
        <v>1.9458303571125684E-3</v>
      </c>
      <c r="N81" s="88">
        <v>17821</v>
      </c>
      <c r="O81" s="204">
        <f>[2]!Table3[[#This Row],[Incentive Disbursements]]/'[2]1.) CLM Reference'!$B$5</f>
        <v>0</v>
      </c>
      <c r="P81" t="str">
        <f>VLOOKUP(Table325[[#This Row],[Census Tract]],'UI EnergyBurden'!$A$2:$B$184,2,FALSE)</f>
        <v>No</v>
      </c>
      <c r="Q81">
        <f>VLOOKUP(Table325[[#This Row],[Census Tract]],'Population and Diversity Data'!B77:K898,10,FALSE)</f>
        <v>3</v>
      </c>
    </row>
    <row r="82" spans="1:17" x14ac:dyDescent="0.2">
      <c r="A82" s="121">
        <v>9001110302</v>
      </c>
      <c r="B82" s="121" t="s">
        <v>2989</v>
      </c>
      <c r="C82" s="128" t="s">
        <v>3886</v>
      </c>
      <c r="D82" s="88">
        <f>[2]!Table32[[#This Row],[Residential CLM $ Collected]]+[2]!Table32[[#This Row],[C&amp;I CLM $ Collected]]</f>
        <v>288193.39141646872</v>
      </c>
      <c r="E82" s="28">
        <f>[2]!Table3[[#This Row],[CLM $ Collected ]]/'[2]1.) CLM Reference'!$B$4</f>
        <v>5.3880176734476233E-3</v>
      </c>
      <c r="F82" s="88">
        <f>[2]!Table32[[#This Row],[Residential Incentive Disbursements]]+[2]!Table32[[#This Row],[C&amp;I Incentive Disbursements]]</f>
        <v>145102</v>
      </c>
      <c r="G82" s="28">
        <f>[2]!Table3[[#This Row],[Incentive Disbursements]]/'[2]1.) CLM Reference'!$B$5</f>
        <v>1.1749162465595818E-2</v>
      </c>
      <c r="H82" s="88">
        <v>0</v>
      </c>
      <c r="I82" s="28">
        <f>[2]!Table3[[#This Row],[CLM $ Collected ]]/'[2]1.) CLM Reference'!$B$4</f>
        <v>5.3880176734476233E-3</v>
      </c>
      <c r="J82" s="88">
        <v>0</v>
      </c>
      <c r="K82" s="28">
        <f>[2]!Table3[[#This Row],[Incentive Disbursements]]/'[2]1.) CLM Reference'!$B$5</f>
        <v>1.1749162465595818E-2</v>
      </c>
      <c r="L82" s="88">
        <v>288193.39141646872</v>
      </c>
      <c r="M82" s="203">
        <f>[2]!Table32[[#This Row],[CLM $ Collected ]]/'[2]1.) CLM Reference'!$B$4</f>
        <v>1.2788631829903136E-2</v>
      </c>
      <c r="N82" s="88">
        <v>145102</v>
      </c>
      <c r="O82" s="204">
        <f>[2]!Table3[[#This Row],[Incentive Disbursements]]/'[2]1.) CLM Reference'!$B$5</f>
        <v>1.1749162465595818E-2</v>
      </c>
      <c r="P82" t="str">
        <f>VLOOKUP(Table325[[#This Row],[Census Tract]],'UI EnergyBurden'!$A$2:$B$184,2,FALSE)</f>
        <v>No</v>
      </c>
      <c r="Q82">
        <f>VLOOKUP(Table325[[#This Row],[Census Tract]],'Population and Diversity Data'!B78:K899,10,FALSE)</f>
        <v>3</v>
      </c>
    </row>
    <row r="83" spans="1:17" x14ac:dyDescent="0.2">
      <c r="A83" s="121">
        <v>9001110500</v>
      </c>
      <c r="B83" s="121" t="s">
        <v>2989</v>
      </c>
      <c r="C83" s="128" t="s">
        <v>3886</v>
      </c>
      <c r="D83" s="88">
        <f>[2]!Table32[[#This Row],[Residential CLM $ Collected]]+[2]!Table32[[#This Row],[C&amp;I CLM $ Collected]]</f>
        <v>9689.4726220368102</v>
      </c>
      <c r="E83" s="28">
        <f>[2]!Table3[[#This Row],[CLM $ Collected ]]/'[2]1.) CLM Reference'!$B$4</f>
        <v>3.3597967017172012E-8</v>
      </c>
      <c r="F83" s="88">
        <f>[2]!Table32[[#This Row],[Residential Incentive Disbursements]]+[2]!Table32[[#This Row],[C&amp;I Incentive Disbursements]]</f>
        <v>0</v>
      </c>
      <c r="G83" s="28">
        <f>[2]!Table3[[#This Row],[Incentive Disbursements]]/'[2]1.) CLM Reference'!$B$5</f>
        <v>0</v>
      </c>
      <c r="H83" s="88">
        <v>0</v>
      </c>
      <c r="I83" s="28">
        <f>[2]!Table3[[#This Row],[CLM $ Collected ]]/'[2]1.) CLM Reference'!$B$4</f>
        <v>3.3597967017172012E-8</v>
      </c>
      <c r="J83" s="88">
        <v>0</v>
      </c>
      <c r="K83" s="28">
        <f>[2]!Table3[[#This Row],[Incentive Disbursements]]/'[2]1.) CLM Reference'!$B$5</f>
        <v>0</v>
      </c>
      <c r="L83" s="88">
        <v>9689.4726220368102</v>
      </c>
      <c r="M83" s="203">
        <f>[2]!Table32[[#This Row],[CLM $ Collected ]]/'[2]1.) CLM Reference'!$B$4</f>
        <v>4.2997203155878421E-4</v>
      </c>
      <c r="N83" s="88">
        <v>0</v>
      </c>
      <c r="O83" s="204">
        <f>[2]!Table3[[#This Row],[Incentive Disbursements]]/'[2]1.) CLM Reference'!$B$5</f>
        <v>0</v>
      </c>
      <c r="P83" t="str">
        <f>VLOOKUP(Table325[[#This Row],[Census Tract]],'UI EnergyBurden'!$A$2:$B$184,2,FALSE)</f>
        <v>No</v>
      </c>
      <c r="Q83">
        <f>VLOOKUP(Table325[[#This Row],[Census Tract]],'Population and Diversity Data'!B79:K900,10,FALSE)</f>
        <v>1</v>
      </c>
    </row>
    <row r="84" spans="1:17" x14ac:dyDescent="0.2">
      <c r="A84" s="121">
        <v>9001110600</v>
      </c>
      <c r="B84" s="121" t="s">
        <v>2989</v>
      </c>
      <c r="C84" s="128" t="s">
        <v>3886</v>
      </c>
      <c r="D84" s="88">
        <f>[2]!Table32[[#This Row],[Residential CLM $ Collected]]+[2]!Table32[[#This Row],[C&amp;I CLM $ Collected]]</f>
        <v>18164.667995623022</v>
      </c>
      <c r="E84" s="28">
        <f>[2]!Table3[[#This Row],[CLM $ Collected ]]/'[2]1.) CLM Reference'!$B$4</f>
        <v>4.0632647891531782E-3</v>
      </c>
      <c r="F84" s="88">
        <f>[2]!Table32[[#This Row],[Residential Incentive Disbursements]]+[2]!Table32[[#This Row],[C&amp;I Incentive Disbursements]]</f>
        <v>0</v>
      </c>
      <c r="G84" s="28">
        <f>[2]!Table3[[#This Row],[Incentive Disbursements]]/'[2]1.) CLM Reference'!$B$5</f>
        <v>1.0293507934056131E-2</v>
      </c>
      <c r="H84" s="88">
        <v>0</v>
      </c>
      <c r="I84" s="28">
        <f>[2]!Table3[[#This Row],[CLM $ Collected ]]/'[2]1.) CLM Reference'!$B$4</f>
        <v>4.0632647891531782E-3</v>
      </c>
      <c r="J84" s="88">
        <v>0</v>
      </c>
      <c r="K84" s="28">
        <f>[2]!Table3[[#This Row],[Incentive Disbursements]]/'[2]1.) CLM Reference'!$B$5</f>
        <v>1.0293507934056131E-2</v>
      </c>
      <c r="L84" s="88">
        <v>18164.667995623022</v>
      </c>
      <c r="M84" s="203">
        <f>[2]!Table32[[#This Row],[CLM $ Collected ]]/'[2]1.) CLM Reference'!$B$4</f>
        <v>8.0606029918551625E-4</v>
      </c>
      <c r="N84" s="88">
        <v>0</v>
      </c>
      <c r="O84" s="204">
        <f>[2]!Table3[[#This Row],[Incentive Disbursements]]/'[2]1.) CLM Reference'!$B$5</f>
        <v>1.0293507934056131E-2</v>
      </c>
      <c r="P84" t="str">
        <f>VLOOKUP(Table325[[#This Row],[Census Tract]],'UI EnergyBurden'!$A$2:$B$184,2,FALSE)</f>
        <v>No</v>
      </c>
      <c r="Q84">
        <f>VLOOKUP(Table325[[#This Row],[Census Tract]],'Population and Diversity Data'!B80:K901,10,FALSE)</f>
        <v>2</v>
      </c>
    </row>
    <row r="85" spans="1:17" x14ac:dyDescent="0.2">
      <c r="A85" s="121">
        <v>9001257200</v>
      </c>
      <c r="B85" s="121" t="s">
        <v>934</v>
      </c>
      <c r="C85" s="128" t="s">
        <v>3886</v>
      </c>
      <c r="D85" s="88">
        <f>[2]!Table32[[#This Row],[Residential CLM $ Collected]]+[2]!Table32[[#This Row],[C&amp;I CLM $ Collected]]</f>
        <v>123625.07637411705</v>
      </c>
      <c r="E85" s="28">
        <f>[2]!Table3[[#This Row],[CLM $ Collected ]]/'[2]1.) CLM Reference'!$B$4</f>
        <v>2.073193079776828E-3</v>
      </c>
      <c r="F85" s="88">
        <f>[2]!Table32[[#This Row],[Residential Incentive Disbursements]]+[2]!Table32[[#This Row],[C&amp;I Incentive Disbursements]]</f>
        <v>66113</v>
      </c>
      <c r="G85" s="28">
        <f>[2]!Table3[[#This Row],[Incentive Disbursements]]/'[2]1.) CLM Reference'!$B$5</f>
        <v>7.1862412619019215E-4</v>
      </c>
      <c r="H85" s="88">
        <v>0</v>
      </c>
      <c r="I85" s="28">
        <f>[2]!Table3[[#This Row],[CLM $ Collected ]]/'[2]1.) CLM Reference'!$B$4</f>
        <v>2.073193079776828E-3</v>
      </c>
      <c r="J85" s="88">
        <v>0</v>
      </c>
      <c r="K85" s="28">
        <f>[2]!Table3[[#This Row],[Incentive Disbursements]]/'[2]1.) CLM Reference'!$B$5</f>
        <v>7.1862412619019215E-4</v>
      </c>
      <c r="L85" s="88">
        <v>123625.07637411705</v>
      </c>
      <c r="M85" s="203">
        <f>[2]!Table32[[#This Row],[CLM $ Collected ]]/'[2]1.) CLM Reference'!$B$4</f>
        <v>5.4858842491899481E-3</v>
      </c>
      <c r="N85" s="88">
        <v>66113</v>
      </c>
      <c r="O85" s="204">
        <f>[2]!Table3[[#This Row],[Incentive Disbursements]]/'[2]1.) CLM Reference'!$B$5</f>
        <v>7.1862412619019215E-4</v>
      </c>
      <c r="P85" t="str">
        <f>VLOOKUP(Table325[[#This Row],[Census Tract]],'UI EnergyBurden'!$A$2:$B$184,2,FALSE)</f>
        <v>Yes</v>
      </c>
      <c r="Q85">
        <f>VLOOKUP(Table325[[#This Row],[Census Tract]],'Population and Diversity Data'!B81:K902,10,FALSE)</f>
        <v>4</v>
      </c>
    </row>
    <row r="86" spans="1:17" x14ac:dyDescent="0.2">
      <c r="A86" s="121">
        <v>9009120100</v>
      </c>
      <c r="B86" s="121" t="s">
        <v>2991</v>
      </c>
      <c r="C86" s="128" t="s">
        <v>3886</v>
      </c>
      <c r="D86" s="88">
        <f>[2]!Table32[[#This Row],[Residential CLM $ Collected]]+[2]!Table32[[#This Row],[C&amp;I CLM $ Collected]]</f>
        <v>20304.77278344053</v>
      </c>
      <c r="E86" s="28">
        <f>[2]!Table3[[#This Row],[CLM $ Collected ]]/'[2]1.) CLM Reference'!$B$4</f>
        <v>2.7918460142449938E-3</v>
      </c>
      <c r="F86" s="88">
        <f>[2]!Table32[[#This Row],[Residential Incentive Disbursements]]+[2]!Table32[[#This Row],[C&amp;I Incentive Disbursements]]</f>
        <v>3000</v>
      </c>
      <c r="G86" s="28">
        <f>[2]!Table3[[#This Row],[Incentive Disbursements]]/'[2]1.) CLM Reference'!$B$5</f>
        <v>9.1914324710821364E-4</v>
      </c>
      <c r="H86" s="88">
        <v>0</v>
      </c>
      <c r="I86" s="28">
        <f>[2]!Table3[[#This Row],[CLM $ Collected ]]/'[2]1.) CLM Reference'!$B$4</f>
        <v>2.7918460142449938E-3</v>
      </c>
      <c r="J86" s="88">
        <v>3000</v>
      </c>
      <c r="K86" s="28">
        <f>[2]!Table3[[#This Row],[Incentive Disbursements]]/'[2]1.) CLM Reference'!$B$5</f>
        <v>9.1914324710821364E-4</v>
      </c>
      <c r="L86" s="88">
        <v>20304.77278344053</v>
      </c>
      <c r="M86" s="203">
        <f>[2]!Table32[[#This Row],[CLM $ Collected ]]/'[2]1.) CLM Reference'!$B$4</f>
        <v>9.0102782107868865E-4</v>
      </c>
      <c r="N86" s="88">
        <v>0</v>
      </c>
      <c r="O86" s="204">
        <f>[2]!Table3[[#This Row],[Incentive Disbursements]]/'[2]1.) CLM Reference'!$B$5</f>
        <v>9.1914324710821364E-4</v>
      </c>
      <c r="P86" t="str">
        <f>VLOOKUP(Table325[[#This Row],[Census Tract]],'UI EnergyBurden'!$A$2:$B$184,2,FALSE)</f>
        <v>No</v>
      </c>
      <c r="Q86">
        <f>VLOOKUP(Table325[[#This Row],[Census Tract]],'Population and Diversity Data'!B82:K903,10,FALSE)</f>
        <v>2</v>
      </c>
    </row>
    <row r="87" spans="1:17" x14ac:dyDescent="0.2">
      <c r="A87" s="121">
        <v>9009120200</v>
      </c>
      <c r="B87" s="121" t="s">
        <v>2991</v>
      </c>
      <c r="C87" s="128" t="s">
        <v>3886</v>
      </c>
      <c r="D87" s="88">
        <f>[2]!Table32[[#This Row],[Residential CLM $ Collected]]+[2]!Table32[[#This Row],[C&amp;I CLM $ Collected]]</f>
        <v>98675.838540542405</v>
      </c>
      <c r="E87" s="28">
        <f>[2]!Table3[[#This Row],[CLM $ Collected ]]/'[2]1.) CLM Reference'!$B$4</f>
        <v>4.9167756610495637E-9</v>
      </c>
      <c r="F87" s="88">
        <f>[2]!Table32[[#This Row],[Residential Incentive Disbursements]]+[2]!Table32[[#This Row],[C&amp;I Incentive Disbursements]]</f>
        <v>44683</v>
      </c>
      <c r="G87" s="28">
        <f>[2]!Table3[[#This Row],[Incentive Disbursements]]/'[2]1.) CLM Reference'!$B$5</f>
        <v>0</v>
      </c>
      <c r="H87" s="88">
        <v>0</v>
      </c>
      <c r="I87" s="28">
        <f>[2]!Table3[[#This Row],[CLM $ Collected ]]/'[2]1.) CLM Reference'!$B$4</f>
        <v>4.9167756610495637E-9</v>
      </c>
      <c r="J87" s="88">
        <v>4500</v>
      </c>
      <c r="K87" s="28">
        <f>[2]!Table3[[#This Row],[Incentive Disbursements]]/'[2]1.) CLM Reference'!$B$5</f>
        <v>0</v>
      </c>
      <c r="L87" s="88">
        <v>98675.838540542405</v>
      </c>
      <c r="M87" s="203">
        <f>[2]!Table32[[#This Row],[CLM $ Collected ]]/'[2]1.) CLM Reference'!$B$4</f>
        <v>4.3787574843392142E-3</v>
      </c>
      <c r="N87" s="88">
        <v>40183</v>
      </c>
      <c r="O87" s="204">
        <f>[2]!Table3[[#This Row],[Incentive Disbursements]]/'[2]1.) CLM Reference'!$B$5</f>
        <v>0</v>
      </c>
      <c r="P87" t="str">
        <f>VLOOKUP(Table325[[#This Row],[Census Tract]],'UI EnergyBurden'!$A$2:$B$184,2,FALSE)</f>
        <v>Yes</v>
      </c>
      <c r="Q87">
        <f>VLOOKUP(Table325[[#This Row],[Census Tract]],'Population and Diversity Data'!B83:K904,10,FALSE)</f>
        <v>4</v>
      </c>
    </row>
    <row r="88" spans="1:17" x14ac:dyDescent="0.2">
      <c r="A88" s="121">
        <v>9009125100</v>
      </c>
      <c r="B88" s="121" t="s">
        <v>2990</v>
      </c>
      <c r="C88" s="128" t="s">
        <v>3886</v>
      </c>
      <c r="D88" s="88">
        <f>[2]!Table32[[#This Row],[Residential CLM $ Collected]]+[2]!Table32[[#This Row],[C&amp;I CLM $ Collected]]</f>
        <v>23736.701070724623</v>
      </c>
      <c r="E88" s="28">
        <f>[2]!Table3[[#This Row],[CLM $ Collected ]]/'[2]1.) CLM Reference'!$B$4</f>
        <v>3.9698601873232563E-3</v>
      </c>
      <c r="F88" s="88">
        <f>[2]!Table32[[#This Row],[Residential Incentive Disbursements]]+[2]!Table32[[#This Row],[C&amp;I Incentive Disbursements]]</f>
        <v>0</v>
      </c>
      <c r="G88" s="28">
        <f>[2]!Table3[[#This Row],[Incentive Disbursements]]/'[2]1.) CLM Reference'!$B$5</f>
        <v>1.4123697204779051E-2</v>
      </c>
      <c r="H88" s="88">
        <v>0</v>
      </c>
      <c r="I88" s="28">
        <f>[2]!Table3[[#This Row],[CLM $ Collected ]]/'[2]1.) CLM Reference'!$B$4</f>
        <v>3.9698601873232563E-3</v>
      </c>
      <c r="J88" s="88">
        <v>0</v>
      </c>
      <c r="K88" s="28">
        <f>[2]!Table3[[#This Row],[Incentive Disbursements]]/'[2]1.) CLM Reference'!$B$5</f>
        <v>1.4123697204779051E-2</v>
      </c>
      <c r="L88" s="88">
        <v>23736.701070724623</v>
      </c>
      <c r="M88" s="203">
        <f>[2]!Table32[[#This Row],[CLM $ Collected ]]/'[2]1.) CLM Reference'!$B$4</f>
        <v>1.0533202352696902E-3</v>
      </c>
      <c r="N88" s="88">
        <v>0</v>
      </c>
      <c r="O88" s="204">
        <f>[2]!Table3[[#This Row],[Incentive Disbursements]]/'[2]1.) CLM Reference'!$B$5</f>
        <v>1.4123697204779051E-2</v>
      </c>
      <c r="P88" t="str">
        <f>VLOOKUP(Table325[[#This Row],[Census Tract]],'UI EnergyBurden'!$A$2:$B$184,2,FALSE)</f>
        <v>No</v>
      </c>
      <c r="Q88">
        <f>VLOOKUP(Table325[[#This Row],[Census Tract]],'Population and Diversity Data'!B84:K905,10,FALSE)</f>
        <v>1</v>
      </c>
    </row>
    <row r="89" spans="1:17" x14ac:dyDescent="0.2">
      <c r="A89" s="121">
        <v>9009125200</v>
      </c>
      <c r="B89" s="121" t="s">
        <v>2990</v>
      </c>
      <c r="C89" s="128" t="s">
        <v>3886</v>
      </c>
      <c r="D89" s="88">
        <f>[2]!Table32[[#This Row],[Residential CLM $ Collected]]+[2]!Table32[[#This Row],[C&amp;I CLM $ Collected]]</f>
        <v>18430.219008210956</v>
      </c>
      <c r="E89" s="28">
        <f>[2]!Table3[[#This Row],[CLM $ Collected ]]/'[2]1.) CLM Reference'!$B$4</f>
        <v>3.5892462325661814E-7</v>
      </c>
      <c r="F89" s="88">
        <f>[2]!Table32[[#This Row],[Residential Incentive Disbursements]]+[2]!Table32[[#This Row],[C&amp;I Incentive Disbursements]]</f>
        <v>3514</v>
      </c>
      <c r="G89" s="28">
        <f>[2]!Table3[[#This Row],[Incentive Disbursements]]/'[2]1.) CLM Reference'!$B$5</f>
        <v>0</v>
      </c>
      <c r="H89" s="88">
        <v>0</v>
      </c>
      <c r="I89" s="28">
        <f>[2]!Table3[[#This Row],[CLM $ Collected ]]/'[2]1.) CLM Reference'!$B$4</f>
        <v>3.5892462325661814E-7</v>
      </c>
      <c r="J89" s="88">
        <v>0</v>
      </c>
      <c r="K89" s="28">
        <f>[2]!Table3[[#This Row],[Incentive Disbursements]]/'[2]1.) CLM Reference'!$B$5</f>
        <v>0</v>
      </c>
      <c r="L89" s="88">
        <v>18430.219008210956</v>
      </c>
      <c r="M89" s="203">
        <f>[2]!Table32[[#This Row],[CLM $ Collected ]]/'[2]1.) CLM Reference'!$B$4</f>
        <v>8.1784417151983162E-4</v>
      </c>
      <c r="N89" s="88">
        <v>3514</v>
      </c>
      <c r="O89" s="204">
        <f>[2]!Table3[[#This Row],[Incentive Disbursements]]/'[2]1.) CLM Reference'!$B$5</f>
        <v>0</v>
      </c>
      <c r="P89" t="str">
        <f>VLOOKUP(Table325[[#This Row],[Census Tract]],'UI EnergyBurden'!$A$2:$B$184,2,FALSE)</f>
        <v>No</v>
      </c>
      <c r="Q89">
        <f>VLOOKUP(Table325[[#This Row],[Census Tract]],'Population and Diversity Data'!B85:K906,10,FALSE)</f>
        <v>3</v>
      </c>
    </row>
    <row r="90" spans="1:17" x14ac:dyDescent="0.2">
      <c r="A90" s="121">
        <v>9009125300</v>
      </c>
      <c r="B90" s="121" t="s">
        <v>2990</v>
      </c>
      <c r="C90" s="128" t="s">
        <v>3887</v>
      </c>
      <c r="D90" s="88">
        <f>[2]!Table32[[#This Row],[Residential CLM $ Collected]]+[2]!Table32[[#This Row],[C&amp;I CLM $ Collected]]</f>
        <v>44944.785880868789</v>
      </c>
      <c r="E90" s="28">
        <f>[2]!Table3[[#This Row],[CLM $ Collected ]]/'[2]1.) CLM Reference'!$B$4</f>
        <v>3.3780959163993624E-3</v>
      </c>
      <c r="F90" s="88">
        <f>[2]!Table32[[#This Row],[Residential Incentive Disbursements]]+[2]!Table32[[#This Row],[C&amp;I Incentive Disbursements]]</f>
        <v>109973.56</v>
      </c>
      <c r="G90" s="28">
        <f>[2]!Table3[[#This Row],[Incentive Disbursements]]/'[2]1.) CLM Reference'!$B$5</f>
        <v>2.3372915000510145E-3</v>
      </c>
      <c r="H90" s="88">
        <v>0</v>
      </c>
      <c r="I90" s="28">
        <f>[2]!Table3[[#This Row],[CLM $ Collected ]]/'[2]1.) CLM Reference'!$B$4</f>
        <v>3.3780959163993624E-3</v>
      </c>
      <c r="J90" s="88">
        <v>0</v>
      </c>
      <c r="K90" s="28">
        <f>[2]!Table3[[#This Row],[Incentive Disbursements]]/'[2]1.) CLM Reference'!$B$5</f>
        <v>2.3372915000510145E-3</v>
      </c>
      <c r="L90" s="88">
        <v>44944.785880868789</v>
      </c>
      <c r="M90" s="203">
        <f>[2]!Table32[[#This Row],[CLM $ Collected ]]/'[2]1.) CLM Reference'!$B$4</f>
        <v>1.9944326845220432E-3</v>
      </c>
      <c r="N90" s="88">
        <v>109973.56</v>
      </c>
      <c r="O90" s="204">
        <f>[2]!Table3[[#This Row],[Incentive Disbursements]]/'[2]1.) CLM Reference'!$B$5</f>
        <v>2.3372915000510145E-3</v>
      </c>
      <c r="P90" t="str">
        <f>VLOOKUP(Table325[[#This Row],[Census Tract]],'UI EnergyBurden'!$A$2:$B$184,2,FALSE)</f>
        <v>No</v>
      </c>
      <c r="Q90">
        <f>VLOOKUP(Table325[[#This Row],[Census Tract]],'Population and Diversity Data'!B86:K907,10,FALSE)</f>
        <v>5</v>
      </c>
    </row>
    <row r="91" spans="1:17" x14ac:dyDescent="0.2">
      <c r="A91" s="121">
        <v>9009125400</v>
      </c>
      <c r="B91" s="121" t="s">
        <v>2990</v>
      </c>
      <c r="C91" s="128" t="s">
        <v>3886</v>
      </c>
      <c r="D91" s="88">
        <f>[2]!Table32[[#This Row],[Residential CLM $ Collected]]+[2]!Table32[[#This Row],[C&amp;I CLM $ Collected]]</f>
        <v>4755.6345282828852</v>
      </c>
      <c r="E91" s="28">
        <f>[2]!Table3[[#This Row],[CLM $ Collected ]]/'[2]1.) CLM Reference'!$B$4</f>
        <v>2.290602861091465E-6</v>
      </c>
      <c r="F91" s="88">
        <f>[2]!Table32[[#This Row],[Residential Incentive Disbursements]]+[2]!Table32[[#This Row],[C&amp;I Incentive Disbursements]]</f>
        <v>150</v>
      </c>
      <c r="G91" s="28">
        <f>[2]!Table3[[#This Row],[Incentive Disbursements]]/'[2]1.) CLM Reference'!$B$5</f>
        <v>0</v>
      </c>
      <c r="H91" s="88">
        <v>0</v>
      </c>
      <c r="I91" s="28">
        <f>[2]!Table3[[#This Row],[CLM $ Collected ]]/'[2]1.) CLM Reference'!$B$4</f>
        <v>2.290602861091465E-6</v>
      </c>
      <c r="J91" s="88">
        <v>0</v>
      </c>
      <c r="K91" s="28">
        <f>[2]!Table3[[#This Row],[Incentive Disbursements]]/'[2]1.) CLM Reference'!$B$5</f>
        <v>0</v>
      </c>
      <c r="L91" s="88">
        <v>4755.6345282828852</v>
      </c>
      <c r="M91" s="203">
        <f>[2]!Table32[[#This Row],[CLM $ Collected ]]/'[2]1.) CLM Reference'!$B$4</f>
        <v>2.1103210868529812E-4</v>
      </c>
      <c r="N91" s="88">
        <v>150</v>
      </c>
      <c r="O91" s="204">
        <f>[2]!Table3[[#This Row],[Incentive Disbursements]]/'[2]1.) CLM Reference'!$B$5</f>
        <v>0</v>
      </c>
      <c r="P91" t="str">
        <f>VLOOKUP(Table325[[#This Row],[Census Tract]],'UI EnergyBurden'!$A$2:$B$184,2,FALSE)</f>
        <v>No</v>
      </c>
      <c r="Q91">
        <f>VLOOKUP(Table325[[#This Row],[Census Tract]],'Population and Diversity Data'!B87:K908,10,FALSE)</f>
        <v>3</v>
      </c>
    </row>
    <row r="92" spans="1:17" x14ac:dyDescent="0.2">
      <c r="A92" s="121">
        <v>9009140100</v>
      </c>
      <c r="B92" s="121" t="s">
        <v>943</v>
      </c>
      <c r="C92" s="128" t="s">
        <v>3887</v>
      </c>
      <c r="D92" s="88">
        <f>[2]!Table32[[#This Row],[Residential CLM $ Collected]]+[2]!Table32[[#This Row],[C&amp;I CLM $ Collected]]</f>
        <v>462106.12896470935</v>
      </c>
      <c r="E92" s="28">
        <f>[2]!Table3[[#This Row],[CLM $ Collected ]]/'[2]1.) CLM Reference'!$B$4</f>
        <v>2.511925166638384E-3</v>
      </c>
      <c r="F92" s="88">
        <f>[2]!Table32[[#This Row],[Residential Incentive Disbursements]]+[2]!Table32[[#This Row],[C&amp;I Incentive Disbursements]]</f>
        <v>251916.59</v>
      </c>
      <c r="G92" s="28">
        <f>[2]!Table3[[#This Row],[Incentive Disbursements]]/'[2]1.) CLM Reference'!$B$5</f>
        <v>1.087808659333704E-3</v>
      </c>
      <c r="H92" s="88">
        <v>0</v>
      </c>
      <c r="I92" s="28">
        <f>[2]!Table3[[#This Row],[CLM $ Collected ]]/'[2]1.) CLM Reference'!$B$4</f>
        <v>2.511925166638384E-3</v>
      </c>
      <c r="J92" s="88">
        <v>0</v>
      </c>
      <c r="K92" s="28">
        <f>[2]!Table3[[#This Row],[Incentive Disbursements]]/'[2]1.) CLM Reference'!$B$5</f>
        <v>1.087808659333704E-3</v>
      </c>
      <c r="L92" s="88">
        <v>462106.12896470935</v>
      </c>
      <c r="M92" s="203">
        <f>[2]!Table32[[#This Row],[CLM $ Collected ]]/'[2]1.) CLM Reference'!$B$4</f>
        <v>2.0506039783303988E-2</v>
      </c>
      <c r="N92" s="88">
        <v>251916.59</v>
      </c>
      <c r="O92" s="204">
        <f>[2]!Table3[[#This Row],[Incentive Disbursements]]/'[2]1.) CLM Reference'!$B$5</f>
        <v>1.087808659333704E-3</v>
      </c>
      <c r="P92" t="str">
        <f>VLOOKUP(Table325[[#This Row],[Census Tract]],'UI EnergyBurden'!$A$2:$B$184,2,FALSE)</f>
        <v>No</v>
      </c>
      <c r="Q92">
        <f>VLOOKUP(Table325[[#This Row],[Census Tract]],'Population and Diversity Data'!B88:K909,10,FALSE)</f>
        <v>5</v>
      </c>
    </row>
    <row r="93" spans="1:17" x14ac:dyDescent="0.2">
      <c r="A93" s="121">
        <v>9009140200</v>
      </c>
      <c r="B93" s="121" t="s">
        <v>943</v>
      </c>
      <c r="C93" s="128" t="s">
        <v>3887</v>
      </c>
      <c r="D93" s="88">
        <f>[2]!Table32[[#This Row],[Residential CLM $ Collected]]+[2]!Table32[[#This Row],[C&amp;I CLM $ Collected]]</f>
        <v>293340.47362133936</v>
      </c>
      <c r="E93" s="28">
        <f>[2]!Table3[[#This Row],[CLM $ Collected ]]/'[2]1.) CLM Reference'!$B$4</f>
        <v>3.2155044961236817E-3</v>
      </c>
      <c r="F93" s="88">
        <f>[2]!Table32[[#This Row],[Residential Incentive Disbursements]]+[2]!Table32[[#This Row],[C&amp;I Incentive Disbursements]]</f>
        <v>139395</v>
      </c>
      <c r="G93" s="28">
        <f>[2]!Table3[[#This Row],[Incentive Disbursements]]/'[2]1.) CLM Reference'!$B$5</f>
        <v>2.7840708228794196E-3</v>
      </c>
      <c r="H93" s="88">
        <v>13178.384500217513</v>
      </c>
      <c r="I93" s="28">
        <f>[2]!Table3[[#This Row],[CLM $ Collected ]]/'[2]1.) CLM Reference'!$B$4</f>
        <v>3.2155044961236817E-3</v>
      </c>
      <c r="J93" s="88">
        <v>0</v>
      </c>
      <c r="K93" s="28">
        <f>[2]!Table3[[#This Row],[Incentive Disbursements]]/'[2]1.) CLM Reference'!$B$5</f>
        <v>2.7840708228794196E-3</v>
      </c>
      <c r="L93" s="88">
        <v>280162.08912112185</v>
      </c>
      <c r="M93" s="203">
        <f>[2]!Table32[[#This Row],[CLM $ Collected ]]/'[2]1.) CLM Reference'!$B$4</f>
        <v>1.3017034497267614E-2</v>
      </c>
      <c r="N93" s="88">
        <v>139395</v>
      </c>
      <c r="O93" s="204">
        <f>[2]!Table3[[#This Row],[Incentive Disbursements]]/'[2]1.) CLM Reference'!$B$5</f>
        <v>2.7840708228794196E-3</v>
      </c>
      <c r="P93" t="str">
        <f>VLOOKUP(Table325[[#This Row],[Census Tract]],'UI EnergyBurden'!$A$2:$B$184,2,FALSE)</f>
        <v>Yes</v>
      </c>
      <c r="Q93">
        <f>VLOOKUP(Table325[[#This Row],[Census Tract]],'Population and Diversity Data'!B89:K910,10,FALSE)</f>
        <v>3</v>
      </c>
    </row>
    <row r="94" spans="1:17" x14ac:dyDescent="0.2">
      <c r="A94" s="121">
        <v>9009140300</v>
      </c>
      <c r="B94" s="121" t="s">
        <v>943</v>
      </c>
      <c r="C94" s="128" t="s">
        <v>3887</v>
      </c>
      <c r="D94" s="88">
        <f>[2]!Table32[[#This Row],[Residential CLM $ Collected]]+[2]!Table32[[#This Row],[C&amp;I CLM $ Collected]]</f>
        <v>302052.82747052785</v>
      </c>
      <c r="E94" s="28">
        <f>[2]!Table3[[#This Row],[CLM $ Collected ]]/'[2]1.) CLM Reference'!$B$4</f>
        <v>1.1064793893886953E-5</v>
      </c>
      <c r="F94" s="88">
        <f>[2]!Table32[[#This Row],[Residential Incentive Disbursements]]+[2]!Table32[[#This Row],[C&amp;I Incentive Disbursements]]</f>
        <v>3386</v>
      </c>
      <c r="G94" s="28">
        <f>[2]!Table3[[#This Row],[Incentive Disbursements]]/'[2]1.) CLM Reference'!$B$5</f>
        <v>0</v>
      </c>
      <c r="H94" s="88">
        <v>0</v>
      </c>
      <c r="I94" s="28">
        <f>[2]!Table3[[#This Row],[CLM $ Collected ]]/'[2]1.) CLM Reference'!$B$4</f>
        <v>1.1064793893886953E-5</v>
      </c>
      <c r="J94" s="88">
        <v>0</v>
      </c>
      <c r="K94" s="28">
        <f>[2]!Table3[[#This Row],[Incentive Disbursements]]/'[2]1.) CLM Reference'!$B$5</f>
        <v>0</v>
      </c>
      <c r="L94" s="88">
        <v>302052.82747052785</v>
      </c>
      <c r="M94" s="203">
        <f>[2]!Table32[[#This Row],[CLM $ Collected ]]/'[2]1.) CLM Reference'!$B$4</f>
        <v>1.3403646713465518E-2</v>
      </c>
      <c r="N94" s="88">
        <v>3386</v>
      </c>
      <c r="O94" s="204">
        <f>[2]!Table3[[#This Row],[Incentive Disbursements]]/'[2]1.) CLM Reference'!$B$5</f>
        <v>0</v>
      </c>
      <c r="P94" t="str">
        <f>VLOOKUP(Table325[[#This Row],[Census Tract]],'UI EnergyBurden'!$A$2:$B$184,2,FALSE)</f>
        <v>Yes</v>
      </c>
      <c r="Q94">
        <f>VLOOKUP(Table325[[#This Row],[Census Tract]],'Population and Diversity Data'!B90:K911,10,FALSE)</f>
        <v>5</v>
      </c>
    </row>
    <row r="95" spans="1:17" x14ac:dyDescent="0.2">
      <c r="A95" s="121">
        <v>9009140400</v>
      </c>
      <c r="B95" s="121" t="s">
        <v>943</v>
      </c>
      <c r="C95" s="128" t="s">
        <v>3887</v>
      </c>
      <c r="D95" s="88">
        <f>[2]!Table32[[#This Row],[Residential CLM $ Collected]]+[2]!Table32[[#This Row],[C&amp;I CLM $ Collected]]</f>
        <v>13762.485927766638</v>
      </c>
      <c r="E95" s="28">
        <f>[2]!Table3[[#This Row],[CLM $ Collected ]]/'[2]1.) CLM Reference'!$B$4</f>
        <v>1.0040260765515752E-5</v>
      </c>
      <c r="F95" s="88">
        <f>[2]!Table32[[#This Row],[Residential Incentive Disbursements]]+[2]!Table32[[#This Row],[C&amp;I Incentive Disbursements]]</f>
        <v>812</v>
      </c>
      <c r="G95" s="28">
        <f>[2]!Table3[[#This Row],[Incentive Disbursements]]/'[2]1.) CLM Reference'!$B$5</f>
        <v>0</v>
      </c>
      <c r="H95" s="88">
        <v>0</v>
      </c>
      <c r="I95" s="28">
        <f>[2]!Table3[[#This Row],[CLM $ Collected ]]/'[2]1.) CLM Reference'!$B$4</f>
        <v>1.0040260765515752E-5</v>
      </c>
      <c r="J95" s="88">
        <v>0</v>
      </c>
      <c r="K95" s="28">
        <f>[2]!Table3[[#This Row],[Incentive Disbursements]]/'[2]1.) CLM Reference'!$B$5</f>
        <v>0</v>
      </c>
      <c r="L95" s="88">
        <v>13762.485927766638</v>
      </c>
      <c r="M95" s="203">
        <f>[2]!Table32[[#This Row],[CLM $ Collected ]]/'[2]1.) CLM Reference'!$B$4</f>
        <v>6.1071270485896635E-4</v>
      </c>
      <c r="N95" s="88">
        <v>812</v>
      </c>
      <c r="O95" s="204">
        <f>[2]!Table3[[#This Row],[Incentive Disbursements]]/'[2]1.) CLM Reference'!$B$5</f>
        <v>0</v>
      </c>
      <c r="P95" t="str">
        <f>VLOOKUP(Table325[[#This Row],[Census Tract]],'UI EnergyBurden'!$A$2:$B$184,2,FALSE)</f>
        <v>No</v>
      </c>
      <c r="Q95">
        <f>VLOOKUP(Table325[[#This Row],[Census Tract]],'Population and Diversity Data'!B91:K912,10,FALSE)</f>
        <v>5</v>
      </c>
    </row>
    <row r="96" spans="1:17" x14ac:dyDescent="0.2">
      <c r="A96" s="121">
        <v>9009140500</v>
      </c>
      <c r="B96" s="121" t="s">
        <v>943</v>
      </c>
      <c r="C96" s="128" t="s">
        <v>3887</v>
      </c>
      <c r="D96" s="88">
        <f>[2]!Table32[[#This Row],[Residential CLM $ Collected]]+[2]!Table32[[#This Row],[C&amp;I CLM $ Collected]]</f>
        <v>17961.719064583984</v>
      </c>
      <c r="E96" s="28">
        <f>[2]!Table3[[#This Row],[CLM $ Collected ]]/'[2]1.) CLM Reference'!$B$4</f>
        <v>3.9483349532104884E-3</v>
      </c>
      <c r="F96" s="88">
        <f>[2]!Table32[[#This Row],[Residential Incentive Disbursements]]+[2]!Table32[[#This Row],[C&amp;I Incentive Disbursements]]</f>
        <v>635</v>
      </c>
      <c r="G96" s="28">
        <f>[2]!Table3[[#This Row],[Incentive Disbursements]]/'[2]1.) CLM Reference'!$B$5</f>
        <v>3.0925867854109637E-3</v>
      </c>
      <c r="H96" s="88">
        <v>0</v>
      </c>
      <c r="I96" s="28">
        <f>[2]!Table3[[#This Row],[CLM $ Collected ]]/'[2]1.) CLM Reference'!$B$4</f>
        <v>3.9483349532104884E-3</v>
      </c>
      <c r="J96" s="88">
        <v>0</v>
      </c>
      <c r="K96" s="28">
        <f>[2]!Table3[[#This Row],[Incentive Disbursements]]/'[2]1.) CLM Reference'!$B$5</f>
        <v>3.0925867854109637E-3</v>
      </c>
      <c r="L96" s="88">
        <v>17961.719064583984</v>
      </c>
      <c r="M96" s="203">
        <f>[2]!Table32[[#This Row],[CLM $ Collected ]]/'[2]1.) CLM Reference'!$B$4</f>
        <v>7.9705440509969386E-4</v>
      </c>
      <c r="N96" s="88">
        <v>635</v>
      </c>
      <c r="O96" s="204">
        <f>[2]!Table3[[#This Row],[Incentive Disbursements]]/'[2]1.) CLM Reference'!$B$5</f>
        <v>3.0925867854109637E-3</v>
      </c>
      <c r="P96" t="str">
        <f>VLOOKUP(Table325[[#This Row],[Census Tract]],'UI EnergyBurden'!$A$2:$B$184,2,FALSE)</f>
        <v>Yes</v>
      </c>
      <c r="Q96">
        <f>VLOOKUP(Table325[[#This Row],[Census Tract]],'Population and Diversity Data'!B92:K913,10,FALSE)</f>
        <v>5</v>
      </c>
    </row>
    <row r="97" spans="1:17" x14ac:dyDescent="0.2">
      <c r="A97" s="121">
        <v>9009140600</v>
      </c>
      <c r="B97" s="121" t="s">
        <v>943</v>
      </c>
      <c r="C97" s="128" t="s">
        <v>3887</v>
      </c>
      <c r="D97" s="88">
        <f>[2]!Table32[[#This Row],[Residential CLM $ Collected]]+[2]!Table32[[#This Row],[C&amp;I CLM $ Collected]]</f>
        <v>33961.167573007049</v>
      </c>
      <c r="E97" s="28">
        <f>[2]!Table3[[#This Row],[CLM $ Collected ]]/'[2]1.) CLM Reference'!$B$4</f>
        <v>4.1023734373581118E-3</v>
      </c>
      <c r="F97" s="88">
        <f>[2]!Table32[[#This Row],[Residential Incentive Disbursements]]+[2]!Table32[[#This Row],[C&amp;I Incentive Disbursements]]</f>
        <v>0</v>
      </c>
      <c r="G97" s="28">
        <f>[2]!Table3[[#This Row],[Incentive Disbursements]]/'[2]1.) CLM Reference'!$B$5</f>
        <v>1.9084306601915733E-3</v>
      </c>
      <c r="H97" s="88">
        <v>0</v>
      </c>
      <c r="I97" s="28">
        <f>[2]!Table3[[#This Row],[CLM $ Collected ]]/'[2]1.) CLM Reference'!$B$4</f>
        <v>4.1023734373581118E-3</v>
      </c>
      <c r="J97" s="88">
        <v>0</v>
      </c>
      <c r="K97" s="28">
        <f>[2]!Table3[[#This Row],[Incentive Disbursements]]/'[2]1.) CLM Reference'!$B$5</f>
        <v>1.9084306601915733E-3</v>
      </c>
      <c r="L97" s="88">
        <v>33961.167573007049</v>
      </c>
      <c r="M97" s="203">
        <f>[2]!Table32[[#This Row],[CLM $ Collected ]]/'[2]1.) CLM Reference'!$B$4</f>
        <v>1.5070327132421998E-3</v>
      </c>
      <c r="N97" s="88">
        <v>0</v>
      </c>
      <c r="O97" s="204">
        <f>[2]!Table3[[#This Row],[Incentive Disbursements]]/'[2]1.) CLM Reference'!$B$5</f>
        <v>1.9084306601915733E-3</v>
      </c>
      <c r="P97" t="str">
        <f>VLOOKUP(Table325[[#This Row],[Census Tract]],'UI EnergyBurden'!$A$2:$B$184,2,FALSE)</f>
        <v>Yes</v>
      </c>
      <c r="Q97">
        <f>VLOOKUP(Table325[[#This Row],[Census Tract]],'Population and Diversity Data'!B93:K914,10,FALSE)</f>
        <v>5</v>
      </c>
    </row>
    <row r="98" spans="1:17" x14ac:dyDescent="0.2">
      <c r="A98" s="121">
        <v>9009140700</v>
      </c>
      <c r="B98" s="121" t="s">
        <v>943</v>
      </c>
      <c r="C98" s="128" t="s">
        <v>3887</v>
      </c>
      <c r="D98" s="88">
        <f>[2]!Table32[[#This Row],[Residential CLM $ Collected]]+[2]!Table32[[#This Row],[C&amp;I CLM $ Collected]]</f>
        <v>40536.50980507402</v>
      </c>
      <c r="E98" s="28">
        <f>[2]!Table3[[#This Row],[CLM $ Collected ]]/'[2]1.) CLM Reference'!$B$4</f>
        <v>1.3676011501209359E-5</v>
      </c>
      <c r="F98" s="88">
        <f>[2]!Table32[[#This Row],[Residential Incentive Disbursements]]+[2]!Table32[[#This Row],[C&amp;I Incentive Disbursements]]</f>
        <v>1740</v>
      </c>
      <c r="G98" s="28">
        <f>[2]!Table3[[#This Row],[Incentive Disbursements]]/'[2]1.) CLM Reference'!$B$5</f>
        <v>0</v>
      </c>
      <c r="H98" s="88">
        <v>0</v>
      </c>
      <c r="I98" s="28">
        <f>[2]!Table3[[#This Row],[CLM $ Collected ]]/'[2]1.) CLM Reference'!$B$4</f>
        <v>1.3676011501209359E-5</v>
      </c>
      <c r="J98" s="88">
        <v>0</v>
      </c>
      <c r="K98" s="28">
        <f>[2]!Table3[[#This Row],[Incentive Disbursements]]/'[2]1.) CLM Reference'!$B$5</f>
        <v>0</v>
      </c>
      <c r="L98" s="88">
        <v>40536.50980507402</v>
      </c>
      <c r="M98" s="203">
        <f>[2]!Table32[[#This Row],[CLM $ Collected ]]/'[2]1.) CLM Reference'!$B$4</f>
        <v>1.7988146675341355E-3</v>
      </c>
      <c r="N98" s="88">
        <v>1740</v>
      </c>
      <c r="O98" s="204">
        <f>[2]!Table3[[#This Row],[Incentive Disbursements]]/'[2]1.) CLM Reference'!$B$5</f>
        <v>0</v>
      </c>
      <c r="P98" t="str">
        <f>VLOOKUP(Table325[[#This Row],[Census Tract]],'UI EnergyBurden'!$A$2:$B$184,2,FALSE)</f>
        <v>No</v>
      </c>
      <c r="Q98">
        <f>VLOOKUP(Table325[[#This Row],[Census Tract]],'Population and Diversity Data'!B94:K915,10,FALSE)</f>
        <v>5</v>
      </c>
    </row>
    <row r="99" spans="1:17" x14ac:dyDescent="0.2">
      <c r="A99" s="121">
        <v>9009140800</v>
      </c>
      <c r="B99" s="121" t="s">
        <v>943</v>
      </c>
      <c r="C99" s="128" t="s">
        <v>3887</v>
      </c>
      <c r="D99" s="88">
        <f>[2]!Table32[[#This Row],[Residential CLM $ Collected]]+[2]!Table32[[#This Row],[C&amp;I CLM $ Collected]]</f>
        <v>123476.1148134049</v>
      </c>
      <c r="E99" s="28">
        <f>[2]!Table3[[#This Row],[CLM $ Collected ]]/'[2]1.) CLM Reference'!$B$4</f>
        <v>3.8188850592781125E-3</v>
      </c>
      <c r="F99" s="88">
        <f>[2]!Table32[[#This Row],[Residential Incentive Disbursements]]+[2]!Table32[[#This Row],[C&amp;I Incentive Disbursements]]</f>
        <v>1437.5</v>
      </c>
      <c r="G99" s="28">
        <f>[2]!Table3[[#This Row],[Incentive Disbursements]]/'[2]1.) CLM Reference'!$B$5</f>
        <v>3.0969145873072554E-3</v>
      </c>
      <c r="H99" s="88">
        <v>1811.5823598662307</v>
      </c>
      <c r="I99" s="28">
        <f>[2]!Table3[[#This Row],[CLM $ Collected ]]/'[2]1.) CLM Reference'!$B$4</f>
        <v>3.8188850592781125E-3</v>
      </c>
      <c r="J99" s="88">
        <v>0</v>
      </c>
      <c r="K99" s="28">
        <f>[2]!Table3[[#This Row],[Incentive Disbursements]]/'[2]1.) CLM Reference'!$B$5</f>
        <v>3.0969145873072554E-3</v>
      </c>
      <c r="L99" s="88">
        <v>121664.53245353868</v>
      </c>
      <c r="M99" s="203">
        <f>[2]!Table32[[#This Row],[CLM $ Collected ]]/'[2]1.) CLM Reference'!$B$4</f>
        <v>5.4792740540449717E-3</v>
      </c>
      <c r="N99" s="88">
        <v>1437.5</v>
      </c>
      <c r="O99" s="204">
        <f>[2]!Table3[[#This Row],[Incentive Disbursements]]/'[2]1.) CLM Reference'!$B$5</f>
        <v>3.0969145873072554E-3</v>
      </c>
      <c r="P99" t="str">
        <f>VLOOKUP(Table325[[#This Row],[Census Tract]],'UI EnergyBurden'!$A$2:$B$184,2,FALSE)</f>
        <v>No</v>
      </c>
      <c r="Q99">
        <f>VLOOKUP(Table325[[#This Row],[Census Tract]],'Population and Diversity Data'!B95:K916,10,FALSE)</f>
        <v>4</v>
      </c>
    </row>
    <row r="100" spans="1:17" x14ac:dyDescent="0.2">
      <c r="A100" s="121">
        <v>9009140900</v>
      </c>
      <c r="B100" s="121" t="s">
        <v>943</v>
      </c>
      <c r="C100" s="128" t="s">
        <v>3887</v>
      </c>
      <c r="D100" s="88">
        <f>[2]!Table32[[#This Row],[Residential CLM $ Collected]]+[2]!Table32[[#This Row],[C&amp;I CLM $ Collected]]</f>
        <v>3595.8340174633272</v>
      </c>
      <c r="E100" s="28">
        <f>[2]!Table3[[#This Row],[CLM $ Collected ]]/'[2]1.) CLM Reference'!$B$4</f>
        <v>1.3228175184748762E-6</v>
      </c>
      <c r="F100" s="88">
        <f>[2]!Table32[[#This Row],[Residential Incentive Disbursements]]+[2]!Table32[[#This Row],[C&amp;I Incentive Disbursements]]</f>
        <v>0</v>
      </c>
      <c r="G100" s="28">
        <f>[2]!Table3[[#This Row],[Incentive Disbursements]]/'[2]1.) CLM Reference'!$B$5</f>
        <v>0</v>
      </c>
      <c r="H100" s="88">
        <v>0</v>
      </c>
      <c r="I100" s="28">
        <f>[2]!Table3[[#This Row],[CLM $ Collected ]]/'[2]1.) CLM Reference'!$B$4</f>
        <v>1.3228175184748762E-6</v>
      </c>
      <c r="J100" s="88">
        <v>0</v>
      </c>
      <c r="K100" s="28">
        <f>[2]!Table3[[#This Row],[Incentive Disbursements]]/'[2]1.) CLM Reference'!$B$5</f>
        <v>0</v>
      </c>
      <c r="L100" s="88">
        <v>3595.8340174633272</v>
      </c>
      <c r="M100" s="203">
        <f>[2]!Table32[[#This Row],[CLM $ Collected ]]/'[2]1.) CLM Reference'!$B$4</f>
        <v>1.595657594532618E-4</v>
      </c>
      <c r="N100" s="88">
        <v>0</v>
      </c>
      <c r="O100" s="204">
        <f>[2]!Table3[[#This Row],[Incentive Disbursements]]/'[2]1.) CLM Reference'!$B$5</f>
        <v>0</v>
      </c>
      <c r="P100" t="str">
        <f>VLOOKUP(Table325[[#This Row],[Census Tract]],'UI EnergyBurden'!$A$2:$B$184,2,FALSE)</f>
        <v>No</v>
      </c>
      <c r="Q100">
        <f>VLOOKUP(Table325[[#This Row],[Census Tract]],'Population and Diversity Data'!B96:K917,10,FALSE)</f>
        <v>3</v>
      </c>
    </row>
    <row r="101" spans="1:17" x14ac:dyDescent="0.2">
      <c r="A101" s="121">
        <v>9009141000</v>
      </c>
      <c r="B101" s="121" t="s">
        <v>943</v>
      </c>
      <c r="C101" s="128" t="s">
        <v>3886</v>
      </c>
      <c r="D101" s="88">
        <f>[2]!Table32[[#This Row],[Residential CLM $ Collected]]+[2]!Table32[[#This Row],[C&amp;I CLM $ Collected]]</f>
        <v>7189.0826982255212</v>
      </c>
      <c r="E101" s="28">
        <f>[2]!Table3[[#This Row],[CLM $ Collected ]]/'[2]1.) CLM Reference'!$B$4</f>
        <v>6.1113214679598526E-3</v>
      </c>
      <c r="F101" s="88">
        <f>[2]!Table32[[#This Row],[Residential Incentive Disbursements]]+[2]!Table32[[#This Row],[C&amp;I Incentive Disbursements]]</f>
        <v>5082</v>
      </c>
      <c r="G101" s="28">
        <f>[2]!Table3[[#This Row],[Incentive Disbursements]]/'[2]1.) CLM Reference'!$B$5</f>
        <v>4.1316615180123526E-3</v>
      </c>
      <c r="H101" s="88">
        <v>0</v>
      </c>
      <c r="I101" s="28">
        <f>[2]!Table3[[#This Row],[CLM $ Collected ]]/'[2]1.) CLM Reference'!$B$4</f>
        <v>6.1113214679598526E-3</v>
      </c>
      <c r="J101" s="88">
        <v>0</v>
      </c>
      <c r="K101" s="28">
        <f>[2]!Table3[[#This Row],[Incentive Disbursements]]/'[2]1.) CLM Reference'!$B$5</f>
        <v>4.1316615180123526E-3</v>
      </c>
      <c r="L101" s="88">
        <v>7189.0826982255212</v>
      </c>
      <c r="M101" s="203">
        <f>[2]!Table32[[#This Row],[CLM $ Collected ]]/'[2]1.) CLM Reference'!$B$4</f>
        <v>3.1901679414109916E-4</v>
      </c>
      <c r="N101" s="88">
        <v>5082</v>
      </c>
      <c r="O101" s="204">
        <f>[2]!Table3[[#This Row],[Incentive Disbursements]]/'[2]1.) CLM Reference'!$B$5</f>
        <v>4.1316615180123526E-3</v>
      </c>
      <c r="P101" t="str">
        <f>VLOOKUP(Table325[[#This Row],[Census Tract]],'UI EnergyBurden'!$A$2:$B$184,2,FALSE)</f>
        <v>No</v>
      </c>
      <c r="Q101">
        <f>VLOOKUP(Table325[[#This Row],[Census Tract]],'Population and Diversity Data'!B97:K918,10,FALSE)</f>
        <v>4</v>
      </c>
    </row>
    <row r="102" spans="1:17" x14ac:dyDescent="0.2">
      <c r="A102" s="121">
        <v>9009141100</v>
      </c>
      <c r="B102" s="121" t="s">
        <v>943</v>
      </c>
      <c r="C102" s="128" t="s">
        <v>3886</v>
      </c>
      <c r="D102" s="88">
        <f>[2]!Table32[[#This Row],[Residential CLM $ Collected]]+[2]!Table32[[#This Row],[C&amp;I CLM $ Collected]]</f>
        <v>10915.199218735293</v>
      </c>
      <c r="E102" s="28">
        <f>[2]!Table3[[#This Row],[CLM $ Collected ]]/'[2]1.) CLM Reference'!$B$4</f>
        <v>6.2006687055411288E-6</v>
      </c>
      <c r="F102" s="88">
        <f>[2]!Table32[[#This Row],[Residential Incentive Disbursements]]+[2]!Table32[[#This Row],[C&amp;I Incentive Disbursements]]</f>
        <v>93583</v>
      </c>
      <c r="G102" s="28">
        <f>[2]!Table3[[#This Row],[Incentive Disbursements]]/'[2]1.) CLM Reference'!$B$5</f>
        <v>0</v>
      </c>
      <c r="H102" s="88">
        <v>0</v>
      </c>
      <c r="I102" s="28">
        <f>[2]!Table3[[#This Row],[CLM $ Collected ]]/'[2]1.) CLM Reference'!$B$4</f>
        <v>6.2006687055411288E-6</v>
      </c>
      <c r="J102" s="88">
        <v>0</v>
      </c>
      <c r="K102" s="28">
        <f>[2]!Table3[[#This Row],[Incentive Disbursements]]/'[2]1.) CLM Reference'!$B$5</f>
        <v>0</v>
      </c>
      <c r="L102" s="88">
        <v>10915.199218735293</v>
      </c>
      <c r="M102" s="203">
        <f>[2]!Table32[[#This Row],[CLM $ Collected ]]/'[2]1.) CLM Reference'!$B$4</f>
        <v>4.8436386230914507E-4</v>
      </c>
      <c r="N102" s="88">
        <v>93583</v>
      </c>
      <c r="O102" s="204">
        <f>[2]!Table3[[#This Row],[Incentive Disbursements]]/'[2]1.) CLM Reference'!$B$5</f>
        <v>0</v>
      </c>
      <c r="P102" t="str">
        <f>VLOOKUP(Table325[[#This Row],[Census Tract]],'UI EnergyBurden'!$A$2:$B$184,2,FALSE)</f>
        <v>No</v>
      </c>
      <c r="Q102">
        <f>VLOOKUP(Table325[[#This Row],[Census Tract]],'Population and Diversity Data'!B98:K919,10,FALSE)</f>
        <v>4</v>
      </c>
    </row>
    <row r="103" spans="1:17" x14ac:dyDescent="0.2">
      <c r="A103" s="121">
        <v>9009141200</v>
      </c>
      <c r="B103" s="121" t="s">
        <v>943</v>
      </c>
      <c r="C103" s="128" t="s">
        <v>3886</v>
      </c>
      <c r="D103" s="88">
        <f>[2]!Table32[[#This Row],[Residential CLM $ Collected]]+[2]!Table32[[#This Row],[C&amp;I CLM $ Collected]]</f>
        <v>28082.818265547841</v>
      </c>
      <c r="E103" s="28">
        <f>[2]!Table3[[#This Row],[CLM $ Collected ]]/'[2]1.) CLM Reference'!$B$4</f>
        <v>5.0138393682995662E-3</v>
      </c>
      <c r="F103" s="88">
        <f>[2]!Table32[[#This Row],[Residential Incentive Disbursements]]+[2]!Table32[[#This Row],[C&amp;I Incentive Disbursements]]</f>
        <v>16109</v>
      </c>
      <c r="G103" s="28">
        <f>[2]!Table3[[#This Row],[Incentive Disbursements]]/'[2]1.) CLM Reference'!$B$5</f>
        <v>4.90605402422399E-3</v>
      </c>
      <c r="H103" s="88">
        <v>0</v>
      </c>
      <c r="I103" s="28">
        <f>[2]!Table3[[#This Row],[CLM $ Collected ]]/'[2]1.) CLM Reference'!$B$4</f>
        <v>5.0138393682995662E-3</v>
      </c>
      <c r="J103" s="88">
        <v>0</v>
      </c>
      <c r="K103" s="28">
        <f>[2]!Table3[[#This Row],[Incentive Disbursements]]/'[2]1.) CLM Reference'!$B$5</f>
        <v>4.90605402422399E-3</v>
      </c>
      <c r="L103" s="88">
        <v>28082.818265547841</v>
      </c>
      <c r="M103" s="203">
        <f>[2]!Table32[[#This Row],[CLM $ Collected ]]/'[2]1.) CLM Reference'!$B$4</f>
        <v>1.2461799411117493E-3</v>
      </c>
      <c r="N103" s="88">
        <v>16109</v>
      </c>
      <c r="O103" s="204">
        <f>[2]!Table3[[#This Row],[Incentive Disbursements]]/'[2]1.) CLM Reference'!$B$5</f>
        <v>4.90605402422399E-3</v>
      </c>
      <c r="P103" t="str">
        <f>VLOOKUP(Table325[[#This Row],[Census Tract]],'UI EnergyBurden'!$A$2:$B$184,2,FALSE)</f>
        <v>No</v>
      </c>
      <c r="Q103">
        <f>VLOOKUP(Table325[[#This Row],[Census Tract]],'Population and Diversity Data'!B99:K920,10,FALSE)</f>
        <v>5</v>
      </c>
    </row>
    <row r="104" spans="1:17" x14ac:dyDescent="0.2">
      <c r="A104" s="121">
        <v>9009141300</v>
      </c>
      <c r="B104" s="121" t="s">
        <v>943</v>
      </c>
      <c r="C104" s="128" t="s">
        <v>3887</v>
      </c>
      <c r="D104" s="88">
        <f>[2]!Table32[[#This Row],[Residential CLM $ Collected]]+[2]!Table32[[#This Row],[C&amp;I CLM $ Collected]]</f>
        <v>51848.096540165359</v>
      </c>
      <c r="E104" s="28">
        <f>[2]!Table3[[#This Row],[CLM $ Collected ]]/'[2]1.) CLM Reference'!$B$4</f>
        <v>4.1731133423158166E-7</v>
      </c>
      <c r="F104" s="88">
        <f>[2]!Table32[[#This Row],[Residential Incentive Disbursements]]+[2]!Table32[[#This Row],[C&amp;I Incentive Disbursements]]</f>
        <v>53353.8</v>
      </c>
      <c r="G104" s="28">
        <f>[2]!Table3[[#This Row],[Incentive Disbursements]]/'[2]1.) CLM Reference'!$B$5</f>
        <v>0</v>
      </c>
      <c r="H104" s="88">
        <v>0</v>
      </c>
      <c r="I104" s="28">
        <f>[2]!Table3[[#This Row],[CLM $ Collected ]]/'[2]1.) CLM Reference'!$B$4</f>
        <v>4.1731133423158166E-7</v>
      </c>
      <c r="J104" s="88">
        <v>53353.8</v>
      </c>
      <c r="K104" s="28">
        <f>[2]!Table3[[#This Row],[Incentive Disbursements]]/'[2]1.) CLM Reference'!$B$5</f>
        <v>0</v>
      </c>
      <c r="L104" s="88">
        <v>51848.096540165359</v>
      </c>
      <c r="M104" s="203">
        <f>[2]!Table32[[#This Row],[CLM $ Collected ]]/'[2]1.) CLM Reference'!$B$4</f>
        <v>2.3007682947706852E-3</v>
      </c>
      <c r="N104" s="88">
        <v>0</v>
      </c>
      <c r="O104" s="204">
        <f>[2]!Table3[[#This Row],[Incentive Disbursements]]/'[2]1.) CLM Reference'!$B$5</f>
        <v>0</v>
      </c>
      <c r="P104" t="str">
        <f>VLOOKUP(Table325[[#This Row],[Census Tract]],'UI EnergyBurden'!$A$2:$B$184,2,FALSE)</f>
        <v>No</v>
      </c>
      <c r="Q104">
        <f>VLOOKUP(Table325[[#This Row],[Census Tract]],'Population and Diversity Data'!B100:K921,10,FALSE)</f>
        <v>3</v>
      </c>
    </row>
    <row r="105" spans="1:17" x14ac:dyDescent="0.2">
      <c r="A105" s="121">
        <v>9009141400</v>
      </c>
      <c r="B105" s="121" t="s">
        <v>943</v>
      </c>
      <c r="C105" s="128" t="s">
        <v>3886</v>
      </c>
      <c r="D105" s="88">
        <f>[2]!Table32[[#This Row],[Residential CLM $ Collected]]+[2]!Table32[[#This Row],[C&amp;I CLM $ Collected]]</f>
        <v>59952.019096777971</v>
      </c>
      <c r="E105" s="28">
        <f>[2]!Table3[[#This Row],[CLM $ Collected ]]/'[2]1.) CLM Reference'!$B$4</f>
        <v>5.5633920958450753E-3</v>
      </c>
      <c r="F105" s="88">
        <f>[2]!Table32[[#This Row],[Residential Incentive Disbursements]]+[2]!Table32[[#This Row],[C&amp;I Incentive Disbursements]]</f>
        <v>1350</v>
      </c>
      <c r="G105" s="28">
        <f>[2]!Table3[[#This Row],[Incentive Disbursements]]/'[2]1.) CLM Reference'!$B$5</f>
        <v>7.7947500291000527E-3</v>
      </c>
      <c r="H105" s="88">
        <v>0</v>
      </c>
      <c r="I105" s="28">
        <f>[2]!Table3[[#This Row],[CLM $ Collected ]]/'[2]1.) CLM Reference'!$B$4</f>
        <v>5.5633920958450753E-3</v>
      </c>
      <c r="J105" s="88">
        <v>0</v>
      </c>
      <c r="K105" s="28">
        <f>[2]!Table3[[#This Row],[Incentive Disbursements]]/'[2]1.) CLM Reference'!$B$5</f>
        <v>7.7947500291000527E-3</v>
      </c>
      <c r="L105" s="88">
        <v>59952.019096777971</v>
      </c>
      <c r="M105" s="203">
        <f>[2]!Table32[[#This Row],[CLM $ Collected ]]/'[2]1.) CLM Reference'!$B$4</f>
        <v>2.6603812666198506E-3</v>
      </c>
      <c r="N105" s="88">
        <v>1350</v>
      </c>
      <c r="O105" s="204">
        <f>[2]!Table3[[#This Row],[Incentive Disbursements]]/'[2]1.) CLM Reference'!$B$5</f>
        <v>7.7947500291000527E-3</v>
      </c>
      <c r="P105" t="str">
        <f>VLOOKUP(Table325[[#This Row],[Census Tract]],'UI EnergyBurden'!$A$2:$B$184,2,FALSE)</f>
        <v>No</v>
      </c>
      <c r="Q105">
        <f>VLOOKUP(Table325[[#This Row],[Census Tract]],'Population and Diversity Data'!B101:K922,10,FALSE)</f>
        <v>5</v>
      </c>
    </row>
    <row r="106" spans="1:17" x14ac:dyDescent="0.2">
      <c r="A106" s="121">
        <v>9009141500</v>
      </c>
      <c r="B106" s="121" t="s">
        <v>943</v>
      </c>
      <c r="C106" s="128" t="s">
        <v>3887</v>
      </c>
      <c r="D106" s="88">
        <f>[2]!Table32[[#This Row],[Residential CLM $ Collected]]+[2]!Table32[[#This Row],[C&amp;I CLM $ Collected]]</f>
        <v>75297.285086360454</v>
      </c>
      <c r="E106" s="28">
        <f>[2]!Table3[[#This Row],[CLM $ Collected ]]/'[2]1.) CLM Reference'!$B$4</f>
        <v>1.4867510136403703E-5</v>
      </c>
      <c r="F106" s="88">
        <f>[2]!Table32[[#This Row],[Residential Incentive Disbursements]]+[2]!Table32[[#This Row],[C&amp;I Incentive Disbursements]]</f>
        <v>5058</v>
      </c>
      <c r="G106" s="28">
        <f>[2]!Table3[[#This Row],[Incentive Disbursements]]/'[2]1.) CLM Reference'!$B$5</f>
        <v>0</v>
      </c>
      <c r="H106" s="88">
        <v>0</v>
      </c>
      <c r="I106" s="28">
        <f>[2]!Table3[[#This Row],[CLM $ Collected ]]/'[2]1.) CLM Reference'!$B$4</f>
        <v>1.4867510136403703E-5</v>
      </c>
      <c r="J106" s="88">
        <v>0</v>
      </c>
      <c r="K106" s="28">
        <f>[2]!Table3[[#This Row],[Incentive Disbursements]]/'[2]1.) CLM Reference'!$B$5</f>
        <v>0</v>
      </c>
      <c r="L106" s="88">
        <v>75297.285086360454</v>
      </c>
      <c r="M106" s="203">
        <f>[2]!Table32[[#This Row],[CLM $ Collected ]]/'[2]1.) CLM Reference'!$B$4</f>
        <v>3.3413301117969098E-3</v>
      </c>
      <c r="N106" s="88">
        <v>5058</v>
      </c>
      <c r="O106" s="204">
        <f>[2]!Table3[[#This Row],[Incentive Disbursements]]/'[2]1.) CLM Reference'!$B$5</f>
        <v>0</v>
      </c>
      <c r="P106" t="str">
        <f>VLOOKUP(Table325[[#This Row],[Census Tract]],'UI EnergyBurden'!$A$2:$B$184,2,FALSE)</f>
        <v>Yes</v>
      </c>
      <c r="Q106">
        <f>VLOOKUP(Table325[[#This Row],[Census Tract]],'Population and Diversity Data'!B102:K923,10,FALSE)</f>
        <v>3</v>
      </c>
    </row>
    <row r="107" spans="1:17" x14ac:dyDescent="0.2">
      <c r="A107" s="121">
        <v>9009141600</v>
      </c>
      <c r="B107" s="121" t="s">
        <v>943</v>
      </c>
      <c r="C107" s="128" t="s">
        <v>3887</v>
      </c>
      <c r="D107" s="88">
        <f>[2]!Table32[[#This Row],[Residential CLM $ Collected]]+[2]!Table32[[#This Row],[C&amp;I CLM $ Collected]]</f>
        <v>50842.031229609682</v>
      </c>
      <c r="E107" s="28">
        <f>[2]!Table3[[#This Row],[CLM $ Collected ]]/'[2]1.) CLM Reference'!$B$4</f>
        <v>0</v>
      </c>
      <c r="F107" s="88">
        <f>[2]!Table32[[#This Row],[Residential Incentive Disbursements]]+[2]!Table32[[#This Row],[C&amp;I Incentive Disbursements]]</f>
        <v>164591.69</v>
      </c>
      <c r="G107" s="28">
        <f>[2]!Table3[[#This Row],[Incentive Disbursements]]/'[2]1.) CLM Reference'!$B$5</f>
        <v>1.8678271845178163E-5</v>
      </c>
      <c r="H107" s="88">
        <v>4627.2910277622914</v>
      </c>
      <c r="I107" s="28">
        <f>[2]!Table3[[#This Row],[CLM $ Collected ]]/'[2]1.) CLM Reference'!$B$4</f>
        <v>0</v>
      </c>
      <c r="J107" s="88">
        <v>38465.69</v>
      </c>
      <c r="K107" s="28">
        <f>[2]!Table3[[#This Row],[Incentive Disbursements]]/'[2]1.) CLM Reference'!$B$5</f>
        <v>1.8678271845178163E-5</v>
      </c>
      <c r="L107" s="88">
        <v>46214.740201847388</v>
      </c>
      <c r="M107" s="203">
        <f>[2]!Table32[[#This Row],[CLM $ Collected ]]/'[2]1.) CLM Reference'!$B$4</f>
        <v>2.2561239717683551E-3</v>
      </c>
      <c r="N107" s="88">
        <v>126126</v>
      </c>
      <c r="O107" s="204">
        <f>[2]!Table3[[#This Row],[Incentive Disbursements]]/'[2]1.) CLM Reference'!$B$5</f>
        <v>1.8678271845178163E-5</v>
      </c>
      <c r="P107" t="str">
        <f>VLOOKUP(Table325[[#This Row],[Census Tract]],'UI EnergyBurden'!$A$2:$B$184,2,FALSE)</f>
        <v>Yes</v>
      </c>
      <c r="Q107">
        <f>VLOOKUP(Table325[[#This Row],[Census Tract]],'Population and Diversity Data'!B103:K924,10,FALSE)</f>
        <v>4</v>
      </c>
    </row>
    <row r="108" spans="1:17" x14ac:dyDescent="0.2">
      <c r="A108" s="121">
        <v>9009141800</v>
      </c>
      <c r="B108" s="121" t="s">
        <v>943</v>
      </c>
      <c r="C108" s="128" t="s">
        <v>3886</v>
      </c>
      <c r="D108" s="88">
        <f>[2]!Table32[[#This Row],[Residential CLM $ Collected]]+[2]!Table32[[#This Row],[C&amp;I CLM $ Collected]]</f>
        <v>58504.692211410838</v>
      </c>
      <c r="E108" s="28">
        <f>[2]!Table3[[#This Row],[CLM $ Collected ]]/'[2]1.) CLM Reference'!$B$4</f>
        <v>1.404149182534738E-6</v>
      </c>
      <c r="F108" s="88">
        <f>[2]!Table32[[#This Row],[Residential Incentive Disbursements]]+[2]!Table32[[#This Row],[C&amp;I Incentive Disbursements]]</f>
        <v>67103</v>
      </c>
      <c r="G108" s="28">
        <f>[2]!Table3[[#This Row],[Incentive Disbursements]]/'[2]1.) CLM Reference'!$B$5</f>
        <v>0</v>
      </c>
      <c r="H108" s="88">
        <v>0</v>
      </c>
      <c r="I108" s="28">
        <f>[2]!Table3[[#This Row],[CLM $ Collected ]]/'[2]1.) CLM Reference'!$B$4</f>
        <v>1.404149182534738E-6</v>
      </c>
      <c r="J108" s="88">
        <v>0</v>
      </c>
      <c r="K108" s="28">
        <f>[2]!Table3[[#This Row],[Incentive Disbursements]]/'[2]1.) CLM Reference'!$B$5</f>
        <v>0</v>
      </c>
      <c r="L108" s="88">
        <v>58504.692211410838</v>
      </c>
      <c r="M108" s="203">
        <f>[2]!Table32[[#This Row],[CLM $ Collected ]]/'[2]1.) CLM Reference'!$B$4</f>
        <v>2.5961558845473908E-3</v>
      </c>
      <c r="N108" s="88">
        <v>67103</v>
      </c>
      <c r="O108" s="204">
        <f>[2]!Table3[[#This Row],[Incentive Disbursements]]/'[2]1.) CLM Reference'!$B$5</f>
        <v>0</v>
      </c>
      <c r="P108" t="str">
        <f>VLOOKUP(Table325[[#This Row],[Census Tract]],'UI EnergyBurden'!$A$2:$B$184,2,FALSE)</f>
        <v>No</v>
      </c>
      <c r="Q108">
        <f>VLOOKUP(Table325[[#This Row],[Census Tract]],'Population and Diversity Data'!B104:K925,10,FALSE)</f>
        <v>5</v>
      </c>
    </row>
    <row r="109" spans="1:17" x14ac:dyDescent="0.2">
      <c r="A109" s="121">
        <v>9009141900</v>
      </c>
      <c r="B109" s="121" t="s">
        <v>943</v>
      </c>
      <c r="C109" s="128" t="s">
        <v>3886</v>
      </c>
      <c r="D109" s="88">
        <f>[2]!Table32[[#This Row],[Residential CLM $ Collected]]+[2]!Table32[[#This Row],[C&amp;I CLM $ Collected]]</f>
        <v>19740.984715686034</v>
      </c>
      <c r="E109" s="28">
        <f>[2]!Table3[[#This Row],[CLM $ Collected ]]/'[2]1.) CLM Reference'!$B$4</f>
        <v>5.6245864905881553E-6</v>
      </c>
      <c r="F109" s="88">
        <f>[2]!Table32[[#This Row],[Residential Incentive Disbursements]]+[2]!Table32[[#This Row],[C&amp;I Incentive Disbursements]]</f>
        <v>99806</v>
      </c>
      <c r="G109" s="28">
        <f>[2]!Table3[[#This Row],[Incentive Disbursements]]/'[2]1.) CLM Reference'!$B$5</f>
        <v>0</v>
      </c>
      <c r="H109" s="88">
        <v>0</v>
      </c>
      <c r="I109" s="28">
        <f>[2]!Table3[[#This Row],[CLM $ Collected ]]/'[2]1.) CLM Reference'!$B$4</f>
        <v>5.6245864905881553E-6</v>
      </c>
      <c r="J109" s="88">
        <v>0</v>
      </c>
      <c r="K109" s="28">
        <f>[2]!Table3[[#This Row],[Incentive Disbursements]]/'[2]1.) CLM Reference'!$B$5</f>
        <v>0</v>
      </c>
      <c r="L109" s="88">
        <v>19740.984715686034</v>
      </c>
      <c r="M109" s="203">
        <f>[2]!Table32[[#This Row],[CLM $ Collected ]]/'[2]1.) CLM Reference'!$B$4</f>
        <v>8.7600962759004804E-4</v>
      </c>
      <c r="N109" s="88">
        <v>99806</v>
      </c>
      <c r="O109" s="204">
        <f>[2]!Table3[[#This Row],[Incentive Disbursements]]/'[2]1.) CLM Reference'!$B$5</f>
        <v>0</v>
      </c>
      <c r="P109" t="str">
        <f>VLOOKUP(Table325[[#This Row],[Census Tract]],'UI EnergyBurden'!$A$2:$B$184,2,FALSE)</f>
        <v>No</v>
      </c>
      <c r="Q109">
        <f>VLOOKUP(Table325[[#This Row],[Census Tract]],'Population and Diversity Data'!B105:K926,10,FALSE)</f>
        <v>5</v>
      </c>
    </row>
    <row r="110" spans="1:17" x14ac:dyDescent="0.2">
      <c r="A110" s="121">
        <v>9009142000</v>
      </c>
      <c r="B110" s="121" t="s">
        <v>943</v>
      </c>
      <c r="C110" s="128" t="s">
        <v>3886</v>
      </c>
      <c r="D110" s="88">
        <f>[2]!Table32[[#This Row],[Residential CLM $ Collected]]+[2]!Table32[[#This Row],[C&amp;I CLM $ Collected]]</f>
        <v>25975.801170832172</v>
      </c>
      <c r="E110" s="28">
        <f>[2]!Table3[[#This Row],[CLM $ Collected ]]/'[2]1.) CLM Reference'!$B$4</f>
        <v>4.0793967300970756E-3</v>
      </c>
      <c r="F110" s="88">
        <f>[2]!Table32[[#This Row],[Residential Incentive Disbursements]]+[2]!Table32[[#This Row],[C&amp;I Incentive Disbursements]]</f>
        <v>225</v>
      </c>
      <c r="G110" s="28">
        <f>[2]!Table3[[#This Row],[Incentive Disbursements]]/'[2]1.) CLM Reference'!$B$5</f>
        <v>5.5449225470988036E-3</v>
      </c>
      <c r="H110" s="88">
        <v>5994.7494757550985</v>
      </c>
      <c r="I110" s="28">
        <f>[2]!Table3[[#This Row],[CLM $ Collected ]]/'[2]1.) CLM Reference'!$B$4</f>
        <v>4.0793967300970756E-3</v>
      </c>
      <c r="J110" s="88">
        <v>0</v>
      </c>
      <c r="K110" s="28">
        <f>[2]!Table3[[#This Row],[Incentive Disbursements]]/'[2]1.) CLM Reference'!$B$5</f>
        <v>5.5449225470988036E-3</v>
      </c>
      <c r="L110" s="88">
        <v>19981.051695077073</v>
      </c>
      <c r="M110" s="203">
        <f>[2]!Table32[[#This Row],[CLM $ Collected ]]/'[2]1.) CLM Reference'!$B$4</f>
        <v>1.1526806913503579E-3</v>
      </c>
      <c r="N110" s="88">
        <v>225</v>
      </c>
      <c r="O110" s="204">
        <f>[2]!Table3[[#This Row],[Incentive Disbursements]]/'[2]1.) CLM Reference'!$B$5</f>
        <v>5.5449225470988036E-3</v>
      </c>
      <c r="P110" t="str">
        <f>VLOOKUP(Table325[[#This Row],[Census Tract]],'UI EnergyBurden'!$A$2:$B$184,2,FALSE)</f>
        <v>No</v>
      </c>
      <c r="Q110">
        <f>VLOOKUP(Table325[[#This Row],[Census Tract]],'Population and Diversity Data'!B106:K927,10,FALSE)</f>
        <v>5</v>
      </c>
    </row>
    <row r="111" spans="1:17" x14ac:dyDescent="0.2">
      <c r="A111" s="121">
        <v>9009142100</v>
      </c>
      <c r="B111" s="121" t="s">
        <v>943</v>
      </c>
      <c r="C111" s="128" t="s">
        <v>3887</v>
      </c>
      <c r="D111" s="88">
        <f>[2]!Table32[[#This Row],[Residential CLM $ Collected]]+[2]!Table32[[#This Row],[C&amp;I CLM $ Collected]]</f>
        <v>1682.315524809517</v>
      </c>
      <c r="E111" s="28">
        <f>[2]!Table3[[#This Row],[CLM $ Collected ]]/'[2]1.) CLM Reference'!$B$4</f>
        <v>1.7388996587911949E-6</v>
      </c>
      <c r="F111" s="88">
        <f>[2]!Table32[[#This Row],[Residential Incentive Disbursements]]+[2]!Table32[[#This Row],[C&amp;I Incentive Disbursements]]</f>
        <v>0</v>
      </c>
      <c r="G111" s="28">
        <f>[2]!Table3[[#This Row],[Incentive Disbursements]]/'[2]1.) CLM Reference'!$B$5</f>
        <v>0</v>
      </c>
      <c r="H111" s="88">
        <v>0</v>
      </c>
      <c r="I111" s="28">
        <f>[2]!Table3[[#This Row],[CLM $ Collected ]]/'[2]1.) CLM Reference'!$B$4</f>
        <v>1.7388996587911949E-6</v>
      </c>
      <c r="J111" s="88">
        <v>0</v>
      </c>
      <c r="K111" s="28">
        <f>[2]!Table3[[#This Row],[Incentive Disbursements]]/'[2]1.) CLM Reference'!$B$5</f>
        <v>0</v>
      </c>
      <c r="L111" s="88">
        <v>1682.315524809517</v>
      </c>
      <c r="M111" s="203">
        <f>[2]!Table32[[#This Row],[CLM $ Collected ]]/'[2]1.) CLM Reference'!$B$4</f>
        <v>7.4653043786935874E-5</v>
      </c>
      <c r="N111" s="88">
        <v>0</v>
      </c>
      <c r="O111" s="204">
        <f>[2]!Table3[[#This Row],[Incentive Disbursements]]/'[2]1.) CLM Reference'!$B$5</f>
        <v>0</v>
      </c>
      <c r="P111" t="str">
        <f>VLOOKUP(Table325[[#This Row],[Census Tract]],'UI EnergyBurden'!$A$2:$B$184,2,FALSE)</f>
        <v>No</v>
      </c>
      <c r="Q111">
        <f>VLOOKUP(Table325[[#This Row],[Census Tract]],'Population and Diversity Data'!B107:K928,10,FALSE)</f>
        <v>5</v>
      </c>
    </row>
    <row r="112" spans="1:17" x14ac:dyDescent="0.2">
      <c r="A112" s="121">
        <v>9009142200</v>
      </c>
      <c r="B112" s="121" t="s">
        <v>943</v>
      </c>
      <c r="C112" s="128" t="s">
        <v>3886</v>
      </c>
      <c r="D112" s="88">
        <f>[2]!Table32[[#This Row],[Residential CLM $ Collected]]+[2]!Table32[[#This Row],[C&amp;I CLM $ Collected]]</f>
        <v>20478.590509865004</v>
      </c>
      <c r="E112" s="28">
        <f>[2]!Table3[[#This Row],[CLM $ Collected ]]/'[2]1.) CLM Reference'!$B$4</f>
        <v>2.9220026946786453E-3</v>
      </c>
      <c r="F112" s="88">
        <f>[2]!Table32[[#This Row],[Residential Incentive Disbursements]]+[2]!Table32[[#This Row],[C&amp;I Incentive Disbursements]]</f>
        <v>1200</v>
      </c>
      <c r="G112" s="28">
        <f>[2]!Table3[[#This Row],[Incentive Disbursements]]/'[2]1.) CLM Reference'!$B$5</f>
        <v>5.0499248795873638E-3</v>
      </c>
      <c r="H112" s="88">
        <v>0</v>
      </c>
      <c r="I112" s="28">
        <f>[2]!Table3[[#This Row],[CLM $ Collected ]]/'[2]1.) CLM Reference'!$B$4</f>
        <v>2.9220026946786453E-3</v>
      </c>
      <c r="J112" s="88">
        <v>0</v>
      </c>
      <c r="K112" s="28">
        <f>[2]!Table3[[#This Row],[Incentive Disbursements]]/'[2]1.) CLM Reference'!$B$5</f>
        <v>5.0499248795873638E-3</v>
      </c>
      <c r="L112" s="88">
        <v>20478.590509865004</v>
      </c>
      <c r="M112" s="203">
        <f>[2]!Table32[[#This Row],[CLM $ Collected ]]/'[2]1.) CLM Reference'!$B$4</f>
        <v>9.087410128969601E-4</v>
      </c>
      <c r="N112" s="88">
        <v>1200</v>
      </c>
      <c r="O112" s="204">
        <f>[2]!Table3[[#This Row],[Incentive Disbursements]]/'[2]1.) CLM Reference'!$B$5</f>
        <v>5.0499248795873638E-3</v>
      </c>
      <c r="P112" t="str">
        <f>VLOOKUP(Table325[[#This Row],[Census Tract]],'UI EnergyBurden'!$A$2:$B$184,2,FALSE)</f>
        <v>No</v>
      </c>
      <c r="Q112">
        <f>VLOOKUP(Table325[[#This Row],[Census Tract]],'Population and Diversity Data'!B108:K929,10,FALSE)</f>
        <v>4</v>
      </c>
    </row>
    <row r="113" spans="1:17" x14ac:dyDescent="0.2">
      <c r="A113" s="121">
        <v>9009142300</v>
      </c>
      <c r="B113" s="121" t="s">
        <v>943</v>
      </c>
      <c r="C113" s="128" t="s">
        <v>3887</v>
      </c>
      <c r="D113" s="88">
        <f>[2]!Table32[[#This Row],[Residential CLM $ Collected]]+[2]!Table32[[#This Row],[C&amp;I CLM $ Collected]]</f>
        <v>16842.545273353677</v>
      </c>
      <c r="E113" s="28">
        <f>[2]!Table3[[#This Row],[CLM $ Collected ]]/'[2]1.) CLM Reference'!$B$4</f>
        <v>1.1154934781006199E-6</v>
      </c>
      <c r="F113" s="88">
        <f>[2]!Table32[[#This Row],[Residential Incentive Disbursements]]+[2]!Table32[[#This Row],[C&amp;I Incentive Disbursements]]</f>
        <v>133255</v>
      </c>
      <c r="G113" s="28">
        <f>[2]!Table3[[#This Row],[Incentive Disbursements]]/'[2]1.) CLM Reference'!$B$5</f>
        <v>0</v>
      </c>
      <c r="H113" s="88">
        <v>0</v>
      </c>
      <c r="I113" s="28">
        <f>[2]!Table3[[#This Row],[CLM $ Collected ]]/'[2]1.) CLM Reference'!$B$4</f>
        <v>1.1154934781006199E-6</v>
      </c>
      <c r="J113" s="88">
        <v>0</v>
      </c>
      <c r="K113" s="28">
        <f>[2]!Table3[[#This Row],[Incentive Disbursements]]/'[2]1.) CLM Reference'!$B$5</f>
        <v>0</v>
      </c>
      <c r="L113" s="88">
        <v>16842.545273353677</v>
      </c>
      <c r="M113" s="203">
        <f>[2]!Table32[[#This Row],[CLM $ Collected ]]/'[2]1.) CLM Reference'!$B$4</f>
        <v>7.4739087361004239E-4</v>
      </c>
      <c r="N113" s="88">
        <v>133255</v>
      </c>
      <c r="O113" s="204">
        <f>[2]!Table3[[#This Row],[Incentive Disbursements]]/'[2]1.) CLM Reference'!$B$5</f>
        <v>0</v>
      </c>
      <c r="P113" t="str">
        <f>VLOOKUP(Table325[[#This Row],[Census Tract]],'UI EnergyBurden'!$A$2:$B$184,2,FALSE)</f>
        <v>Yes</v>
      </c>
      <c r="Q113">
        <f>VLOOKUP(Table325[[#This Row],[Census Tract]],'Population and Diversity Data'!B109:K930,10,FALSE)</f>
        <v>5</v>
      </c>
    </row>
    <row r="114" spans="1:17" x14ac:dyDescent="0.2">
      <c r="A114" s="121">
        <v>9009142400</v>
      </c>
      <c r="B114" s="121" t="s">
        <v>943</v>
      </c>
      <c r="C114" s="128" t="s">
        <v>3887</v>
      </c>
      <c r="D114" s="88">
        <f>[2]!Table32[[#This Row],[Residential CLM $ Collected]]+[2]!Table32[[#This Row],[C&amp;I CLM $ Collected]]</f>
        <v>25476.92352096687</v>
      </c>
      <c r="E114" s="28">
        <f>[2]!Table3[[#This Row],[CLM $ Collected ]]/'[2]1.) CLM Reference'!$B$4</f>
        <v>1.4476626471350265E-5</v>
      </c>
      <c r="F114" s="88">
        <f>[2]!Table32[[#This Row],[Residential Incentive Disbursements]]+[2]!Table32[[#This Row],[C&amp;I Incentive Disbursements]]</f>
        <v>26921.940000000002</v>
      </c>
      <c r="G114" s="28">
        <f>[2]!Table3[[#This Row],[Incentive Disbursements]]/'[2]1.) CLM Reference'!$B$5</f>
        <v>0</v>
      </c>
      <c r="H114" s="88">
        <v>1628.0234540856973</v>
      </c>
      <c r="I114" s="28">
        <f>[2]!Table3[[#This Row],[CLM $ Collected ]]/'[2]1.) CLM Reference'!$B$4</f>
        <v>1.4476626471350265E-5</v>
      </c>
      <c r="J114" s="88">
        <v>0</v>
      </c>
      <c r="K114" s="28">
        <f>[2]!Table3[[#This Row],[Incentive Disbursements]]/'[2]1.) CLM Reference'!$B$5</f>
        <v>0</v>
      </c>
      <c r="L114" s="88">
        <v>23848.900066881171</v>
      </c>
      <c r="M114" s="203">
        <f>[2]!Table32[[#This Row],[CLM $ Collected ]]/'[2]1.) CLM Reference'!$B$4</f>
        <v>1.1305429089364823E-3</v>
      </c>
      <c r="N114" s="88">
        <v>26921.940000000002</v>
      </c>
      <c r="O114" s="204">
        <f>[2]!Table3[[#This Row],[Incentive Disbursements]]/'[2]1.) CLM Reference'!$B$5</f>
        <v>0</v>
      </c>
      <c r="P114" t="str">
        <f>VLOOKUP(Table325[[#This Row],[Census Tract]],'UI EnergyBurden'!$A$2:$B$184,2,FALSE)</f>
        <v>Yes</v>
      </c>
      <c r="Q114">
        <f>VLOOKUP(Table325[[#This Row],[Census Tract]],'Population and Diversity Data'!B110:K931,10,FALSE)</f>
        <v>5</v>
      </c>
    </row>
    <row r="115" spans="1:17" x14ac:dyDescent="0.2">
      <c r="A115" s="121">
        <v>9009142500</v>
      </c>
      <c r="B115" s="121" t="s">
        <v>943</v>
      </c>
      <c r="C115" s="128" t="s">
        <v>3887</v>
      </c>
      <c r="D115" s="88">
        <f>[2]!Table32[[#This Row],[Residential CLM $ Collected]]+[2]!Table32[[#This Row],[C&amp;I CLM $ Collected]]</f>
        <v>97738.653986381236</v>
      </c>
      <c r="E115" s="28">
        <f>[2]!Table3[[#This Row],[CLM $ Collected ]]/'[2]1.) CLM Reference'!$B$4</f>
        <v>4.9227263936590026E-3</v>
      </c>
      <c r="F115" s="88">
        <f>[2]!Table32[[#This Row],[Residential Incentive Disbursements]]+[2]!Table32[[#This Row],[C&amp;I Incentive Disbursements]]</f>
        <v>79769</v>
      </c>
      <c r="G115" s="28">
        <f>[2]!Table3[[#This Row],[Incentive Disbursements]]/'[2]1.) CLM Reference'!$B$5</f>
        <v>5.2264299175478063E-3</v>
      </c>
      <c r="H115" s="88">
        <v>0</v>
      </c>
      <c r="I115" s="28">
        <f>[2]!Table3[[#This Row],[CLM $ Collected ]]/'[2]1.) CLM Reference'!$B$4</f>
        <v>4.9227263936590026E-3</v>
      </c>
      <c r="J115" s="88">
        <v>0</v>
      </c>
      <c r="K115" s="28">
        <f>[2]!Table3[[#This Row],[Incentive Disbursements]]/'[2]1.) CLM Reference'!$B$5</f>
        <v>5.2264299175478063E-3</v>
      </c>
      <c r="L115" s="88">
        <v>97738.653986381236</v>
      </c>
      <c r="M115" s="203">
        <f>[2]!Table32[[#This Row],[CLM $ Collected ]]/'[2]1.) CLM Reference'!$B$4</f>
        <v>4.3371697568728371E-3</v>
      </c>
      <c r="N115" s="88">
        <v>79769</v>
      </c>
      <c r="O115" s="204">
        <f>[2]!Table3[[#This Row],[Incentive Disbursements]]/'[2]1.) CLM Reference'!$B$5</f>
        <v>5.2264299175478063E-3</v>
      </c>
      <c r="P115" t="str">
        <f>VLOOKUP(Table325[[#This Row],[Census Tract]],'UI EnergyBurden'!$A$2:$B$184,2,FALSE)</f>
        <v>Yes</v>
      </c>
      <c r="Q115">
        <f>VLOOKUP(Table325[[#This Row],[Census Tract]],'Population and Diversity Data'!B111:K932,10,FALSE)</f>
        <v>5</v>
      </c>
    </row>
    <row r="116" spans="1:17" x14ac:dyDescent="0.2">
      <c r="A116" s="121">
        <v>9009142601</v>
      </c>
      <c r="B116" s="121" t="s">
        <v>943</v>
      </c>
      <c r="C116" s="128" t="s">
        <v>3886</v>
      </c>
      <c r="D116" s="88">
        <f>[2]!Table32[[#This Row],[Residential CLM $ Collected]]+[2]!Table32[[#This Row],[C&amp;I CLM $ Collected]]</f>
        <v>31779.143397249722</v>
      </c>
      <c r="E116" s="28">
        <f>[2]!Table3[[#This Row],[CLM $ Collected ]]/'[2]1.) CLM Reference'!$B$4</f>
        <v>1.0344076528238105E-5</v>
      </c>
      <c r="F116" s="88">
        <f>[2]!Table32[[#This Row],[Residential Incentive Disbursements]]+[2]!Table32[[#This Row],[C&amp;I Incentive Disbursements]]</f>
        <v>197122</v>
      </c>
      <c r="G116" s="28">
        <f>[2]!Table3[[#This Row],[Incentive Disbursements]]/'[2]1.) CLM Reference'!$B$5</f>
        <v>0</v>
      </c>
      <c r="H116" s="88">
        <v>0</v>
      </c>
      <c r="I116" s="28">
        <f>[2]!Table3[[#This Row],[CLM $ Collected ]]/'[2]1.) CLM Reference'!$B$4</f>
        <v>1.0344076528238105E-5</v>
      </c>
      <c r="J116" s="88">
        <v>38125</v>
      </c>
      <c r="K116" s="28">
        <f>[2]!Table3[[#This Row],[Incentive Disbursements]]/'[2]1.) CLM Reference'!$B$5</f>
        <v>0</v>
      </c>
      <c r="L116" s="88">
        <v>31779.143397249722</v>
      </c>
      <c r="M116" s="203">
        <f>[2]!Table32[[#This Row],[CLM $ Collected ]]/'[2]1.) CLM Reference'!$B$4</f>
        <v>1.4102050112239305E-3</v>
      </c>
      <c r="N116" s="88">
        <v>158997</v>
      </c>
      <c r="O116" s="204">
        <f>[2]!Table3[[#This Row],[Incentive Disbursements]]/'[2]1.) CLM Reference'!$B$5</f>
        <v>0</v>
      </c>
      <c r="P116" t="str">
        <f>VLOOKUP(Table325[[#This Row],[Census Tract]],'UI EnergyBurden'!$A$2:$B$184,2,FALSE)</f>
        <v>No</v>
      </c>
      <c r="Q116">
        <f>VLOOKUP(Table325[[#This Row],[Census Tract]],'Population and Diversity Data'!B112:K933,10,FALSE)</f>
        <v>5</v>
      </c>
    </row>
    <row r="117" spans="1:17" x14ac:dyDescent="0.2">
      <c r="A117" s="121">
        <v>9009142603</v>
      </c>
      <c r="B117" s="121" t="s">
        <v>943</v>
      </c>
      <c r="C117" s="128" t="s">
        <v>3887</v>
      </c>
      <c r="D117" s="88">
        <f>[2]!Table32[[#This Row],[Residential CLM $ Collected]]+[2]!Table32[[#This Row],[C&amp;I CLM $ Collected]]</f>
        <v>35119.952415836873</v>
      </c>
      <c r="E117" s="28">
        <f>[2]!Table3[[#This Row],[CLM $ Collected ]]/'[2]1.) CLM Reference'!$B$4</f>
        <v>2.1528307097558057E-5</v>
      </c>
      <c r="F117" s="88">
        <f>[2]!Table32[[#This Row],[Residential Incentive Disbursements]]+[2]!Table32[[#This Row],[C&amp;I Incentive Disbursements]]</f>
        <v>0</v>
      </c>
      <c r="G117" s="28">
        <f>[2]!Table3[[#This Row],[Incentive Disbursements]]/'[2]1.) CLM Reference'!$B$5</f>
        <v>0</v>
      </c>
      <c r="H117" s="88">
        <v>35119.952415836873</v>
      </c>
      <c r="I117" s="28">
        <f>[2]!Table3[[#This Row],[CLM $ Collected ]]/'[2]1.) CLM Reference'!$B$4</f>
        <v>2.1528307097558057E-5</v>
      </c>
      <c r="J117" s="88">
        <v>0</v>
      </c>
      <c r="K117" s="28">
        <f>[2]!Table3[[#This Row],[Incentive Disbursements]]/'[2]1.) CLM Reference'!$B$5</f>
        <v>0</v>
      </c>
      <c r="L117" s="88">
        <v>0</v>
      </c>
      <c r="M117" s="203">
        <f>[2]!Table32[[#This Row],[CLM $ Collected ]]/'[2]1.) CLM Reference'!$B$4</f>
        <v>1.5584539920306764E-3</v>
      </c>
      <c r="N117" s="88">
        <v>0</v>
      </c>
      <c r="O117" s="204">
        <f>[2]!Table3[[#This Row],[Incentive Disbursements]]/'[2]1.) CLM Reference'!$B$5</f>
        <v>0</v>
      </c>
      <c r="P117" t="str">
        <f>VLOOKUP(Table325[[#This Row],[Census Tract]],'UI EnergyBurden'!$A$2:$B$184,2,FALSE)</f>
        <v>No</v>
      </c>
      <c r="Q117">
        <f>VLOOKUP(Table325[[#This Row],[Census Tract]],'Population and Diversity Data'!B113:K934,10,FALSE)</f>
        <v>5</v>
      </c>
    </row>
    <row r="118" spans="1:17" x14ac:dyDescent="0.2">
      <c r="A118" s="121">
        <v>9009142604</v>
      </c>
      <c r="B118" s="121" t="s">
        <v>943</v>
      </c>
      <c r="C118" s="128" t="s">
        <v>3886</v>
      </c>
      <c r="D118" s="88">
        <f>[2]!Table32[[#This Row],[Residential CLM $ Collected]]+[2]!Table32[[#This Row],[C&amp;I CLM $ Collected]]</f>
        <v>27067.182592525282</v>
      </c>
      <c r="E118" s="28">
        <f>[2]!Table3[[#This Row],[CLM $ Collected ]]/'[2]1.) CLM Reference'!$B$4</f>
        <v>2.0552327128839712E-5</v>
      </c>
      <c r="F118" s="88">
        <f>[2]!Table32[[#This Row],[Residential Incentive Disbursements]]+[2]!Table32[[#This Row],[C&amp;I Incentive Disbursements]]</f>
        <v>175</v>
      </c>
      <c r="G118" s="28">
        <f>[2]!Table3[[#This Row],[Incentive Disbursements]]/'[2]1.) CLM Reference'!$B$5</f>
        <v>0</v>
      </c>
      <c r="H118" s="88">
        <v>0</v>
      </c>
      <c r="I118" s="28">
        <f>[2]!Table3[[#This Row],[CLM $ Collected ]]/'[2]1.) CLM Reference'!$B$4</f>
        <v>2.0552327128839712E-5</v>
      </c>
      <c r="J118" s="88">
        <v>0</v>
      </c>
      <c r="K118" s="28">
        <f>[2]!Table3[[#This Row],[Incentive Disbursements]]/'[2]1.) CLM Reference'!$B$5</f>
        <v>0</v>
      </c>
      <c r="L118" s="88">
        <v>27067.182592525282</v>
      </c>
      <c r="M118" s="203">
        <f>[2]!Table32[[#This Row],[CLM $ Collected ]]/'[2]1.) CLM Reference'!$B$4</f>
        <v>1.201110931611696E-3</v>
      </c>
      <c r="N118" s="88">
        <v>175</v>
      </c>
      <c r="O118" s="204">
        <f>[2]!Table3[[#This Row],[Incentive Disbursements]]/'[2]1.) CLM Reference'!$B$5</f>
        <v>0</v>
      </c>
      <c r="P118" t="str">
        <f>VLOOKUP(Table325[[#This Row],[Census Tract]],'UI EnergyBurden'!$A$2:$B$184,2,FALSE)</f>
        <v>No</v>
      </c>
      <c r="Q118">
        <f>VLOOKUP(Table325[[#This Row],[Census Tract]],'Population and Diversity Data'!B114:K935,10,FALSE)</f>
        <v>4</v>
      </c>
    </row>
    <row r="119" spans="1:17" x14ac:dyDescent="0.2">
      <c r="A119" s="121">
        <v>9009142700</v>
      </c>
      <c r="B119" s="121" t="s">
        <v>943</v>
      </c>
      <c r="C119" s="128" t="s">
        <v>3886</v>
      </c>
      <c r="D119" s="88">
        <f>[2]!Table32[[#This Row],[Residential CLM $ Collected]]+[2]!Table32[[#This Row],[C&amp;I CLM $ Collected]]</f>
        <v>157495.57249567716</v>
      </c>
      <c r="E119" s="28">
        <f>[2]!Table3[[#This Row],[CLM $ Collected ]]/'[2]1.) CLM Reference'!$B$4</f>
        <v>4.2562986307998953E-3</v>
      </c>
      <c r="F119" s="88">
        <f>[2]!Table32[[#This Row],[Residential Incentive Disbursements]]+[2]!Table32[[#This Row],[C&amp;I Incentive Disbursements]]</f>
        <v>168764.22</v>
      </c>
      <c r="G119" s="28">
        <f>[2]!Table3[[#This Row],[Incentive Disbursements]]/'[2]1.) CLM Reference'!$B$5</f>
        <v>1.4917671949446823E-3</v>
      </c>
      <c r="H119" s="88">
        <v>0</v>
      </c>
      <c r="I119" s="28">
        <f>[2]!Table3[[#This Row],[CLM $ Collected ]]/'[2]1.) CLM Reference'!$B$4</f>
        <v>4.2562986307998953E-3</v>
      </c>
      <c r="J119" s="88">
        <v>0</v>
      </c>
      <c r="K119" s="28">
        <f>[2]!Table3[[#This Row],[Incentive Disbursements]]/'[2]1.) CLM Reference'!$B$5</f>
        <v>1.4917671949446823E-3</v>
      </c>
      <c r="L119" s="88">
        <v>157495.57249567716</v>
      </c>
      <c r="M119" s="203">
        <f>[2]!Table32[[#This Row],[CLM $ Collected ]]/'[2]1.) CLM Reference'!$B$4</f>
        <v>6.9888934010161885E-3</v>
      </c>
      <c r="N119" s="88">
        <v>168764.22</v>
      </c>
      <c r="O119" s="204">
        <f>[2]!Table3[[#This Row],[Incentive Disbursements]]/'[2]1.) CLM Reference'!$B$5</f>
        <v>1.4917671949446823E-3</v>
      </c>
      <c r="P119" t="str">
        <f>VLOOKUP(Table325[[#This Row],[Census Tract]],'UI EnergyBurden'!$A$2:$B$184,2,FALSE)</f>
        <v>Yes</v>
      </c>
      <c r="Q119">
        <f>VLOOKUP(Table325[[#This Row],[Census Tract]],'Population and Diversity Data'!B115:K936,10,FALSE)</f>
        <v>5</v>
      </c>
    </row>
    <row r="120" spans="1:17" x14ac:dyDescent="0.2">
      <c r="A120" s="121">
        <v>9009142800</v>
      </c>
      <c r="B120" s="121" t="s">
        <v>943</v>
      </c>
      <c r="C120" s="128" t="s">
        <v>944</v>
      </c>
      <c r="D120" s="88">
        <f>[2]!Table32[[#This Row],[Residential CLM $ Collected]]+[2]!Table32[[#This Row],[C&amp;I CLM $ Collected]]</f>
        <v>15269.27555725986</v>
      </c>
      <c r="E120" s="28">
        <f>[2]!Table3[[#This Row],[CLM $ Collected ]]/'[2]1.) CLM Reference'!$B$4</f>
        <v>4.2530109468078715E-6</v>
      </c>
      <c r="F120" s="88">
        <f>[2]!Table32[[#This Row],[Residential Incentive Disbursements]]+[2]!Table32[[#This Row],[C&amp;I Incentive Disbursements]]</f>
        <v>48384</v>
      </c>
      <c r="G120" s="28">
        <f>[2]!Table3[[#This Row],[Incentive Disbursements]]/'[2]1.) CLM Reference'!$B$5</f>
        <v>0</v>
      </c>
      <c r="H120" s="88">
        <v>0</v>
      </c>
      <c r="I120" s="28">
        <f>[2]!Table3[[#This Row],[CLM $ Collected ]]/'[2]1.) CLM Reference'!$B$4</f>
        <v>4.2530109468078715E-6</v>
      </c>
      <c r="J120" s="88">
        <v>0</v>
      </c>
      <c r="K120" s="28">
        <f>[2]!Table3[[#This Row],[Incentive Disbursements]]/'[2]1.) CLM Reference'!$B$5</f>
        <v>0</v>
      </c>
      <c r="L120" s="88">
        <v>15269.27555725986</v>
      </c>
      <c r="M120" s="203">
        <f>[2]!Table32[[#This Row],[CLM $ Collected ]]/'[2]1.) CLM Reference'!$B$4</f>
        <v>6.7757675653618943E-4</v>
      </c>
      <c r="N120" s="88">
        <v>48384</v>
      </c>
      <c r="O120" s="204">
        <f>[2]!Table3[[#This Row],[Incentive Disbursements]]/'[2]1.) CLM Reference'!$B$5</f>
        <v>0</v>
      </c>
      <c r="P120" t="str">
        <f>VLOOKUP(Table325[[#This Row],[Census Tract]],'UI EnergyBurden'!$A$2:$B$184,2,FALSE)</f>
        <v>No</v>
      </c>
      <c r="Q120">
        <f>VLOOKUP(Table325[[#This Row],[Census Tract]],'Population and Diversity Data'!B116:K937,10,FALSE)</f>
        <v>3</v>
      </c>
    </row>
    <row r="121" spans="1:17" x14ac:dyDescent="0.2">
      <c r="A121" s="121">
        <v>9009150100</v>
      </c>
      <c r="B121" s="121" t="s">
        <v>2988</v>
      </c>
      <c r="C121" s="128" t="s">
        <v>3886</v>
      </c>
      <c r="D121" s="88">
        <f>[2]!Table32[[#This Row],[Residential CLM $ Collected]]+[2]!Table32[[#This Row],[C&amp;I CLM $ Collected]]</f>
        <v>41997.56205832056</v>
      </c>
      <c r="E121" s="28">
        <f>[2]!Table3[[#This Row],[CLM $ Collected ]]/'[2]1.) CLM Reference'!$B$4</f>
        <v>1.5127894380786785E-5</v>
      </c>
      <c r="F121" s="88">
        <f>[2]!Table32[[#This Row],[Residential Incentive Disbursements]]+[2]!Table32[[#This Row],[C&amp;I Incentive Disbursements]]</f>
        <v>19105</v>
      </c>
      <c r="G121" s="28">
        <f>[2]!Table3[[#This Row],[Incentive Disbursements]]/'[2]1.) CLM Reference'!$B$5</f>
        <v>0</v>
      </c>
      <c r="H121" s="88">
        <v>0</v>
      </c>
      <c r="I121" s="28">
        <f>[2]!Table3[[#This Row],[CLM $ Collected ]]/'[2]1.) CLM Reference'!$B$4</f>
        <v>1.5127894380786785E-5</v>
      </c>
      <c r="J121" s="88">
        <v>0</v>
      </c>
      <c r="K121" s="28">
        <f>[2]!Table3[[#This Row],[Incentive Disbursements]]/'[2]1.) CLM Reference'!$B$5</f>
        <v>0</v>
      </c>
      <c r="L121" s="88">
        <v>41997.56205832056</v>
      </c>
      <c r="M121" s="203">
        <f>[2]!Table32[[#This Row],[CLM $ Collected ]]/'[2]1.) CLM Reference'!$B$4</f>
        <v>1.8636491151916075E-3</v>
      </c>
      <c r="N121" s="88">
        <v>19105</v>
      </c>
      <c r="O121" s="204">
        <f>[2]!Table3[[#This Row],[Incentive Disbursements]]/'[2]1.) CLM Reference'!$B$5</f>
        <v>0</v>
      </c>
      <c r="P121" t="str">
        <f>VLOOKUP(Table325[[#This Row],[Census Tract]],'UI EnergyBurden'!$A$2:$B$184,2,FALSE)</f>
        <v>No</v>
      </c>
      <c r="Q121">
        <f>VLOOKUP(Table325[[#This Row],[Census Tract]],'Population and Diversity Data'!B117:K938,10,FALSE)</f>
        <v>3</v>
      </c>
    </row>
    <row r="122" spans="1:17" x14ac:dyDescent="0.2">
      <c r="A122" s="121">
        <v>9009150200</v>
      </c>
      <c r="B122" s="121" t="s">
        <v>2988</v>
      </c>
      <c r="C122" s="128" t="s">
        <v>3886</v>
      </c>
      <c r="D122" s="88">
        <f>[2]!Table32[[#This Row],[Residential CLM $ Collected]]+[2]!Table32[[#This Row],[C&amp;I CLM $ Collected]]</f>
        <v>35331.119024247375</v>
      </c>
      <c r="E122" s="28">
        <f>[2]!Table3[[#This Row],[CLM $ Collected ]]/'[2]1.) CLM Reference'!$B$4</f>
        <v>3.9392309284770922E-3</v>
      </c>
      <c r="F122" s="88">
        <f>[2]!Table32[[#This Row],[Residential Incentive Disbursements]]+[2]!Table32[[#This Row],[C&amp;I Incentive Disbursements]]</f>
        <v>325</v>
      </c>
      <c r="G122" s="28">
        <f>[2]!Table3[[#This Row],[Incentive Disbursements]]/'[2]1.) CLM Reference'!$B$5</f>
        <v>6.4577124031937614E-3</v>
      </c>
      <c r="H122" s="88">
        <v>0</v>
      </c>
      <c r="I122" s="28">
        <f>[2]!Table3[[#This Row],[CLM $ Collected ]]/'[2]1.) CLM Reference'!$B$4</f>
        <v>3.9392309284770922E-3</v>
      </c>
      <c r="J122" s="88">
        <v>0</v>
      </c>
      <c r="K122" s="28">
        <f>[2]!Table3[[#This Row],[Incentive Disbursements]]/'[2]1.) CLM Reference'!$B$5</f>
        <v>6.4577124031937614E-3</v>
      </c>
      <c r="L122" s="88">
        <v>35331.119024247375</v>
      </c>
      <c r="M122" s="203">
        <f>[2]!Table32[[#This Row],[CLM $ Collected ]]/'[2]1.) CLM Reference'!$B$4</f>
        <v>1.5678245469780267E-3</v>
      </c>
      <c r="N122" s="88">
        <v>325</v>
      </c>
      <c r="O122" s="204">
        <f>[2]!Table3[[#This Row],[Incentive Disbursements]]/'[2]1.) CLM Reference'!$B$5</f>
        <v>6.4577124031937614E-3</v>
      </c>
      <c r="P122" t="str">
        <f>VLOOKUP(Table325[[#This Row],[Census Tract]],'UI EnergyBurden'!$A$2:$B$184,2,FALSE)</f>
        <v>No</v>
      </c>
      <c r="Q122">
        <f>VLOOKUP(Table325[[#This Row],[Census Tract]],'Population and Diversity Data'!B118:K939,10,FALSE)</f>
        <v>4</v>
      </c>
    </row>
    <row r="123" spans="1:17" x14ac:dyDescent="0.2">
      <c r="A123" s="121">
        <v>9009150300</v>
      </c>
      <c r="B123" s="121" t="s">
        <v>2988</v>
      </c>
      <c r="C123" s="128" t="s">
        <v>3886</v>
      </c>
      <c r="D123" s="88">
        <f>[2]!Table32[[#This Row],[Residential CLM $ Collected]]+[2]!Table32[[#This Row],[C&amp;I CLM $ Collected]]</f>
        <v>15521.253552166838</v>
      </c>
      <c r="E123" s="28">
        <f>[2]!Table3[[#This Row],[CLM $ Collected ]]/'[2]1.) CLM Reference'!$B$4</f>
        <v>2.7535992358402987E-6</v>
      </c>
      <c r="F123" s="88">
        <f>[2]!Table32[[#This Row],[Residential Incentive Disbursements]]+[2]!Table32[[#This Row],[C&amp;I Incentive Disbursements]]</f>
        <v>69847</v>
      </c>
      <c r="G123" s="28">
        <f>[2]!Table3[[#This Row],[Incentive Disbursements]]/'[2]1.) CLM Reference'!$B$5</f>
        <v>0</v>
      </c>
      <c r="H123" s="88">
        <v>0</v>
      </c>
      <c r="I123" s="28">
        <f>[2]!Table3[[#This Row],[CLM $ Collected ]]/'[2]1.) CLM Reference'!$B$4</f>
        <v>2.7535992358402987E-6</v>
      </c>
      <c r="J123" s="88">
        <v>0</v>
      </c>
      <c r="K123" s="28">
        <f>[2]!Table3[[#This Row],[Incentive Disbursements]]/'[2]1.) CLM Reference'!$B$5</f>
        <v>0</v>
      </c>
      <c r="L123" s="88">
        <v>15521.253552166838</v>
      </c>
      <c r="M123" s="203">
        <f>[2]!Table32[[#This Row],[CLM $ Collected ]]/'[2]1.) CLM Reference'!$B$4</f>
        <v>6.8875832385202629E-4</v>
      </c>
      <c r="N123" s="88">
        <v>69847</v>
      </c>
      <c r="O123" s="204">
        <f>[2]!Table3[[#This Row],[Incentive Disbursements]]/'[2]1.) CLM Reference'!$B$5</f>
        <v>0</v>
      </c>
      <c r="P123" t="str">
        <f>VLOOKUP(Table325[[#This Row],[Census Tract]],'UI EnergyBurden'!$A$2:$B$184,2,FALSE)</f>
        <v>No</v>
      </c>
      <c r="Q123">
        <f>VLOOKUP(Table325[[#This Row],[Census Tract]],'Population and Diversity Data'!B119:K940,10,FALSE)</f>
        <v>3</v>
      </c>
    </row>
    <row r="124" spans="1:17" x14ac:dyDescent="0.2">
      <c r="A124" s="121">
        <v>9009150500</v>
      </c>
      <c r="B124" s="121" t="s">
        <v>2988</v>
      </c>
      <c r="C124" s="128" t="s">
        <v>3886</v>
      </c>
      <c r="D124" s="88">
        <f>[2]!Table32[[#This Row],[Residential CLM $ Collected]]+[2]!Table32[[#This Row],[C&amp;I CLM $ Collected]]</f>
        <v>9185.9321327641046</v>
      </c>
      <c r="E124" s="28">
        <f>[2]!Table3[[#This Row],[CLM $ Collected ]]/'[2]1.) CLM Reference'!$B$4</f>
        <v>2.6848162075957002E-3</v>
      </c>
      <c r="F124" s="88">
        <f>[2]!Table32[[#This Row],[Residential Incentive Disbursements]]+[2]!Table32[[#This Row],[C&amp;I Incentive Disbursements]]</f>
        <v>0</v>
      </c>
      <c r="G124" s="28">
        <f>[2]!Table3[[#This Row],[Incentive Disbursements]]/'[2]1.) CLM Reference'!$B$5</f>
        <v>9.2369512652029535E-3</v>
      </c>
      <c r="H124" s="88">
        <v>0</v>
      </c>
      <c r="I124" s="28">
        <f>[2]!Table3[[#This Row],[CLM $ Collected ]]/'[2]1.) CLM Reference'!$B$4</f>
        <v>2.6848162075957002E-3</v>
      </c>
      <c r="J124" s="88">
        <v>0</v>
      </c>
      <c r="K124" s="28">
        <f>[2]!Table3[[#This Row],[Incentive Disbursements]]/'[2]1.) CLM Reference'!$B$5</f>
        <v>9.2369512652029535E-3</v>
      </c>
      <c r="L124" s="88">
        <v>9185.9321327641046</v>
      </c>
      <c r="M124" s="203">
        <f>[2]!Table32[[#This Row],[CLM $ Collected ]]/'[2]1.) CLM Reference'!$B$4</f>
        <v>4.0762733483583943E-4</v>
      </c>
      <c r="N124" s="88">
        <v>0</v>
      </c>
      <c r="O124" s="204">
        <f>[2]!Table3[[#This Row],[Incentive Disbursements]]/'[2]1.) CLM Reference'!$B$5</f>
        <v>9.2369512652029535E-3</v>
      </c>
      <c r="P124" t="str">
        <f>VLOOKUP(Table325[[#This Row],[Census Tract]],'UI EnergyBurden'!$A$2:$B$184,2,FALSE)</f>
        <v>No</v>
      </c>
      <c r="Q124">
        <f>VLOOKUP(Table325[[#This Row],[Census Tract]],'Population and Diversity Data'!B120:K941,10,FALSE)</f>
        <v>2</v>
      </c>
    </row>
    <row r="125" spans="1:17" x14ac:dyDescent="0.2">
      <c r="A125" s="121">
        <v>9009150600</v>
      </c>
      <c r="B125" s="121" t="s">
        <v>2988</v>
      </c>
      <c r="C125" s="128" t="s">
        <v>3886</v>
      </c>
      <c r="D125" s="88">
        <f>[2]!Table32[[#This Row],[Residential CLM $ Collected]]+[2]!Table32[[#This Row],[C&amp;I CLM $ Collected]]</f>
        <v>162520.6822083265</v>
      </c>
      <c r="E125" s="28">
        <f>[2]!Table3[[#This Row],[CLM $ Collected ]]/'[2]1.) CLM Reference'!$B$4</f>
        <v>3.714976380845315E-3</v>
      </c>
      <c r="F125" s="88">
        <f>[2]!Table32[[#This Row],[Residential Incentive Disbursements]]+[2]!Table32[[#This Row],[C&amp;I Incentive Disbursements]]</f>
        <v>406736.37</v>
      </c>
      <c r="G125" s="28">
        <f>[2]!Table3[[#This Row],[Incentive Disbursements]]/'[2]1.) CLM Reference'!$B$5</f>
        <v>1.029408958470334E-3</v>
      </c>
      <c r="H125" s="88">
        <v>0</v>
      </c>
      <c r="I125" s="28">
        <f>[2]!Table3[[#This Row],[CLM $ Collected ]]/'[2]1.) CLM Reference'!$B$4</f>
        <v>3.714976380845315E-3</v>
      </c>
      <c r="J125" s="88">
        <v>0</v>
      </c>
      <c r="K125" s="28">
        <f>[2]!Table3[[#This Row],[Incentive Disbursements]]/'[2]1.) CLM Reference'!$B$5</f>
        <v>1.029408958470334E-3</v>
      </c>
      <c r="L125" s="88">
        <v>162520.6822083265</v>
      </c>
      <c r="M125" s="203">
        <f>[2]!Table32[[#This Row],[CLM $ Collected ]]/'[2]1.) CLM Reference'!$B$4</f>
        <v>7.2118835178404646E-3</v>
      </c>
      <c r="N125" s="88">
        <v>406736.37</v>
      </c>
      <c r="O125" s="204">
        <f>[2]!Table3[[#This Row],[Incentive Disbursements]]/'[2]1.) CLM Reference'!$B$5</f>
        <v>1.029408958470334E-3</v>
      </c>
      <c r="P125" t="str">
        <f>VLOOKUP(Table325[[#This Row],[Census Tract]],'UI EnergyBurden'!$A$2:$B$184,2,FALSE)</f>
        <v>No</v>
      </c>
      <c r="Q125">
        <f>VLOOKUP(Table325[[#This Row],[Census Tract]],'Population and Diversity Data'!B121:K942,10,FALSE)</f>
        <v>3</v>
      </c>
    </row>
    <row r="126" spans="1:17" x14ac:dyDescent="0.2">
      <c r="A126" s="121">
        <v>9009150700</v>
      </c>
      <c r="B126" s="121" t="s">
        <v>2988</v>
      </c>
      <c r="C126" s="128" t="s">
        <v>3886</v>
      </c>
      <c r="D126" s="88">
        <f>[2]!Table32[[#This Row],[Residential CLM $ Collected]]+[2]!Table32[[#This Row],[C&amp;I CLM $ Collected]]</f>
        <v>38799.994542994289</v>
      </c>
      <c r="E126" s="28">
        <f>[2]!Table3[[#This Row],[CLM $ Collected ]]/'[2]1.) CLM Reference'!$B$4</f>
        <v>6.1097513775987414E-3</v>
      </c>
      <c r="F126" s="88">
        <f>[2]!Table32[[#This Row],[Residential Incentive Disbursements]]+[2]!Table32[[#This Row],[C&amp;I Incentive Disbursements]]</f>
        <v>16106.009999999998</v>
      </c>
      <c r="G126" s="28">
        <f>[2]!Table3[[#This Row],[Incentive Disbursements]]/'[2]1.) CLM Reference'!$B$5</f>
        <v>5.3990041826630798E-3</v>
      </c>
      <c r="H126" s="88">
        <v>0</v>
      </c>
      <c r="I126" s="28">
        <f>[2]!Table3[[#This Row],[CLM $ Collected ]]/'[2]1.) CLM Reference'!$B$4</f>
        <v>6.1097513775987414E-3</v>
      </c>
      <c r="J126" s="88">
        <v>0</v>
      </c>
      <c r="K126" s="28">
        <f>[2]!Table3[[#This Row],[Incentive Disbursements]]/'[2]1.) CLM Reference'!$B$5</f>
        <v>5.3990041826630798E-3</v>
      </c>
      <c r="L126" s="88">
        <v>38799.994542994289</v>
      </c>
      <c r="M126" s="203">
        <f>[2]!Table32[[#This Row],[CLM $ Collected ]]/'[2]1.) CLM Reference'!$B$4</f>
        <v>1.721756500986336E-3</v>
      </c>
      <c r="N126" s="88">
        <v>16106.009999999998</v>
      </c>
      <c r="O126" s="204">
        <f>[2]!Table3[[#This Row],[Incentive Disbursements]]/'[2]1.) CLM Reference'!$B$5</f>
        <v>5.3990041826630798E-3</v>
      </c>
      <c r="P126" t="str">
        <f>VLOOKUP(Table325[[#This Row],[Census Tract]],'UI EnergyBurden'!$A$2:$B$184,2,FALSE)</f>
        <v>No</v>
      </c>
      <c r="Q126">
        <f>VLOOKUP(Table325[[#This Row],[Census Tract]],'Population and Diversity Data'!B122:K943,10,FALSE)</f>
        <v>3</v>
      </c>
    </row>
    <row r="127" spans="1:17" x14ac:dyDescent="0.2">
      <c r="A127" s="121">
        <v>9009150800</v>
      </c>
      <c r="B127" s="121" t="s">
        <v>2988</v>
      </c>
      <c r="C127" s="128" t="s">
        <v>3886</v>
      </c>
      <c r="D127" s="88">
        <f>[2]!Table32[[#This Row],[Residential CLM $ Collected]]+[2]!Table32[[#This Row],[C&amp;I CLM $ Collected]]</f>
        <v>129394.40295622394</v>
      </c>
      <c r="E127" s="28">
        <f>[2]!Table3[[#This Row],[CLM $ Collected ]]/'[2]1.) CLM Reference'!$B$4</f>
        <v>2.9025365652395919E-6</v>
      </c>
      <c r="F127" s="88">
        <f>[2]!Table32[[#This Row],[Residential Incentive Disbursements]]+[2]!Table32[[#This Row],[C&amp;I Incentive Disbursements]]</f>
        <v>89221</v>
      </c>
      <c r="G127" s="28">
        <f>[2]!Table3[[#This Row],[Incentive Disbursements]]/'[2]1.) CLM Reference'!$B$5</f>
        <v>0</v>
      </c>
      <c r="H127" s="88">
        <v>0</v>
      </c>
      <c r="I127" s="28">
        <f>[2]!Table3[[#This Row],[CLM $ Collected ]]/'[2]1.) CLM Reference'!$B$4</f>
        <v>2.9025365652395919E-6</v>
      </c>
      <c r="J127" s="88">
        <v>0</v>
      </c>
      <c r="K127" s="28">
        <f>[2]!Table3[[#This Row],[Incentive Disbursements]]/'[2]1.) CLM Reference'!$B$5</f>
        <v>0</v>
      </c>
      <c r="L127" s="88">
        <v>129394.40295622394</v>
      </c>
      <c r="M127" s="203">
        <f>[2]!Table32[[#This Row],[CLM $ Collected ]]/'[2]1.) CLM Reference'!$B$4</f>
        <v>5.7418991189355784E-3</v>
      </c>
      <c r="N127" s="88">
        <v>89221</v>
      </c>
      <c r="O127" s="204">
        <f>[2]!Table3[[#This Row],[Incentive Disbursements]]/'[2]1.) CLM Reference'!$B$5</f>
        <v>0</v>
      </c>
      <c r="P127" t="str">
        <f>VLOOKUP(Table325[[#This Row],[Census Tract]],'UI EnergyBurden'!$A$2:$B$184,2,FALSE)</f>
        <v>No</v>
      </c>
      <c r="Q127">
        <f>VLOOKUP(Table325[[#This Row],[Census Tract]],'Population and Diversity Data'!B123:K944,10,FALSE)</f>
        <v>4</v>
      </c>
    </row>
    <row r="128" spans="1:17" x14ac:dyDescent="0.2">
      <c r="A128" s="121">
        <v>9009150900</v>
      </c>
      <c r="B128" s="121" t="s">
        <v>2988</v>
      </c>
      <c r="C128" s="128" t="s">
        <v>3886</v>
      </c>
      <c r="D128" s="88">
        <f>[2]!Table32[[#This Row],[Residential CLM $ Collected]]+[2]!Table32[[#This Row],[C&amp;I CLM $ Collected]]</f>
        <v>157364.82832536267</v>
      </c>
      <c r="E128" s="28">
        <f>[2]!Table3[[#This Row],[CLM $ Collected ]]/'[2]1.) CLM Reference'!$B$4</f>
        <v>5.6941609148485313E-3</v>
      </c>
      <c r="F128" s="88">
        <f>[2]!Table32[[#This Row],[Residential Incentive Disbursements]]+[2]!Table32[[#This Row],[C&amp;I Incentive Disbursements]]</f>
        <v>2850</v>
      </c>
      <c r="G128" s="28">
        <f>[2]!Table3[[#This Row],[Incentive Disbursements]]/'[2]1.) CLM Reference'!$B$5</f>
        <v>2.8505222482010087E-3</v>
      </c>
      <c r="H128" s="88">
        <v>0</v>
      </c>
      <c r="I128" s="28">
        <f>[2]!Table3[[#This Row],[CLM $ Collected ]]/'[2]1.) CLM Reference'!$B$4</f>
        <v>5.6941609148485313E-3</v>
      </c>
      <c r="J128" s="88">
        <v>0</v>
      </c>
      <c r="K128" s="28">
        <f>[2]!Table3[[#This Row],[Incentive Disbursements]]/'[2]1.) CLM Reference'!$B$5</f>
        <v>2.8505222482010087E-3</v>
      </c>
      <c r="L128" s="88">
        <v>157364.82832536267</v>
      </c>
      <c r="M128" s="203">
        <f>[2]!Table32[[#This Row],[CLM $ Collected ]]/'[2]1.) CLM Reference'!$B$4</f>
        <v>6.9830916057361508E-3</v>
      </c>
      <c r="N128" s="88">
        <v>2850</v>
      </c>
      <c r="O128" s="204">
        <f>[2]!Table3[[#This Row],[Incentive Disbursements]]/'[2]1.) CLM Reference'!$B$5</f>
        <v>2.8505222482010087E-3</v>
      </c>
      <c r="P128" t="str">
        <f>VLOOKUP(Table325[[#This Row],[Census Tract]],'UI EnergyBurden'!$A$2:$B$184,2,FALSE)</f>
        <v>No</v>
      </c>
      <c r="Q128">
        <f>VLOOKUP(Table325[[#This Row],[Census Tract]],'Population and Diversity Data'!B124:K945,10,FALSE)</f>
        <v>1</v>
      </c>
    </row>
    <row r="129" spans="1:17" x14ac:dyDescent="0.2">
      <c r="A129" s="121">
        <v>9009151000</v>
      </c>
      <c r="B129" s="121" t="s">
        <v>2988</v>
      </c>
      <c r="C129" s="128" t="s">
        <v>3886</v>
      </c>
      <c r="D129" s="88">
        <f>[2]!Table32[[#This Row],[Residential CLM $ Collected]]+[2]!Table32[[#This Row],[C&amp;I CLM $ Collected]]</f>
        <v>2475.2752244288436</v>
      </c>
      <c r="E129" s="28">
        <f>[2]!Table3[[#This Row],[CLM $ Collected ]]/'[2]1.) CLM Reference'!$B$4</f>
        <v>5.258062990547388E-3</v>
      </c>
      <c r="F129" s="88">
        <f>[2]!Table32[[#This Row],[Residential Incentive Disbursements]]+[2]!Table32[[#This Row],[C&amp;I Incentive Disbursements]]</f>
        <v>0</v>
      </c>
      <c r="G129" s="28">
        <f>[2]!Table3[[#This Row],[Incentive Disbursements]]/'[2]1.) CLM Reference'!$B$5</f>
        <v>3.228071559813501E-3</v>
      </c>
      <c r="H129" s="88">
        <v>0</v>
      </c>
      <c r="I129" s="28">
        <f>[2]!Table3[[#This Row],[CLM $ Collected ]]/'[2]1.) CLM Reference'!$B$4</f>
        <v>5.258062990547388E-3</v>
      </c>
      <c r="J129" s="88">
        <v>0</v>
      </c>
      <c r="K129" s="28">
        <f>[2]!Table3[[#This Row],[Incentive Disbursements]]/'[2]1.) CLM Reference'!$B$5</f>
        <v>3.228071559813501E-3</v>
      </c>
      <c r="L129" s="88">
        <v>2475.2752244288436</v>
      </c>
      <c r="M129" s="203">
        <f>[2]!Table32[[#This Row],[CLM $ Collected ]]/'[2]1.) CLM Reference'!$B$4</f>
        <v>1.0984076826784724E-4</v>
      </c>
      <c r="N129" s="88">
        <v>0</v>
      </c>
      <c r="O129" s="204">
        <f>[2]!Table3[[#This Row],[Incentive Disbursements]]/'[2]1.) CLM Reference'!$B$5</f>
        <v>3.228071559813501E-3</v>
      </c>
      <c r="P129" t="str">
        <f>VLOOKUP(Table325[[#This Row],[Census Tract]],'UI EnergyBurden'!$A$2:$B$184,2,FALSE)</f>
        <v>No</v>
      </c>
      <c r="Q129">
        <f>VLOOKUP(Table325[[#This Row],[Census Tract]],'Population and Diversity Data'!B125:K946,10,FALSE)</f>
        <v>3</v>
      </c>
    </row>
    <row r="130" spans="1:17" x14ac:dyDescent="0.2">
      <c r="A130" s="121">
        <v>9009151100</v>
      </c>
      <c r="B130" s="121" t="s">
        <v>2988</v>
      </c>
      <c r="C130" s="128" t="s">
        <v>3886</v>
      </c>
      <c r="D130" s="88">
        <f>[2]!Table32[[#This Row],[Residential CLM $ Collected]]+[2]!Table32[[#This Row],[C&amp;I CLM $ Collected]]</f>
        <v>60283.588528698441</v>
      </c>
      <c r="E130" s="28">
        <f>[2]!Table3[[#This Row],[CLM $ Collected ]]/'[2]1.) CLM Reference'!$B$4</f>
        <v>3.3169797803355602E-6</v>
      </c>
      <c r="F130" s="88">
        <f>[2]!Table32[[#This Row],[Residential Incentive Disbursements]]+[2]!Table32[[#This Row],[C&amp;I Incentive Disbursements]]</f>
        <v>185072.16999999998</v>
      </c>
      <c r="G130" s="28">
        <f>[2]!Table3[[#This Row],[Incentive Disbursements]]/'[2]1.) CLM Reference'!$B$5</f>
        <v>0</v>
      </c>
      <c r="H130" s="88">
        <v>0</v>
      </c>
      <c r="I130" s="28">
        <f>[2]!Table3[[#This Row],[CLM $ Collected ]]/'[2]1.) CLM Reference'!$B$4</f>
        <v>3.3169797803355602E-6</v>
      </c>
      <c r="J130" s="88">
        <v>750</v>
      </c>
      <c r="K130" s="28">
        <f>[2]!Table3[[#This Row],[Incentive Disbursements]]/'[2]1.) CLM Reference'!$B$5</f>
        <v>0</v>
      </c>
      <c r="L130" s="88">
        <v>60283.588528698441</v>
      </c>
      <c r="M130" s="203">
        <f>[2]!Table32[[#This Row],[CLM $ Collected ]]/'[2]1.) CLM Reference'!$B$4</f>
        <v>2.6750947177855413E-3</v>
      </c>
      <c r="N130" s="88">
        <v>184322.16999999998</v>
      </c>
      <c r="O130" s="204">
        <f>[2]!Table3[[#This Row],[Incentive Disbursements]]/'[2]1.) CLM Reference'!$B$5</f>
        <v>0</v>
      </c>
      <c r="P130" t="str">
        <f>VLOOKUP(Table325[[#This Row],[Census Tract]],'UI EnergyBurden'!$A$2:$B$184,2,FALSE)</f>
        <v>No</v>
      </c>
      <c r="Q130">
        <f>VLOOKUP(Table325[[#This Row],[Census Tract]],'Population and Diversity Data'!B126:K947,10,FALSE)</f>
        <v>3</v>
      </c>
    </row>
    <row r="131" spans="1:17" x14ac:dyDescent="0.2">
      <c r="A131" s="121">
        <v>9009151200</v>
      </c>
      <c r="B131" s="121" t="s">
        <v>2988</v>
      </c>
      <c r="C131" s="128" t="s">
        <v>3886</v>
      </c>
      <c r="D131" s="88">
        <f>[2]!Table32[[#This Row],[Residential CLM $ Collected]]+[2]!Table32[[#This Row],[C&amp;I CLM $ Collected]]</f>
        <v>15479.795831495077</v>
      </c>
      <c r="E131" s="28">
        <f>[2]!Table3[[#This Row],[CLM $ Collected ]]/'[2]1.) CLM Reference'!$B$4</f>
        <v>5.1324991931781119E-6</v>
      </c>
      <c r="F131" s="88">
        <f>[2]!Table32[[#This Row],[Residential Incentive Disbursements]]+[2]!Table32[[#This Row],[C&amp;I Incentive Disbursements]]</f>
        <v>54026</v>
      </c>
      <c r="G131" s="28">
        <f>[2]!Table3[[#This Row],[Incentive Disbursements]]/'[2]1.) CLM Reference'!$B$5</f>
        <v>0</v>
      </c>
      <c r="H131" s="88">
        <v>0</v>
      </c>
      <c r="I131" s="28">
        <f>[2]!Table3[[#This Row],[CLM $ Collected ]]/'[2]1.) CLM Reference'!$B$4</f>
        <v>5.1324991931781119E-6</v>
      </c>
      <c r="J131" s="88">
        <v>0</v>
      </c>
      <c r="K131" s="28">
        <f>[2]!Table3[[#This Row],[Incentive Disbursements]]/'[2]1.) CLM Reference'!$B$5</f>
        <v>0</v>
      </c>
      <c r="L131" s="88">
        <v>15479.795831495077</v>
      </c>
      <c r="M131" s="203">
        <f>[2]!Table32[[#This Row],[CLM $ Collected ]]/'[2]1.) CLM Reference'!$B$4</f>
        <v>6.8691863029218358E-4</v>
      </c>
      <c r="N131" s="88">
        <v>54026</v>
      </c>
      <c r="O131" s="204">
        <f>[2]!Table3[[#This Row],[Incentive Disbursements]]/'[2]1.) CLM Reference'!$B$5</f>
        <v>0</v>
      </c>
      <c r="P131" t="str">
        <f>VLOOKUP(Table325[[#This Row],[Census Tract]],'UI EnergyBurden'!$A$2:$B$184,2,FALSE)</f>
        <v>No</v>
      </c>
      <c r="Q131">
        <f>VLOOKUP(Table325[[#This Row],[Census Tract]],'Population and Diversity Data'!B127:K948,10,FALSE)</f>
        <v>2</v>
      </c>
    </row>
    <row r="132" spans="1:17" x14ac:dyDescent="0.2">
      <c r="A132" s="121">
        <v>9009154100</v>
      </c>
      <c r="B132" s="121" t="s">
        <v>950</v>
      </c>
      <c r="C132" s="128" t="s">
        <v>3886</v>
      </c>
      <c r="D132" s="88">
        <f>[2]!Table32[[#This Row],[Residential CLM $ Collected]]+[2]!Table32[[#This Row],[C&amp;I CLM $ Collected]]</f>
        <v>46419.258801597833</v>
      </c>
      <c r="E132" s="28">
        <f>[2]!Table3[[#This Row],[CLM $ Collected ]]/'[2]1.) CLM Reference'!$B$4</f>
        <v>3.9606338577952939E-3</v>
      </c>
      <c r="F132" s="88">
        <f>[2]!Table32[[#This Row],[Residential Incentive Disbursements]]+[2]!Table32[[#This Row],[C&amp;I Incentive Disbursements]]</f>
        <v>125940</v>
      </c>
      <c r="G132" s="28">
        <f>[2]!Table3[[#This Row],[Incentive Disbursements]]/'[2]1.) CLM Reference'!$B$5</f>
        <v>5.8313169523985702E-3</v>
      </c>
      <c r="H132" s="88">
        <v>444.86257950231902</v>
      </c>
      <c r="I132" s="28">
        <f>[2]!Table3[[#This Row],[CLM $ Collected ]]/'[2]1.) CLM Reference'!$B$4</f>
        <v>3.9606338577952939E-3</v>
      </c>
      <c r="J132" s="88">
        <v>0</v>
      </c>
      <c r="K132" s="28">
        <f>[2]!Table3[[#This Row],[Incentive Disbursements]]/'[2]1.) CLM Reference'!$B$5</f>
        <v>5.8313169523985702E-3</v>
      </c>
      <c r="L132" s="88">
        <v>45974.396222095515</v>
      </c>
      <c r="M132" s="203">
        <f>[2]!Table32[[#This Row],[CLM $ Collected ]]/'[2]1.) CLM Reference'!$B$4</f>
        <v>2.05986267663146E-3</v>
      </c>
      <c r="N132" s="88">
        <v>125940</v>
      </c>
      <c r="O132" s="204">
        <f>[2]!Table3[[#This Row],[Incentive Disbursements]]/'[2]1.) CLM Reference'!$B$5</f>
        <v>5.8313169523985702E-3</v>
      </c>
      <c r="P132" t="str">
        <f>VLOOKUP(Table325[[#This Row],[Census Tract]],'UI EnergyBurden'!$A$2:$B$184,2,FALSE)</f>
        <v>No</v>
      </c>
      <c r="Q132">
        <f>VLOOKUP(Table325[[#This Row],[Census Tract]],'Population and Diversity Data'!B128:K949,10,FALSE)</f>
        <v>4</v>
      </c>
    </row>
    <row r="133" spans="1:17" x14ac:dyDescent="0.2">
      <c r="A133" s="121">
        <v>9009154200</v>
      </c>
      <c r="B133" s="121" t="s">
        <v>950</v>
      </c>
      <c r="C133" s="128" t="s">
        <v>3886</v>
      </c>
      <c r="D133" s="88">
        <f>[2]!Table32[[#This Row],[Residential CLM $ Collected]]+[2]!Table32[[#This Row],[C&amp;I CLM $ Collected]]</f>
        <v>16019.66953476408</v>
      </c>
      <c r="E133" s="28">
        <f>[2]!Table3[[#This Row],[CLM $ Collected ]]/'[2]1.) CLM Reference'!$B$4</f>
        <v>4.6689134199469143E-3</v>
      </c>
      <c r="F133" s="88">
        <f>[2]!Table32[[#This Row],[Residential Incentive Disbursements]]+[2]!Table32[[#This Row],[C&amp;I Incentive Disbursements]]</f>
        <v>0</v>
      </c>
      <c r="G133" s="28">
        <f>[2]!Table3[[#This Row],[Incentive Disbursements]]/'[2]1.) CLM Reference'!$B$5</f>
        <v>3.5566084686407128E-3</v>
      </c>
      <c r="H133" s="88">
        <v>0</v>
      </c>
      <c r="I133" s="28">
        <f>[2]!Table3[[#This Row],[CLM $ Collected ]]/'[2]1.) CLM Reference'!$B$4</f>
        <v>4.6689134199469143E-3</v>
      </c>
      <c r="J133" s="88">
        <v>0</v>
      </c>
      <c r="K133" s="28">
        <f>[2]!Table3[[#This Row],[Incentive Disbursements]]/'[2]1.) CLM Reference'!$B$5</f>
        <v>3.5566084686407128E-3</v>
      </c>
      <c r="L133" s="88">
        <v>16019.66953476408</v>
      </c>
      <c r="M133" s="203">
        <f>[2]!Table32[[#This Row],[CLM $ Collected ]]/'[2]1.) CLM Reference'!$B$4</f>
        <v>7.1087561970064749E-4</v>
      </c>
      <c r="N133" s="88">
        <v>0</v>
      </c>
      <c r="O133" s="204">
        <f>[2]!Table3[[#This Row],[Incentive Disbursements]]/'[2]1.) CLM Reference'!$B$5</f>
        <v>3.5566084686407128E-3</v>
      </c>
      <c r="P133" t="str">
        <f>VLOOKUP(Table325[[#This Row],[Census Tract]],'UI EnergyBurden'!$A$2:$B$184,2,FALSE)</f>
        <v>No</v>
      </c>
      <c r="Q133">
        <f>VLOOKUP(Table325[[#This Row],[Census Tract]],'Population and Diversity Data'!B129:K950,10,FALSE)</f>
        <v>4</v>
      </c>
    </row>
    <row r="134" spans="1:17" x14ac:dyDescent="0.2">
      <c r="A134" s="121">
        <v>9009154500</v>
      </c>
      <c r="B134" s="121" t="s">
        <v>3004</v>
      </c>
      <c r="C134" s="128" t="s">
        <v>3887</v>
      </c>
      <c r="D134" s="88">
        <f>[2]!Table32[[#This Row],[Residential CLM $ Collected]]+[2]!Table32[[#This Row],[C&amp;I CLM $ Collected]]</f>
        <v>3442.3758175602861</v>
      </c>
      <c r="E134" s="28">
        <f>[2]!Table3[[#This Row],[CLM $ Collected ]]/'[2]1.) CLM Reference'!$B$4</f>
        <v>2.3659934212275584E-6</v>
      </c>
      <c r="F134" s="88">
        <f>[2]!Table32[[#This Row],[Residential Incentive Disbursements]]+[2]!Table32[[#This Row],[C&amp;I Incentive Disbursements]]</f>
        <v>4225</v>
      </c>
      <c r="G134" s="28">
        <f>[2]!Table3[[#This Row],[Incentive Disbursements]]/'[2]1.) CLM Reference'!$B$5</f>
        <v>0</v>
      </c>
      <c r="H134" s="88">
        <v>0</v>
      </c>
      <c r="I134" s="28">
        <f>[2]!Table3[[#This Row],[CLM $ Collected ]]/'[2]1.) CLM Reference'!$B$4</f>
        <v>2.3659934212275584E-6</v>
      </c>
      <c r="J134" s="88">
        <v>0</v>
      </c>
      <c r="K134" s="28">
        <f>[2]!Table3[[#This Row],[Incentive Disbursements]]/'[2]1.) CLM Reference'!$B$5</f>
        <v>0</v>
      </c>
      <c r="L134" s="88">
        <v>3442.3758175602861</v>
      </c>
      <c r="M134" s="203">
        <f>[2]!Table32[[#This Row],[CLM $ Collected ]]/'[2]1.) CLM Reference'!$B$4</f>
        <v>1.5275602516270819E-4</v>
      </c>
      <c r="N134" s="88">
        <v>4225</v>
      </c>
      <c r="O134" s="204">
        <f>[2]!Table3[[#This Row],[Incentive Disbursements]]/'[2]1.) CLM Reference'!$B$5</f>
        <v>0</v>
      </c>
      <c r="P134" t="str">
        <f>VLOOKUP(Table325[[#This Row],[Census Tract]],'UI EnergyBurden'!$A$2:$B$184,2,FALSE)</f>
        <v>No</v>
      </c>
      <c r="Q134">
        <f>VLOOKUP(Table325[[#This Row],[Census Tract]],'Population and Diversity Data'!B130:K951,10,FALSE)</f>
        <v>4</v>
      </c>
    </row>
    <row r="135" spans="1:17" x14ac:dyDescent="0.2">
      <c r="A135" s="121">
        <v>9009154500</v>
      </c>
      <c r="B135" s="121" t="s">
        <v>950</v>
      </c>
      <c r="C135" s="128" t="s">
        <v>3887</v>
      </c>
      <c r="D135" s="88">
        <f>[2]!Table32[[#This Row],[Residential CLM $ Collected]]+[2]!Table32[[#This Row],[C&amp;I CLM $ Collected]]</f>
        <v>4645.8500519382906</v>
      </c>
      <c r="E135" s="28">
        <f>[2]!Table3[[#This Row],[CLM $ Collected ]]/'[2]1.) CLM Reference'!$B$4</f>
        <v>2.7241190684392564E-5</v>
      </c>
      <c r="F135" s="88">
        <f>[2]!Table32[[#This Row],[Residential Incentive Disbursements]]+[2]!Table32[[#This Row],[C&amp;I Incentive Disbursements]]</f>
        <v>10948</v>
      </c>
      <c r="G135" s="28">
        <f>[2]!Table3[[#This Row],[Incentive Disbursements]]/'[2]1.) CLM Reference'!$B$5</f>
        <v>0</v>
      </c>
      <c r="H135" s="88">
        <v>0</v>
      </c>
      <c r="I135" s="28">
        <f>[2]!Table3[[#This Row],[CLM $ Collected ]]/'[2]1.) CLM Reference'!$B$4</f>
        <v>2.7241190684392564E-5</v>
      </c>
      <c r="J135" s="88">
        <v>0</v>
      </c>
      <c r="K135" s="28">
        <f>[2]!Table3[[#This Row],[Incentive Disbursements]]/'[2]1.) CLM Reference'!$B$5</f>
        <v>0</v>
      </c>
      <c r="L135" s="88">
        <v>4645.8500519382906</v>
      </c>
      <c r="M135" s="203">
        <f>[2]!Table32[[#This Row],[CLM $ Collected ]]/'[2]1.) CLM Reference'!$B$4</f>
        <v>2.0616040346780817E-4</v>
      </c>
      <c r="N135" s="88">
        <v>10948</v>
      </c>
      <c r="O135" s="204">
        <f>[2]!Table3[[#This Row],[Incentive Disbursements]]/'[2]1.) CLM Reference'!$B$5</f>
        <v>0</v>
      </c>
      <c r="P135" t="str">
        <f>VLOOKUP(Table325[[#This Row],[Census Tract]],'UI EnergyBurden'!$A$2:$B$184,2,FALSE)</f>
        <v>No</v>
      </c>
      <c r="Q135">
        <f>VLOOKUP(Table325[[#This Row],[Census Tract]],'Population and Diversity Data'!B131:K952,10,FALSE)</f>
        <v>4</v>
      </c>
    </row>
    <row r="136" spans="1:17" x14ac:dyDescent="0.2">
      <c r="A136" s="121">
        <v>9009154600</v>
      </c>
      <c r="B136" s="121" t="s">
        <v>950</v>
      </c>
      <c r="C136" s="128" t="s">
        <v>3886</v>
      </c>
      <c r="D136" s="88">
        <f>[2]!Table32[[#This Row],[Residential CLM $ Collected]]+[2]!Table32[[#This Row],[C&amp;I CLM $ Collected]]</f>
        <v>39664.974336430932</v>
      </c>
      <c r="E136" s="28">
        <f>[2]!Table3[[#This Row],[CLM $ Collected ]]/'[2]1.) CLM Reference'!$B$4</f>
        <v>6.104714755530951E-3</v>
      </c>
      <c r="F136" s="88">
        <f>[2]!Table32[[#This Row],[Residential Incentive Disbursements]]+[2]!Table32[[#This Row],[C&amp;I Incentive Disbursements]]</f>
        <v>30319</v>
      </c>
      <c r="G136" s="28">
        <f>[2]!Table3[[#This Row],[Incentive Disbursements]]/'[2]1.) CLM Reference'!$B$5</f>
        <v>2.6268849839104461E-3</v>
      </c>
      <c r="H136" s="88">
        <v>0</v>
      </c>
      <c r="I136" s="28">
        <f>[2]!Table3[[#This Row],[CLM $ Collected ]]/'[2]1.) CLM Reference'!$B$4</f>
        <v>6.104714755530951E-3</v>
      </c>
      <c r="J136" s="88">
        <v>0</v>
      </c>
      <c r="K136" s="28">
        <f>[2]!Table3[[#This Row],[Incentive Disbursements]]/'[2]1.) CLM Reference'!$B$5</f>
        <v>2.6268849839104461E-3</v>
      </c>
      <c r="L136" s="88">
        <v>39664.974336430932</v>
      </c>
      <c r="M136" s="203">
        <f>[2]!Table32[[#This Row],[CLM $ Collected ]]/'[2]1.) CLM Reference'!$B$4</f>
        <v>1.7601401296469298E-3</v>
      </c>
      <c r="N136" s="88">
        <v>30319</v>
      </c>
      <c r="O136" s="204">
        <f>[2]!Table3[[#This Row],[Incentive Disbursements]]/'[2]1.) CLM Reference'!$B$5</f>
        <v>2.6268849839104461E-3</v>
      </c>
      <c r="P136" t="str">
        <f>VLOOKUP(Table325[[#This Row],[Census Tract]],'UI EnergyBurden'!$A$2:$B$184,2,FALSE)</f>
        <v>No</v>
      </c>
      <c r="Q136">
        <f>VLOOKUP(Table325[[#This Row],[Census Tract]],'Population and Diversity Data'!B132:K953,10,FALSE)</f>
        <v>5</v>
      </c>
    </row>
    <row r="137" spans="1:17" x14ac:dyDescent="0.2">
      <c r="A137" s="121">
        <v>9009154700</v>
      </c>
      <c r="B137" s="121" t="s">
        <v>950</v>
      </c>
      <c r="C137" s="128" t="s">
        <v>3886</v>
      </c>
      <c r="D137" s="88">
        <f>[2]!Table32[[#This Row],[Residential CLM $ Collected]]+[2]!Table32[[#This Row],[C&amp;I CLM $ Collected]]</f>
        <v>263825.71584046882</v>
      </c>
      <c r="E137" s="28">
        <f>[2]!Table3[[#This Row],[CLM $ Collected ]]/'[2]1.) CLM Reference'!$B$4</f>
        <v>5.8423177061116338E-5</v>
      </c>
      <c r="F137" s="88">
        <f>[2]!Table32[[#This Row],[Residential Incentive Disbursements]]+[2]!Table32[[#This Row],[C&amp;I Incentive Disbursements]]</f>
        <v>199428</v>
      </c>
      <c r="G137" s="28">
        <f>[2]!Table3[[#This Row],[Incentive Disbursements]]/'[2]1.) CLM Reference'!$B$5</f>
        <v>7.5991236892101704E-5</v>
      </c>
      <c r="H137" s="88">
        <v>0</v>
      </c>
      <c r="I137" s="28">
        <f>[2]!Table3[[#This Row],[CLM $ Collected ]]/'[2]1.) CLM Reference'!$B$4</f>
        <v>5.8423177061116338E-5</v>
      </c>
      <c r="J137" s="88">
        <v>0</v>
      </c>
      <c r="K137" s="28">
        <f>[2]!Table3[[#This Row],[Incentive Disbursements]]/'[2]1.) CLM Reference'!$B$5</f>
        <v>7.5991236892101704E-5</v>
      </c>
      <c r="L137" s="88">
        <v>263825.71584046882</v>
      </c>
      <c r="M137" s="203">
        <f>[2]!Table32[[#This Row],[CLM $ Collected ]]/'[2]1.) CLM Reference'!$B$4</f>
        <v>1.1707311991303334E-2</v>
      </c>
      <c r="N137" s="88">
        <v>199428</v>
      </c>
      <c r="O137" s="204">
        <f>[2]!Table3[[#This Row],[Incentive Disbursements]]/'[2]1.) CLM Reference'!$B$5</f>
        <v>7.5991236892101704E-5</v>
      </c>
      <c r="P137" t="str">
        <f>VLOOKUP(Table325[[#This Row],[Census Tract]],'UI EnergyBurden'!$A$2:$B$184,2,FALSE)</f>
        <v>No</v>
      </c>
      <c r="Q137">
        <f>VLOOKUP(Table325[[#This Row],[Census Tract]],'Population and Diversity Data'!B133:K954,10,FALSE)</f>
        <v>3</v>
      </c>
    </row>
    <row r="138" spans="1:17" x14ac:dyDescent="0.2">
      <c r="A138" s="121">
        <v>9009154900</v>
      </c>
      <c r="B138" s="121" t="s">
        <v>950</v>
      </c>
      <c r="C138" s="128" t="s">
        <v>3886</v>
      </c>
      <c r="D138" s="88">
        <f>[2]!Table32[[#This Row],[Residential CLM $ Collected]]+[2]!Table32[[#This Row],[C&amp;I CLM $ Collected]]</f>
        <v>20662.287915825953</v>
      </c>
      <c r="E138" s="28">
        <f>[2]!Table3[[#This Row],[CLM $ Collected ]]/'[2]1.) CLM Reference'!$B$4</f>
        <v>3.9610413355782061E-3</v>
      </c>
      <c r="F138" s="88">
        <f>[2]!Table32[[#This Row],[Residential Incentive Disbursements]]+[2]!Table32[[#This Row],[C&amp;I Incentive Disbursements]]</f>
        <v>0</v>
      </c>
      <c r="G138" s="28">
        <f>[2]!Table3[[#This Row],[Incentive Disbursements]]/'[2]1.) CLM Reference'!$B$5</f>
        <v>3.3648141074308691E-3</v>
      </c>
      <c r="H138" s="88">
        <v>0</v>
      </c>
      <c r="I138" s="28">
        <f>[2]!Table3[[#This Row],[CLM $ Collected ]]/'[2]1.) CLM Reference'!$B$4</f>
        <v>3.9610413355782061E-3</v>
      </c>
      <c r="J138" s="88">
        <v>0</v>
      </c>
      <c r="K138" s="28">
        <f>[2]!Table3[[#This Row],[Incentive Disbursements]]/'[2]1.) CLM Reference'!$B$5</f>
        <v>3.3648141074308691E-3</v>
      </c>
      <c r="L138" s="88">
        <v>20662.287915825953</v>
      </c>
      <c r="M138" s="203">
        <f>[2]!Table32[[#This Row],[CLM $ Collected ]]/'[2]1.) CLM Reference'!$B$4</f>
        <v>9.168926172116751E-4</v>
      </c>
      <c r="N138" s="88">
        <v>0</v>
      </c>
      <c r="O138" s="204">
        <f>[2]!Table3[[#This Row],[Incentive Disbursements]]/'[2]1.) CLM Reference'!$B$5</f>
        <v>3.3648141074308691E-3</v>
      </c>
      <c r="P138" t="str">
        <f>VLOOKUP(Table325[[#This Row],[Census Tract]],'UI EnergyBurden'!$A$2:$B$184,2,FALSE)</f>
        <v>No</v>
      </c>
      <c r="Q138">
        <f>VLOOKUP(Table325[[#This Row],[Census Tract]],'Population and Diversity Data'!B134:K955,10,FALSE)</f>
        <v>2</v>
      </c>
    </row>
    <row r="139" spans="1:17" x14ac:dyDescent="0.2">
      <c r="A139" s="121">
        <v>9009155000</v>
      </c>
      <c r="B139" s="121" t="s">
        <v>950</v>
      </c>
      <c r="C139" s="128" t="s">
        <v>3886</v>
      </c>
      <c r="D139" s="88">
        <f>[2]!Table32[[#This Row],[Residential CLM $ Collected]]+[2]!Table32[[#This Row],[C&amp;I CLM $ Collected]]</f>
        <v>25003.160570484015</v>
      </c>
      <c r="E139" s="28">
        <f>[2]!Table3[[#This Row],[CLM $ Collected ]]/'[2]1.) CLM Reference'!$B$4</f>
        <v>2.1367077829006139E-5</v>
      </c>
      <c r="F139" s="88">
        <f>[2]!Table32[[#This Row],[Residential Incentive Disbursements]]+[2]!Table32[[#This Row],[C&amp;I Incentive Disbursements]]</f>
        <v>0</v>
      </c>
      <c r="G139" s="28">
        <f>[2]!Table3[[#This Row],[Incentive Disbursements]]/'[2]1.) CLM Reference'!$B$5</f>
        <v>0</v>
      </c>
      <c r="H139" s="88">
        <v>0</v>
      </c>
      <c r="I139" s="28">
        <f>[2]!Table3[[#This Row],[CLM $ Collected ]]/'[2]1.) CLM Reference'!$B$4</f>
        <v>2.1367077829006139E-5</v>
      </c>
      <c r="J139" s="88">
        <v>0</v>
      </c>
      <c r="K139" s="28">
        <f>[2]!Table3[[#This Row],[Incentive Disbursements]]/'[2]1.) CLM Reference'!$B$5</f>
        <v>0</v>
      </c>
      <c r="L139" s="88">
        <v>25003.160570484015</v>
      </c>
      <c r="M139" s="203">
        <f>[2]!Table32[[#This Row],[CLM $ Collected ]]/'[2]1.) CLM Reference'!$B$4</f>
        <v>1.1095195956724445E-3</v>
      </c>
      <c r="N139" s="88">
        <v>0</v>
      </c>
      <c r="O139" s="204">
        <f>[2]!Table3[[#This Row],[Incentive Disbursements]]/'[2]1.) CLM Reference'!$B$5</f>
        <v>0</v>
      </c>
      <c r="P139" t="str">
        <f>VLOOKUP(Table325[[#This Row],[Census Tract]],'UI EnergyBurden'!$A$2:$B$184,2,FALSE)</f>
        <v>No</v>
      </c>
      <c r="Q139">
        <f>VLOOKUP(Table325[[#This Row],[Census Tract]],'Population and Diversity Data'!B135:K956,10,FALSE)</f>
        <v>5</v>
      </c>
    </row>
    <row r="140" spans="1:17" x14ac:dyDescent="0.2">
      <c r="A140" s="121">
        <v>9009155100</v>
      </c>
      <c r="B140" s="121" t="s">
        <v>950</v>
      </c>
      <c r="C140" s="128" t="s">
        <v>3887</v>
      </c>
      <c r="D140" s="88">
        <f>[2]!Table32[[#This Row],[Residential CLM $ Collected]]+[2]!Table32[[#This Row],[C&amp;I CLM $ Collected]]</f>
        <v>10490.003664852316</v>
      </c>
      <c r="E140" s="28">
        <f>[2]!Table3[[#This Row],[CLM $ Collected ]]/'[2]1.) CLM Reference'!$B$4</f>
        <v>5.4508108397431573E-3</v>
      </c>
      <c r="F140" s="88">
        <f>[2]!Table32[[#This Row],[Residential Incentive Disbursements]]+[2]!Table32[[#This Row],[C&amp;I Incentive Disbursements]]</f>
        <v>154651</v>
      </c>
      <c r="G140" s="28">
        <f>[2]!Table3[[#This Row],[Incentive Disbursements]]/'[2]1.) CLM Reference'!$B$5</f>
        <v>5.7288606110583295E-3</v>
      </c>
      <c r="H140" s="88">
        <v>4756.0961955509447</v>
      </c>
      <c r="I140" s="28">
        <f>[2]!Table3[[#This Row],[CLM $ Collected ]]/'[2]1.) CLM Reference'!$B$4</f>
        <v>5.4508108397431573E-3</v>
      </c>
      <c r="J140" s="88">
        <v>0</v>
      </c>
      <c r="K140" s="28">
        <f>[2]!Table3[[#This Row],[Incentive Disbursements]]/'[2]1.) CLM Reference'!$B$5</f>
        <v>5.7288606110583295E-3</v>
      </c>
      <c r="L140" s="88">
        <v>5733.9074693013727</v>
      </c>
      <c r="M140" s="203">
        <f>[2]!Table32[[#This Row],[CLM $ Collected ]]/'[2]1.) CLM Reference'!$B$4</f>
        <v>4.6549573570986734E-4</v>
      </c>
      <c r="N140" s="88">
        <v>154651</v>
      </c>
      <c r="O140" s="204">
        <f>[2]!Table3[[#This Row],[Incentive Disbursements]]/'[2]1.) CLM Reference'!$B$5</f>
        <v>5.7288606110583295E-3</v>
      </c>
      <c r="P140" t="str">
        <f>VLOOKUP(Table325[[#This Row],[Census Tract]],'UI EnergyBurden'!$A$2:$B$184,2,FALSE)</f>
        <v>No</v>
      </c>
      <c r="Q140">
        <f>VLOOKUP(Table325[[#This Row],[Census Tract]],'Population and Diversity Data'!B136:K957,10,FALSE)</f>
        <v>4</v>
      </c>
    </row>
    <row r="141" spans="1:17" x14ac:dyDescent="0.2">
      <c r="A141" s="121">
        <v>9009157100</v>
      </c>
      <c r="B141" s="121" t="s">
        <v>2992</v>
      </c>
      <c r="C141" s="128" t="s">
        <v>3886</v>
      </c>
      <c r="D141" s="88">
        <f>[2]!Table32[[#This Row],[Residential CLM $ Collected]]+[2]!Table32[[#This Row],[C&amp;I CLM $ Collected]]</f>
        <v>209332.77368831635</v>
      </c>
      <c r="E141" s="28">
        <f>[2]!Table3[[#This Row],[CLM $ Collected ]]/'[2]1.) CLM Reference'!$B$4</f>
        <v>3.5507314898879594E-6</v>
      </c>
      <c r="F141" s="88">
        <f>[2]!Table32[[#This Row],[Residential Incentive Disbursements]]+[2]!Table32[[#This Row],[C&amp;I Incentive Disbursements]]</f>
        <v>158244</v>
      </c>
      <c r="G141" s="28">
        <f>[2]!Table3[[#This Row],[Incentive Disbursements]]/'[2]1.) CLM Reference'!$B$5</f>
        <v>0</v>
      </c>
      <c r="H141" s="88">
        <v>5504.8281708901532</v>
      </c>
      <c r="I141" s="28">
        <f>[2]!Table3[[#This Row],[CLM $ Collected ]]/'[2]1.) CLM Reference'!$B$4</f>
        <v>3.5507314898879594E-6</v>
      </c>
      <c r="J141" s="88">
        <v>3000</v>
      </c>
      <c r="K141" s="28">
        <f>[2]!Table3[[#This Row],[Incentive Disbursements]]/'[2]1.) CLM Reference'!$B$5</f>
        <v>0</v>
      </c>
      <c r="L141" s="88">
        <v>203827.94551742618</v>
      </c>
      <c r="M141" s="203">
        <f>[2]!Table32[[#This Row],[CLM $ Collected ]]/'[2]1.) CLM Reference'!$B$4</f>
        <v>9.2891782128468724E-3</v>
      </c>
      <c r="N141" s="88">
        <v>155244</v>
      </c>
      <c r="O141" s="204">
        <f>[2]!Table3[[#This Row],[Incentive Disbursements]]/'[2]1.) CLM Reference'!$B$5</f>
        <v>0</v>
      </c>
      <c r="P141" t="str">
        <f>VLOOKUP(Table325[[#This Row],[Census Tract]],'UI EnergyBurden'!$A$2:$B$184,2,FALSE)</f>
        <v>No</v>
      </c>
      <c r="Q141">
        <f>VLOOKUP(Table325[[#This Row],[Census Tract]],'Population and Diversity Data'!B137:K958,10,FALSE)</f>
        <v>5</v>
      </c>
    </row>
    <row r="142" spans="1:17" x14ac:dyDescent="0.2">
      <c r="A142" s="121">
        <v>9009157200</v>
      </c>
      <c r="B142" s="121" t="s">
        <v>2992</v>
      </c>
      <c r="C142" s="128" t="s">
        <v>3886</v>
      </c>
      <c r="D142" s="88">
        <f>[2]!Table32[[#This Row],[Residential CLM $ Collected]]+[2]!Table32[[#This Row],[C&amp;I CLM $ Collected]]</f>
        <v>2697.2448469119436</v>
      </c>
      <c r="E142" s="28">
        <f>[2]!Table3[[#This Row],[CLM $ Collected ]]/'[2]1.) CLM Reference'!$B$4</f>
        <v>1.6131121481293439E-6</v>
      </c>
      <c r="F142" s="88">
        <f>[2]!Table32[[#This Row],[Residential Incentive Disbursements]]+[2]!Table32[[#This Row],[C&amp;I Incentive Disbursements]]</f>
        <v>0</v>
      </c>
      <c r="G142" s="28">
        <f>[2]!Table3[[#This Row],[Incentive Disbursements]]/'[2]1.) CLM Reference'!$B$5</f>
        <v>0</v>
      </c>
      <c r="H142" s="88">
        <v>0</v>
      </c>
      <c r="I142" s="28">
        <f>[2]!Table3[[#This Row],[CLM $ Collected ]]/'[2]1.) CLM Reference'!$B$4</f>
        <v>1.6131121481293439E-6</v>
      </c>
      <c r="J142" s="88">
        <v>0</v>
      </c>
      <c r="K142" s="28">
        <f>[2]!Table3[[#This Row],[Incentive Disbursements]]/'[2]1.) CLM Reference'!$B$5</f>
        <v>0</v>
      </c>
      <c r="L142" s="88">
        <v>2697.2448469119436</v>
      </c>
      <c r="M142" s="203">
        <f>[2]!Table32[[#This Row],[CLM $ Collected ]]/'[2]1.) CLM Reference'!$B$4</f>
        <v>1.1969070884214987E-4</v>
      </c>
      <c r="N142" s="88">
        <v>0</v>
      </c>
      <c r="O142" s="204">
        <f>[2]!Table3[[#This Row],[Incentive Disbursements]]/'[2]1.) CLM Reference'!$B$5</f>
        <v>0</v>
      </c>
      <c r="P142" t="str">
        <f>VLOOKUP(Table325[[#This Row],[Census Tract]],'UI EnergyBurden'!$A$2:$B$184,2,FALSE)</f>
        <v>No</v>
      </c>
      <c r="Q142">
        <f>VLOOKUP(Table325[[#This Row],[Census Tract]],'Population and Diversity Data'!B138:K959,10,FALSE)</f>
        <v>2</v>
      </c>
    </row>
    <row r="143" spans="1:17" x14ac:dyDescent="0.2">
      <c r="A143" s="121">
        <v>9009157300</v>
      </c>
      <c r="B143" s="121" t="s">
        <v>2991</v>
      </c>
      <c r="C143" s="128" t="s">
        <v>3886</v>
      </c>
      <c r="D143" s="88">
        <f>[2]!Table32[[#This Row],[Residential CLM $ Collected]]+[2]!Table32[[#This Row],[C&amp;I CLM $ Collected]]</f>
        <v>9822.8021290524503</v>
      </c>
      <c r="E143" s="28">
        <f>[2]!Table3[[#This Row],[CLM $ Collected ]]/'[2]1.) CLM Reference'!$B$4</f>
        <v>5.6731248999140407E-3</v>
      </c>
      <c r="F143" s="88">
        <f>[2]!Table32[[#This Row],[Residential Incentive Disbursements]]+[2]!Table32[[#This Row],[C&amp;I Incentive Disbursements]]</f>
        <v>0</v>
      </c>
      <c r="G143" s="28">
        <f>[2]!Table3[[#This Row],[Incentive Disbursements]]/'[2]1.) CLM Reference'!$B$5</f>
        <v>7.8207569756073934E-3</v>
      </c>
      <c r="H143" s="88">
        <v>0</v>
      </c>
      <c r="I143" s="28">
        <f>[2]!Table3[[#This Row],[CLM $ Collected ]]/'[2]1.) CLM Reference'!$B$4</f>
        <v>5.6731248999140407E-3</v>
      </c>
      <c r="J143" s="88">
        <v>0</v>
      </c>
      <c r="K143" s="28">
        <f>[2]!Table3[[#This Row],[Incentive Disbursements]]/'[2]1.) CLM Reference'!$B$5</f>
        <v>7.8207569756073934E-3</v>
      </c>
      <c r="L143" s="88">
        <v>9822.8021290524503</v>
      </c>
      <c r="M143" s="203">
        <f>[2]!Table32[[#This Row],[CLM $ Collected ]]/'[2]1.) CLM Reference'!$B$4</f>
        <v>4.3588855160424725E-4</v>
      </c>
      <c r="N143" s="88">
        <v>0</v>
      </c>
      <c r="O143" s="204">
        <f>[2]!Table3[[#This Row],[Incentive Disbursements]]/'[2]1.) CLM Reference'!$B$5</f>
        <v>7.8207569756073934E-3</v>
      </c>
      <c r="P143" t="str">
        <f>VLOOKUP(Table325[[#This Row],[Census Tract]],'UI EnergyBurden'!$A$2:$B$184,2,FALSE)</f>
        <v>No</v>
      </c>
      <c r="Q143">
        <f>VLOOKUP(Table325[[#This Row],[Census Tract]],'Population and Diversity Data'!B139:K960,10,FALSE)</f>
        <v>3</v>
      </c>
    </row>
    <row r="144" spans="1:17" x14ac:dyDescent="0.2">
      <c r="A144" s="121">
        <v>9009157300</v>
      </c>
      <c r="B144" s="121" t="s">
        <v>2992</v>
      </c>
      <c r="C144" s="128" t="s">
        <v>3886</v>
      </c>
      <c r="D144" s="88">
        <f>[2]!Table32[[#This Row],[Residential CLM $ Collected]]+[2]!Table32[[#This Row],[C&amp;I CLM $ Collected]]</f>
        <v>3116.9465603050094</v>
      </c>
      <c r="E144" s="28">
        <f>[2]!Table3[[#This Row],[CLM $ Collected ]]/'[2]1.) CLM Reference'!$B$4</f>
        <v>1.5487843332306123E-7</v>
      </c>
      <c r="F144" s="88">
        <f>[2]!Table32[[#This Row],[Residential Incentive Disbursements]]+[2]!Table32[[#This Row],[C&amp;I Incentive Disbursements]]</f>
        <v>0</v>
      </c>
      <c r="G144" s="28">
        <f>[2]!Table3[[#This Row],[Incentive Disbursements]]/'[2]1.) CLM Reference'!$B$5</f>
        <v>0</v>
      </c>
      <c r="H144" s="88">
        <v>0</v>
      </c>
      <c r="I144" s="28">
        <f>[2]!Table3[[#This Row],[CLM $ Collected ]]/'[2]1.) CLM Reference'!$B$4</f>
        <v>1.5487843332306123E-7</v>
      </c>
      <c r="J144" s="88">
        <v>0</v>
      </c>
      <c r="K144" s="28">
        <f>[2]!Table3[[#This Row],[Incentive Disbursements]]/'[2]1.) CLM Reference'!$B$5</f>
        <v>0</v>
      </c>
      <c r="L144" s="88">
        <v>3116.9465603050094</v>
      </c>
      <c r="M144" s="203">
        <f>[2]!Table32[[#This Row],[CLM $ Collected ]]/'[2]1.) CLM Reference'!$B$4</f>
        <v>1.3831504531490053E-4</v>
      </c>
      <c r="N144" s="88">
        <v>0</v>
      </c>
      <c r="O144" s="204">
        <f>[2]!Table3[[#This Row],[Incentive Disbursements]]/'[2]1.) CLM Reference'!$B$5</f>
        <v>0</v>
      </c>
      <c r="P144" t="str">
        <f>VLOOKUP(Table325[[#This Row],[Census Tract]],'UI EnergyBurden'!$A$2:$B$184,2,FALSE)</f>
        <v>No</v>
      </c>
      <c r="Q144">
        <f>VLOOKUP(Table325[[#This Row],[Census Tract]],'Population and Diversity Data'!B140:K961,10,FALSE)</f>
        <v>3</v>
      </c>
    </row>
    <row r="145" spans="1:17" x14ac:dyDescent="0.2">
      <c r="A145" s="121">
        <v>9009157400</v>
      </c>
      <c r="B145" s="121" t="s">
        <v>2992</v>
      </c>
      <c r="C145" s="128" t="s">
        <v>3886</v>
      </c>
      <c r="D145" s="88">
        <f>[2]!Table32[[#This Row],[Residential CLM $ Collected]]+[2]!Table32[[#This Row],[C&amp;I CLM $ Collected]]</f>
        <v>4126.1512082834952</v>
      </c>
      <c r="E145" s="28">
        <f>[2]!Table3[[#This Row],[CLM $ Collected ]]/'[2]1.) CLM Reference'!$B$4</f>
        <v>2.879849947742551E-3</v>
      </c>
      <c r="F145" s="88">
        <f>[2]!Table32[[#This Row],[Residential Incentive Disbursements]]+[2]!Table32[[#This Row],[C&amp;I Incentive Disbursements]]</f>
        <v>1350</v>
      </c>
      <c r="G145" s="28">
        <f>[2]!Table3[[#This Row],[Incentive Disbursements]]/'[2]1.) CLM Reference'!$B$5</f>
        <v>1.3280865658136084E-3</v>
      </c>
      <c r="H145" s="88">
        <v>0</v>
      </c>
      <c r="I145" s="28">
        <f>[2]!Table3[[#This Row],[CLM $ Collected ]]/'[2]1.) CLM Reference'!$B$4</f>
        <v>2.879849947742551E-3</v>
      </c>
      <c r="J145" s="88">
        <v>0</v>
      </c>
      <c r="K145" s="28">
        <f>[2]!Table3[[#This Row],[Incentive Disbursements]]/'[2]1.) CLM Reference'!$B$5</f>
        <v>1.3280865658136084E-3</v>
      </c>
      <c r="L145" s="88">
        <v>4126.1512082834952</v>
      </c>
      <c r="M145" s="203">
        <f>[2]!Table32[[#This Row],[CLM $ Collected ]]/'[2]1.) CLM Reference'!$B$4</f>
        <v>1.8309867696096027E-4</v>
      </c>
      <c r="N145" s="88">
        <v>1350</v>
      </c>
      <c r="O145" s="204">
        <f>[2]!Table3[[#This Row],[Incentive Disbursements]]/'[2]1.) CLM Reference'!$B$5</f>
        <v>1.3280865658136084E-3</v>
      </c>
      <c r="P145" t="str">
        <f>VLOOKUP(Table325[[#This Row],[Census Tract]],'UI EnergyBurden'!$A$2:$B$184,2,FALSE)</f>
        <v>No</v>
      </c>
      <c r="Q145">
        <f>VLOOKUP(Table325[[#This Row],[Census Tract]],'Population and Diversity Data'!B141:K962,10,FALSE)</f>
        <v>3</v>
      </c>
    </row>
    <row r="146" spans="1:17" x14ac:dyDescent="0.2">
      <c r="A146" s="121">
        <v>9009160100</v>
      </c>
      <c r="B146" s="121" t="s">
        <v>2994</v>
      </c>
      <c r="C146" s="128" t="s">
        <v>3886</v>
      </c>
      <c r="D146" s="88">
        <f>[2]!Table32[[#This Row],[Residential CLM $ Collected]]+[2]!Table32[[#This Row],[C&amp;I CLM $ Collected]]</f>
        <v>6395.1996640700754</v>
      </c>
      <c r="E146" s="28">
        <f>[2]!Table3[[#This Row],[CLM $ Collected ]]/'[2]1.) CLM Reference'!$B$4</f>
        <v>2.6118731774105446E-5</v>
      </c>
      <c r="F146" s="88">
        <f>[2]!Table32[[#This Row],[Residential Incentive Disbursements]]+[2]!Table32[[#This Row],[C&amp;I Incentive Disbursements]]</f>
        <v>0</v>
      </c>
      <c r="G146" s="28">
        <f>[2]!Table3[[#This Row],[Incentive Disbursements]]/'[2]1.) CLM Reference'!$B$5</f>
        <v>0</v>
      </c>
      <c r="H146" s="88">
        <v>0</v>
      </c>
      <c r="I146" s="28">
        <f>[2]!Table3[[#This Row],[CLM $ Collected ]]/'[2]1.) CLM Reference'!$B$4</f>
        <v>2.6118731774105446E-5</v>
      </c>
      <c r="J146" s="88">
        <v>0</v>
      </c>
      <c r="K146" s="28">
        <f>[2]!Table3[[#This Row],[Incentive Disbursements]]/'[2]1.) CLM Reference'!$B$5</f>
        <v>0</v>
      </c>
      <c r="L146" s="88">
        <v>6395.1996640700754</v>
      </c>
      <c r="M146" s="203">
        <f>[2]!Table32[[#This Row],[CLM $ Collected ]]/'[2]1.) CLM Reference'!$B$4</f>
        <v>2.8378809652967904E-4</v>
      </c>
      <c r="N146" s="88">
        <v>0</v>
      </c>
      <c r="O146" s="204">
        <f>[2]!Table3[[#This Row],[Incentive Disbursements]]/'[2]1.) CLM Reference'!$B$5</f>
        <v>0</v>
      </c>
      <c r="P146" t="str">
        <f>VLOOKUP(Table325[[#This Row],[Census Tract]],'UI EnergyBurden'!$A$2:$B$184,2,FALSE)</f>
        <v>No</v>
      </c>
      <c r="Q146">
        <f>VLOOKUP(Table325[[#This Row],[Census Tract]],'Population and Diversity Data'!B142:K963,10,FALSE)</f>
        <v>5</v>
      </c>
    </row>
    <row r="147" spans="1:17" x14ac:dyDescent="0.2">
      <c r="A147" s="121">
        <v>9009160200</v>
      </c>
      <c r="B147" s="121" t="s">
        <v>2994</v>
      </c>
      <c r="C147" s="128" t="s">
        <v>3886</v>
      </c>
      <c r="D147" s="88">
        <f>[2]!Table32[[#This Row],[Residential CLM $ Collected]]+[2]!Table32[[#This Row],[C&amp;I CLM $ Collected]]</f>
        <v>42630.540199539166</v>
      </c>
      <c r="E147" s="28">
        <f>[2]!Table3[[#This Row],[CLM $ Collected ]]/'[2]1.) CLM Reference'!$B$4</f>
        <v>4.66372048538623E-3</v>
      </c>
      <c r="F147" s="88">
        <f>[2]!Table32[[#This Row],[Residential Incentive Disbursements]]+[2]!Table32[[#This Row],[C&amp;I Incentive Disbursements]]</f>
        <v>158708</v>
      </c>
      <c r="G147" s="28">
        <f>[2]!Table3[[#This Row],[Incentive Disbursements]]/'[2]1.) CLM Reference'!$B$5</f>
        <v>5.6550243218931595E-3</v>
      </c>
      <c r="H147" s="88">
        <v>0</v>
      </c>
      <c r="I147" s="28">
        <f>[2]!Table3[[#This Row],[CLM $ Collected ]]/'[2]1.) CLM Reference'!$B$4</f>
        <v>4.66372048538623E-3</v>
      </c>
      <c r="J147" s="88">
        <v>0</v>
      </c>
      <c r="K147" s="28">
        <f>[2]!Table3[[#This Row],[Incentive Disbursements]]/'[2]1.) CLM Reference'!$B$5</f>
        <v>5.6550243218931595E-3</v>
      </c>
      <c r="L147" s="88">
        <v>42630.540199539166</v>
      </c>
      <c r="M147" s="203">
        <f>[2]!Table32[[#This Row],[CLM $ Collected ]]/'[2]1.) CLM Reference'!$B$4</f>
        <v>1.8917376302149212E-3</v>
      </c>
      <c r="N147" s="88">
        <v>158708</v>
      </c>
      <c r="O147" s="204">
        <f>[2]!Table3[[#This Row],[Incentive Disbursements]]/'[2]1.) CLM Reference'!$B$5</f>
        <v>5.6550243218931595E-3</v>
      </c>
      <c r="P147" t="str">
        <f>VLOOKUP(Table325[[#This Row],[Census Tract]],'UI EnergyBurden'!$A$2:$B$184,2,FALSE)</f>
        <v>No</v>
      </c>
      <c r="Q147">
        <f>VLOOKUP(Table325[[#This Row],[Census Tract]],'Population and Diversity Data'!B143:K964,10,FALSE)</f>
        <v>4</v>
      </c>
    </row>
    <row r="148" spans="1:17" x14ac:dyDescent="0.2">
      <c r="A148" s="121">
        <v>9009165100</v>
      </c>
      <c r="B148" s="121" t="s">
        <v>953</v>
      </c>
      <c r="C148" s="128" t="s">
        <v>3886</v>
      </c>
      <c r="D148" s="88">
        <f>[2]!Table32[[#This Row],[Residential CLM $ Collected]]+[2]!Table32[[#This Row],[C&amp;I CLM $ Collected]]</f>
        <v>33496.083967163715</v>
      </c>
      <c r="E148" s="28">
        <f>[2]!Table3[[#This Row],[CLM $ Collected ]]/'[2]1.) CLM Reference'!$B$4</f>
        <v>3.9941914662789159E-3</v>
      </c>
      <c r="F148" s="88">
        <f>[2]!Table32[[#This Row],[Residential Incentive Disbursements]]+[2]!Table32[[#This Row],[C&amp;I Incentive Disbursements]]</f>
        <v>269426</v>
      </c>
      <c r="G148" s="28">
        <f>[2]!Table3[[#This Row],[Incentive Disbursements]]/'[2]1.) CLM Reference'!$B$5</f>
        <v>1.5020661779278771E-3</v>
      </c>
      <c r="H148" s="88">
        <v>0</v>
      </c>
      <c r="I148" s="28">
        <f>[2]!Table3[[#This Row],[CLM $ Collected ]]/'[2]1.) CLM Reference'!$B$4</f>
        <v>3.9941914662789159E-3</v>
      </c>
      <c r="J148" s="88">
        <v>81540</v>
      </c>
      <c r="K148" s="28">
        <f>[2]!Table3[[#This Row],[Incentive Disbursements]]/'[2]1.) CLM Reference'!$B$5</f>
        <v>1.5020661779278771E-3</v>
      </c>
      <c r="L148" s="88">
        <v>33496.083967163715</v>
      </c>
      <c r="M148" s="203">
        <f>[2]!Table32[[#This Row],[CLM $ Collected ]]/'[2]1.) CLM Reference'!$B$4</f>
        <v>1.4863945474049443E-3</v>
      </c>
      <c r="N148" s="88">
        <v>187886</v>
      </c>
      <c r="O148" s="204">
        <f>[2]!Table3[[#This Row],[Incentive Disbursements]]/'[2]1.) CLM Reference'!$B$5</f>
        <v>1.5020661779278771E-3</v>
      </c>
      <c r="P148" t="str">
        <f>VLOOKUP(Table325[[#This Row],[Census Tract]],'UI EnergyBurden'!$A$2:$B$184,2,FALSE)</f>
        <v>No</v>
      </c>
      <c r="Q148">
        <f>VLOOKUP(Table325[[#This Row],[Census Tract]],'Population and Diversity Data'!B144:K965,10,FALSE)</f>
        <v>5</v>
      </c>
    </row>
    <row r="149" spans="1:17" x14ac:dyDescent="0.2">
      <c r="A149" s="121">
        <v>9009165200</v>
      </c>
      <c r="B149" s="121" t="s">
        <v>953</v>
      </c>
      <c r="C149" s="128" t="s">
        <v>3886</v>
      </c>
      <c r="D149" s="88">
        <f>[2]!Table32[[#This Row],[Residential CLM $ Collected]]+[2]!Table32[[#This Row],[C&amp;I CLM $ Collected]]</f>
        <v>3949.1941444362155</v>
      </c>
      <c r="E149" s="28">
        <f>[2]!Table3[[#This Row],[CLM $ Collected ]]/'[2]1.) CLM Reference'!$B$4</f>
        <v>2.1540144234961987E-3</v>
      </c>
      <c r="F149" s="88">
        <f>[2]!Table32[[#This Row],[Residential Incentive Disbursements]]+[2]!Table32[[#This Row],[C&amp;I Incentive Disbursements]]</f>
        <v>4470</v>
      </c>
      <c r="G149" s="28">
        <f>[2]!Table3[[#This Row],[Incentive Disbursements]]/'[2]1.) CLM Reference'!$B$5</f>
        <v>1.3442628754268306E-3</v>
      </c>
      <c r="H149" s="88">
        <v>1414.1791755204481</v>
      </c>
      <c r="I149" s="28">
        <f>[2]!Table3[[#This Row],[CLM $ Collected ]]/'[2]1.) CLM Reference'!$B$4</f>
        <v>2.1540144234961987E-3</v>
      </c>
      <c r="J149" s="88">
        <v>0</v>
      </c>
      <c r="K149" s="28">
        <f>[2]!Table3[[#This Row],[Incentive Disbursements]]/'[2]1.) CLM Reference'!$B$5</f>
        <v>1.3442628754268306E-3</v>
      </c>
      <c r="L149" s="88">
        <v>2535.0149689157674</v>
      </c>
      <c r="M149" s="203">
        <f>[2]!Table32[[#This Row],[CLM $ Collected ]]/'[2]1.) CLM Reference'!$B$4</f>
        <v>1.7524617649895905E-4</v>
      </c>
      <c r="N149" s="88">
        <v>4470</v>
      </c>
      <c r="O149" s="204">
        <f>[2]!Table3[[#This Row],[Incentive Disbursements]]/'[2]1.) CLM Reference'!$B$5</f>
        <v>1.3442628754268306E-3</v>
      </c>
      <c r="P149" t="str">
        <f>VLOOKUP(Table325[[#This Row],[Census Tract]],'UI EnergyBurden'!$A$2:$B$184,2,FALSE)</f>
        <v>No</v>
      </c>
      <c r="Q149">
        <f>VLOOKUP(Table325[[#This Row],[Census Tract]],'Population and Diversity Data'!B145:K966,10,FALSE)</f>
        <v>3</v>
      </c>
    </row>
    <row r="150" spans="1:17" x14ac:dyDescent="0.2">
      <c r="A150" s="121">
        <v>9009165300</v>
      </c>
      <c r="B150" s="121" t="s">
        <v>953</v>
      </c>
      <c r="C150" s="128" t="s">
        <v>3886</v>
      </c>
      <c r="D150" s="88">
        <f>[2]!Table32[[#This Row],[Residential CLM $ Collected]]+[2]!Table32[[#This Row],[C&amp;I CLM $ Collected]]</f>
        <v>29088.084891729777</v>
      </c>
      <c r="E150" s="28">
        <f>[2]!Table3[[#This Row],[CLM $ Collected ]]/'[2]1.) CLM Reference'!$B$4</f>
        <v>9.8855871978452329E-6</v>
      </c>
      <c r="F150" s="88">
        <f>[2]!Table32[[#This Row],[Residential Incentive Disbursements]]+[2]!Table32[[#This Row],[C&amp;I Incentive Disbursements]]</f>
        <v>22999.73</v>
      </c>
      <c r="G150" s="28">
        <f>[2]!Table3[[#This Row],[Incentive Disbursements]]/'[2]1.) CLM Reference'!$B$5</f>
        <v>0</v>
      </c>
      <c r="H150" s="88">
        <v>7893.4946158309986</v>
      </c>
      <c r="I150" s="28">
        <f>[2]!Table3[[#This Row],[CLM $ Collected ]]/'[2]1.) CLM Reference'!$B$4</f>
        <v>9.8855871978452329E-6</v>
      </c>
      <c r="J150" s="88">
        <v>0</v>
      </c>
      <c r="K150" s="28">
        <f>[2]!Table3[[#This Row],[Incentive Disbursements]]/'[2]1.) CLM Reference'!$B$5</f>
        <v>0</v>
      </c>
      <c r="L150" s="88">
        <v>21194.59027589878</v>
      </c>
      <c r="M150" s="203">
        <f>[2]!Table32[[#This Row],[CLM $ Collected ]]/'[2]1.) CLM Reference'!$B$4</f>
        <v>1.2907888223561892E-3</v>
      </c>
      <c r="N150" s="88">
        <v>22999.73</v>
      </c>
      <c r="O150" s="204">
        <f>[2]!Table3[[#This Row],[Incentive Disbursements]]/'[2]1.) CLM Reference'!$B$5</f>
        <v>0</v>
      </c>
      <c r="P150" t="str">
        <f>VLOOKUP(Table325[[#This Row],[Census Tract]],'UI EnergyBurden'!$A$2:$B$184,2,FALSE)</f>
        <v>No</v>
      </c>
      <c r="Q150">
        <f>VLOOKUP(Table325[[#This Row],[Census Tract]],'Population and Diversity Data'!B146:K967,10,FALSE)</f>
        <v>2</v>
      </c>
    </row>
    <row r="151" spans="1:17" x14ac:dyDescent="0.2">
      <c r="A151" s="211">
        <v>9009165400</v>
      </c>
      <c r="B151" s="148" t="s">
        <v>953</v>
      </c>
      <c r="C151" s="149" t="s">
        <v>3886</v>
      </c>
      <c r="D151" s="88">
        <f>[2]!Table32[[#This Row],[Residential CLM $ Collected]]+[2]!Table32[[#This Row],[C&amp;I CLM $ Collected]]</f>
        <v>95617.154389466537</v>
      </c>
      <c r="E151" s="28">
        <f>[2]!Table3[[#This Row],[CLM $ Collected ]]/'[2]1.) CLM Reference'!$B$4</f>
        <v>7.2182364017258454E-6</v>
      </c>
      <c r="F151" s="88">
        <f>[2]!Table32[[#This Row],[Residential Incentive Disbursements]]+[2]!Table32[[#This Row],[C&amp;I Incentive Disbursements]]</f>
        <v>85669.42</v>
      </c>
      <c r="G151" s="28">
        <f>[2]!Table3[[#This Row],[Incentive Disbursements]]/'[2]1.) CLM Reference'!$B$5</f>
        <v>0</v>
      </c>
      <c r="H151" s="88">
        <v>5788.9382076540878</v>
      </c>
      <c r="I151" s="147">
        <f>[2]!Table32[[#This Row],[Residential CLM $ Collected]]/'[2]1.) CLM Reference'!$B$4</f>
        <v>2.5688513903763621E-4</v>
      </c>
      <c r="J151" s="150">
        <v>84171.42</v>
      </c>
      <c r="K151" s="147">
        <f>[2]!Table32[[#This Row],[Residential Incentive Disbursements]]/'[2]1.) CLM Reference'!$B$5</f>
        <v>2.5986391146358115E-3</v>
      </c>
      <c r="L151" s="150">
        <v>89828.216181812444</v>
      </c>
      <c r="M151" s="205">
        <f>[2]!Table32[[#This Row],[C&amp;I CLM $ Collected]]/'[2]1.) CLM Reference'!$B$4</f>
        <v>3.9861427045217801E-3</v>
      </c>
      <c r="N151" s="150">
        <v>1498</v>
      </c>
      <c r="O151" s="206">
        <f>[2]!Table32[[#This Row],[C&amp;I Incentive Disbursements]]/'[2]1.) CLM Reference'!$B$5</f>
        <v>4.6248018552193197E-5</v>
      </c>
      <c r="P151" t="str">
        <f>VLOOKUP(Table325[[#This Row],[Census Tract]],'UI EnergyBurden'!$A$2:$B$184,2,FALSE)</f>
        <v>No</v>
      </c>
      <c r="Q151">
        <f>VLOOKUP(Table325[[#This Row],[Census Tract]],'Population and Diversity Data'!B147:K968,10,FALSE)</f>
        <v>3</v>
      </c>
    </row>
    <row r="152" spans="1:17" x14ac:dyDescent="0.2">
      <c r="A152" s="211">
        <v>9009165500</v>
      </c>
      <c r="B152" s="148" t="s">
        <v>953</v>
      </c>
      <c r="C152" s="149" t="s">
        <v>3887</v>
      </c>
      <c r="D152" s="88">
        <f>[2]!Table32[[#This Row],[Residential CLM $ Collected]]+[2]!Table32[[#This Row],[C&amp;I CLM $ Collected]]</f>
        <v>12822.346703089881</v>
      </c>
      <c r="E152" s="28">
        <f>[2]!Table3[[#This Row],[CLM $ Collected ]]/'[2]1.) CLM Reference'!$B$4</f>
        <v>2.164712917603342E-5</v>
      </c>
      <c r="F152" s="88">
        <f>[2]!Table32[[#This Row],[Residential Incentive Disbursements]]+[2]!Table32[[#This Row],[C&amp;I Incentive Disbursements]]</f>
        <v>1170</v>
      </c>
      <c r="G152" s="28">
        <f>[2]!Table3[[#This Row],[Incentive Disbursements]]/'[2]1.) CLM Reference'!$B$5</f>
        <v>0</v>
      </c>
      <c r="H152" s="88">
        <v>0</v>
      </c>
      <c r="I152" s="147">
        <f>[2]!Table32[[#This Row],[Residential CLM $ Collected]]/'[2]1.) CLM Reference'!$B$4</f>
        <v>0</v>
      </c>
      <c r="J152" s="150">
        <v>0</v>
      </c>
      <c r="K152" s="147">
        <f>[2]!Table32[[#This Row],[Residential Incentive Disbursements]]/'[2]1.) CLM Reference'!$B$5</f>
        <v>0</v>
      </c>
      <c r="L152" s="150">
        <v>12822.346703089881</v>
      </c>
      <c r="M152" s="205">
        <f>[2]!Table32[[#This Row],[C&amp;I CLM $ Collected]]/'[2]1.) CLM Reference'!$B$4</f>
        <v>5.6899386337496078E-4</v>
      </c>
      <c r="N152" s="150">
        <v>1170</v>
      </c>
      <c r="O152" s="206">
        <f>[2]!Table32[[#This Row],[C&amp;I Incentive Disbursements]]/'[2]1.) CLM Reference'!$B$5</f>
        <v>3.6121616626212312E-5</v>
      </c>
      <c r="P152" t="str">
        <f>VLOOKUP(Table325[[#This Row],[Census Tract]],'UI EnergyBurden'!$A$2:$B$184,2,FALSE)</f>
        <v>Yes</v>
      </c>
      <c r="Q152">
        <f>VLOOKUP(Table325[[#This Row],[Census Tract]],'Population and Diversity Data'!B148:K969,10,FALSE)</f>
        <v>4</v>
      </c>
    </row>
    <row r="153" spans="1:17" x14ac:dyDescent="0.2">
      <c r="A153" s="211">
        <v>9009165600</v>
      </c>
      <c r="B153" s="148" t="s">
        <v>953</v>
      </c>
      <c r="C153" s="149" t="s">
        <v>3886</v>
      </c>
      <c r="D153" s="88">
        <f>[2]!Table32[[#This Row],[Residential CLM $ Collected]]+[2]!Table32[[#This Row],[C&amp;I CLM $ Collected]]</f>
        <v>14162.843782628002</v>
      </c>
      <c r="E153" s="28">
        <f>[2]!Table3[[#This Row],[CLM $ Collected ]]/'[2]1.) CLM Reference'!$B$4</f>
        <v>6.1072499679811888E-6</v>
      </c>
      <c r="F153" s="88">
        <f>[2]!Table32[[#This Row],[Residential Incentive Disbursements]]+[2]!Table32[[#This Row],[C&amp;I Incentive Disbursements]]</f>
        <v>3150</v>
      </c>
      <c r="G153" s="28">
        <f>[2]!Table3[[#This Row],[Incentive Disbursements]]/'[2]1.) CLM Reference'!$B$5</f>
        <v>0</v>
      </c>
      <c r="H153" s="88">
        <v>1242.8082856166905</v>
      </c>
      <c r="I153" s="147">
        <f>[2]!Table32[[#This Row],[Residential CLM $ Collected]]/'[2]1.) CLM Reference'!$B$4</f>
        <v>5.5149833664772608E-5</v>
      </c>
      <c r="J153" s="150">
        <v>1150</v>
      </c>
      <c r="K153" s="147">
        <f>[2]!Table32[[#This Row],[Residential Incentive Disbursements]]/'[2]1.) CLM Reference'!$B$5</f>
        <v>3.5504153094140308E-5</v>
      </c>
      <c r="L153" s="150">
        <v>12920.035497011311</v>
      </c>
      <c r="M153" s="205">
        <f>[2]!Table32[[#This Row],[C&amp;I CLM $ Collected]]/'[2]1.) CLM Reference'!$B$4</f>
        <v>5.7332882058278608E-4</v>
      </c>
      <c r="N153" s="150">
        <v>2000</v>
      </c>
      <c r="O153" s="206">
        <f>[2]!Table32[[#This Row],[C&amp;I Incentive Disbursements]]/'[2]1.) CLM Reference'!$B$5</f>
        <v>6.1746353207200536E-5</v>
      </c>
      <c r="P153" t="str">
        <f>VLOOKUP(Table325[[#This Row],[Census Tract]],'UI EnergyBurden'!$A$2:$B$184,2,FALSE)</f>
        <v>No</v>
      </c>
      <c r="Q153">
        <f>VLOOKUP(Table325[[#This Row],[Census Tract]],'Population and Diversity Data'!B149:K970,10,FALSE)</f>
        <v>5</v>
      </c>
    </row>
    <row r="154" spans="1:17" x14ac:dyDescent="0.2">
      <c r="A154" s="211">
        <v>9009165700</v>
      </c>
      <c r="B154" s="148" t="s">
        <v>953</v>
      </c>
      <c r="C154" s="149" t="s">
        <v>3886</v>
      </c>
      <c r="D154" s="88">
        <f>[2]!Table32[[#This Row],[Residential CLM $ Collected]]+[2]!Table32[[#This Row],[C&amp;I CLM $ Collected]]</f>
        <v>18280.823480266838</v>
      </c>
      <c r="E154" s="28">
        <f>[2]!Table3[[#This Row],[CLM $ Collected ]]/'[2]1.) CLM Reference'!$B$4</f>
        <v>7.2143658749523358E-3</v>
      </c>
      <c r="F154" s="88">
        <f>[2]!Table32[[#This Row],[Residential Incentive Disbursements]]+[2]!Table32[[#This Row],[C&amp;I Incentive Disbursements]]</f>
        <v>600</v>
      </c>
      <c r="G154" s="28">
        <f>[2]!Table3[[#This Row],[Incentive Disbursements]]/'[2]1.) CLM Reference'!$B$5</f>
        <v>7.6158532461481285E-3</v>
      </c>
      <c r="H154" s="88">
        <v>0</v>
      </c>
      <c r="I154" s="147">
        <f>[2]!Table32[[#This Row],[Residential CLM $ Collected]]/'[2]1.) CLM Reference'!$B$4</f>
        <v>0</v>
      </c>
      <c r="J154" s="150">
        <v>0</v>
      </c>
      <c r="K154" s="147">
        <f>[2]!Table32[[#This Row],[Residential Incentive Disbursements]]/'[2]1.) CLM Reference'!$B$5</f>
        <v>0</v>
      </c>
      <c r="L154" s="150">
        <v>18280.823480266838</v>
      </c>
      <c r="M154" s="205">
        <f>[2]!Table32[[#This Row],[C&amp;I CLM $ Collected]]/'[2]1.) CLM Reference'!$B$4</f>
        <v>8.1121471900351644E-4</v>
      </c>
      <c r="N154" s="150">
        <v>600</v>
      </c>
      <c r="O154" s="206">
        <f>[2]!Table32[[#This Row],[C&amp;I Incentive Disbursements]]/'[2]1.) CLM Reference'!$B$5</f>
        <v>1.8523905962160159E-5</v>
      </c>
      <c r="P154" t="str">
        <f>VLOOKUP(Table325[[#This Row],[Census Tract]],'UI EnergyBurden'!$A$2:$B$184,2,FALSE)</f>
        <v>No</v>
      </c>
      <c r="Q154">
        <f>VLOOKUP(Table325[[#This Row],[Census Tract]],'Population and Diversity Data'!B150:K971,10,FALSE)</f>
        <v>4</v>
      </c>
    </row>
    <row r="155" spans="1:17" x14ac:dyDescent="0.2">
      <c r="A155" s="211">
        <v>9009165801</v>
      </c>
      <c r="B155" s="148" t="s">
        <v>953</v>
      </c>
      <c r="C155" s="149" t="s">
        <v>3886</v>
      </c>
      <c r="D155" s="88">
        <f>[2]!Table32[[#This Row],[Residential CLM $ Collected]]+[2]!Table32[[#This Row],[C&amp;I CLM $ Collected]]</f>
        <v>87419.282543803769</v>
      </c>
      <c r="E155" s="28">
        <f>[2]!Table3[[#This Row],[CLM $ Collected ]]/'[2]1.) CLM Reference'!$B$4</f>
        <v>1.1204102537616693E-6</v>
      </c>
      <c r="F155" s="88">
        <f>[2]!Table32[[#This Row],[Residential Incentive Disbursements]]+[2]!Table32[[#This Row],[C&amp;I Incentive Disbursements]]</f>
        <v>554716</v>
      </c>
      <c r="G155" s="28">
        <f>[2]!Table3[[#This Row],[Incentive Disbursements]]/'[2]1.) CLM Reference'!$B$5</f>
        <v>0</v>
      </c>
      <c r="H155" s="88">
        <v>4668.8410818876637</v>
      </c>
      <c r="I155" s="147">
        <f>[2]!Table32[[#This Row],[Residential CLM $ Collected]]/'[2]1.) CLM Reference'!$B$4</f>
        <v>2.07180634417476E-4</v>
      </c>
      <c r="J155" s="150">
        <v>0</v>
      </c>
      <c r="K155" s="147">
        <f>[2]!Table32[[#This Row],[Residential Incentive Disbursements]]/'[2]1.) CLM Reference'!$B$5</f>
        <v>0</v>
      </c>
      <c r="L155" s="150">
        <v>82750.441461916111</v>
      </c>
      <c r="M155" s="205">
        <f>[2]!Table32[[#This Row],[C&amp;I CLM $ Collected]]/'[2]1.) CLM Reference'!$B$4</f>
        <v>3.6720652212635101E-3</v>
      </c>
      <c r="N155" s="150">
        <v>554716</v>
      </c>
      <c r="O155" s="206">
        <f>[2]!Table32[[#This Row],[C&amp;I Incentive Disbursements]]/'[2]1.) CLM Reference'!$B$5</f>
        <v>1.7125845032842726E-2</v>
      </c>
      <c r="P155" t="str">
        <f>VLOOKUP(Table325[[#This Row],[Census Tract]],'UI EnergyBurden'!$A$2:$B$184,2,FALSE)</f>
        <v>No</v>
      </c>
      <c r="Q155">
        <f>VLOOKUP(Table325[[#This Row],[Census Tract]],'Population and Diversity Data'!B151:K972,10,FALSE)</f>
        <v>4</v>
      </c>
    </row>
    <row r="156" spans="1:17" x14ac:dyDescent="0.2">
      <c r="A156" s="211">
        <v>9009165802</v>
      </c>
      <c r="B156" s="148" t="s">
        <v>953</v>
      </c>
      <c r="C156" s="149" t="s">
        <v>3886</v>
      </c>
      <c r="D156" s="88">
        <f>[2]!Table32[[#This Row],[Residential CLM $ Collected]]+[2]!Table32[[#This Row],[C&amp;I CLM $ Collected]]</f>
        <v>3712.1741690143695</v>
      </c>
      <c r="E156" s="28">
        <f>[2]!Table3[[#This Row],[CLM $ Collected ]]/'[2]1.) CLM Reference'!$B$4</f>
        <v>2.8566880419316101E-3</v>
      </c>
      <c r="F156" s="88">
        <f>[2]!Table32[[#This Row],[Residential Incentive Disbursements]]+[2]!Table32[[#This Row],[C&amp;I Incentive Disbursements]]</f>
        <v>150</v>
      </c>
      <c r="G156" s="28">
        <f>[2]!Table3[[#This Row],[Incentive Disbursements]]/'[2]1.) CLM Reference'!$B$5</f>
        <v>9.9752496319155531E-3</v>
      </c>
      <c r="H156" s="88">
        <v>0</v>
      </c>
      <c r="I156" s="147">
        <f>[2]!Table32[[#This Row],[Residential CLM $ Collected]]/'[2]1.) CLM Reference'!$B$4</f>
        <v>0</v>
      </c>
      <c r="J156" s="150">
        <v>0</v>
      </c>
      <c r="K156" s="147">
        <f>[2]!Table32[[#This Row],[Residential Incentive Disbursements]]/'[2]1.) CLM Reference'!$B$5</f>
        <v>0</v>
      </c>
      <c r="L156" s="150">
        <v>3712.1741690143695</v>
      </c>
      <c r="M156" s="205">
        <f>[2]!Table32[[#This Row],[C&amp;I CLM $ Collected]]/'[2]1.) CLM Reference'!$B$4</f>
        <v>1.6472837389736383E-4</v>
      </c>
      <c r="N156" s="150">
        <v>150</v>
      </c>
      <c r="O156" s="206">
        <f>[2]!Table32[[#This Row],[C&amp;I Incentive Disbursements]]/'[2]1.) CLM Reference'!$B$5</f>
        <v>4.6309764905400397E-6</v>
      </c>
      <c r="P156" t="str">
        <f>VLOOKUP(Table325[[#This Row],[Census Tract]],'UI EnergyBurden'!$A$2:$B$184,2,FALSE)</f>
        <v>No</v>
      </c>
      <c r="Q156">
        <f>VLOOKUP(Table325[[#This Row],[Census Tract]],'Population and Diversity Data'!B152:K973,10,FALSE)</f>
        <v>3</v>
      </c>
    </row>
    <row r="157" spans="1:17" x14ac:dyDescent="0.2">
      <c r="A157" s="211">
        <v>9009165900</v>
      </c>
      <c r="B157" s="148" t="s">
        <v>953</v>
      </c>
      <c r="C157" s="149" t="s">
        <v>3886</v>
      </c>
      <c r="D157" s="88">
        <f>[2]!Table32[[#This Row],[Residential CLM $ Collected]]+[2]!Table32[[#This Row],[C&amp;I CLM $ Collected]]</f>
        <v>71229.350120579285</v>
      </c>
      <c r="E157" s="28">
        <f>[2]!Table3[[#This Row],[CLM $ Collected ]]/'[2]1.) CLM Reference'!$B$4</f>
        <v>1.9889035654255408E-3</v>
      </c>
      <c r="F157" s="88">
        <f>[2]!Table32[[#This Row],[Residential Incentive Disbursements]]+[2]!Table32[[#This Row],[C&amp;I Incentive Disbursements]]</f>
        <v>31601</v>
      </c>
      <c r="G157" s="28">
        <f>[2]!Table3[[#This Row],[Incentive Disbursements]]/'[2]1.) CLM Reference'!$B$5</f>
        <v>1.1541176358184446E-2</v>
      </c>
      <c r="H157" s="88">
        <v>0</v>
      </c>
      <c r="I157" s="147">
        <f>[2]!Table32[[#This Row],[Residential CLM $ Collected]]/'[2]1.) CLM Reference'!$B$4</f>
        <v>0</v>
      </c>
      <c r="J157" s="150">
        <v>0</v>
      </c>
      <c r="K157" s="147">
        <f>[2]!Table32[[#This Row],[Residential Incentive Disbursements]]/'[2]1.) CLM Reference'!$B$5</f>
        <v>0</v>
      </c>
      <c r="L157" s="150">
        <v>71229.350120579285</v>
      </c>
      <c r="M157" s="205">
        <f>[2]!Table32[[#This Row],[C&amp;I CLM $ Collected]]/'[2]1.) CLM Reference'!$B$4</f>
        <v>3.1608147907145256E-3</v>
      </c>
      <c r="N157" s="150">
        <v>31601</v>
      </c>
      <c r="O157" s="206">
        <f>[2]!Table32[[#This Row],[C&amp;I Incentive Disbursements]]/'[2]1.) CLM Reference'!$B$5</f>
        <v>9.7562325385037204E-4</v>
      </c>
      <c r="P157" t="str">
        <f>VLOOKUP(Table325[[#This Row],[Census Tract]],'UI EnergyBurden'!$A$2:$B$184,2,FALSE)</f>
        <v>No</v>
      </c>
      <c r="Q157">
        <f>VLOOKUP(Table325[[#This Row],[Census Tract]],'Population and Diversity Data'!B153:K974,10,FALSE)</f>
        <v>3</v>
      </c>
    </row>
    <row r="158" spans="1:17" x14ac:dyDescent="0.2">
      <c r="A158" s="211">
        <v>9009166001</v>
      </c>
      <c r="B158" s="148" t="s">
        <v>953</v>
      </c>
      <c r="C158" s="149" t="s">
        <v>3886</v>
      </c>
      <c r="D158" s="88">
        <f>[2]!Table32[[#This Row],[Residential CLM $ Collected]]+[2]!Table32[[#This Row],[C&amp;I CLM $ Collected]]</f>
        <v>32598.048797334002</v>
      </c>
      <c r="E158" s="28">
        <f>[2]!Table3[[#This Row],[CLM $ Collected ]]/'[2]1.) CLM Reference'!$B$4</f>
        <v>2.1659222395503082E-3</v>
      </c>
      <c r="F158" s="88">
        <f>[2]!Table32[[#This Row],[Residential Incentive Disbursements]]+[2]!Table32[[#This Row],[C&amp;I Incentive Disbursements]]</f>
        <v>155991</v>
      </c>
      <c r="G158" s="28">
        <f>[2]!Table3[[#This Row],[Incentive Disbursements]]/'[2]1.) CLM Reference'!$B$5</f>
        <v>3.4730514510901331E-3</v>
      </c>
      <c r="H158" s="88">
        <v>0</v>
      </c>
      <c r="I158" s="147">
        <f>[2]!Table32[[#This Row],[Residential CLM $ Collected]]/'[2]1.) CLM Reference'!$B$4</f>
        <v>0</v>
      </c>
      <c r="J158" s="150">
        <v>0</v>
      </c>
      <c r="K158" s="147">
        <f>[2]!Table32[[#This Row],[Residential Incentive Disbursements]]/'[2]1.) CLM Reference'!$B$5</f>
        <v>0</v>
      </c>
      <c r="L158" s="150">
        <v>32598.048797334002</v>
      </c>
      <c r="M158" s="205">
        <f>[2]!Table32[[#This Row],[C&amp;I CLM $ Collected]]/'[2]1.) CLM Reference'!$B$4</f>
        <v>1.4465440806721375E-3</v>
      </c>
      <c r="N158" s="150">
        <v>155991</v>
      </c>
      <c r="O158" s="206">
        <f>[2]!Table32[[#This Row],[C&amp;I Incentive Disbursements]]/'[2]1.) CLM Reference'!$B$5</f>
        <v>4.8159376915722094E-3</v>
      </c>
      <c r="P158" t="str">
        <f>VLOOKUP(Table325[[#This Row],[Census Tract]],'UI EnergyBurden'!$A$2:$B$184,2,FALSE)</f>
        <v>No</v>
      </c>
      <c r="Q158">
        <f>VLOOKUP(Table325[[#This Row],[Census Tract]],'Population and Diversity Data'!B154:K975,10,FALSE)</f>
        <v>4</v>
      </c>
    </row>
    <row r="159" spans="1:17" x14ac:dyDescent="0.2">
      <c r="A159" s="121">
        <v>9009166002</v>
      </c>
      <c r="B159" s="121" t="s">
        <v>953</v>
      </c>
      <c r="C159" s="128" t="s">
        <v>3886</v>
      </c>
      <c r="D159" s="88">
        <f>[2]!Table32[[#This Row],[Residential CLM $ Collected]]+[2]!Table32[[#This Row],[C&amp;I CLM $ Collected]]</f>
        <v>49801.525540856746</v>
      </c>
      <c r="E159" s="28">
        <f>[2]!Table3[[#This Row],[CLM $ Collected ]]/'[2]1.) CLM Reference'!$B$4</f>
        <v>2.2754593969210864E-3</v>
      </c>
      <c r="F159" s="88">
        <f>[2]!Table32[[#This Row],[Residential Incentive Disbursements]]+[2]!Table32[[#This Row],[C&amp;I Incentive Disbursements]]</f>
        <v>1080</v>
      </c>
      <c r="G159" s="28">
        <f>[2]!Table3[[#This Row],[Incentive Disbursements]]/'[2]1.) CLM Reference'!$B$5</f>
        <v>5.9087308252685653E-3</v>
      </c>
      <c r="H159" s="88">
        <v>0</v>
      </c>
      <c r="I159" s="28">
        <f>[2]!Table3[[#This Row],[CLM $ Collected ]]/'[2]1.) CLM Reference'!$B$4</f>
        <v>2.2754593969210864E-3</v>
      </c>
      <c r="J159" s="88">
        <v>0</v>
      </c>
      <c r="K159" s="28">
        <f>[2]!Table3[[#This Row],[Incentive Disbursements]]/'[2]1.) CLM Reference'!$B$5</f>
        <v>5.9087308252685653E-3</v>
      </c>
      <c r="L159" s="88">
        <v>49801.525540856746</v>
      </c>
      <c r="M159" s="203">
        <f>[2]!Table32[[#This Row],[CLM $ Collected ]]/'[2]1.) CLM Reference'!$B$4</f>
        <v>2.2099513509980487E-3</v>
      </c>
      <c r="N159" s="88">
        <v>1080</v>
      </c>
      <c r="O159" s="204">
        <f>[2]!Table3[[#This Row],[Incentive Disbursements]]/'[2]1.) CLM Reference'!$B$5</f>
        <v>5.9087308252685653E-3</v>
      </c>
      <c r="P159" t="str">
        <f>VLOOKUP(Table325[[#This Row],[Census Tract]],'UI EnergyBurden'!$A$2:$B$184,2,FALSE)</f>
        <v>No</v>
      </c>
      <c r="Q159">
        <f>VLOOKUP(Table325[[#This Row],[Census Tract]],'Population and Diversity Data'!B155:K976,10,FALSE)</f>
        <v>3</v>
      </c>
    </row>
    <row r="160" spans="1:17" x14ac:dyDescent="0.2">
      <c r="A160" s="121">
        <v>9009167100</v>
      </c>
      <c r="B160" s="121" t="s">
        <v>3004</v>
      </c>
      <c r="C160" s="128" t="s">
        <v>3886</v>
      </c>
      <c r="D160" s="88">
        <f>[2]!Table32[[#This Row],[Residential CLM $ Collected]]+[2]!Table32[[#This Row],[C&amp;I CLM $ Collected]]</f>
        <v>86570.645771656447</v>
      </c>
      <c r="E160" s="28">
        <f>[2]!Table3[[#This Row],[CLM $ Collected ]]/'[2]1.) CLM Reference'!$B$4</f>
        <v>2.7619147326770504E-3</v>
      </c>
      <c r="F160" s="88">
        <f>[2]!Table32[[#This Row],[Residential Incentive Disbursements]]+[2]!Table32[[#This Row],[C&amp;I Incentive Disbursements]]</f>
        <v>14640</v>
      </c>
      <c r="G160" s="28">
        <f>[2]!Table3[[#This Row],[Incentive Disbursements]]/'[2]1.) CLM Reference'!$B$5</f>
        <v>8.0445340953879708E-4</v>
      </c>
      <c r="H160" s="88">
        <v>0</v>
      </c>
      <c r="I160" s="28">
        <f>[2]!Table3[[#This Row],[CLM $ Collected ]]/'[2]1.) CLM Reference'!$B$4</f>
        <v>2.7619147326770504E-3</v>
      </c>
      <c r="J160" s="88">
        <v>0</v>
      </c>
      <c r="K160" s="28">
        <f>[2]!Table3[[#This Row],[Incentive Disbursements]]/'[2]1.) CLM Reference'!$B$5</f>
        <v>8.0445340953879708E-4</v>
      </c>
      <c r="L160" s="88">
        <v>86570.645771656447</v>
      </c>
      <c r="M160" s="203">
        <f>[2]!Table32[[#This Row],[CLM $ Collected ]]/'[2]1.) CLM Reference'!$B$4</f>
        <v>3.841587451430397E-3</v>
      </c>
      <c r="N160" s="88">
        <v>14640</v>
      </c>
      <c r="O160" s="204">
        <f>[2]!Table3[[#This Row],[Incentive Disbursements]]/'[2]1.) CLM Reference'!$B$5</f>
        <v>8.0445340953879708E-4</v>
      </c>
      <c r="P160" t="str">
        <f>VLOOKUP(Table325[[#This Row],[Census Tract]],'UI EnergyBurden'!$A$2:$B$184,2,FALSE)</f>
        <v>No</v>
      </c>
      <c r="Q160">
        <f>VLOOKUP(Table325[[#This Row],[Census Tract]],'Population and Diversity Data'!B156:K977,10,FALSE)</f>
        <v>3</v>
      </c>
    </row>
    <row r="161" spans="1:17" x14ac:dyDescent="0.2">
      <c r="A161" s="211">
        <v>9009167201</v>
      </c>
      <c r="B161" s="148" t="s">
        <v>3004</v>
      </c>
      <c r="C161" s="149" t="s">
        <v>3886</v>
      </c>
      <c r="D161" s="88">
        <f>[2]!Table32[[#This Row],[Residential CLM $ Collected]]+[2]!Table32[[#This Row],[C&amp;I CLM $ Collected]]</f>
        <v>204530.92626650067</v>
      </c>
      <c r="E161" s="28">
        <f>[2]!Table3[[#This Row],[CLM $ Collected ]]/'[2]1.) CLM Reference'!$B$4</f>
        <v>2.833994868733689E-3</v>
      </c>
      <c r="F161" s="88">
        <f>[2]!Table32[[#This Row],[Residential Incentive Disbursements]]+[2]!Table32[[#This Row],[C&amp;I Incentive Disbursements]]</f>
        <v>175291.37</v>
      </c>
      <c r="G161" s="28">
        <f>[2]!Table3[[#This Row],[Incentive Disbursements]]/'[2]1.) CLM Reference'!$B$5</f>
        <v>3.450426352347951E-4</v>
      </c>
      <c r="H161" s="88">
        <v>0</v>
      </c>
      <c r="I161" s="147">
        <f>[2]!Table32[[#This Row],[Residential CLM $ Collected]]/'[2]1.) CLM Reference'!$B$4</f>
        <v>0</v>
      </c>
      <c r="J161" s="150">
        <v>0</v>
      </c>
      <c r="K161" s="147">
        <f>[2]!Table32[[#This Row],[Residential Incentive Disbursements]]/'[2]1.) CLM Reference'!$B$5</f>
        <v>0</v>
      </c>
      <c r="L161" s="150">
        <v>204530.92626650067</v>
      </c>
      <c r="M161" s="205">
        <f>[2]!Table32[[#This Row],[C&amp;I CLM $ Collected]]/'[2]1.) CLM Reference'!$B$4</f>
        <v>9.0760953989796108E-3</v>
      </c>
      <c r="N161" s="150">
        <v>175291.37</v>
      </c>
      <c r="O161" s="206">
        <f>[2]!Table32[[#This Row],[C&amp;I Incentive Disbursements]]/'[2]1.) CLM Reference'!$B$5</f>
        <v>5.4118014230970374E-3</v>
      </c>
      <c r="P161" t="str">
        <f>VLOOKUP(Table325[[#This Row],[Census Tract]],'UI EnergyBurden'!$A$2:$B$184,2,FALSE)</f>
        <v>No</v>
      </c>
      <c r="Q161">
        <f>VLOOKUP(Table325[[#This Row],[Census Tract]],'Population and Diversity Data'!B157:K978,10,FALSE)</f>
        <v>2</v>
      </c>
    </row>
    <row r="162" spans="1:17" x14ac:dyDescent="0.2">
      <c r="A162" s="211">
        <v>9009167202</v>
      </c>
      <c r="B162" s="148" t="s">
        <v>3004</v>
      </c>
      <c r="C162" s="149" t="s">
        <v>3886</v>
      </c>
      <c r="D162" s="88">
        <f>[2]!Table32[[#This Row],[Residential CLM $ Collected]]+[2]!Table32[[#This Row],[C&amp;I CLM $ Collected]]</f>
        <v>241500.70094201717</v>
      </c>
      <c r="E162" s="28">
        <f>[2]!Table3[[#This Row],[CLM $ Collected ]]/'[2]1.) CLM Reference'!$B$4</f>
        <v>2.7128637494885049E-3</v>
      </c>
      <c r="F162" s="88">
        <f>[2]!Table32[[#This Row],[Residential Incentive Disbursements]]+[2]!Table32[[#This Row],[C&amp;I Incentive Disbursements]]</f>
        <v>108500.5</v>
      </c>
      <c r="G162" s="28">
        <f>[2]!Table3[[#This Row],[Incentive Disbursements]]/'[2]1.) CLM Reference'!$B$5</f>
        <v>4.9552251151370116E-4</v>
      </c>
      <c r="H162" s="88">
        <v>0</v>
      </c>
      <c r="I162" s="147">
        <f>[2]!Table32[[#This Row],[Residential CLM $ Collected]]/'[2]1.) CLM Reference'!$B$4</f>
        <v>0</v>
      </c>
      <c r="J162" s="150">
        <v>0</v>
      </c>
      <c r="K162" s="147">
        <f>[2]!Table32[[#This Row],[Residential Incentive Disbursements]]/'[2]1.) CLM Reference'!$B$5</f>
        <v>0</v>
      </c>
      <c r="L162" s="150">
        <v>241500.70094201717</v>
      </c>
      <c r="M162" s="205">
        <f>[2]!Table32[[#This Row],[C&amp;I CLM $ Collected]]/'[2]1.) CLM Reference'!$B$4</f>
        <v>1.0716635575268467E-2</v>
      </c>
      <c r="N162" s="150">
        <v>108500.5</v>
      </c>
      <c r="O162" s="206">
        <f>[2]!Table32[[#This Row],[C&amp;I Incentive Disbursements]]/'[2]1.) CLM Reference'!$B$5</f>
        <v>3.3497550980789307E-3</v>
      </c>
      <c r="P162" t="str">
        <f>VLOOKUP(Table325[[#This Row],[Census Tract]],'UI EnergyBurden'!$A$2:$B$184,2,FALSE)</f>
        <v>No</v>
      </c>
      <c r="Q162">
        <f>VLOOKUP(Table325[[#This Row],[Census Tract]],'Population and Diversity Data'!B158:K979,10,FALSE)</f>
        <v>4</v>
      </c>
    </row>
    <row r="163" spans="1:17" x14ac:dyDescent="0.2">
      <c r="A163" s="211">
        <v>9009167300</v>
      </c>
      <c r="B163" s="148" t="s">
        <v>3004</v>
      </c>
      <c r="C163" s="149" t="s">
        <v>3886</v>
      </c>
      <c r="D163" s="88">
        <f>[2]!Table32[[#This Row],[Residential CLM $ Collected]]+[2]!Table32[[#This Row],[C&amp;I CLM $ Collected]]</f>
        <v>129957.02762246295</v>
      </c>
      <c r="E163" s="28">
        <f>[2]!Table3[[#This Row],[CLM $ Collected ]]/'[2]1.) CLM Reference'!$B$4</f>
        <v>1.9210252239025729E-6</v>
      </c>
      <c r="F163" s="88">
        <f>[2]!Table32[[#This Row],[Residential Incentive Disbursements]]+[2]!Table32[[#This Row],[C&amp;I Incentive Disbursements]]</f>
        <v>10401</v>
      </c>
      <c r="G163" s="28">
        <f>[2]!Table3[[#This Row],[Incentive Disbursements]]/'[2]1.) CLM Reference'!$B$5</f>
        <v>0</v>
      </c>
      <c r="H163" s="88">
        <v>0</v>
      </c>
      <c r="I163" s="147">
        <f>[2]!Table32[[#This Row],[Residential CLM $ Collected]]/'[2]1.) CLM Reference'!$B$4</f>
        <v>0</v>
      </c>
      <c r="J163" s="150">
        <v>0</v>
      </c>
      <c r="K163" s="147">
        <f>[2]!Table32[[#This Row],[Residential Incentive Disbursements]]/'[2]1.) CLM Reference'!$B$5</f>
        <v>0</v>
      </c>
      <c r="L163" s="150">
        <v>129957.02762246295</v>
      </c>
      <c r="M163" s="205">
        <f>[2]!Table32[[#This Row],[C&amp;I CLM $ Collected]]/'[2]1.) CLM Reference'!$B$4</f>
        <v>5.7668656862797782E-3</v>
      </c>
      <c r="N163" s="150">
        <v>10401</v>
      </c>
      <c r="O163" s="206">
        <f>[2]!Table32[[#This Row],[C&amp;I Incentive Disbursements]]/'[2]1.) CLM Reference'!$B$5</f>
        <v>3.2111190985404639E-4</v>
      </c>
      <c r="P163" t="str">
        <f>VLOOKUP(Table325[[#This Row],[Census Tract]],'UI EnergyBurden'!$A$2:$B$184,2,FALSE)</f>
        <v>No</v>
      </c>
      <c r="Q163">
        <f>VLOOKUP(Table325[[#This Row],[Census Tract]],'Population and Diversity Data'!B159:K980,10,FALSE)</f>
        <v>2</v>
      </c>
    </row>
    <row r="164" spans="1:17" x14ac:dyDescent="0.2">
      <c r="A164" s="211">
        <v>9009180100</v>
      </c>
      <c r="B164" s="148" t="s">
        <v>3880</v>
      </c>
      <c r="C164" s="149" t="s">
        <v>3886</v>
      </c>
      <c r="D164" s="88">
        <f>[2]!Table32[[#This Row],[Residential CLM $ Collected]]+[2]!Table32[[#This Row],[C&amp;I CLM $ Collected]]</f>
        <v>14120.278060512899</v>
      </c>
      <c r="E164" s="28">
        <f>[2]!Table3[[#This Row],[CLM $ Collected ]]/'[2]1.) CLM Reference'!$B$4</f>
        <v>2.5894147802504384E-3</v>
      </c>
      <c r="F164" s="88">
        <f>[2]!Table32[[#This Row],[Residential Incentive Disbursements]]+[2]!Table32[[#This Row],[C&amp;I Incentive Disbursements]]</f>
        <v>2411</v>
      </c>
      <c r="G164" s="28">
        <f>[2]!Table3[[#This Row],[Incentive Disbursements]]/'[2]1.) CLM Reference'!$B$5</f>
        <v>2.0741069314583033E-3</v>
      </c>
      <c r="H164" s="88">
        <v>0</v>
      </c>
      <c r="I164" s="147">
        <f>[2]!Table32[[#This Row],[Residential CLM $ Collected]]/'[2]1.) CLM Reference'!$B$4</f>
        <v>0</v>
      </c>
      <c r="J164" s="150">
        <v>0</v>
      </c>
      <c r="K164" s="147">
        <f>[2]!Table32[[#This Row],[Residential Incentive Disbursements]]/'[2]1.) CLM Reference'!$B$5</f>
        <v>0</v>
      </c>
      <c r="L164" s="150">
        <v>14120.278060512899</v>
      </c>
      <c r="M164" s="205">
        <f>[2]!Table32[[#This Row],[C&amp;I CLM $ Collected]]/'[2]1.) CLM Reference'!$B$4</f>
        <v>6.2658979293110553E-4</v>
      </c>
      <c r="N164" s="150">
        <v>2411</v>
      </c>
      <c r="O164" s="206">
        <f>[2]!Table32[[#This Row],[C&amp;I Incentive Disbursements]]/'[2]1.) CLM Reference'!$B$5</f>
        <v>7.4435228791280248E-5</v>
      </c>
      <c r="P164" t="str">
        <f>VLOOKUP(Table325[[#This Row],[Census Tract]],'UI EnergyBurden'!$A$2:$B$184,2,FALSE)</f>
        <v>No</v>
      </c>
      <c r="Q164">
        <f>VLOOKUP(Table325[[#This Row],[Census Tract]],'Population and Diversity Data'!B160:K981,10,FALSE)</f>
        <v>5</v>
      </c>
    </row>
    <row r="165" spans="1:17" x14ac:dyDescent="0.2">
      <c r="A165" s="121">
        <v>9009180200</v>
      </c>
      <c r="B165" s="121" t="s">
        <v>3880</v>
      </c>
      <c r="C165" s="128" t="s">
        <v>3886</v>
      </c>
      <c r="D165" s="88">
        <f>[2]!Table32[[#This Row],[Residential CLM $ Collected]]+[2]!Table32[[#This Row],[C&amp;I CLM $ Collected]]</f>
        <v>16227.604472298168</v>
      </c>
      <c r="E165" s="28">
        <f>[2]!Table3[[#This Row],[CLM $ Collected ]]/'[2]1.) CLM Reference'!$B$4</f>
        <v>2.2782293854091279E-3</v>
      </c>
      <c r="F165" s="88">
        <f>[2]!Table32[[#This Row],[Residential Incentive Disbursements]]+[2]!Table32[[#This Row],[C&amp;I Incentive Disbursements]]</f>
        <v>2835</v>
      </c>
      <c r="G165" s="28">
        <f>[2]!Table3[[#This Row],[Incentive Disbursements]]/'[2]1.) CLM Reference'!$B$5</f>
        <v>2.7396705639469521E-3</v>
      </c>
      <c r="H165" s="88">
        <v>0</v>
      </c>
      <c r="I165" s="28">
        <f>[2]!Table3[[#This Row],[CLM $ Collected ]]/'[2]1.) CLM Reference'!$B$4</f>
        <v>2.2782293854091279E-3</v>
      </c>
      <c r="J165" s="88">
        <v>0</v>
      </c>
      <c r="K165" s="28">
        <f>[2]!Table3[[#This Row],[Incentive Disbursements]]/'[2]1.) CLM Reference'!$B$5</f>
        <v>2.7396705639469521E-3</v>
      </c>
      <c r="L165" s="88">
        <v>16227.604472298168</v>
      </c>
      <c r="M165" s="203">
        <f>[2]!Table32[[#This Row],[CLM $ Collected ]]/'[2]1.) CLM Reference'!$B$4</f>
        <v>7.2010276869121726E-4</v>
      </c>
      <c r="N165" s="88">
        <v>2835</v>
      </c>
      <c r="O165" s="204">
        <f>[2]!Table3[[#This Row],[Incentive Disbursements]]/'[2]1.) CLM Reference'!$B$5</f>
        <v>2.7396705639469521E-3</v>
      </c>
      <c r="P165" t="str">
        <f>VLOOKUP(Table325[[#This Row],[Census Tract]],'UI EnergyBurden'!$A$2:$B$184,2,FALSE)</f>
        <v>No</v>
      </c>
      <c r="Q165">
        <f>VLOOKUP(Table325[[#This Row],[Census Tract]],'Population and Diversity Data'!B161:K982,10,FALSE)</f>
        <v>5</v>
      </c>
    </row>
    <row r="166" spans="1:17" x14ac:dyDescent="0.2">
      <c r="A166" s="121">
        <v>9009180200</v>
      </c>
      <c r="B166" s="121" t="s">
        <v>943</v>
      </c>
      <c r="C166" s="128" t="s">
        <v>3886</v>
      </c>
      <c r="D166" s="88">
        <f>[2]!Table32[[#This Row],[Residential CLM $ Collected]]+[2]!Table32[[#This Row],[C&amp;I CLM $ Collected]]</f>
        <v>1149.8284978294682</v>
      </c>
      <c r="E166" s="28">
        <f>[2]!Table3[[#This Row],[CLM $ Collected ]]/'[2]1.) CLM Reference'!$B$4</f>
        <v>1.7336075692546884E-3</v>
      </c>
      <c r="F166" s="88">
        <f>[2]!Table32[[#This Row],[Residential Incentive Disbursements]]+[2]!Table32[[#This Row],[C&amp;I Incentive Disbursements]]</f>
        <v>0</v>
      </c>
      <c r="G166" s="28">
        <f>[2]!Table3[[#This Row],[Incentive Disbursements]]/'[2]1.) CLM Reference'!$B$5</f>
        <v>4.8451718112299232E-3</v>
      </c>
      <c r="H166" s="88">
        <v>0</v>
      </c>
      <c r="I166" s="28">
        <f>[2]!Table3[[#This Row],[CLM $ Collected ]]/'[2]1.) CLM Reference'!$B$4</f>
        <v>1.7336075692546884E-3</v>
      </c>
      <c r="J166" s="88">
        <v>0</v>
      </c>
      <c r="K166" s="28">
        <f>[2]!Table3[[#This Row],[Incentive Disbursements]]/'[2]1.) CLM Reference'!$B$5</f>
        <v>4.8451718112299232E-3</v>
      </c>
      <c r="L166" s="88">
        <v>1149.8284978294682</v>
      </c>
      <c r="M166" s="203">
        <f>[2]!Table32[[#This Row],[CLM $ Collected ]]/'[2]1.) CLM Reference'!$B$4</f>
        <v>5.1023839422541834E-5</v>
      </c>
      <c r="N166" s="88">
        <v>0</v>
      </c>
      <c r="O166" s="204">
        <f>[2]!Table3[[#This Row],[Incentive Disbursements]]/'[2]1.) CLM Reference'!$B$5</f>
        <v>4.8451718112299232E-3</v>
      </c>
      <c r="P166" t="str">
        <f>VLOOKUP(Table325[[#This Row],[Census Tract]],'UI EnergyBurden'!$A$2:$B$184,2,FALSE)</f>
        <v>No</v>
      </c>
      <c r="Q166">
        <f>VLOOKUP(Table325[[#This Row],[Census Tract]],'Population and Diversity Data'!B162:K983,10,FALSE)</f>
        <v>5</v>
      </c>
    </row>
    <row r="167" spans="1:17" x14ac:dyDescent="0.2">
      <c r="A167" s="121">
        <v>9009180300</v>
      </c>
      <c r="B167" s="121" t="s">
        <v>3880</v>
      </c>
      <c r="C167" s="128" t="s">
        <v>3886</v>
      </c>
      <c r="D167" s="88">
        <f>[2]!Table32[[#This Row],[Residential CLM $ Collected]]+[2]!Table32[[#This Row],[C&amp;I CLM $ Collected]]</f>
        <v>27259.420842945339</v>
      </c>
      <c r="E167" s="28">
        <f>[2]!Table3[[#This Row],[CLM $ Collected ]]/'[2]1.) CLM Reference'!$B$4</f>
        <v>9.8704271395569994E-7</v>
      </c>
      <c r="F167" s="88">
        <f>[2]!Table32[[#This Row],[Residential Incentive Disbursements]]+[2]!Table32[[#This Row],[C&amp;I Incentive Disbursements]]</f>
        <v>1600</v>
      </c>
      <c r="G167" s="28">
        <f>[2]!Table3[[#This Row],[Incentive Disbursements]]/'[2]1.) CLM Reference'!$B$5</f>
        <v>0</v>
      </c>
      <c r="H167" s="88">
        <v>0</v>
      </c>
      <c r="I167" s="28">
        <f>[2]!Table3[[#This Row],[CLM $ Collected ]]/'[2]1.) CLM Reference'!$B$4</f>
        <v>9.8704271395569994E-7</v>
      </c>
      <c r="J167" s="88">
        <v>0</v>
      </c>
      <c r="K167" s="28">
        <f>[2]!Table3[[#This Row],[Incentive Disbursements]]/'[2]1.) CLM Reference'!$B$5</f>
        <v>0</v>
      </c>
      <c r="L167" s="88">
        <v>27259.420842945339</v>
      </c>
      <c r="M167" s="203">
        <f>[2]!Table32[[#This Row],[CLM $ Collected ]]/'[2]1.) CLM Reference'!$B$4</f>
        <v>1.209641537383617E-3</v>
      </c>
      <c r="N167" s="88">
        <v>1600</v>
      </c>
      <c r="O167" s="204">
        <f>[2]!Table3[[#This Row],[Incentive Disbursements]]/'[2]1.) CLM Reference'!$B$5</f>
        <v>0</v>
      </c>
      <c r="P167" t="str">
        <f>VLOOKUP(Table325[[#This Row],[Census Tract]],'UI EnergyBurden'!$A$2:$B$184,2,FALSE)</f>
        <v>No</v>
      </c>
      <c r="Q167">
        <f>VLOOKUP(Table325[[#This Row],[Census Tract]],'Population and Diversity Data'!B163:K984,10,FALSE)</f>
        <v>3</v>
      </c>
    </row>
    <row r="168" spans="1:17" x14ac:dyDescent="0.2">
      <c r="A168" s="121">
        <v>9009180300</v>
      </c>
      <c r="B168" s="121" t="s">
        <v>3004</v>
      </c>
      <c r="C168" s="128" t="s">
        <v>3886</v>
      </c>
      <c r="D168" s="88">
        <f>[2]!Table32[[#This Row],[Residential CLM $ Collected]]+[2]!Table32[[#This Row],[C&amp;I CLM $ Collected]]</f>
        <v>7576.8832033956623</v>
      </c>
      <c r="E168" s="28">
        <f>[2]!Table3[[#This Row],[CLM $ Collected ]]/'[2]1.) CLM Reference'!$B$4</f>
        <v>3.7494849756880473E-3</v>
      </c>
      <c r="F168" s="88">
        <f>[2]!Table32[[#This Row],[Residential Incentive Disbursements]]+[2]!Table32[[#This Row],[C&amp;I Incentive Disbursements]]</f>
        <v>0</v>
      </c>
      <c r="G168" s="28">
        <f>[2]!Table3[[#This Row],[Incentive Disbursements]]/'[2]1.) CLM Reference'!$B$5</f>
        <v>5.4047756142973549E-3</v>
      </c>
      <c r="H168" s="88">
        <v>0</v>
      </c>
      <c r="I168" s="28">
        <f>[2]!Table3[[#This Row],[CLM $ Collected ]]/'[2]1.) CLM Reference'!$B$4</f>
        <v>3.7494849756880473E-3</v>
      </c>
      <c r="J168" s="88">
        <v>0</v>
      </c>
      <c r="K168" s="28">
        <f>[2]!Table3[[#This Row],[Incentive Disbursements]]/'[2]1.) CLM Reference'!$B$5</f>
        <v>5.4047756142973549E-3</v>
      </c>
      <c r="L168" s="88">
        <v>7576.8832033956623</v>
      </c>
      <c r="M168" s="203">
        <f>[2]!Table32[[#This Row],[CLM $ Collected ]]/'[2]1.) CLM Reference'!$B$4</f>
        <v>3.3622550895477264E-4</v>
      </c>
      <c r="N168" s="88">
        <v>0</v>
      </c>
      <c r="O168" s="204">
        <f>[2]!Table3[[#This Row],[Incentive Disbursements]]/'[2]1.) CLM Reference'!$B$5</f>
        <v>5.4047756142973549E-3</v>
      </c>
      <c r="P168" t="str">
        <f>VLOOKUP(Table325[[#This Row],[Census Tract]],'UI EnergyBurden'!$A$2:$B$184,2,FALSE)</f>
        <v>No</v>
      </c>
      <c r="Q168">
        <f>VLOOKUP(Table325[[#This Row],[Census Tract]],'Population and Diversity Data'!B164:K985,10,FALSE)</f>
        <v>3</v>
      </c>
    </row>
    <row r="169" spans="1:17" x14ac:dyDescent="0.2">
      <c r="A169" s="121">
        <v>9009180400</v>
      </c>
      <c r="B169" s="121" t="s">
        <v>3880</v>
      </c>
      <c r="C169" s="128" t="s">
        <v>3886</v>
      </c>
      <c r="D169" s="88">
        <f>[2]!Table32[[#This Row],[Residential CLM $ Collected]]+[2]!Table32[[#This Row],[C&amp;I CLM $ Collected]]</f>
        <v>7945.0166829464597</v>
      </c>
      <c r="E169" s="28">
        <f>[2]!Table3[[#This Row],[CLM $ Collected ]]/'[2]1.) CLM Reference'!$B$4</f>
        <v>1.7145206461384914E-5</v>
      </c>
      <c r="F169" s="88">
        <f>[2]!Table32[[#This Row],[Residential Incentive Disbursements]]+[2]!Table32[[#This Row],[C&amp;I Incentive Disbursements]]</f>
        <v>59051</v>
      </c>
      <c r="G169" s="28">
        <f>[2]!Table3[[#This Row],[Incentive Disbursements]]/'[2]1.) CLM Reference'!$B$5</f>
        <v>0</v>
      </c>
      <c r="H169" s="88">
        <v>0</v>
      </c>
      <c r="I169" s="28">
        <f>[2]!Table3[[#This Row],[CLM $ Collected ]]/'[2]1.) CLM Reference'!$B$4</f>
        <v>1.7145206461384914E-5</v>
      </c>
      <c r="J169" s="88">
        <v>0</v>
      </c>
      <c r="K169" s="28">
        <f>[2]!Table3[[#This Row],[Incentive Disbursements]]/'[2]1.) CLM Reference'!$B$5</f>
        <v>0</v>
      </c>
      <c r="L169" s="88">
        <v>7945.0166829464597</v>
      </c>
      <c r="M169" s="203">
        <f>[2]!Table32[[#This Row],[CLM $ Collected ]]/'[2]1.) CLM Reference'!$B$4</f>
        <v>3.525614960886098E-4</v>
      </c>
      <c r="N169" s="88">
        <v>59051</v>
      </c>
      <c r="O169" s="204">
        <f>[2]!Table3[[#This Row],[Incentive Disbursements]]/'[2]1.) CLM Reference'!$B$5</f>
        <v>0</v>
      </c>
      <c r="P169" t="str">
        <f>VLOOKUP(Table325[[#This Row],[Census Tract]],'UI EnergyBurden'!$A$2:$B$184,2,FALSE)</f>
        <v>No</v>
      </c>
      <c r="Q169">
        <f>VLOOKUP(Table325[[#This Row],[Census Tract]],'Population and Diversity Data'!B165:K986,10,FALSE)</f>
        <v>4</v>
      </c>
    </row>
    <row r="170" spans="1:17" x14ac:dyDescent="0.2">
      <c r="A170" s="121">
        <v>9009180500</v>
      </c>
      <c r="B170" s="121" t="s">
        <v>3880</v>
      </c>
      <c r="C170" s="128" t="s">
        <v>3886</v>
      </c>
      <c r="D170" s="88">
        <f>[2]!Table32[[#This Row],[Residential CLM $ Collected]]+[2]!Table32[[#This Row],[C&amp;I CLM $ Collected]]</f>
        <v>12039.543683367867</v>
      </c>
      <c r="E170" s="28">
        <f>[2]!Table3[[#This Row],[CLM $ Collected ]]/'[2]1.) CLM Reference'!$B$4</f>
        <v>2.3333173496468336E-5</v>
      </c>
      <c r="F170" s="88">
        <f>[2]!Table32[[#This Row],[Residential Incentive Disbursements]]+[2]!Table32[[#This Row],[C&amp;I Incentive Disbursements]]</f>
        <v>0</v>
      </c>
      <c r="G170" s="28">
        <f>[2]!Table3[[#This Row],[Incentive Disbursements]]/'[2]1.) CLM Reference'!$B$5</f>
        <v>6.1746353207200538E-6</v>
      </c>
      <c r="H170" s="88">
        <v>0</v>
      </c>
      <c r="I170" s="28">
        <f>[2]!Table3[[#This Row],[CLM $ Collected ]]/'[2]1.) CLM Reference'!$B$4</f>
        <v>2.3333173496468336E-5</v>
      </c>
      <c r="J170" s="88">
        <v>0</v>
      </c>
      <c r="K170" s="28">
        <f>[2]!Table3[[#This Row],[Incentive Disbursements]]/'[2]1.) CLM Reference'!$B$5</f>
        <v>6.1746353207200538E-6</v>
      </c>
      <c r="L170" s="88">
        <v>12039.543683367867</v>
      </c>
      <c r="M170" s="203">
        <f>[2]!Table32[[#This Row],[CLM $ Collected ]]/'[2]1.) CLM Reference'!$B$4</f>
        <v>5.3425684332964558E-4</v>
      </c>
      <c r="N170" s="88">
        <v>0</v>
      </c>
      <c r="O170" s="204">
        <f>[2]!Table3[[#This Row],[Incentive Disbursements]]/'[2]1.) CLM Reference'!$B$5</f>
        <v>6.1746353207200538E-6</v>
      </c>
      <c r="P170" t="str">
        <f>VLOOKUP(Table325[[#This Row],[Census Tract]],'UI EnergyBurden'!$A$2:$B$184,2,FALSE)</f>
        <v>No</v>
      </c>
      <c r="Q170">
        <f>VLOOKUP(Table325[[#This Row],[Census Tract]],'Population and Diversity Data'!B166:K987,10,FALSE)</f>
        <v>5</v>
      </c>
    </row>
    <row r="171" spans="1:17" x14ac:dyDescent="0.2">
      <c r="A171" s="121">
        <v>9009180500</v>
      </c>
      <c r="B171" s="121" t="s">
        <v>943</v>
      </c>
      <c r="C171" s="128" t="s">
        <v>3886</v>
      </c>
      <c r="D171" s="88">
        <f>[2]!Table32[[#This Row],[Residential CLM $ Collected]]+[2]!Table32[[#This Row],[C&amp;I CLM $ Collected]]</f>
        <v>45690.655519146028</v>
      </c>
      <c r="E171" s="28">
        <f>[2]!Table3[[#This Row],[CLM $ Collected ]]/'[2]1.) CLM Reference'!$B$4</f>
        <v>7.1199008885048546E-6</v>
      </c>
      <c r="F171" s="88">
        <f>[2]!Table32[[#This Row],[Residential Incentive Disbursements]]+[2]!Table32[[#This Row],[C&amp;I Incentive Disbursements]]</f>
        <v>4500</v>
      </c>
      <c r="G171" s="28">
        <f>[2]!Table3[[#This Row],[Incentive Disbursements]]/'[2]1.) CLM Reference'!$B$5</f>
        <v>0</v>
      </c>
      <c r="H171" s="88">
        <v>0</v>
      </c>
      <c r="I171" s="28">
        <f>[2]!Table3[[#This Row],[CLM $ Collected ]]/'[2]1.) CLM Reference'!$B$4</f>
        <v>7.1199008885048546E-6</v>
      </c>
      <c r="J171" s="88">
        <v>0</v>
      </c>
      <c r="K171" s="28">
        <f>[2]!Table3[[#This Row],[Incentive Disbursements]]/'[2]1.) CLM Reference'!$B$5</f>
        <v>0</v>
      </c>
      <c r="L171" s="88">
        <v>45690.655519146028</v>
      </c>
      <c r="M171" s="203">
        <f>[2]!Table32[[#This Row],[CLM $ Collected ]]/'[2]1.) CLM Reference'!$B$4</f>
        <v>2.0275307793470084E-3</v>
      </c>
      <c r="N171" s="88">
        <v>4500</v>
      </c>
      <c r="O171" s="204">
        <f>[2]!Table3[[#This Row],[Incentive Disbursements]]/'[2]1.) CLM Reference'!$B$5</f>
        <v>0</v>
      </c>
      <c r="P171" t="str">
        <f>VLOOKUP(Table325[[#This Row],[Census Tract]],'UI EnergyBurden'!$A$2:$B$184,2,FALSE)</f>
        <v>No</v>
      </c>
      <c r="Q171">
        <f>VLOOKUP(Table325[[#This Row],[Census Tract]],'Population and Diversity Data'!B167:K988,10,FALSE)</f>
        <v>5</v>
      </c>
    </row>
    <row r="172" spans="1:17" x14ac:dyDescent="0.2">
      <c r="A172" s="121">
        <v>9009180601</v>
      </c>
      <c r="B172" s="121" t="s">
        <v>3880</v>
      </c>
      <c r="C172" s="128" t="s">
        <v>3886</v>
      </c>
      <c r="D172" s="88">
        <f>[2]!Table32[[#This Row],[Residential CLM $ Collected]]+[2]!Table32[[#This Row],[C&amp;I CLM $ Collected]]</f>
        <v>4123.9813721236151</v>
      </c>
      <c r="E172" s="28">
        <f>[2]!Table3[[#This Row],[CLM $ Collected ]]/'[2]1.) CLM Reference'!$B$4</f>
        <v>4.069934805068693E-3</v>
      </c>
      <c r="F172" s="88">
        <f>[2]!Table32[[#This Row],[Residential Incentive Disbursements]]+[2]!Table32[[#This Row],[C&amp;I Incentive Disbursements]]</f>
        <v>0</v>
      </c>
      <c r="G172" s="28">
        <f>[2]!Table3[[#This Row],[Incentive Disbursements]]/'[2]1.) CLM Reference'!$B$5</f>
        <v>3.0327295618801371E-3</v>
      </c>
      <c r="H172" s="88">
        <v>0</v>
      </c>
      <c r="I172" s="28">
        <f>[2]!Table3[[#This Row],[CLM $ Collected ]]/'[2]1.) CLM Reference'!$B$4</f>
        <v>4.069934805068693E-3</v>
      </c>
      <c r="J172" s="88">
        <v>0</v>
      </c>
      <c r="K172" s="28">
        <f>[2]!Table3[[#This Row],[Incentive Disbursements]]/'[2]1.) CLM Reference'!$B$5</f>
        <v>3.0327295618801371E-3</v>
      </c>
      <c r="L172" s="88">
        <v>4123.9813721236151</v>
      </c>
      <c r="M172" s="203">
        <f>[2]!Table32[[#This Row],[CLM $ Collected ]]/'[2]1.) CLM Reference'!$B$4</f>
        <v>1.8300239010426474E-4</v>
      </c>
      <c r="N172" s="88">
        <v>0</v>
      </c>
      <c r="O172" s="204">
        <f>[2]!Table3[[#This Row],[Incentive Disbursements]]/'[2]1.) CLM Reference'!$B$5</f>
        <v>3.0327295618801371E-3</v>
      </c>
      <c r="P172" t="str">
        <f>VLOOKUP(Table325[[#This Row],[Census Tract]],'UI EnergyBurden'!$A$2:$B$184,2,FALSE)</f>
        <v>No</v>
      </c>
      <c r="Q172">
        <f>VLOOKUP(Table325[[#This Row],[Census Tract]],'Population and Diversity Data'!B168:K989,10,FALSE)</f>
        <v>1</v>
      </c>
    </row>
    <row r="173" spans="1:17" x14ac:dyDescent="0.2">
      <c r="A173" s="121">
        <v>9009180602</v>
      </c>
      <c r="B173" s="121" t="s">
        <v>3880</v>
      </c>
      <c r="C173" s="128" t="s">
        <v>3886</v>
      </c>
      <c r="D173" s="88">
        <f>[2]!Table32[[#This Row],[Residential CLM $ Collected]]+[2]!Table32[[#This Row],[C&amp;I CLM $ Collected]]</f>
        <v>6544.1335247461311</v>
      </c>
      <c r="E173" s="28">
        <f>[2]!Table3[[#This Row],[CLM $ Collected ]]/'[2]1.) CLM Reference'!$B$4</f>
        <v>4.7420252594297607E-6</v>
      </c>
      <c r="F173" s="88">
        <f>[2]!Table32[[#This Row],[Residential Incentive Disbursements]]+[2]!Table32[[#This Row],[C&amp;I Incentive Disbursements]]</f>
        <v>1850</v>
      </c>
      <c r="G173" s="28">
        <f>[2]!Table3[[#This Row],[Incentive Disbursements]]/'[2]1.) CLM Reference'!$B$5</f>
        <v>0</v>
      </c>
      <c r="H173" s="88">
        <v>0</v>
      </c>
      <c r="I173" s="28">
        <f>[2]!Table3[[#This Row],[CLM $ Collected ]]/'[2]1.) CLM Reference'!$B$4</f>
        <v>4.7420252594297607E-6</v>
      </c>
      <c r="J173" s="88">
        <v>0</v>
      </c>
      <c r="K173" s="28">
        <f>[2]!Table3[[#This Row],[Incentive Disbursements]]/'[2]1.) CLM Reference'!$B$5</f>
        <v>0</v>
      </c>
      <c r="L173" s="88">
        <v>6544.1335247461311</v>
      </c>
      <c r="M173" s="203">
        <f>[2]!Table32[[#This Row],[CLM $ Collected ]]/'[2]1.) CLM Reference'!$B$4</f>
        <v>2.9039706248073978E-4</v>
      </c>
      <c r="N173" s="88">
        <v>1850</v>
      </c>
      <c r="O173" s="204">
        <f>[2]!Table3[[#This Row],[Incentive Disbursements]]/'[2]1.) CLM Reference'!$B$5</f>
        <v>0</v>
      </c>
      <c r="P173" t="str">
        <f>VLOOKUP(Table325[[#This Row],[Census Tract]],'UI EnergyBurden'!$A$2:$B$184,2,FALSE)</f>
        <v>No</v>
      </c>
      <c r="Q173">
        <f>VLOOKUP(Table325[[#This Row],[Census Tract]],'Population and Diversity Data'!B169:K990,10,FALSE)</f>
        <v>1</v>
      </c>
    </row>
    <row r="174" spans="1:17" x14ac:dyDescent="0.2">
      <c r="A174" s="121">
        <v>9009186100</v>
      </c>
      <c r="B174" s="121" t="s">
        <v>3005</v>
      </c>
      <c r="C174" s="128" t="s">
        <v>3886</v>
      </c>
      <c r="D174" s="88">
        <f>[2]!Table32[[#This Row],[Residential CLM $ Collected]]+[2]!Table32[[#This Row],[C&amp;I CLM $ Collected]]</f>
        <v>79222.334032677143</v>
      </c>
      <c r="E174" s="28">
        <f>[2]!Table3[[#This Row],[CLM $ Collected ]]/'[2]1.) CLM Reference'!$B$4</f>
        <v>3.056817610319834E-3</v>
      </c>
      <c r="F174" s="88">
        <f>[2]!Table32[[#This Row],[Residential Incentive Disbursements]]+[2]!Table32[[#This Row],[C&amp;I Incentive Disbursements]]</f>
        <v>392366</v>
      </c>
      <c r="G174" s="28">
        <f>[2]!Table3[[#This Row],[Incentive Disbursements]]/'[2]1.) CLM Reference'!$B$5</f>
        <v>7.419506635048084E-4</v>
      </c>
      <c r="H174" s="88">
        <v>0</v>
      </c>
      <c r="I174" s="28">
        <f>[2]!Table3[[#This Row],[CLM $ Collected ]]/'[2]1.) CLM Reference'!$B$4</f>
        <v>3.056817610319834E-3</v>
      </c>
      <c r="J174" s="88">
        <v>0</v>
      </c>
      <c r="K174" s="28">
        <f>[2]!Table3[[#This Row],[Incentive Disbursements]]/'[2]1.) CLM Reference'!$B$5</f>
        <v>7.419506635048084E-4</v>
      </c>
      <c r="L174" s="88">
        <v>79222.334032677143</v>
      </c>
      <c r="M174" s="203">
        <f>[2]!Table32[[#This Row],[CLM $ Collected ]]/'[2]1.) CLM Reference'!$B$4</f>
        <v>3.515504840933065E-3</v>
      </c>
      <c r="N174" s="88">
        <v>392366</v>
      </c>
      <c r="O174" s="204">
        <f>[2]!Table3[[#This Row],[Incentive Disbursements]]/'[2]1.) CLM Reference'!$B$5</f>
        <v>7.419506635048084E-4</v>
      </c>
      <c r="P174" t="str">
        <f>VLOOKUP(Table325[[#This Row],[Census Tract]],'UI EnergyBurden'!$A$2:$B$184,2,FALSE)</f>
        <v>No</v>
      </c>
      <c r="Q174">
        <f>VLOOKUP(Table325[[#This Row],[Census Tract]],'Population and Diversity Data'!B170:K991,10,FALSE)</f>
        <v>2</v>
      </c>
    </row>
    <row r="175" spans="1:17" x14ac:dyDescent="0.2">
      <c r="A175" s="121">
        <v>9009186200</v>
      </c>
      <c r="B175" s="121" t="s">
        <v>3005</v>
      </c>
      <c r="C175" s="128" t="s">
        <v>3886</v>
      </c>
      <c r="D175" s="88">
        <f>[2]!Table32[[#This Row],[Residential CLM $ Collected]]+[2]!Table32[[#This Row],[C&amp;I CLM $ Collected]]</f>
        <v>30578.069832665627</v>
      </c>
      <c r="E175" s="28">
        <f>[2]!Table3[[#This Row],[CLM $ Collected ]]/'[2]1.) CLM Reference'!$B$4</f>
        <v>3.2192588640722008E-6</v>
      </c>
      <c r="F175" s="88">
        <f>[2]!Table32[[#This Row],[Residential Incentive Disbursements]]+[2]!Table32[[#This Row],[C&amp;I Incentive Disbursements]]</f>
        <v>150</v>
      </c>
      <c r="G175" s="28">
        <f>[2]!Table3[[#This Row],[Incentive Disbursements]]/'[2]1.) CLM Reference'!$B$5</f>
        <v>0</v>
      </c>
      <c r="H175" s="88">
        <v>0</v>
      </c>
      <c r="I175" s="28">
        <f>[2]!Table3[[#This Row],[CLM $ Collected ]]/'[2]1.) CLM Reference'!$B$4</f>
        <v>3.2192588640722008E-6</v>
      </c>
      <c r="J175" s="88">
        <v>0</v>
      </c>
      <c r="K175" s="28">
        <f>[2]!Table3[[#This Row],[Incentive Disbursements]]/'[2]1.) CLM Reference'!$B$5</f>
        <v>0</v>
      </c>
      <c r="L175" s="88">
        <v>30578.069832665627</v>
      </c>
      <c r="M175" s="203">
        <f>[2]!Table32[[#This Row],[CLM $ Collected ]]/'[2]1.) CLM Reference'!$B$4</f>
        <v>1.3569071630581532E-3</v>
      </c>
      <c r="N175" s="88">
        <v>150</v>
      </c>
      <c r="O175" s="204">
        <f>[2]!Table3[[#This Row],[Incentive Disbursements]]/'[2]1.) CLM Reference'!$B$5</f>
        <v>0</v>
      </c>
      <c r="P175" t="str">
        <f>VLOOKUP(Table325[[#This Row],[Census Tract]],'UI EnergyBurden'!$A$2:$B$184,2,FALSE)</f>
        <v>No</v>
      </c>
      <c r="Q175">
        <f>VLOOKUP(Table325[[#This Row],[Census Tract]],'Population and Diversity Data'!B171:K992,10,FALSE)</f>
        <v>1</v>
      </c>
    </row>
    <row r="176" spans="1:17" x14ac:dyDescent="0.2">
      <c r="A176" s="121">
        <v>9009361401</v>
      </c>
      <c r="B176" s="121" t="s">
        <v>943</v>
      </c>
      <c r="C176" s="128" t="s">
        <v>3887</v>
      </c>
      <c r="D176" s="88">
        <f>[2]!Table32[[#This Row],[Residential CLM $ Collected]]+[2]!Table32[[#This Row],[C&amp;I CLM $ Collected]]</f>
        <v>43315.469758432526</v>
      </c>
      <c r="E176" s="28">
        <f>[2]!Table3[[#This Row],[CLM $ Collected ]]/'[2]1.) CLM Reference'!$B$4</f>
        <v>3.8452330357174099E-3</v>
      </c>
      <c r="F176" s="88">
        <f>[2]!Table32[[#This Row],[Residential Incentive Disbursements]]+[2]!Table32[[#This Row],[C&amp;I Incentive Disbursements]]</f>
        <v>88875</v>
      </c>
      <c r="G176" s="28">
        <f>[2]!Table3[[#This Row],[Incentive Disbursements]]/'[2]1.) CLM Reference'!$B$5</f>
        <v>1.2549144821698879E-2</v>
      </c>
      <c r="H176" s="88">
        <v>3078.0280096075771</v>
      </c>
      <c r="I176" s="28">
        <f>[2]!Table3[[#This Row],[CLM $ Collected ]]/'[2]1.) CLM Reference'!$B$4</f>
        <v>3.8452330357174099E-3</v>
      </c>
      <c r="J176" s="88">
        <v>0</v>
      </c>
      <c r="K176" s="28">
        <f>[2]!Table3[[#This Row],[Incentive Disbursements]]/'[2]1.) CLM Reference'!$B$5</f>
        <v>1.2549144821698879E-2</v>
      </c>
      <c r="L176" s="88">
        <v>40237.441748824946</v>
      </c>
      <c r="M176" s="203">
        <f>[2]!Table32[[#This Row],[CLM $ Collected ]]/'[2]1.) CLM Reference'!$B$4</f>
        <v>1.9221314984263092E-3</v>
      </c>
      <c r="N176" s="88">
        <v>88875</v>
      </c>
      <c r="O176" s="204">
        <f>[2]!Table3[[#This Row],[Incentive Disbursements]]/'[2]1.) CLM Reference'!$B$5</f>
        <v>1.2549144821698879E-2</v>
      </c>
      <c r="P176" t="str">
        <f>VLOOKUP(Table325[[#This Row],[Census Tract]],'UI EnergyBurden'!$A$2:$B$184,2,FALSE)</f>
        <v>No</v>
      </c>
      <c r="Q176">
        <f>VLOOKUP(Table325[[#This Row],[Census Tract]],'Population and Diversity Data'!B172:K993,10,FALSE)</f>
        <v>5</v>
      </c>
    </row>
    <row r="177" spans="1:17" x14ac:dyDescent="0.2">
      <c r="A177" s="121">
        <v>9009361402</v>
      </c>
      <c r="B177" s="121" t="s">
        <v>943</v>
      </c>
      <c r="C177" s="128" t="s">
        <v>3887</v>
      </c>
      <c r="D177" s="88">
        <f>[2]!Table32[[#This Row],[Residential CLM $ Collected]]+[2]!Table32[[#This Row],[C&amp;I CLM $ Collected]]</f>
        <v>74476.625350657545</v>
      </c>
      <c r="E177" s="28">
        <f>[2]!Table3[[#This Row],[CLM $ Collected ]]/'[2]1.) CLM Reference'!$B$4</f>
        <v>3.2489320149179427E-3</v>
      </c>
      <c r="F177" s="88">
        <f>[2]!Table32[[#This Row],[Residential Incentive Disbursements]]+[2]!Table32[[#This Row],[C&amp;I Incentive Disbursements]]</f>
        <v>359424</v>
      </c>
      <c r="G177" s="28">
        <f>[2]!Table3[[#This Row],[Incentive Disbursements]]/'[2]1.) CLM Reference'!$B$5</f>
        <v>7.6145182899917891E-3</v>
      </c>
      <c r="H177" s="88">
        <v>0</v>
      </c>
      <c r="I177" s="28">
        <f>[2]!Table3[[#This Row],[CLM $ Collected ]]/'[2]1.) CLM Reference'!$B$4</f>
        <v>3.2489320149179427E-3</v>
      </c>
      <c r="J177" s="88">
        <v>0</v>
      </c>
      <c r="K177" s="28">
        <f>[2]!Table3[[#This Row],[Incentive Disbursements]]/'[2]1.) CLM Reference'!$B$5</f>
        <v>7.6145182899917891E-3</v>
      </c>
      <c r="L177" s="88">
        <v>74476.625350657545</v>
      </c>
      <c r="M177" s="203">
        <f>[2]!Table32[[#This Row],[CLM $ Collected ]]/'[2]1.) CLM Reference'!$B$4</f>
        <v>3.304913193400736E-3</v>
      </c>
      <c r="N177" s="88">
        <v>359424</v>
      </c>
      <c r="O177" s="204">
        <f>[2]!Table3[[#This Row],[Incentive Disbursements]]/'[2]1.) CLM Reference'!$B$5</f>
        <v>7.6145182899917891E-3</v>
      </c>
      <c r="P177" t="str">
        <f>VLOOKUP(Table325[[#This Row],[Census Tract]],'UI EnergyBurden'!$A$2:$B$184,2,FALSE)</f>
        <v>No</v>
      </c>
      <c r="Q177">
        <f>VLOOKUP(Table325[[#This Row],[Census Tract]],'Population and Diversity Data'!B173:K994,10,FALSE)</f>
        <v>5</v>
      </c>
    </row>
    <row r="178" spans="1:17" x14ac:dyDescent="0.2">
      <c r="A178" s="121">
        <v>9009361500</v>
      </c>
      <c r="B178" s="121" t="s">
        <v>950</v>
      </c>
      <c r="C178" s="128" t="s">
        <v>3886</v>
      </c>
      <c r="D178" s="88">
        <f>[2]!Table32[[#This Row],[Residential CLM $ Collected]]+[2]!Table32[[#This Row],[C&amp;I CLM $ Collected]]</f>
        <v>174156.86719959063</v>
      </c>
      <c r="E178" s="28">
        <f>[2]!Table3[[#This Row],[CLM $ Collected ]]/'[2]1.) CLM Reference'!$B$4</f>
        <v>9.0989030920773028E-6</v>
      </c>
      <c r="F178" s="88">
        <f>[2]!Table32[[#This Row],[Residential Incentive Disbursements]]+[2]!Table32[[#This Row],[C&amp;I Incentive Disbursements]]</f>
        <v>20311</v>
      </c>
      <c r="G178" s="28">
        <f>[2]!Table3[[#This Row],[Incentive Disbursements]]/'[2]1.) CLM Reference'!$B$5</f>
        <v>0</v>
      </c>
      <c r="H178" s="88">
        <v>0</v>
      </c>
      <c r="I178" s="28">
        <f>[2]!Table3[[#This Row],[CLM $ Collected ]]/'[2]1.) CLM Reference'!$B$4</f>
        <v>9.0989030920773028E-6</v>
      </c>
      <c r="J178" s="88">
        <v>0</v>
      </c>
      <c r="K178" s="28">
        <f>[2]!Table3[[#This Row],[Incentive Disbursements]]/'[2]1.) CLM Reference'!$B$5</f>
        <v>0</v>
      </c>
      <c r="L178" s="88">
        <v>174156.86719959063</v>
      </c>
      <c r="M178" s="203">
        <f>[2]!Table32[[#This Row],[CLM $ Collected ]]/'[2]1.) CLM Reference'!$B$4</f>
        <v>7.7282412491073652E-3</v>
      </c>
      <c r="N178" s="88">
        <v>20311</v>
      </c>
      <c r="O178" s="204">
        <f>[2]!Table3[[#This Row],[Incentive Disbursements]]/'[2]1.) CLM Reference'!$B$5</f>
        <v>0</v>
      </c>
      <c r="P178" t="str">
        <f>VLOOKUP(Table325[[#This Row],[Census Tract]],'UI EnergyBurden'!$A$2:$B$184,2,FALSE)</f>
        <v>No</v>
      </c>
      <c r="Q178">
        <f>VLOOKUP(Table325[[#This Row],[Census Tract]],'Population and Diversity Data'!B174:K995,10,FALSE)</f>
        <v>5</v>
      </c>
    </row>
    <row r="179" spans="1:17" x14ac:dyDescent="0.2">
      <c r="A179" s="202"/>
      <c r="B179" s="121"/>
      <c r="C179" s="128"/>
      <c r="D179" s="88"/>
      <c r="E179" s="204"/>
      <c r="F179" s="88"/>
      <c r="G179" s="207"/>
      <c r="H179" s="88"/>
      <c r="I179" s="28"/>
      <c r="J179" s="88"/>
      <c r="K179" s="28"/>
      <c r="L179" s="88"/>
      <c r="M179" s="203"/>
      <c r="N179" s="88"/>
      <c r="O179" s="204"/>
      <c r="P179" t="e">
        <f>VLOOKUP(Table325[[#This Row],[Census Tract]],'UI EnergyBurden'!$A$2:$B$184,2,FALSE)</f>
        <v>#N/A</v>
      </c>
      <c r="Q179" t="e">
        <f>VLOOKUP(Table325[[#This Row],[Census Tract]],'Population and Diversity Data'!B175:K996,10,FALSE)</f>
        <v>#N/A</v>
      </c>
    </row>
    <row r="180" spans="1:17" x14ac:dyDescent="0.2">
      <c r="A180" s="67"/>
      <c r="C180" s="129" t="s">
        <v>2884</v>
      </c>
      <c r="D180" s="88">
        <f>SUBTOTAL(109,D2:D179)</f>
        <v>8655846.1910785083</v>
      </c>
      <c r="E180" s="208">
        <f>SUBTOTAL(109,E6:E179)</f>
        <v>0.34987563383699205</v>
      </c>
      <c r="F180" s="88">
        <f>SUBTOTAL(109, F6:F179)</f>
        <v>9769151.3100000005</v>
      </c>
      <c r="G180" s="208">
        <f>[2]!Table32[[#This Row],[Incentive Disbursements]]/'[2]1.) CLM Reference'!$B$5</f>
        <v>0.30160473366092294</v>
      </c>
      <c r="H180" s="122">
        <f>SUM(H6:H179)</f>
        <v>116758.88376317247</v>
      </c>
      <c r="I180" s="209">
        <f>[2]!Table32[[#This Row],[Residential CLM $ Collected]]/'[2]1.) CLM Reference'!$B$4</f>
        <v>5.1811957587877579E-3</v>
      </c>
      <c r="J180" s="122">
        <f>SUBTOTAL(109,J6:J179)</f>
        <v>575682.91</v>
      </c>
      <c r="K180" s="210">
        <f>[2]!Table32[[#This Row],[Residential Incentive Disbursements]]/'[2]1.) CLM Reference'!$B$5</f>
        <v>1.7773160148104518E-2</v>
      </c>
      <c r="L180" s="122">
        <f>SUBTOTAL(109,L6:L179)</f>
        <v>8539087.3073153365</v>
      </c>
      <c r="M180" s="123">
        <f>[2]!Table32[[#This Row],[C&amp;I CLM $ Collected]]/'[2]1.) CLM Reference'!$B$4</f>
        <v>0.37892348328988917</v>
      </c>
      <c r="N180" s="130">
        <f>SUBTOTAL(109,N6:N179)</f>
        <v>9193468.4000000004</v>
      </c>
      <c r="O180" s="210">
        <f>[2]!Table32[[#This Row],[C&amp;I Incentive Disbursements]]/'[2]1.) CLM Reference'!$B$5</f>
        <v>0.2838315735128184</v>
      </c>
      <c r="P180" t="e">
        <f>VLOOKUP(Table325[[#This Row],[Census Tract]],'UI EnergyBurden'!$A$2:$B$184,2,FALSE)</f>
        <v>#N/A</v>
      </c>
      <c r="Q180" t="e">
        <f>VLOOKUP(Table325[[#This Row],[Census Tract]],'Population and Diversity Data'!B176:K997,10,FALSE)</f>
        <v>#N/A</v>
      </c>
    </row>
    <row r="181" spans="1:17" x14ac:dyDescent="0.2">
      <c r="P181" t="e">
        <f>VLOOKUP(Table325[[#This Row],[Census Tract]],'UI EnergyBurden'!$A$2:$B$184,2,FALSE)</f>
        <v>#N/A</v>
      </c>
      <c r="Q181" t="e">
        <f>VLOOKUP(Table325[[#This Row],[Census Tract]],'Population and Diversity Data'!B177:K998,10,FALSE)</f>
        <v>#N/A</v>
      </c>
    </row>
    <row r="182" spans="1:17" x14ac:dyDescent="0.2">
      <c r="P182" t="e">
        <f>VLOOKUP(Table325[[#This Row],[Census Tract]],'UI EnergyBurden'!$A$2:$B$184,2,FALSE)</f>
        <v>#N/A</v>
      </c>
      <c r="Q182" t="e">
        <f>VLOOKUP(Table325[[#This Row],[Census Tract]],'Population and Diversity Data'!B178:K999,10,FALSE)</f>
        <v>#N/A</v>
      </c>
    </row>
    <row r="183" spans="1:17" x14ac:dyDescent="0.2">
      <c r="P183" t="e">
        <f>VLOOKUP(Table325[[#This Row],[Census Tract]],'UI EnergyBurden'!$A$2:$B$184,2,FALSE)</f>
        <v>#N/A</v>
      </c>
      <c r="Q183" t="e">
        <f>VLOOKUP(Table325[[#This Row],[Census Tract]],'Population and Diversity Data'!B179:K1000,10,FALSE)</f>
        <v>#N/A</v>
      </c>
    </row>
    <row r="184" spans="1:17" x14ac:dyDescent="0.2">
      <c r="P184" t="e">
        <f>VLOOKUP(Table325[[#This Row],[Census Tract]],'UI EnergyBurden'!$A$2:$B$184,2,FALSE)</f>
        <v>#N/A</v>
      </c>
      <c r="Q184" t="e">
        <f>VLOOKUP(Table325[[#This Row],[Census Tract]],'Population and Diversity Data'!B180:K1001,10,FALSE)</f>
        <v>#N/A</v>
      </c>
    </row>
    <row r="185" spans="1:17" x14ac:dyDescent="0.2">
      <c r="P185" t="e">
        <f>VLOOKUP(Table325[[#This Row],[Census Tract]],'UI EnergyBurden'!$A$2:$B$184,2,FALSE)</f>
        <v>#N/A</v>
      </c>
      <c r="Q185" t="e">
        <f>VLOOKUP(Table325[[#This Row],[Census Tract]],'Population and Diversity Data'!B181:K1002,10,FALSE)</f>
        <v>#N/A</v>
      </c>
    </row>
    <row r="186" spans="1:17" x14ac:dyDescent="0.2">
      <c r="P186" t="e">
        <f>VLOOKUP(Table325[[#This Row],[Census Tract]],'UI EnergyBurden'!$A$2:$B$184,2,FALSE)</f>
        <v>#N/A</v>
      </c>
      <c r="Q186" t="e">
        <f>VLOOKUP(Table325[[#This Row],[Census Tract]],'Population and Diversity Data'!B182:K1003,10,FALSE)</f>
        <v>#N/A</v>
      </c>
    </row>
    <row r="187" spans="1:17" x14ac:dyDescent="0.2">
      <c r="P187" t="e">
        <f>VLOOKUP(Table325[[#This Row],[Census Tract]],'UI EnergyBurden'!$A$2:$B$184,2,FALSE)</f>
        <v>#N/A</v>
      </c>
      <c r="Q187" t="e">
        <f>VLOOKUP(Table325[[#This Row],[Census Tract]],'Population and Diversity Data'!B183:K1004,10,FALSE)</f>
        <v>#N/A</v>
      </c>
    </row>
    <row r="188" spans="1:17" x14ac:dyDescent="0.2">
      <c r="P188" t="e">
        <f>VLOOKUP(Table325[[#This Row],[Census Tract]],'UI EnergyBurden'!$A$2:$B$184,2,FALSE)</f>
        <v>#N/A</v>
      </c>
      <c r="Q188" t="e">
        <f>VLOOKUP(Table325[[#This Row],[Census Tract]],'Population and Diversity Data'!B184:K1005,10,FALSE)</f>
        <v>#N/A</v>
      </c>
    </row>
    <row r="189" spans="1:17" x14ac:dyDescent="0.2">
      <c r="P189" t="e">
        <f>VLOOKUP(Table325[[#This Row],[Census Tract]],'UI EnergyBurden'!$A$2:$B$184,2,FALSE)</f>
        <v>#N/A</v>
      </c>
      <c r="Q189" t="e">
        <f>VLOOKUP(Table325[[#This Row],[Census Tract]],'Population and Diversity Data'!B185:K1006,10,FALSE)</f>
        <v>#N/A</v>
      </c>
    </row>
    <row r="190" spans="1:17" x14ac:dyDescent="0.2">
      <c r="P190" t="e">
        <f>VLOOKUP(Table325[[#This Row],[Census Tract]],'UI EnergyBurden'!$A$2:$B$184,2,FALSE)</f>
        <v>#N/A</v>
      </c>
      <c r="Q190" t="e">
        <f>VLOOKUP(Table325[[#This Row],[Census Tract]],'Population and Diversity Data'!B186:K1007,10,FALSE)</f>
        <v>#N/A</v>
      </c>
    </row>
    <row r="191" spans="1:17" x14ac:dyDescent="0.2">
      <c r="P191" t="e">
        <f>VLOOKUP(Table325[[#This Row],[Census Tract]],'UI EnergyBurden'!$A$2:$B$184,2,FALSE)</f>
        <v>#N/A</v>
      </c>
      <c r="Q191" t="e">
        <f>VLOOKUP(Table325[[#This Row],[Census Tract]],'Population and Diversity Data'!B187:K1008,10,FALSE)</f>
        <v>#N/A</v>
      </c>
    </row>
    <row r="192" spans="1:17" x14ac:dyDescent="0.2">
      <c r="P192" t="e">
        <f>VLOOKUP(Table325[[#This Row],[Census Tract]],'UI EnergyBurden'!$A$2:$B$184,2,FALSE)</f>
        <v>#N/A</v>
      </c>
      <c r="Q192" t="e">
        <f>VLOOKUP(Table325[[#This Row],[Census Tract]],'Population and Diversity Data'!B188:K1009,10,FALSE)</f>
        <v>#N/A</v>
      </c>
    </row>
    <row r="193" spans="16:17" x14ac:dyDescent="0.2">
      <c r="P193" t="e">
        <f>VLOOKUP(Table325[[#This Row],[Census Tract]],'UI EnergyBurden'!$A$2:$B$184,2,FALSE)</f>
        <v>#N/A</v>
      </c>
      <c r="Q193" t="e">
        <f>VLOOKUP(Table325[[#This Row],[Census Tract]],'Population and Diversity Data'!B189:K1010,10,FALSE)</f>
        <v>#N/A</v>
      </c>
    </row>
    <row r="194" spans="16:17" x14ac:dyDescent="0.2">
      <c r="P194" t="e">
        <f>VLOOKUP(Table325[[#This Row],[Census Tract]],'UI EnergyBurden'!$A$2:$B$184,2,FALSE)</f>
        <v>#N/A</v>
      </c>
      <c r="Q194" t="e">
        <f>VLOOKUP(Table325[[#This Row],[Census Tract]],'Population and Diversity Data'!B190:K1011,10,FALSE)</f>
        <v>#N/A</v>
      </c>
    </row>
    <row r="195" spans="16:17" x14ac:dyDescent="0.2">
      <c r="P195" t="e">
        <f>VLOOKUP(Table325[[#This Row],[Census Tract]],'UI EnergyBurden'!$A$2:$B$184,2,FALSE)</f>
        <v>#N/A</v>
      </c>
      <c r="Q195" t="e">
        <f>VLOOKUP(Table325[[#This Row],[Census Tract]],'Population and Diversity Data'!B191:K1012,10,FALSE)</f>
        <v>#N/A</v>
      </c>
    </row>
    <row r="196" spans="16:17" x14ac:dyDescent="0.2">
      <c r="P196" t="e">
        <f>VLOOKUP(Table325[[#This Row],[Census Tract]],'UI EnergyBurden'!$A$2:$B$184,2,FALSE)</f>
        <v>#N/A</v>
      </c>
      <c r="Q196" t="e">
        <f>VLOOKUP(Table325[[#This Row],[Census Tract]],'Population and Diversity Data'!B192:K1013,10,FALSE)</f>
        <v>#N/A</v>
      </c>
    </row>
    <row r="197" spans="16:17" x14ac:dyDescent="0.2">
      <c r="P197" t="e">
        <f>VLOOKUP(Table325[[#This Row],[Census Tract]],'UI EnergyBurden'!$A$2:$B$184,2,FALSE)</f>
        <v>#N/A</v>
      </c>
      <c r="Q197" t="e">
        <f>VLOOKUP(Table325[[#This Row],[Census Tract]],'Population and Diversity Data'!B193:K1014,10,FALSE)</f>
        <v>#N/A</v>
      </c>
    </row>
    <row r="198" spans="16:17" x14ac:dyDescent="0.2">
      <c r="P198" t="e">
        <f>VLOOKUP(Table325[[#This Row],[Census Tract]],'UI EnergyBurden'!$A$2:$B$184,2,FALSE)</f>
        <v>#N/A</v>
      </c>
      <c r="Q198" t="e">
        <f>VLOOKUP(Table325[[#This Row],[Census Tract]],'Population and Diversity Data'!B194:K1015,10,FALSE)</f>
        <v>#N/A</v>
      </c>
    </row>
    <row r="199" spans="16:17" x14ac:dyDescent="0.2">
      <c r="P199" t="e">
        <f>VLOOKUP(Table325[[#This Row],[Census Tract]],'UI EnergyBurden'!$A$2:$B$184,2,FALSE)</f>
        <v>#N/A</v>
      </c>
      <c r="Q199" t="e">
        <f>VLOOKUP(Table325[[#This Row],[Census Tract]],'Population and Diversity Data'!B195:K1016,10,FALSE)</f>
        <v>#N/A</v>
      </c>
    </row>
    <row r="200" spans="16:17" x14ac:dyDescent="0.2">
      <c r="P200" t="e">
        <f>VLOOKUP(Table325[[#This Row],[Census Tract]],'UI EnergyBurden'!$A$2:$B$184,2,FALSE)</f>
        <v>#N/A</v>
      </c>
      <c r="Q200" t="e">
        <f>VLOOKUP(Table325[[#This Row],[Census Tract]],'Population and Diversity Data'!B196:K1017,10,FALSE)</f>
        <v>#N/A</v>
      </c>
    </row>
    <row r="201" spans="16:17" x14ac:dyDescent="0.2">
      <c r="P201" t="e">
        <f>VLOOKUP(Table325[[#This Row],[Census Tract]],'UI EnergyBurden'!$A$2:$B$184,2,FALSE)</f>
        <v>#N/A</v>
      </c>
      <c r="Q201" t="e">
        <f>VLOOKUP(Table325[[#This Row],[Census Tract]],'Population and Diversity Data'!B197:K1018,10,FALSE)</f>
        <v>#N/A</v>
      </c>
    </row>
    <row r="202" spans="16:17" x14ac:dyDescent="0.2">
      <c r="P202" t="e">
        <f>VLOOKUP(Table325[[#This Row],[Census Tract]],'UI EnergyBurden'!$A$2:$B$184,2,FALSE)</f>
        <v>#N/A</v>
      </c>
      <c r="Q202" t="e">
        <f>VLOOKUP(Table325[[#This Row],[Census Tract]],'Population and Diversity Data'!B198:K1019,10,FALSE)</f>
        <v>#N/A</v>
      </c>
    </row>
    <row r="203" spans="16:17" x14ac:dyDescent="0.2">
      <c r="P203" t="e">
        <f>VLOOKUP(Table325[[#This Row],[Census Tract]],'UI EnergyBurden'!$A$2:$B$184,2,FALSE)</f>
        <v>#N/A</v>
      </c>
      <c r="Q203" t="e">
        <f>VLOOKUP(Table325[[#This Row],[Census Tract]],'Population and Diversity Data'!B199:K1020,10,FALSE)</f>
        <v>#N/A</v>
      </c>
    </row>
    <row r="204" spans="16:17" x14ac:dyDescent="0.2">
      <c r="P204" t="e">
        <f>VLOOKUP(Table325[[#This Row],[Census Tract]],'UI EnergyBurden'!$A$2:$B$184,2,FALSE)</f>
        <v>#N/A</v>
      </c>
      <c r="Q204" t="e">
        <f>VLOOKUP(Table325[[#This Row],[Census Tract]],'Population and Diversity Data'!B200:K1021,10,FALSE)</f>
        <v>#N/A</v>
      </c>
    </row>
    <row r="205" spans="16:17" x14ac:dyDescent="0.2">
      <c r="P205" t="e">
        <f>VLOOKUP(Table325[[#This Row],[Census Tract]],'UI EnergyBurden'!$A$2:$B$184,2,FALSE)</f>
        <v>#N/A</v>
      </c>
      <c r="Q205" t="e">
        <f>VLOOKUP(Table325[[#This Row],[Census Tract]],'Population and Diversity Data'!B201:K1022,10,FALSE)</f>
        <v>#N/A</v>
      </c>
    </row>
    <row r="206" spans="16:17" x14ac:dyDescent="0.2">
      <c r="P206" t="e">
        <f>VLOOKUP(Table325[[#This Row],[Census Tract]],'UI EnergyBurden'!$A$2:$B$184,2,FALSE)</f>
        <v>#N/A</v>
      </c>
      <c r="Q206" t="e">
        <f>VLOOKUP(Table325[[#This Row],[Census Tract]],'Population and Diversity Data'!B202:K1023,10,FALSE)</f>
        <v>#N/A</v>
      </c>
    </row>
    <row r="207" spans="16:17" x14ac:dyDescent="0.2">
      <c r="P207" t="e">
        <f>VLOOKUP(Table325[[#This Row],[Census Tract]],'UI EnergyBurden'!$A$2:$B$184,2,FALSE)</f>
        <v>#N/A</v>
      </c>
      <c r="Q207" t="e">
        <f>VLOOKUP(Table325[[#This Row],[Census Tract]],'Population and Diversity Data'!B203:K1024,10,FALSE)</f>
        <v>#N/A</v>
      </c>
    </row>
    <row r="208" spans="16:17" x14ac:dyDescent="0.2">
      <c r="P208" t="e">
        <f>VLOOKUP(Table325[[#This Row],[Census Tract]],'UI EnergyBurden'!$A$2:$B$184,2,FALSE)</f>
        <v>#N/A</v>
      </c>
      <c r="Q208" t="e">
        <f>VLOOKUP(Table325[[#This Row],[Census Tract]],'Population and Diversity Data'!B204:K1025,10,FALSE)</f>
        <v>#N/A</v>
      </c>
    </row>
    <row r="209" spans="16:17" x14ac:dyDescent="0.2">
      <c r="P209" t="e">
        <f>VLOOKUP(Table325[[#This Row],[Census Tract]],'UI EnergyBurden'!$A$2:$B$184,2,FALSE)</f>
        <v>#N/A</v>
      </c>
      <c r="Q209" t="e">
        <f>VLOOKUP(Table325[[#This Row],[Census Tract]],'Population and Diversity Data'!B205:K1026,10,FALSE)</f>
        <v>#N/A</v>
      </c>
    </row>
    <row r="210" spans="16:17" x14ac:dyDescent="0.2">
      <c r="P210" t="e">
        <f>VLOOKUP(Table325[[#This Row],[Census Tract]],'UI EnergyBurden'!$A$2:$B$184,2,FALSE)</f>
        <v>#N/A</v>
      </c>
      <c r="Q210" t="e">
        <f>VLOOKUP(Table325[[#This Row],[Census Tract]],'Population and Diversity Data'!B342:K1163,10,FALSE)</f>
        <v>#N/A</v>
      </c>
    </row>
  </sheetData>
  <mergeCells count="7">
    <mergeCell ref="A1:O2"/>
    <mergeCell ref="A3:C3"/>
    <mergeCell ref="D3:O3"/>
    <mergeCell ref="A4:C4"/>
    <mergeCell ref="D4:G4"/>
    <mergeCell ref="H4:K4"/>
    <mergeCell ref="L4:O4"/>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CB6-76E7-4CEB-B22C-C054F6C1B27F}">
  <sheetPr>
    <tabColor theme="7" tint="0.59999389629810485"/>
  </sheetPr>
  <dimension ref="A1:Q507"/>
  <sheetViews>
    <sheetView topLeftCell="B1" workbookViewId="0">
      <selection activeCell="D416" sqref="D416"/>
    </sheetView>
  </sheetViews>
  <sheetFormatPr baseColWidth="10" defaultColWidth="8.83203125" defaultRowHeight="15" x14ac:dyDescent="0.2"/>
  <cols>
    <col min="1" max="2" width="15.6640625" customWidth="1"/>
    <col min="3" max="3" width="20" customWidth="1"/>
    <col min="4" max="4" width="22.6640625" style="32" customWidth="1"/>
    <col min="5" max="5" width="25" style="32" customWidth="1"/>
    <col min="6" max="6" width="16.6640625" bestFit="1" customWidth="1"/>
    <col min="7" max="7" width="19" bestFit="1" customWidth="1"/>
    <col min="8" max="8" width="14.83203125" bestFit="1" customWidth="1"/>
    <col min="9" max="9" width="14.1640625" bestFit="1" customWidth="1"/>
    <col min="10" max="10" width="16.1640625" bestFit="1" customWidth="1"/>
    <col min="11" max="11" width="17.83203125" bestFit="1" customWidth="1"/>
    <col min="12" max="12" width="19" bestFit="1" customWidth="1"/>
    <col min="13" max="13" width="16" bestFit="1" customWidth="1"/>
    <col min="14" max="14" width="14.1640625" bestFit="1" customWidth="1"/>
    <col min="15" max="15" width="16.1640625" bestFit="1" customWidth="1"/>
  </cols>
  <sheetData>
    <row r="1" spans="1:17" ht="15" customHeight="1" x14ac:dyDescent="0.2">
      <c r="A1" s="261" t="s">
        <v>2710</v>
      </c>
      <c r="B1" s="262"/>
      <c r="C1" s="262"/>
      <c r="D1" s="262"/>
      <c r="E1" s="262"/>
      <c r="F1" s="262"/>
      <c r="G1" s="262"/>
      <c r="H1" s="262"/>
      <c r="I1" s="262"/>
      <c r="J1" s="262"/>
      <c r="K1" s="262"/>
      <c r="L1" s="262"/>
      <c r="M1" s="262"/>
      <c r="N1" s="262"/>
      <c r="O1" s="263"/>
    </row>
    <row r="2" spans="1:17" ht="15.75" customHeight="1" thickBot="1" x14ac:dyDescent="0.25">
      <c r="A2" s="264"/>
      <c r="B2" s="265"/>
      <c r="C2" s="265"/>
      <c r="D2" s="265"/>
      <c r="E2" s="265"/>
      <c r="F2" s="265"/>
      <c r="G2" s="265"/>
      <c r="H2" s="265"/>
      <c r="I2" s="265"/>
      <c r="J2" s="265"/>
      <c r="K2" s="265"/>
      <c r="L2" s="265"/>
      <c r="M2" s="265"/>
      <c r="N2" s="265"/>
      <c r="O2" s="266"/>
    </row>
    <row r="3" spans="1:17" ht="17" thickBot="1" x14ac:dyDescent="0.25">
      <c r="A3" s="274" t="s">
        <v>3884</v>
      </c>
      <c r="B3" s="275"/>
      <c r="C3" s="275"/>
      <c r="D3" s="258"/>
      <c r="E3" s="259"/>
      <c r="F3" s="286"/>
      <c r="G3" s="286"/>
      <c r="H3" s="286"/>
      <c r="I3" s="286"/>
      <c r="J3" s="286"/>
      <c r="K3" s="259"/>
      <c r="L3" s="259"/>
      <c r="M3" s="259"/>
      <c r="N3" s="259"/>
      <c r="O3" s="260"/>
    </row>
    <row r="4" spans="1:17" ht="16" thickBot="1" x14ac:dyDescent="0.25">
      <c r="A4" s="287"/>
      <c r="B4" s="288"/>
      <c r="C4" s="288"/>
      <c r="D4" s="308" t="s">
        <v>2875</v>
      </c>
      <c r="E4" s="309"/>
      <c r="F4" s="293" t="s">
        <v>968</v>
      </c>
      <c r="G4" s="294"/>
      <c r="H4" s="294"/>
      <c r="I4" s="294"/>
      <c r="J4" s="295"/>
      <c r="K4" s="291" t="s">
        <v>969</v>
      </c>
      <c r="L4" s="291"/>
      <c r="M4" s="291"/>
      <c r="N4" s="291"/>
      <c r="O4" s="292"/>
    </row>
    <row r="5" spans="1:17" ht="51" x14ac:dyDescent="0.2">
      <c r="A5" s="37" t="s">
        <v>2711</v>
      </c>
      <c r="B5" s="178" t="s">
        <v>2712</v>
      </c>
      <c r="C5" s="39" t="s">
        <v>2713</v>
      </c>
      <c r="D5" s="40" t="s">
        <v>2714</v>
      </c>
      <c r="E5" s="42" t="s">
        <v>2716</v>
      </c>
      <c r="F5" s="36" t="s">
        <v>970</v>
      </c>
      <c r="G5" s="34" t="s">
        <v>2876</v>
      </c>
      <c r="H5" s="35" t="s">
        <v>2877</v>
      </c>
      <c r="I5" s="35" t="s">
        <v>2878</v>
      </c>
      <c r="J5" s="151" t="s">
        <v>959</v>
      </c>
      <c r="K5" s="35" t="s">
        <v>2879</v>
      </c>
      <c r="L5" s="35" t="s">
        <v>2880</v>
      </c>
      <c r="M5" s="35" t="s">
        <v>3007</v>
      </c>
      <c r="N5" s="35" t="s">
        <v>2882</v>
      </c>
      <c r="O5" s="34" t="s">
        <v>2883</v>
      </c>
      <c r="P5" s="47" t="s">
        <v>2727</v>
      </c>
      <c r="Q5" s="47" t="s">
        <v>2728</v>
      </c>
    </row>
    <row r="6" spans="1:17" x14ac:dyDescent="0.2">
      <c r="A6" s="121">
        <v>9001055100</v>
      </c>
      <c r="B6" s="121" t="s">
        <v>2982</v>
      </c>
      <c r="C6" s="128" t="s">
        <v>944</v>
      </c>
      <c r="D6" s="152">
        <v>340.39189341309168</v>
      </c>
      <c r="E6" s="152">
        <v>0</v>
      </c>
      <c r="F6" s="153">
        <f>[2]!Table323[[#This Row],[Single Family]]+[2]!Table323[[#This Row],[2-4 Units]]+[2]!Table323[[#This Row],[&gt;4 Units]]</f>
        <v>0</v>
      </c>
      <c r="G6" s="153"/>
      <c r="H6" s="153"/>
      <c r="I6" s="153"/>
      <c r="J6" s="154">
        <v>0</v>
      </c>
      <c r="K6" s="153">
        <f>SUM([2]!Table323[[#This Row],[Single Family ]:[&gt;4 Units ]])</f>
        <v>0</v>
      </c>
      <c r="L6" s="155"/>
      <c r="M6" s="155"/>
      <c r="N6" s="155"/>
      <c r="O6" s="156"/>
      <c r="P6" s="98">
        <f>VLOOKUP(Table3236[[#This Row],[Census Tract]],'Population and Diversity Data'!$B$2:$K$823,10,FALSE)</f>
        <v>4</v>
      </c>
      <c r="Q6" s="99" t="str">
        <f>VLOOKUP(Table3236[[#This Row],[Census Tract]],'UI EnergyBurden'!$A$2:$B$184,2,FALSE)</f>
        <v>No</v>
      </c>
    </row>
    <row r="7" spans="1:17" x14ac:dyDescent="0.2">
      <c r="A7" s="121">
        <v>9001055200</v>
      </c>
      <c r="B7" s="121" t="s">
        <v>2982</v>
      </c>
      <c r="C7" s="128" t="s">
        <v>944</v>
      </c>
      <c r="D7" s="152">
        <v>695.21088895304877</v>
      </c>
      <c r="E7" s="152">
        <v>0</v>
      </c>
      <c r="F7" s="153">
        <f>[2]!Table323[[#This Row],[Single Family]]+[2]!Table323[[#This Row],[2-4 Units]]+[2]!Table323[[#This Row],[&gt;4 Units]]</f>
        <v>0</v>
      </c>
      <c r="G7" s="153"/>
      <c r="H7" s="153"/>
      <c r="I7" s="153"/>
      <c r="J7" s="154">
        <v>0</v>
      </c>
      <c r="K7" s="153">
        <f>SUM([2]!Table323[[#This Row],[Single Family ]:[&gt;4 Units ]])</f>
        <v>0</v>
      </c>
      <c r="L7" s="155"/>
      <c r="M7" s="155"/>
      <c r="N7" s="155"/>
      <c r="O7" s="156"/>
      <c r="P7" s="100">
        <f>VLOOKUP(Table3236[[#This Row],[Census Tract]],'Population and Diversity Data'!$B$2:$K$823,10,FALSE)</f>
        <v>1</v>
      </c>
      <c r="Q7" s="101" t="str">
        <f>VLOOKUP(Table3236[[#This Row],[Census Tract]],'UI EnergyBurden'!$A$2:$B$184,2,FALSE)</f>
        <v>No</v>
      </c>
    </row>
    <row r="8" spans="1:17" x14ac:dyDescent="0.2">
      <c r="A8" s="121">
        <v>9001060100</v>
      </c>
      <c r="B8" s="121" t="s">
        <v>934</v>
      </c>
      <c r="C8" s="128" t="s">
        <v>3886</v>
      </c>
      <c r="D8" s="152">
        <v>0</v>
      </c>
      <c r="E8" s="152">
        <v>0</v>
      </c>
      <c r="F8" s="153">
        <f>[2]!Table323[[#This Row],[Single Family]]+[2]!Table323[[#This Row],[2-4 Units]]+[2]!Table323[[#This Row],[&gt;4 Units]]</f>
        <v>0</v>
      </c>
      <c r="G8" s="153"/>
      <c r="H8" s="153"/>
      <c r="I8" s="153"/>
      <c r="J8" s="154">
        <v>0</v>
      </c>
      <c r="K8" s="153">
        <f>SUM([2]!Table323[[#This Row],[Single Family ]:[&gt;4 Units ]])</f>
        <v>0</v>
      </c>
      <c r="L8" s="155"/>
      <c r="M8" s="155"/>
      <c r="N8" s="155"/>
      <c r="O8" s="156">
        <v>0</v>
      </c>
      <c r="P8" s="100">
        <f>VLOOKUP(Table3236[[#This Row],[Census Tract]],'Population and Diversity Data'!$B$2:$K$823,10,FALSE)</f>
        <v>2</v>
      </c>
      <c r="Q8" s="101" t="str">
        <f>VLOOKUP(Table3236[[#This Row],[Census Tract]],'UI EnergyBurden'!$A$2:$B$184,2,FALSE)</f>
        <v>No</v>
      </c>
    </row>
    <row r="9" spans="1:17" x14ac:dyDescent="0.2">
      <c r="A9" s="121">
        <v>9001060100</v>
      </c>
      <c r="B9" s="121" t="s">
        <v>2983</v>
      </c>
      <c r="C9" s="128" t="s">
        <v>3886</v>
      </c>
      <c r="D9" s="152">
        <v>50100.824430739951</v>
      </c>
      <c r="E9" s="152">
        <v>62175.669999999991</v>
      </c>
      <c r="F9" s="153">
        <f>[2]!Table323[[#This Row],[Single Family]]+[2]!Table323[[#This Row],[2-4 Units]]+[2]!Table323[[#This Row],[&gt;4 Units]]</f>
        <v>29</v>
      </c>
      <c r="G9" s="153">
        <v>29</v>
      </c>
      <c r="H9" s="153">
        <v>0</v>
      </c>
      <c r="I9" s="153">
        <v>0</v>
      </c>
      <c r="J9" s="154">
        <v>55441.079999999994</v>
      </c>
      <c r="K9" s="153">
        <f>SUM([2]!Table323[[#This Row],[Single Family ]:[&gt;4 Units ]])</f>
        <v>1</v>
      </c>
      <c r="L9" s="155">
        <v>1</v>
      </c>
      <c r="M9" s="155">
        <v>0</v>
      </c>
      <c r="N9" s="155">
        <v>0</v>
      </c>
      <c r="O9" s="156">
        <v>6734.5899999999992</v>
      </c>
      <c r="P9" s="100">
        <f>VLOOKUP(Table3236[[#This Row],[Census Tract]],'Population and Diversity Data'!$B$2:$K$823,10,FALSE)</f>
        <v>2</v>
      </c>
      <c r="Q9" s="101" t="str">
        <f>VLOOKUP(Table3236[[#This Row],[Census Tract]],'UI EnergyBurden'!$A$2:$B$184,2,FALSE)</f>
        <v>No</v>
      </c>
    </row>
    <row r="10" spans="1:17" x14ac:dyDescent="0.2">
      <c r="A10" s="121">
        <v>9001060100</v>
      </c>
      <c r="B10" s="121" t="s">
        <v>2984</v>
      </c>
      <c r="C10" s="128" t="s">
        <v>3886</v>
      </c>
      <c r="D10" s="152">
        <v>0</v>
      </c>
      <c r="E10" s="152">
        <v>0</v>
      </c>
      <c r="F10" s="153">
        <f>[2]!Table323[[#This Row],[Single Family]]+[2]!Table323[[#This Row],[2-4 Units]]+[2]!Table323[[#This Row],[&gt;4 Units]]</f>
        <v>0</v>
      </c>
      <c r="G10" s="153"/>
      <c r="H10" s="153"/>
      <c r="I10" s="153"/>
      <c r="J10" s="154">
        <v>0</v>
      </c>
      <c r="K10" s="153">
        <f>SUM([2]!Table323[[#This Row],[Single Family ]:[&gt;4 Units ]])</f>
        <v>0</v>
      </c>
      <c r="L10" s="155"/>
      <c r="M10" s="155"/>
      <c r="N10" s="155"/>
      <c r="O10" s="156"/>
      <c r="P10" s="100">
        <f>VLOOKUP(Table3236[[#This Row],[Census Tract]],'Population and Diversity Data'!$B$2:$K$823,10,FALSE)</f>
        <v>2</v>
      </c>
      <c r="Q10" s="101" t="str">
        <f>VLOOKUP(Table3236[[#This Row],[Census Tract]],'UI EnergyBurden'!$A$2:$B$184,2,FALSE)</f>
        <v>No</v>
      </c>
    </row>
    <row r="11" spans="1:17" x14ac:dyDescent="0.2">
      <c r="A11" s="121">
        <v>9001060100</v>
      </c>
      <c r="B11" s="121" t="s">
        <v>2983</v>
      </c>
      <c r="C11" s="128" t="s">
        <v>3886</v>
      </c>
      <c r="D11" s="152">
        <v>0</v>
      </c>
      <c r="E11" s="152">
        <v>0</v>
      </c>
      <c r="F11" s="153">
        <f>[2]!Table323[[#This Row],[Single Family]]+[2]!Table323[[#This Row],[2-4 Units]]+[2]!Table323[[#This Row],[&gt;4 Units]]</f>
        <v>0</v>
      </c>
      <c r="G11" s="153"/>
      <c r="H11" s="153"/>
      <c r="I11" s="153"/>
      <c r="J11" s="154">
        <v>0</v>
      </c>
      <c r="K11" s="153">
        <f>SUM([2]!Table323[[#This Row],[Single Family ]:[&gt;4 Units ]])</f>
        <v>0</v>
      </c>
      <c r="L11" s="155"/>
      <c r="M11" s="155"/>
      <c r="N11" s="155"/>
      <c r="O11" s="156">
        <v>0</v>
      </c>
      <c r="P11" s="100">
        <f>VLOOKUP(Table3236[[#This Row],[Census Tract]],'Population and Diversity Data'!$B$2:$K$823,10,FALSE)</f>
        <v>2</v>
      </c>
      <c r="Q11" s="101" t="str">
        <f>VLOOKUP(Table3236[[#This Row],[Census Tract]],'UI EnergyBurden'!$A$2:$B$184,2,FALSE)</f>
        <v>No</v>
      </c>
    </row>
    <row r="12" spans="1:17" x14ac:dyDescent="0.2">
      <c r="A12" s="121">
        <v>9001060200</v>
      </c>
      <c r="B12" s="121" t="s">
        <v>2983</v>
      </c>
      <c r="C12" s="128" t="s">
        <v>3886</v>
      </c>
      <c r="D12" s="152">
        <v>66331.729824004666</v>
      </c>
      <c r="E12" s="152">
        <v>54065.880000000005</v>
      </c>
      <c r="F12" s="153">
        <f>[2]!Table323[[#This Row],[Single Family]]+[2]!Table323[[#This Row],[2-4 Units]]+[2]!Table323[[#This Row],[&gt;4 Units]]</f>
        <v>33</v>
      </c>
      <c r="G12" s="153">
        <v>33</v>
      </c>
      <c r="H12" s="153">
        <v>0</v>
      </c>
      <c r="I12" s="153">
        <v>0</v>
      </c>
      <c r="J12" s="154">
        <v>54065.880000000005</v>
      </c>
      <c r="K12" s="153">
        <f>SUM([2]!Table323[[#This Row],[Single Family ]:[&gt;4 Units ]])</f>
        <v>0</v>
      </c>
      <c r="L12" s="155"/>
      <c r="M12" s="155"/>
      <c r="N12" s="155"/>
      <c r="O12" s="156">
        <v>0</v>
      </c>
      <c r="P12" s="100">
        <f>VLOOKUP(Table3236[[#This Row],[Census Tract]],'Population and Diversity Data'!$B$2:$K$823,10,FALSE)</f>
        <v>3</v>
      </c>
      <c r="Q12" s="101" t="str">
        <f>VLOOKUP(Table3236[[#This Row],[Census Tract]],'UI EnergyBurden'!$A$2:$B$184,2,FALSE)</f>
        <v>No</v>
      </c>
    </row>
    <row r="13" spans="1:17" x14ac:dyDescent="0.2">
      <c r="A13" s="121">
        <v>9001060200</v>
      </c>
      <c r="B13" s="121" t="s">
        <v>2983</v>
      </c>
      <c r="C13" s="128" t="s">
        <v>3886</v>
      </c>
      <c r="D13" s="152">
        <v>0</v>
      </c>
      <c r="E13" s="152">
        <v>0</v>
      </c>
      <c r="F13" s="153">
        <f>[2]!Table323[[#This Row],[Single Family]]+[2]!Table323[[#This Row],[2-4 Units]]+[2]!Table323[[#This Row],[&gt;4 Units]]</f>
        <v>0</v>
      </c>
      <c r="G13" s="153"/>
      <c r="H13" s="153"/>
      <c r="I13" s="153"/>
      <c r="J13" s="154">
        <v>0</v>
      </c>
      <c r="K13" s="153">
        <f>SUM([2]!Table323[[#This Row],[Single Family ]:[&gt;4 Units ]])</f>
        <v>0</v>
      </c>
      <c r="L13" s="155"/>
      <c r="M13" s="155"/>
      <c r="N13" s="155"/>
      <c r="O13" s="156"/>
      <c r="P13" s="100">
        <f>VLOOKUP(Table3236[[#This Row],[Census Tract]],'Population and Diversity Data'!$B$2:$K$823,10,FALSE)</f>
        <v>3</v>
      </c>
      <c r="Q13" s="101" t="str">
        <f>VLOOKUP(Table3236[[#This Row],[Census Tract]],'UI EnergyBurden'!$A$2:$B$184,2,FALSE)</f>
        <v>No</v>
      </c>
    </row>
    <row r="14" spans="1:17" x14ac:dyDescent="0.2">
      <c r="A14" s="121">
        <v>9001060300</v>
      </c>
      <c r="B14" s="121" t="s">
        <v>2983</v>
      </c>
      <c r="C14" s="128" t="s">
        <v>3886</v>
      </c>
      <c r="D14" s="152">
        <v>78399.476760778329</v>
      </c>
      <c r="E14" s="152">
        <v>62156.899999999987</v>
      </c>
      <c r="F14" s="153">
        <f>[2]!Table323[[#This Row],[Single Family]]+[2]!Table323[[#This Row],[2-4 Units]]+[2]!Table323[[#This Row],[&gt;4 Units]]</f>
        <v>35</v>
      </c>
      <c r="G14" s="153">
        <v>35</v>
      </c>
      <c r="H14" s="153">
        <v>0</v>
      </c>
      <c r="I14" s="153">
        <v>0</v>
      </c>
      <c r="J14" s="154">
        <v>53987.560000000005</v>
      </c>
      <c r="K14" s="153">
        <f>SUM([2]!Table323[[#This Row],[Single Family ]:[&gt;4 Units ]])</f>
        <v>1</v>
      </c>
      <c r="L14" s="155">
        <v>1</v>
      </c>
      <c r="M14" s="155">
        <v>0</v>
      </c>
      <c r="N14" s="155">
        <v>0</v>
      </c>
      <c r="O14" s="156">
        <v>8169.34</v>
      </c>
      <c r="P14" s="100">
        <f>VLOOKUP(Table3236[[#This Row],[Census Tract]],'Population and Diversity Data'!$B$2:$K$823,10,FALSE)</f>
        <v>2</v>
      </c>
      <c r="Q14" s="101" t="str">
        <f>VLOOKUP(Table3236[[#This Row],[Census Tract]],'UI EnergyBurden'!$A$2:$B$184,2,FALSE)</f>
        <v>No</v>
      </c>
    </row>
    <row r="15" spans="1:17" x14ac:dyDescent="0.2">
      <c r="A15" s="121">
        <v>9001060300</v>
      </c>
      <c r="B15" s="121" t="s">
        <v>2983</v>
      </c>
      <c r="C15" s="128" t="s">
        <v>3886</v>
      </c>
      <c r="D15" s="152">
        <v>0</v>
      </c>
      <c r="E15" s="152">
        <v>0</v>
      </c>
      <c r="F15" s="153">
        <f>[2]!Table323[[#This Row],[Single Family]]+[2]!Table323[[#This Row],[2-4 Units]]+[2]!Table323[[#This Row],[&gt;4 Units]]</f>
        <v>0</v>
      </c>
      <c r="G15" s="153"/>
      <c r="H15" s="153"/>
      <c r="I15" s="153"/>
      <c r="J15" s="154">
        <v>0</v>
      </c>
      <c r="K15" s="153">
        <f>SUM([2]!Table323[[#This Row],[Single Family ]:[&gt;4 Units ]])</f>
        <v>0</v>
      </c>
      <c r="L15" s="155"/>
      <c r="M15" s="155"/>
      <c r="N15" s="155"/>
      <c r="O15" s="156">
        <v>0</v>
      </c>
      <c r="P15" s="100">
        <f>VLOOKUP(Table3236[[#This Row],[Census Tract]],'Population and Diversity Data'!$B$2:$K$823,10,FALSE)</f>
        <v>2</v>
      </c>
      <c r="Q15" s="101" t="str">
        <f>VLOOKUP(Table3236[[#This Row],[Census Tract]],'UI EnergyBurden'!$A$2:$B$184,2,FALSE)</f>
        <v>No</v>
      </c>
    </row>
    <row r="16" spans="1:17" x14ac:dyDescent="0.2">
      <c r="A16" s="121">
        <v>9001060400</v>
      </c>
      <c r="B16" s="121" t="s">
        <v>2983</v>
      </c>
      <c r="C16" s="128" t="s">
        <v>3886</v>
      </c>
      <c r="D16" s="152">
        <v>135534.29600438455</v>
      </c>
      <c r="E16" s="152">
        <v>29828.910000000003</v>
      </c>
      <c r="F16" s="153">
        <f>[2]!Table323[[#This Row],[Single Family]]+[2]!Table323[[#This Row],[2-4 Units]]+[2]!Table323[[#This Row],[&gt;4 Units]]</f>
        <v>19</v>
      </c>
      <c r="G16" s="153">
        <v>19</v>
      </c>
      <c r="H16" s="153">
        <v>0</v>
      </c>
      <c r="I16" s="153">
        <v>0</v>
      </c>
      <c r="J16" s="154">
        <v>29828.910000000003</v>
      </c>
      <c r="K16" s="153">
        <f>SUM([2]!Table323[[#This Row],[Single Family ]:[&gt;4 Units ]])</f>
        <v>0</v>
      </c>
      <c r="L16" s="155"/>
      <c r="M16" s="155"/>
      <c r="N16" s="155"/>
      <c r="O16" s="156">
        <v>0</v>
      </c>
      <c r="P16" s="100">
        <f>VLOOKUP(Table3236[[#This Row],[Census Tract]],'Population and Diversity Data'!$B$2:$K$823,10,FALSE)</f>
        <v>1</v>
      </c>
      <c r="Q16" s="101" t="str">
        <f>VLOOKUP(Table3236[[#This Row],[Census Tract]],'UI EnergyBurden'!$A$2:$B$184,2,FALSE)</f>
        <v>No</v>
      </c>
    </row>
    <row r="17" spans="1:17" x14ac:dyDescent="0.2">
      <c r="A17" s="121">
        <v>9001060400</v>
      </c>
      <c r="B17" s="121" t="s">
        <v>2983</v>
      </c>
      <c r="C17" s="128" t="s">
        <v>3886</v>
      </c>
      <c r="D17" s="152">
        <v>0</v>
      </c>
      <c r="E17" s="152">
        <v>0</v>
      </c>
      <c r="F17" s="153">
        <f>[2]!Table323[[#This Row],[Single Family]]+[2]!Table323[[#This Row],[2-4 Units]]+[2]!Table323[[#This Row],[&gt;4 Units]]</f>
        <v>0</v>
      </c>
      <c r="G17" s="153"/>
      <c r="H17" s="153"/>
      <c r="I17" s="153"/>
      <c r="J17" s="154">
        <v>0</v>
      </c>
      <c r="K17" s="153">
        <f>SUM([2]!Table323[[#This Row],[Single Family ]:[&gt;4 Units ]])</f>
        <v>0</v>
      </c>
      <c r="L17" s="155"/>
      <c r="M17" s="155"/>
      <c r="N17" s="155"/>
      <c r="O17" s="156"/>
      <c r="P17" s="100">
        <f>VLOOKUP(Table3236[[#This Row],[Census Tract]],'Population and Diversity Data'!$B$2:$K$823,10,FALSE)</f>
        <v>1</v>
      </c>
      <c r="Q17" s="101" t="str">
        <f>VLOOKUP(Table3236[[#This Row],[Census Tract]],'UI EnergyBurden'!$A$2:$B$184,2,FALSE)</f>
        <v>No</v>
      </c>
    </row>
    <row r="18" spans="1:17" x14ac:dyDescent="0.2">
      <c r="A18" s="121">
        <v>9001060500</v>
      </c>
      <c r="B18" s="121" t="s">
        <v>2983</v>
      </c>
      <c r="C18" s="128" t="s">
        <v>3886</v>
      </c>
      <c r="D18" s="152">
        <v>59165.264205241416</v>
      </c>
      <c r="E18" s="152">
        <v>15123.22</v>
      </c>
      <c r="F18" s="153">
        <f>[2]!Table323[[#This Row],[Single Family]]+[2]!Table323[[#This Row],[2-4 Units]]+[2]!Table323[[#This Row],[&gt;4 Units]]</f>
        <v>19</v>
      </c>
      <c r="G18" s="153">
        <v>19</v>
      </c>
      <c r="H18" s="153">
        <v>0</v>
      </c>
      <c r="I18" s="153">
        <v>0</v>
      </c>
      <c r="J18" s="154">
        <v>15123.22</v>
      </c>
      <c r="K18" s="153">
        <f>SUM([2]!Table323[[#This Row],[Single Family ]:[&gt;4 Units ]])</f>
        <v>0</v>
      </c>
      <c r="L18" s="155"/>
      <c r="M18" s="155"/>
      <c r="N18" s="155"/>
      <c r="O18" s="156">
        <v>0</v>
      </c>
      <c r="P18" s="100">
        <f>VLOOKUP(Table3236[[#This Row],[Census Tract]],'Population and Diversity Data'!$B$2:$K$823,10,FALSE)</f>
        <v>1</v>
      </c>
      <c r="Q18" s="101" t="str">
        <f>VLOOKUP(Table3236[[#This Row],[Census Tract]],'UI EnergyBurden'!$A$2:$B$184,2,FALSE)</f>
        <v>No</v>
      </c>
    </row>
    <row r="19" spans="1:17" x14ac:dyDescent="0.2">
      <c r="A19" s="121">
        <v>9001060500</v>
      </c>
      <c r="B19" s="121" t="s">
        <v>2983</v>
      </c>
      <c r="C19" s="128" t="s">
        <v>3886</v>
      </c>
      <c r="D19" s="152">
        <v>0</v>
      </c>
      <c r="E19" s="152">
        <v>0</v>
      </c>
      <c r="F19" s="153">
        <f>[2]!Table323[[#This Row],[Single Family]]+[2]!Table323[[#This Row],[2-4 Units]]+[2]!Table323[[#This Row],[&gt;4 Units]]</f>
        <v>0</v>
      </c>
      <c r="G19" s="153"/>
      <c r="H19" s="153"/>
      <c r="I19" s="153"/>
      <c r="J19" s="154">
        <v>0</v>
      </c>
      <c r="K19" s="153">
        <f>SUM([2]!Table323[[#This Row],[Single Family ]:[&gt;4 Units ]])</f>
        <v>0</v>
      </c>
      <c r="L19" s="155"/>
      <c r="M19" s="155"/>
      <c r="N19" s="155"/>
      <c r="O19" s="156"/>
      <c r="P19" s="100">
        <f>VLOOKUP(Table3236[[#This Row],[Census Tract]],'Population and Diversity Data'!$B$2:$K$823,10,FALSE)</f>
        <v>1</v>
      </c>
      <c r="Q19" s="101" t="str">
        <f>VLOOKUP(Table3236[[#This Row],[Census Tract]],'UI EnergyBurden'!$A$2:$B$184,2,FALSE)</f>
        <v>No</v>
      </c>
    </row>
    <row r="20" spans="1:17" x14ac:dyDescent="0.2">
      <c r="A20" s="121">
        <v>9001060600</v>
      </c>
      <c r="B20" s="121" t="s">
        <v>2983</v>
      </c>
      <c r="C20" s="128" t="s">
        <v>3886</v>
      </c>
      <c r="D20" s="152">
        <v>62202.868628857635</v>
      </c>
      <c r="E20" s="152">
        <v>7497.65</v>
      </c>
      <c r="F20" s="153">
        <f>[2]!Table323[[#This Row],[Single Family]]+[2]!Table323[[#This Row],[2-4 Units]]+[2]!Table323[[#This Row],[&gt;4 Units]]</f>
        <v>10</v>
      </c>
      <c r="G20" s="153">
        <v>9</v>
      </c>
      <c r="H20" s="153">
        <v>1</v>
      </c>
      <c r="I20" s="153">
        <v>0</v>
      </c>
      <c r="J20" s="154">
        <v>6348.2799999999988</v>
      </c>
      <c r="K20" s="153">
        <f>SUM([2]!Table323[[#This Row],[Single Family ]:[&gt;4 Units ]])</f>
        <v>2</v>
      </c>
      <c r="L20" s="155">
        <v>2</v>
      </c>
      <c r="M20" s="155">
        <v>0</v>
      </c>
      <c r="N20" s="155">
        <v>0</v>
      </c>
      <c r="O20" s="156">
        <v>1149.3700000000003</v>
      </c>
      <c r="P20" s="100">
        <f>VLOOKUP(Table3236[[#This Row],[Census Tract]],'Population and Diversity Data'!$B$2:$K$823,10,FALSE)</f>
        <v>2</v>
      </c>
      <c r="Q20" s="101" t="str">
        <f>VLOOKUP(Table3236[[#This Row],[Census Tract]],'UI EnergyBurden'!$A$2:$B$184,2,FALSE)</f>
        <v>No</v>
      </c>
    </row>
    <row r="21" spans="1:17" x14ac:dyDescent="0.2">
      <c r="A21" s="121">
        <v>9001060600</v>
      </c>
      <c r="B21" s="121" t="s">
        <v>2983</v>
      </c>
      <c r="C21" s="128" t="s">
        <v>3886</v>
      </c>
      <c r="D21" s="152">
        <v>0</v>
      </c>
      <c r="E21" s="152">
        <v>0</v>
      </c>
      <c r="F21" s="153">
        <f>[2]!Table323[[#This Row],[Single Family]]+[2]!Table323[[#This Row],[2-4 Units]]+[2]!Table323[[#This Row],[&gt;4 Units]]</f>
        <v>0</v>
      </c>
      <c r="G21" s="153"/>
      <c r="H21" s="153"/>
      <c r="I21" s="153"/>
      <c r="J21" s="154">
        <v>0</v>
      </c>
      <c r="K21" s="153">
        <f>SUM([2]!Table323[[#This Row],[Single Family ]:[&gt;4 Units ]])</f>
        <v>0</v>
      </c>
      <c r="L21" s="155"/>
      <c r="M21" s="155"/>
      <c r="N21" s="155"/>
      <c r="O21" s="156"/>
      <c r="P21" s="100">
        <f>VLOOKUP(Table3236[[#This Row],[Census Tract]],'Population and Diversity Data'!$B$2:$K$823,10,FALSE)</f>
        <v>2</v>
      </c>
      <c r="Q21" s="101" t="str">
        <f>VLOOKUP(Table3236[[#This Row],[Census Tract]],'UI EnergyBurden'!$A$2:$B$184,2,FALSE)</f>
        <v>No</v>
      </c>
    </row>
    <row r="22" spans="1:17" x14ac:dyDescent="0.2">
      <c r="A22" s="121">
        <v>9001060700</v>
      </c>
      <c r="B22" s="121" t="s">
        <v>2983</v>
      </c>
      <c r="C22" s="128" t="s">
        <v>3886</v>
      </c>
      <c r="D22" s="152">
        <v>83912.781142709951</v>
      </c>
      <c r="E22" s="152">
        <v>29610.039999999997</v>
      </c>
      <c r="F22" s="153">
        <f>[2]!Table323[[#This Row],[Single Family]]+[2]!Table323[[#This Row],[2-4 Units]]+[2]!Table323[[#This Row],[&gt;4 Units]]</f>
        <v>29</v>
      </c>
      <c r="G22" s="153">
        <v>29</v>
      </c>
      <c r="H22" s="153">
        <v>0</v>
      </c>
      <c r="I22" s="153">
        <v>0</v>
      </c>
      <c r="J22" s="154">
        <v>29610.039999999997</v>
      </c>
      <c r="K22" s="153">
        <f>SUM([2]!Table323[[#This Row],[Single Family ]:[&gt;4 Units ]])</f>
        <v>0</v>
      </c>
      <c r="L22" s="155"/>
      <c r="M22" s="155"/>
      <c r="N22" s="155"/>
      <c r="O22" s="156">
        <v>0</v>
      </c>
      <c r="P22" s="100">
        <f>VLOOKUP(Table3236[[#This Row],[Census Tract]],'Population and Diversity Data'!$B$2:$K$823,10,FALSE)</f>
        <v>2</v>
      </c>
      <c r="Q22" s="101" t="str">
        <f>VLOOKUP(Table3236[[#This Row],[Census Tract]],'UI EnergyBurden'!$A$2:$B$184,2,FALSE)</f>
        <v>No</v>
      </c>
    </row>
    <row r="23" spans="1:17" x14ac:dyDescent="0.2">
      <c r="A23" s="121">
        <v>9001060700</v>
      </c>
      <c r="B23" s="121" t="s">
        <v>2983</v>
      </c>
      <c r="C23" s="128" t="s">
        <v>3886</v>
      </c>
      <c r="D23" s="152">
        <v>0</v>
      </c>
      <c r="E23" s="152">
        <v>0</v>
      </c>
      <c r="F23" s="153">
        <f>[2]!Table323[[#This Row],[Single Family]]+[2]!Table323[[#This Row],[2-4 Units]]+[2]!Table323[[#This Row],[&gt;4 Units]]</f>
        <v>0</v>
      </c>
      <c r="G23" s="153"/>
      <c r="H23" s="153"/>
      <c r="I23" s="153"/>
      <c r="J23" s="154">
        <v>0</v>
      </c>
      <c r="K23" s="153">
        <f>SUM([2]!Table323[[#This Row],[Single Family ]:[&gt;4 Units ]])</f>
        <v>0</v>
      </c>
      <c r="L23" s="155"/>
      <c r="M23" s="155"/>
      <c r="N23" s="155"/>
      <c r="O23" s="156">
        <v>0</v>
      </c>
      <c r="P23" s="100">
        <f>VLOOKUP(Table3236[[#This Row],[Census Tract]],'Population and Diversity Data'!$B$2:$K$823,10,FALSE)</f>
        <v>2</v>
      </c>
      <c r="Q23" s="101" t="str">
        <f>VLOOKUP(Table3236[[#This Row],[Census Tract]],'UI EnergyBurden'!$A$2:$B$184,2,FALSE)</f>
        <v>No</v>
      </c>
    </row>
    <row r="24" spans="1:17" x14ac:dyDescent="0.2">
      <c r="A24" s="121">
        <v>9001060800</v>
      </c>
      <c r="B24" s="121" t="s">
        <v>2983</v>
      </c>
      <c r="C24" s="128" t="s">
        <v>3886</v>
      </c>
      <c r="D24" s="152">
        <v>33018.392228229714</v>
      </c>
      <c r="E24" s="152">
        <v>11356.7</v>
      </c>
      <c r="F24" s="153">
        <f>[2]!Table323[[#This Row],[Single Family]]+[2]!Table323[[#This Row],[2-4 Units]]+[2]!Table323[[#This Row],[&gt;4 Units]]</f>
        <v>12</v>
      </c>
      <c r="G24" s="153">
        <v>12</v>
      </c>
      <c r="H24" s="153">
        <v>0</v>
      </c>
      <c r="I24" s="153">
        <v>0</v>
      </c>
      <c r="J24" s="154">
        <v>7959.2</v>
      </c>
      <c r="K24" s="153">
        <f>SUM([2]!Table323[[#This Row],[Single Family ]:[&gt;4 Units ]])</f>
        <v>1</v>
      </c>
      <c r="L24" s="155">
        <v>1</v>
      </c>
      <c r="M24" s="155">
        <v>0</v>
      </c>
      <c r="N24" s="155">
        <v>0</v>
      </c>
      <c r="O24" s="156">
        <v>3397.5</v>
      </c>
      <c r="P24" s="100">
        <f>VLOOKUP(Table3236[[#This Row],[Census Tract]],'Population and Diversity Data'!$B$2:$K$823,10,FALSE)</f>
        <v>2</v>
      </c>
      <c r="Q24" s="101" t="str">
        <f>VLOOKUP(Table3236[[#This Row],[Census Tract]],'UI EnergyBurden'!$A$2:$B$184,2,FALSE)</f>
        <v>No</v>
      </c>
    </row>
    <row r="25" spans="1:17" x14ac:dyDescent="0.2">
      <c r="A25" s="121">
        <v>9001060900</v>
      </c>
      <c r="B25" s="121" t="s">
        <v>2983</v>
      </c>
      <c r="C25" s="128" t="s">
        <v>3886</v>
      </c>
      <c r="D25" s="152">
        <v>41370.908758674363</v>
      </c>
      <c r="E25" s="152">
        <v>23964.85</v>
      </c>
      <c r="F25" s="153">
        <f>[2]!Table323[[#This Row],[Single Family]]+[2]!Table323[[#This Row],[2-4 Units]]+[2]!Table323[[#This Row],[&gt;4 Units]]</f>
        <v>13</v>
      </c>
      <c r="G25" s="153">
        <v>13</v>
      </c>
      <c r="H25" s="153">
        <v>0</v>
      </c>
      <c r="I25" s="153">
        <v>0</v>
      </c>
      <c r="J25" s="154">
        <v>12204.850000000002</v>
      </c>
      <c r="K25" s="153">
        <f>SUM([2]!Table323[[#This Row],[Single Family ]:[&gt;4 Units ]])</f>
        <v>1</v>
      </c>
      <c r="L25" s="155">
        <v>1</v>
      </c>
      <c r="M25" s="155">
        <v>0</v>
      </c>
      <c r="N25" s="155">
        <v>0</v>
      </c>
      <c r="O25" s="156">
        <v>11760</v>
      </c>
      <c r="P25" s="100">
        <f>VLOOKUP(Table3236[[#This Row],[Census Tract]],'Population and Diversity Data'!$B$2:$K$823,10,FALSE)</f>
        <v>1</v>
      </c>
      <c r="Q25" s="101" t="str">
        <f>VLOOKUP(Table3236[[#This Row],[Census Tract]],'UI EnergyBurden'!$A$2:$B$184,2,FALSE)</f>
        <v>No</v>
      </c>
    </row>
    <row r="26" spans="1:17" x14ac:dyDescent="0.2">
      <c r="A26" s="121">
        <v>9001060900</v>
      </c>
      <c r="B26" s="121" t="s">
        <v>2983</v>
      </c>
      <c r="C26" s="128" t="s">
        <v>3886</v>
      </c>
      <c r="D26" s="152">
        <v>0</v>
      </c>
      <c r="E26" s="152">
        <v>0</v>
      </c>
      <c r="F26" s="153">
        <f>[2]!Table323[[#This Row],[Single Family]]+[2]!Table323[[#This Row],[2-4 Units]]+[2]!Table323[[#This Row],[&gt;4 Units]]</f>
        <v>0</v>
      </c>
      <c r="G26" s="153"/>
      <c r="H26" s="153"/>
      <c r="I26" s="153"/>
      <c r="J26" s="154">
        <v>0</v>
      </c>
      <c r="K26" s="153">
        <f>SUM([2]!Table323[[#This Row],[Single Family ]:[&gt;4 Units ]])</f>
        <v>0</v>
      </c>
      <c r="L26" s="155"/>
      <c r="M26" s="155"/>
      <c r="N26" s="155"/>
      <c r="O26" s="156"/>
      <c r="P26" s="100">
        <f>VLOOKUP(Table3236[[#This Row],[Census Tract]],'Population and Diversity Data'!$B$2:$K$823,10,FALSE)</f>
        <v>1</v>
      </c>
      <c r="Q26" s="101" t="str">
        <f>VLOOKUP(Table3236[[#This Row],[Census Tract]],'UI EnergyBurden'!$A$2:$B$184,2,FALSE)</f>
        <v>No</v>
      </c>
    </row>
    <row r="27" spans="1:17" x14ac:dyDescent="0.2">
      <c r="A27" s="121">
        <v>9001061000</v>
      </c>
      <c r="B27" s="121" t="s">
        <v>2983</v>
      </c>
      <c r="C27" s="128" t="s">
        <v>3886</v>
      </c>
      <c r="D27" s="152">
        <v>61972.870612582949</v>
      </c>
      <c r="E27" s="152">
        <v>65624.09</v>
      </c>
      <c r="F27" s="153">
        <f>[2]!Table323[[#This Row],[Single Family]]+[2]!Table323[[#This Row],[2-4 Units]]+[2]!Table323[[#This Row],[&gt;4 Units]]</f>
        <v>25</v>
      </c>
      <c r="G27" s="153">
        <v>24</v>
      </c>
      <c r="H27" s="153">
        <v>1</v>
      </c>
      <c r="I27" s="153">
        <v>0</v>
      </c>
      <c r="J27" s="154">
        <v>52685.320000000007</v>
      </c>
      <c r="K27" s="153">
        <f>SUM([2]!Table323[[#This Row],[Single Family ]:[&gt;4 Units ]])</f>
        <v>6</v>
      </c>
      <c r="L27" s="155">
        <v>4</v>
      </c>
      <c r="M27" s="155">
        <v>2</v>
      </c>
      <c r="N27" s="155">
        <v>0</v>
      </c>
      <c r="O27" s="156">
        <v>12938.769999999999</v>
      </c>
      <c r="P27" s="100">
        <f>VLOOKUP(Table3236[[#This Row],[Census Tract]],'Population and Diversity Data'!$B$2:$K$823,10,FALSE)</f>
        <v>3</v>
      </c>
      <c r="Q27" s="101" t="str">
        <f>VLOOKUP(Table3236[[#This Row],[Census Tract]],'UI EnergyBurden'!$A$2:$B$184,2,FALSE)</f>
        <v>No</v>
      </c>
    </row>
    <row r="28" spans="1:17" x14ac:dyDescent="0.2">
      <c r="A28" s="121">
        <v>9001061000</v>
      </c>
      <c r="B28" s="121" t="s">
        <v>2983</v>
      </c>
      <c r="C28" s="128" t="s">
        <v>3886</v>
      </c>
      <c r="D28" s="152">
        <v>0</v>
      </c>
      <c r="E28" s="152">
        <v>0</v>
      </c>
      <c r="F28" s="153">
        <f>[2]!Table323[[#This Row],[Single Family]]+[2]!Table323[[#This Row],[2-4 Units]]+[2]!Table323[[#This Row],[&gt;4 Units]]</f>
        <v>0</v>
      </c>
      <c r="G28" s="153"/>
      <c r="H28" s="153"/>
      <c r="I28" s="153"/>
      <c r="J28" s="154">
        <v>0</v>
      </c>
      <c r="K28" s="153">
        <f>SUM([2]!Table323[[#This Row],[Single Family ]:[&gt;4 Units ]])</f>
        <v>0</v>
      </c>
      <c r="L28" s="155"/>
      <c r="M28" s="155"/>
      <c r="N28" s="155"/>
      <c r="O28" s="156">
        <v>0</v>
      </c>
      <c r="P28" s="100">
        <f>VLOOKUP(Table3236[[#This Row],[Census Tract]],'Population and Diversity Data'!$B$2:$K$823,10,FALSE)</f>
        <v>3</v>
      </c>
      <c r="Q28" s="101" t="str">
        <f>VLOOKUP(Table3236[[#This Row],[Census Tract]],'UI EnergyBurden'!$A$2:$B$184,2,FALSE)</f>
        <v>No</v>
      </c>
    </row>
    <row r="29" spans="1:17" x14ac:dyDescent="0.2">
      <c r="A29" s="121">
        <v>9001061100</v>
      </c>
      <c r="B29" s="121" t="s">
        <v>2983</v>
      </c>
      <c r="C29" s="128" t="s">
        <v>3886</v>
      </c>
      <c r="D29" s="152">
        <v>56595.337957514901</v>
      </c>
      <c r="E29" s="152">
        <v>56318.570000000007</v>
      </c>
      <c r="F29" s="153">
        <f>[2]!Table323[[#This Row],[Single Family]]+[2]!Table323[[#This Row],[2-4 Units]]+[2]!Table323[[#This Row],[&gt;4 Units]]</f>
        <v>26</v>
      </c>
      <c r="G29" s="153">
        <v>24</v>
      </c>
      <c r="H29" s="153">
        <v>2</v>
      </c>
      <c r="I29" s="153">
        <v>0</v>
      </c>
      <c r="J29" s="154">
        <v>47955.590000000004</v>
      </c>
      <c r="K29" s="153">
        <f>SUM([2]!Table323[[#This Row],[Single Family ]:[&gt;4 Units ]])</f>
        <v>1</v>
      </c>
      <c r="L29" s="155">
        <v>1</v>
      </c>
      <c r="M29" s="155">
        <v>0</v>
      </c>
      <c r="N29" s="155">
        <v>0</v>
      </c>
      <c r="O29" s="156">
        <v>8362.9799999999959</v>
      </c>
      <c r="P29" s="100">
        <f>VLOOKUP(Table3236[[#This Row],[Census Tract]],'Population and Diversity Data'!$B$2:$K$823,10,FALSE)</f>
        <v>1</v>
      </c>
      <c r="Q29" s="101" t="str">
        <f>VLOOKUP(Table3236[[#This Row],[Census Tract]],'UI EnergyBurden'!$A$2:$B$184,2,FALSE)</f>
        <v>No</v>
      </c>
    </row>
    <row r="30" spans="1:17" x14ac:dyDescent="0.2">
      <c r="A30" s="121">
        <v>9001061100</v>
      </c>
      <c r="B30" s="121" t="s">
        <v>2983</v>
      </c>
      <c r="C30" s="128" t="s">
        <v>3886</v>
      </c>
      <c r="D30" s="152">
        <v>0</v>
      </c>
      <c r="E30" s="152">
        <v>0</v>
      </c>
      <c r="F30" s="153">
        <f>[2]!Table323[[#This Row],[Single Family]]+[2]!Table323[[#This Row],[2-4 Units]]+[2]!Table323[[#This Row],[&gt;4 Units]]</f>
        <v>0</v>
      </c>
      <c r="G30" s="153"/>
      <c r="H30" s="153"/>
      <c r="I30" s="153"/>
      <c r="J30" s="154">
        <v>0</v>
      </c>
      <c r="K30" s="153">
        <f>SUM([2]!Table323[[#This Row],[Single Family ]:[&gt;4 Units ]])</f>
        <v>0</v>
      </c>
      <c r="L30" s="155"/>
      <c r="M30" s="155"/>
      <c r="N30" s="155"/>
      <c r="O30" s="156"/>
      <c r="P30" s="100">
        <f>VLOOKUP(Table3236[[#This Row],[Census Tract]],'Population and Diversity Data'!$B$2:$K$823,10,FALSE)</f>
        <v>1</v>
      </c>
      <c r="Q30" s="101" t="str">
        <f>VLOOKUP(Table3236[[#This Row],[Census Tract]],'UI EnergyBurden'!$A$2:$B$184,2,FALSE)</f>
        <v>No</v>
      </c>
    </row>
    <row r="31" spans="1:17" x14ac:dyDescent="0.2">
      <c r="A31" s="121">
        <v>9001061200</v>
      </c>
      <c r="B31" s="121" t="s">
        <v>2983</v>
      </c>
      <c r="C31" s="128" t="s">
        <v>3886</v>
      </c>
      <c r="D31" s="152">
        <v>29675.376440101209</v>
      </c>
      <c r="E31" s="152">
        <v>9607.6600000000017</v>
      </c>
      <c r="F31" s="153">
        <f>[2]!Table323[[#This Row],[Single Family]]+[2]!Table323[[#This Row],[2-4 Units]]+[2]!Table323[[#This Row],[&gt;4 Units]]</f>
        <v>13</v>
      </c>
      <c r="G31" s="153">
        <v>13</v>
      </c>
      <c r="H31" s="153">
        <v>0</v>
      </c>
      <c r="I31" s="153">
        <v>0</v>
      </c>
      <c r="J31" s="154">
        <v>9397.0600000000013</v>
      </c>
      <c r="K31" s="153">
        <f>SUM([2]!Table323[[#This Row],[Single Family ]:[&gt;4 Units ]])</f>
        <v>2</v>
      </c>
      <c r="L31" s="155">
        <v>2</v>
      </c>
      <c r="M31" s="155">
        <v>0</v>
      </c>
      <c r="N31" s="155">
        <v>0</v>
      </c>
      <c r="O31" s="156">
        <v>210.6</v>
      </c>
      <c r="P31" s="100">
        <f>VLOOKUP(Table3236[[#This Row],[Census Tract]],'Population and Diversity Data'!$B$2:$K$823,10,FALSE)</f>
        <v>5</v>
      </c>
      <c r="Q31" s="101" t="str">
        <f>VLOOKUP(Table3236[[#This Row],[Census Tract]],'UI EnergyBurden'!$A$2:$B$184,2,FALSE)</f>
        <v>No</v>
      </c>
    </row>
    <row r="32" spans="1:17" x14ac:dyDescent="0.2">
      <c r="A32" s="121">
        <v>9001061300</v>
      </c>
      <c r="B32" s="121" t="s">
        <v>2983</v>
      </c>
      <c r="C32" s="128" t="s">
        <v>3886</v>
      </c>
      <c r="D32" s="152">
        <v>43149.63425907286</v>
      </c>
      <c r="E32" s="152">
        <v>22118.579999999998</v>
      </c>
      <c r="F32" s="153">
        <f>[2]!Table323[[#This Row],[Single Family]]+[2]!Table323[[#This Row],[2-4 Units]]+[2]!Table323[[#This Row],[&gt;4 Units]]</f>
        <v>18</v>
      </c>
      <c r="G32" s="153">
        <v>16</v>
      </c>
      <c r="H32" s="153">
        <v>2</v>
      </c>
      <c r="I32" s="153">
        <v>0</v>
      </c>
      <c r="J32" s="154">
        <v>21875.989999999998</v>
      </c>
      <c r="K32" s="153">
        <f>SUM([2]!Table323[[#This Row],[Single Family ]:[&gt;4 Units ]])</f>
        <v>3</v>
      </c>
      <c r="L32" s="155">
        <v>2</v>
      </c>
      <c r="M32" s="155">
        <v>1</v>
      </c>
      <c r="N32" s="155">
        <v>0</v>
      </c>
      <c r="O32" s="156">
        <v>242.58999999999997</v>
      </c>
      <c r="P32" s="100">
        <f>VLOOKUP(Table3236[[#This Row],[Census Tract]],'Population and Diversity Data'!$B$2:$K$823,10,FALSE)</f>
        <v>4</v>
      </c>
      <c r="Q32" s="101" t="str">
        <f>VLOOKUP(Table3236[[#This Row],[Census Tract]],'UI EnergyBurden'!$A$2:$B$184,2,FALSE)</f>
        <v>No</v>
      </c>
    </row>
    <row r="33" spans="1:17" x14ac:dyDescent="0.2">
      <c r="A33" s="121">
        <v>9001061300</v>
      </c>
      <c r="B33" s="121" t="s">
        <v>2983</v>
      </c>
      <c r="C33" s="128" t="s">
        <v>3886</v>
      </c>
      <c r="D33" s="152">
        <v>1635.4101303746538</v>
      </c>
      <c r="E33" s="152">
        <v>0</v>
      </c>
      <c r="F33" s="153">
        <f>[2]!Table323[[#This Row],[Single Family]]+[2]!Table323[[#This Row],[2-4 Units]]+[2]!Table323[[#This Row],[&gt;4 Units]]</f>
        <v>0</v>
      </c>
      <c r="G33" s="153"/>
      <c r="H33" s="153"/>
      <c r="I33" s="153"/>
      <c r="J33" s="154">
        <v>0</v>
      </c>
      <c r="K33" s="153">
        <f>SUM([2]!Table323[[#This Row],[Single Family ]:[&gt;4 Units ]])</f>
        <v>0</v>
      </c>
      <c r="L33" s="155"/>
      <c r="M33" s="155"/>
      <c r="N33" s="155"/>
      <c r="O33" s="156">
        <v>0</v>
      </c>
      <c r="P33" s="100">
        <f>VLOOKUP(Table3236[[#This Row],[Census Tract]],'Population and Diversity Data'!$B$2:$K$823,10,FALSE)</f>
        <v>4</v>
      </c>
      <c r="Q33" s="101" t="str">
        <f>VLOOKUP(Table3236[[#This Row],[Census Tract]],'UI EnergyBurden'!$A$2:$B$184,2,FALSE)</f>
        <v>No</v>
      </c>
    </row>
    <row r="34" spans="1:17" x14ac:dyDescent="0.2">
      <c r="A34" s="121">
        <v>9001061400</v>
      </c>
      <c r="B34" s="121" t="s">
        <v>2983</v>
      </c>
      <c r="C34" s="128" t="s">
        <v>3886</v>
      </c>
      <c r="D34" s="152">
        <v>47286.117580815568</v>
      </c>
      <c r="E34" s="152">
        <v>5345.31</v>
      </c>
      <c r="F34" s="153">
        <f>[2]!Table323[[#This Row],[Single Family]]+[2]!Table323[[#This Row],[2-4 Units]]+[2]!Table323[[#This Row],[&gt;4 Units]]</f>
        <v>8</v>
      </c>
      <c r="G34" s="153">
        <v>8</v>
      </c>
      <c r="H34" s="153">
        <v>0</v>
      </c>
      <c r="I34" s="153">
        <v>0</v>
      </c>
      <c r="J34" s="154">
        <v>3929.61</v>
      </c>
      <c r="K34" s="153">
        <f>SUM([2]!Table323[[#This Row],[Single Family ]:[&gt;4 Units ]])</f>
        <v>4</v>
      </c>
      <c r="L34" s="155">
        <v>2</v>
      </c>
      <c r="M34" s="155">
        <v>2</v>
      </c>
      <c r="N34" s="155">
        <v>0</v>
      </c>
      <c r="O34" s="156">
        <v>1415.7</v>
      </c>
      <c r="P34" s="100">
        <f>VLOOKUP(Table3236[[#This Row],[Census Tract]],'Population and Diversity Data'!$B$2:$K$823,10,FALSE)</f>
        <v>5</v>
      </c>
      <c r="Q34" s="101" t="str">
        <f>VLOOKUP(Table3236[[#This Row],[Census Tract]],'UI EnergyBurden'!$A$2:$B$184,2,FALSE)</f>
        <v>No</v>
      </c>
    </row>
    <row r="35" spans="1:17" x14ac:dyDescent="0.2">
      <c r="A35" s="121">
        <v>9001061400</v>
      </c>
      <c r="B35" s="121" t="s">
        <v>2983</v>
      </c>
      <c r="C35" s="128" t="s">
        <v>3886</v>
      </c>
      <c r="D35" s="152">
        <v>0</v>
      </c>
      <c r="E35" s="152">
        <v>2250</v>
      </c>
      <c r="F35" s="153">
        <f>[2]!Table323[[#This Row],[Single Family]]+[2]!Table323[[#This Row],[2-4 Units]]+[2]!Table323[[#This Row],[&gt;4 Units]]</f>
        <v>0</v>
      </c>
      <c r="G35" s="153"/>
      <c r="H35" s="153"/>
      <c r="I35" s="153"/>
      <c r="J35" s="154">
        <v>2250</v>
      </c>
      <c r="K35" s="153">
        <f>SUM([2]!Table323[[#This Row],[Single Family ]:[&gt;4 Units ]])</f>
        <v>0</v>
      </c>
      <c r="L35" s="155"/>
      <c r="M35" s="155"/>
      <c r="N35" s="155"/>
      <c r="O35" s="156">
        <v>0</v>
      </c>
      <c r="P35" s="100">
        <f>VLOOKUP(Table3236[[#This Row],[Census Tract]],'Population and Diversity Data'!$B$2:$K$823,10,FALSE)</f>
        <v>5</v>
      </c>
      <c r="Q35" s="101" t="str">
        <f>VLOOKUP(Table3236[[#This Row],[Census Tract]],'UI EnergyBurden'!$A$2:$B$184,2,FALSE)</f>
        <v>No</v>
      </c>
    </row>
    <row r="36" spans="1:17" x14ac:dyDescent="0.2">
      <c r="A36" s="121">
        <v>9001061500</v>
      </c>
      <c r="B36" s="121" t="s">
        <v>934</v>
      </c>
      <c r="C36" s="128" t="s">
        <v>3886</v>
      </c>
      <c r="D36" s="152">
        <v>0</v>
      </c>
      <c r="E36" s="152">
        <v>0</v>
      </c>
      <c r="F36" s="153">
        <f>[2]!Table323[[#This Row],[Single Family]]+[2]!Table323[[#This Row],[2-4 Units]]+[2]!Table323[[#This Row],[&gt;4 Units]]</f>
        <v>0</v>
      </c>
      <c r="G36" s="153"/>
      <c r="H36" s="153"/>
      <c r="I36" s="153"/>
      <c r="J36" s="154">
        <v>0</v>
      </c>
      <c r="K36" s="153">
        <f>SUM([2]!Table323[[#This Row],[Single Family ]:[&gt;4 Units ]])</f>
        <v>0</v>
      </c>
      <c r="L36" s="155"/>
      <c r="M36" s="155"/>
      <c r="N36" s="155"/>
      <c r="O36" s="156"/>
      <c r="P36" s="100">
        <f>VLOOKUP(Table3236[[#This Row],[Census Tract]],'Population and Diversity Data'!$B$2:$K$823,10,FALSE)</f>
        <v>4</v>
      </c>
      <c r="Q36" s="101" t="str">
        <f>VLOOKUP(Table3236[[#This Row],[Census Tract]],'UI EnergyBurden'!$A$2:$B$184,2,FALSE)</f>
        <v>No</v>
      </c>
    </row>
    <row r="37" spans="1:17" x14ac:dyDescent="0.2">
      <c r="A37" s="121">
        <v>9001061500</v>
      </c>
      <c r="B37" s="121" t="s">
        <v>2983</v>
      </c>
      <c r="C37" s="128" t="s">
        <v>3886</v>
      </c>
      <c r="D37" s="152">
        <v>89921.117486164017</v>
      </c>
      <c r="E37" s="152">
        <v>28348.230000000003</v>
      </c>
      <c r="F37" s="153">
        <f>[2]!Table323[[#This Row],[Single Family]]+[2]!Table323[[#This Row],[2-4 Units]]+[2]!Table323[[#This Row],[&gt;4 Units]]</f>
        <v>20</v>
      </c>
      <c r="G37" s="153">
        <v>19</v>
      </c>
      <c r="H37" s="153">
        <v>1</v>
      </c>
      <c r="I37" s="153">
        <v>0</v>
      </c>
      <c r="J37" s="154">
        <v>28348.230000000003</v>
      </c>
      <c r="K37" s="153">
        <f>SUM([2]!Table323[[#This Row],[Single Family ]:[&gt;4 Units ]])</f>
        <v>0</v>
      </c>
      <c r="L37" s="155"/>
      <c r="M37" s="155"/>
      <c r="N37" s="155"/>
      <c r="O37" s="156">
        <v>0</v>
      </c>
      <c r="P37" s="100">
        <f>VLOOKUP(Table3236[[#This Row],[Census Tract]],'Population and Diversity Data'!$B$2:$K$823,10,FALSE)</f>
        <v>4</v>
      </c>
      <c r="Q37" s="101" t="str">
        <f>VLOOKUP(Table3236[[#This Row],[Census Tract]],'UI EnergyBurden'!$A$2:$B$184,2,FALSE)</f>
        <v>No</v>
      </c>
    </row>
    <row r="38" spans="1:17" x14ac:dyDescent="0.2">
      <c r="A38" s="121">
        <v>9001061500</v>
      </c>
      <c r="B38" s="121" t="s">
        <v>934</v>
      </c>
      <c r="C38" s="128" t="s">
        <v>3886</v>
      </c>
      <c r="D38" s="152">
        <v>0</v>
      </c>
      <c r="E38" s="152">
        <v>0</v>
      </c>
      <c r="F38" s="153">
        <f>[2]!Table323[[#This Row],[Single Family]]+[2]!Table323[[#This Row],[2-4 Units]]+[2]!Table323[[#This Row],[&gt;4 Units]]</f>
        <v>0</v>
      </c>
      <c r="G38" s="153"/>
      <c r="H38" s="153"/>
      <c r="I38" s="153"/>
      <c r="J38" s="154">
        <v>0</v>
      </c>
      <c r="K38" s="153">
        <f>SUM([2]!Table323[[#This Row],[Single Family ]:[&gt;4 Units ]])</f>
        <v>0</v>
      </c>
      <c r="L38" s="155"/>
      <c r="M38" s="155"/>
      <c r="N38" s="155"/>
      <c r="O38" s="156"/>
      <c r="P38" s="100">
        <f>VLOOKUP(Table3236[[#This Row],[Census Tract]],'Population and Diversity Data'!$B$2:$K$823,10,FALSE)</f>
        <v>4</v>
      </c>
      <c r="Q38" s="101" t="str">
        <f>VLOOKUP(Table3236[[#This Row],[Census Tract]],'UI EnergyBurden'!$A$2:$B$184,2,FALSE)</f>
        <v>No</v>
      </c>
    </row>
    <row r="39" spans="1:17" x14ac:dyDescent="0.2">
      <c r="A39" s="121">
        <v>9001061500</v>
      </c>
      <c r="B39" s="121" t="s">
        <v>2983</v>
      </c>
      <c r="C39" s="128" t="s">
        <v>3886</v>
      </c>
      <c r="D39" s="152">
        <v>0</v>
      </c>
      <c r="E39" s="152">
        <v>0</v>
      </c>
      <c r="F39" s="153">
        <f>[2]!Table323[[#This Row],[Single Family]]+[2]!Table323[[#This Row],[2-4 Units]]+[2]!Table323[[#This Row],[&gt;4 Units]]</f>
        <v>0</v>
      </c>
      <c r="G39" s="153"/>
      <c r="H39" s="153"/>
      <c r="I39" s="153"/>
      <c r="J39" s="154">
        <v>0</v>
      </c>
      <c r="K39" s="153">
        <f>SUM([2]!Table323[[#This Row],[Single Family ]:[&gt;4 Units ]])</f>
        <v>0</v>
      </c>
      <c r="L39" s="155"/>
      <c r="M39" s="155"/>
      <c r="N39" s="155"/>
      <c r="O39" s="156">
        <v>0</v>
      </c>
      <c r="P39" s="100">
        <f>VLOOKUP(Table3236[[#This Row],[Census Tract]],'Population and Diversity Data'!$B$2:$K$823,10,FALSE)</f>
        <v>4</v>
      </c>
      <c r="Q39" s="101" t="str">
        <f>VLOOKUP(Table3236[[#This Row],[Census Tract]],'UI EnergyBurden'!$A$2:$B$184,2,FALSE)</f>
        <v>No</v>
      </c>
    </row>
    <row r="40" spans="1:17" x14ac:dyDescent="0.2">
      <c r="A40" s="121">
        <v>9001061600</v>
      </c>
      <c r="B40" s="121" t="s">
        <v>2983</v>
      </c>
      <c r="C40" s="128" t="s">
        <v>3886</v>
      </c>
      <c r="D40" s="152">
        <v>95431.513364307073</v>
      </c>
      <c r="E40" s="152">
        <v>30816.59</v>
      </c>
      <c r="F40" s="153">
        <f>[2]!Table323[[#This Row],[Single Family]]+[2]!Table323[[#This Row],[2-4 Units]]+[2]!Table323[[#This Row],[&gt;4 Units]]</f>
        <v>30</v>
      </c>
      <c r="G40" s="153">
        <v>23</v>
      </c>
      <c r="H40" s="153">
        <v>7</v>
      </c>
      <c r="I40" s="153">
        <v>0</v>
      </c>
      <c r="J40" s="154">
        <v>28850.179999999997</v>
      </c>
      <c r="K40" s="153">
        <f>SUM([2]!Table323[[#This Row],[Single Family ]:[&gt;4 Units ]])</f>
        <v>2</v>
      </c>
      <c r="L40" s="155">
        <v>2</v>
      </c>
      <c r="M40" s="155">
        <v>0</v>
      </c>
      <c r="N40" s="155">
        <v>0</v>
      </c>
      <c r="O40" s="156">
        <v>1966.41</v>
      </c>
      <c r="P40" s="100">
        <f>VLOOKUP(Table3236[[#This Row],[Census Tract]],'Population and Diversity Data'!$B$2:$K$823,10,FALSE)</f>
        <v>1</v>
      </c>
      <c r="Q40" s="101" t="str">
        <f>VLOOKUP(Table3236[[#This Row],[Census Tract]],'UI EnergyBurden'!$A$2:$B$184,2,FALSE)</f>
        <v>No</v>
      </c>
    </row>
    <row r="41" spans="1:17" x14ac:dyDescent="0.2">
      <c r="A41" s="121">
        <v>9001061600</v>
      </c>
      <c r="B41" s="121" t="s">
        <v>2983</v>
      </c>
      <c r="C41" s="128" t="s">
        <v>3886</v>
      </c>
      <c r="D41" s="152">
        <v>1490.6312751111341</v>
      </c>
      <c r="E41" s="152">
        <v>0</v>
      </c>
      <c r="F41" s="153">
        <f>[2]!Table323[[#This Row],[Single Family]]+[2]!Table323[[#This Row],[2-4 Units]]+[2]!Table323[[#This Row],[&gt;4 Units]]</f>
        <v>0</v>
      </c>
      <c r="G41" s="153"/>
      <c r="H41" s="153"/>
      <c r="I41" s="153"/>
      <c r="J41" s="154">
        <v>0</v>
      </c>
      <c r="K41" s="153">
        <f>SUM([2]!Table323[[#This Row],[Single Family ]:[&gt;4 Units ]])</f>
        <v>0</v>
      </c>
      <c r="L41" s="155"/>
      <c r="M41" s="155"/>
      <c r="N41" s="155"/>
      <c r="O41" s="156">
        <v>0</v>
      </c>
      <c r="P41" s="100">
        <f>VLOOKUP(Table3236[[#This Row],[Census Tract]],'Population and Diversity Data'!$B$2:$K$823,10,FALSE)</f>
        <v>1</v>
      </c>
      <c r="Q41" s="101" t="str">
        <f>VLOOKUP(Table3236[[#This Row],[Census Tract]],'UI EnergyBurden'!$A$2:$B$184,2,FALSE)</f>
        <v>No</v>
      </c>
    </row>
    <row r="42" spans="1:17" x14ac:dyDescent="0.2">
      <c r="A42" s="121">
        <v>9001070100</v>
      </c>
      <c r="B42" s="121" t="s">
        <v>934</v>
      </c>
      <c r="C42" s="128" t="s">
        <v>3887</v>
      </c>
      <c r="D42" s="152">
        <v>75642.879969884627</v>
      </c>
      <c r="E42" s="152">
        <v>24708.17</v>
      </c>
      <c r="F42" s="153">
        <f>[2]!Table323[[#This Row],[Single Family]]+[2]!Table323[[#This Row],[2-4 Units]]+[2]!Table323[[#This Row],[&gt;4 Units]]</f>
        <v>30</v>
      </c>
      <c r="G42" s="153">
        <v>25</v>
      </c>
      <c r="H42" s="153">
        <v>5</v>
      </c>
      <c r="I42" s="153">
        <v>0</v>
      </c>
      <c r="J42" s="154">
        <v>22114.409999999996</v>
      </c>
      <c r="K42" s="153">
        <f>SUM([2]!Table323[[#This Row],[Single Family ]:[&gt;4 Units ]])</f>
        <v>6</v>
      </c>
      <c r="L42" s="155">
        <v>3</v>
      </c>
      <c r="M42" s="155">
        <v>3</v>
      </c>
      <c r="N42" s="155">
        <v>0</v>
      </c>
      <c r="O42" s="156">
        <v>2593.7599999999998</v>
      </c>
      <c r="P42" s="100">
        <f>VLOOKUP(Table3236[[#This Row],[Census Tract]],'Population and Diversity Data'!$B$2:$K$823,10,FALSE)</f>
        <v>4</v>
      </c>
      <c r="Q42" s="101" t="str">
        <f>VLOOKUP(Table3236[[#This Row],[Census Tract]],'UI EnergyBurden'!$A$2:$B$184,2,FALSE)</f>
        <v>No</v>
      </c>
    </row>
    <row r="43" spans="1:17" x14ac:dyDescent="0.2">
      <c r="A43" s="121">
        <v>9001070100</v>
      </c>
      <c r="B43" s="121" t="s">
        <v>934</v>
      </c>
      <c r="C43" s="128" t="s">
        <v>3887</v>
      </c>
      <c r="D43" s="152">
        <v>0</v>
      </c>
      <c r="E43" s="152">
        <v>0</v>
      </c>
      <c r="F43" s="153">
        <f>[2]!Table323[[#This Row],[Single Family]]+[2]!Table323[[#This Row],[2-4 Units]]+[2]!Table323[[#This Row],[&gt;4 Units]]</f>
        <v>0</v>
      </c>
      <c r="G43" s="153"/>
      <c r="H43" s="153"/>
      <c r="I43" s="153"/>
      <c r="J43" s="154">
        <v>0</v>
      </c>
      <c r="K43" s="153">
        <f>SUM([2]!Table323[[#This Row],[Single Family ]:[&gt;4 Units ]])</f>
        <v>0</v>
      </c>
      <c r="L43" s="155"/>
      <c r="M43" s="155"/>
      <c r="N43" s="155"/>
      <c r="O43" s="156">
        <v>0</v>
      </c>
      <c r="P43" s="100">
        <f>VLOOKUP(Table3236[[#This Row],[Census Tract]],'Population and Diversity Data'!$B$2:$K$823,10,FALSE)</f>
        <v>4</v>
      </c>
      <c r="Q43" s="101" t="str">
        <f>VLOOKUP(Table3236[[#This Row],[Census Tract]],'UI EnergyBurden'!$A$2:$B$184,2,FALSE)</f>
        <v>No</v>
      </c>
    </row>
    <row r="44" spans="1:17" x14ac:dyDescent="0.2">
      <c r="A44" s="121">
        <v>9001070200</v>
      </c>
      <c r="B44" s="121" t="s">
        <v>934</v>
      </c>
      <c r="C44" s="128" t="s">
        <v>3887</v>
      </c>
      <c r="D44" s="152">
        <v>38171.706941219134</v>
      </c>
      <c r="E44" s="152">
        <v>5741.51</v>
      </c>
      <c r="F44" s="153">
        <f>[2]!Table323[[#This Row],[Single Family]]+[2]!Table323[[#This Row],[2-4 Units]]+[2]!Table323[[#This Row],[&gt;4 Units]]</f>
        <v>9</v>
      </c>
      <c r="G44" s="153">
        <v>5</v>
      </c>
      <c r="H44" s="153">
        <v>4</v>
      </c>
      <c r="I44" s="153">
        <v>0</v>
      </c>
      <c r="J44" s="154">
        <v>2065.1999999999998</v>
      </c>
      <c r="K44" s="153">
        <f>SUM([2]!Table323[[#This Row],[Single Family ]:[&gt;4 Units ]])</f>
        <v>12</v>
      </c>
      <c r="L44" s="155">
        <v>4</v>
      </c>
      <c r="M44" s="155">
        <v>7</v>
      </c>
      <c r="N44" s="155">
        <v>1</v>
      </c>
      <c r="O44" s="156">
        <v>3676.3099999999995</v>
      </c>
      <c r="P44" s="100">
        <f>VLOOKUP(Table3236[[#This Row],[Census Tract]],'Population and Diversity Data'!$B$2:$K$823,10,FALSE)</f>
        <v>4</v>
      </c>
      <c r="Q44" s="101" t="str">
        <f>VLOOKUP(Table3236[[#This Row],[Census Tract]],'UI EnergyBurden'!$A$2:$B$184,2,FALSE)</f>
        <v>No</v>
      </c>
    </row>
    <row r="45" spans="1:17" x14ac:dyDescent="0.2">
      <c r="A45" s="121">
        <v>9001070200</v>
      </c>
      <c r="B45" s="121" t="s">
        <v>934</v>
      </c>
      <c r="C45" s="128" t="s">
        <v>3887</v>
      </c>
      <c r="D45" s="152">
        <v>0</v>
      </c>
      <c r="E45" s="152">
        <v>0</v>
      </c>
      <c r="F45" s="153">
        <f>[2]!Table323[[#This Row],[Single Family]]+[2]!Table323[[#This Row],[2-4 Units]]+[2]!Table323[[#This Row],[&gt;4 Units]]</f>
        <v>0</v>
      </c>
      <c r="G45" s="153"/>
      <c r="H45" s="153"/>
      <c r="I45" s="153"/>
      <c r="J45" s="154">
        <v>0</v>
      </c>
      <c r="K45" s="153">
        <f>SUM([2]!Table323[[#This Row],[Single Family ]:[&gt;4 Units ]])</f>
        <v>0</v>
      </c>
      <c r="L45" s="155"/>
      <c r="M45" s="155"/>
      <c r="N45" s="155"/>
      <c r="O45" s="156"/>
      <c r="P45" s="100">
        <f>VLOOKUP(Table3236[[#This Row],[Census Tract]],'Population and Diversity Data'!$B$2:$K$823,10,FALSE)</f>
        <v>4</v>
      </c>
      <c r="Q45" s="101" t="str">
        <f>VLOOKUP(Table3236[[#This Row],[Census Tract]],'UI EnergyBurden'!$A$2:$B$184,2,FALSE)</f>
        <v>No</v>
      </c>
    </row>
    <row r="46" spans="1:17" x14ac:dyDescent="0.2">
      <c r="A46" s="121">
        <v>9001070300</v>
      </c>
      <c r="B46" s="121" t="s">
        <v>934</v>
      </c>
      <c r="C46" s="128" t="s">
        <v>3887</v>
      </c>
      <c r="D46" s="152">
        <v>12847.198252129547</v>
      </c>
      <c r="E46" s="152">
        <v>241.24</v>
      </c>
      <c r="F46" s="153">
        <f>[2]!Table323[[#This Row],[Single Family]]+[2]!Table323[[#This Row],[2-4 Units]]+[2]!Table323[[#This Row],[&gt;4 Units]]</f>
        <v>0</v>
      </c>
      <c r="G46" s="153"/>
      <c r="H46" s="153"/>
      <c r="I46" s="153"/>
      <c r="J46" s="154">
        <v>0</v>
      </c>
      <c r="K46" s="153">
        <f>SUM([2]!Table323[[#This Row],[Single Family ]:[&gt;4 Units ]])</f>
        <v>1</v>
      </c>
      <c r="L46" s="155">
        <v>0</v>
      </c>
      <c r="M46" s="155">
        <v>1</v>
      </c>
      <c r="N46" s="155">
        <v>0</v>
      </c>
      <c r="O46" s="156">
        <v>241.24</v>
      </c>
      <c r="P46" s="100">
        <f>VLOOKUP(Table3236[[#This Row],[Census Tract]],'Population and Diversity Data'!$B$2:$K$823,10,FALSE)</f>
        <v>4</v>
      </c>
      <c r="Q46" s="101" t="str">
        <f>VLOOKUP(Table3236[[#This Row],[Census Tract]],'UI EnergyBurden'!$A$2:$B$184,2,FALSE)</f>
        <v>Yes</v>
      </c>
    </row>
    <row r="47" spans="1:17" x14ac:dyDescent="0.2">
      <c r="A47" s="121">
        <v>9001070300</v>
      </c>
      <c r="B47" s="121" t="s">
        <v>934</v>
      </c>
      <c r="C47" s="128" t="s">
        <v>3887</v>
      </c>
      <c r="D47" s="152">
        <v>0</v>
      </c>
      <c r="E47" s="152">
        <v>0</v>
      </c>
      <c r="F47" s="153">
        <f>[2]!Table323[[#This Row],[Single Family]]+[2]!Table323[[#This Row],[2-4 Units]]+[2]!Table323[[#This Row],[&gt;4 Units]]</f>
        <v>0</v>
      </c>
      <c r="G47" s="153"/>
      <c r="H47" s="153"/>
      <c r="I47" s="153"/>
      <c r="J47" s="154">
        <v>0</v>
      </c>
      <c r="K47" s="153">
        <f>SUM([2]!Table323[[#This Row],[Single Family ]:[&gt;4 Units ]])</f>
        <v>0</v>
      </c>
      <c r="L47" s="155"/>
      <c r="M47" s="155"/>
      <c r="N47" s="155"/>
      <c r="O47" s="156">
        <v>0</v>
      </c>
      <c r="P47" s="100">
        <f>VLOOKUP(Table3236[[#This Row],[Census Tract]],'Population and Diversity Data'!$B$2:$K$823,10,FALSE)</f>
        <v>4</v>
      </c>
      <c r="Q47" s="101" t="str">
        <f>VLOOKUP(Table3236[[#This Row],[Census Tract]],'UI EnergyBurden'!$A$2:$B$184,2,FALSE)</f>
        <v>Yes</v>
      </c>
    </row>
    <row r="48" spans="1:17" x14ac:dyDescent="0.2">
      <c r="A48" s="121">
        <v>9001070400</v>
      </c>
      <c r="B48" s="121" t="s">
        <v>934</v>
      </c>
      <c r="C48" s="128" t="s">
        <v>3887</v>
      </c>
      <c r="D48" s="152">
        <v>17204.326211296007</v>
      </c>
      <c r="E48" s="152">
        <v>13209.789999999999</v>
      </c>
      <c r="F48" s="153">
        <f>[2]!Table323[[#This Row],[Single Family]]+[2]!Table323[[#This Row],[2-4 Units]]+[2]!Table323[[#This Row],[&gt;4 Units]]</f>
        <v>4</v>
      </c>
      <c r="G48" s="153">
        <v>4</v>
      </c>
      <c r="H48" s="153">
        <v>0</v>
      </c>
      <c r="I48" s="153">
        <v>0</v>
      </c>
      <c r="J48" s="154">
        <v>13209.789999999999</v>
      </c>
      <c r="K48" s="153">
        <f>SUM([2]!Table323[[#This Row],[Single Family ]:[&gt;4 Units ]])</f>
        <v>0</v>
      </c>
      <c r="L48" s="155"/>
      <c r="M48" s="155"/>
      <c r="N48" s="155"/>
      <c r="O48" s="156">
        <v>0</v>
      </c>
      <c r="P48" s="100">
        <f>VLOOKUP(Table3236[[#This Row],[Census Tract]],'Population and Diversity Data'!$B$2:$K$823,10,FALSE)</f>
        <v>5</v>
      </c>
      <c r="Q48" s="101" t="str">
        <f>VLOOKUP(Table3236[[#This Row],[Census Tract]],'UI EnergyBurden'!$A$2:$B$184,2,FALSE)</f>
        <v>Yes</v>
      </c>
    </row>
    <row r="49" spans="1:17" x14ac:dyDescent="0.2">
      <c r="A49" s="121">
        <v>9001070400</v>
      </c>
      <c r="B49" s="121" t="s">
        <v>956</v>
      </c>
      <c r="C49" s="128" t="s">
        <v>3887</v>
      </c>
      <c r="D49" s="152">
        <v>11.920248861301253</v>
      </c>
      <c r="E49" s="152">
        <v>0</v>
      </c>
      <c r="F49" s="153">
        <f>[2]!Table323[[#This Row],[Single Family]]+[2]!Table323[[#This Row],[2-4 Units]]+[2]!Table323[[#This Row],[&gt;4 Units]]</f>
        <v>0</v>
      </c>
      <c r="G49" s="153"/>
      <c r="H49" s="153"/>
      <c r="I49" s="153"/>
      <c r="J49" s="154">
        <v>0</v>
      </c>
      <c r="K49" s="153">
        <f>SUM([2]!Table323[[#This Row],[Single Family ]:[&gt;4 Units ]])</f>
        <v>0</v>
      </c>
      <c r="L49" s="155"/>
      <c r="M49" s="155"/>
      <c r="N49" s="155"/>
      <c r="O49" s="156"/>
      <c r="P49" s="100">
        <f>VLOOKUP(Table3236[[#This Row],[Census Tract]],'Population and Diversity Data'!$B$2:$K$823,10,FALSE)</f>
        <v>5</v>
      </c>
      <c r="Q49" s="101" t="str">
        <f>VLOOKUP(Table3236[[#This Row],[Census Tract]],'UI EnergyBurden'!$A$2:$B$184,2,FALSE)</f>
        <v>Yes</v>
      </c>
    </row>
    <row r="50" spans="1:17" x14ac:dyDescent="0.2">
      <c r="A50" s="121">
        <v>9001070400</v>
      </c>
      <c r="B50" s="121" t="s">
        <v>934</v>
      </c>
      <c r="C50" s="128" t="s">
        <v>3887</v>
      </c>
      <c r="D50" s="152">
        <v>0</v>
      </c>
      <c r="E50" s="152">
        <v>0</v>
      </c>
      <c r="F50" s="153">
        <f>[2]!Table323[[#This Row],[Single Family]]+[2]!Table323[[#This Row],[2-4 Units]]+[2]!Table323[[#This Row],[&gt;4 Units]]</f>
        <v>0</v>
      </c>
      <c r="G50" s="153"/>
      <c r="H50" s="153"/>
      <c r="I50" s="153"/>
      <c r="J50" s="154">
        <v>0</v>
      </c>
      <c r="K50" s="153">
        <f>SUM([2]!Table323[[#This Row],[Single Family ]:[&gt;4 Units ]])</f>
        <v>0</v>
      </c>
      <c r="L50" s="155"/>
      <c r="M50" s="155"/>
      <c r="N50" s="155"/>
      <c r="O50" s="156">
        <v>0</v>
      </c>
      <c r="P50" s="100">
        <f>VLOOKUP(Table3236[[#This Row],[Census Tract]],'Population and Diversity Data'!$B$2:$K$823,10,FALSE)</f>
        <v>5</v>
      </c>
      <c r="Q50" s="101" t="str">
        <f>VLOOKUP(Table3236[[#This Row],[Census Tract]],'UI EnergyBurden'!$A$2:$B$184,2,FALSE)</f>
        <v>Yes</v>
      </c>
    </row>
    <row r="51" spans="1:17" x14ac:dyDescent="0.2">
      <c r="A51" s="121">
        <v>9001070500</v>
      </c>
      <c r="B51" s="121" t="s">
        <v>934</v>
      </c>
      <c r="C51" s="128" t="s">
        <v>3887</v>
      </c>
      <c r="D51" s="152">
        <v>17481.174221933346</v>
      </c>
      <c r="E51" s="152">
        <v>1074.3700000000001</v>
      </c>
      <c r="F51" s="153">
        <f>[2]!Table323[[#This Row],[Single Family]]+[2]!Table323[[#This Row],[2-4 Units]]+[2]!Table323[[#This Row],[&gt;4 Units]]</f>
        <v>1</v>
      </c>
      <c r="G51" s="153">
        <v>1</v>
      </c>
      <c r="H51" s="153">
        <v>0</v>
      </c>
      <c r="I51" s="153">
        <v>0</v>
      </c>
      <c r="J51" s="154">
        <v>1074.3700000000001</v>
      </c>
      <c r="K51" s="153">
        <f>SUM([2]!Table323[[#This Row],[Single Family ]:[&gt;4 Units ]])</f>
        <v>0</v>
      </c>
      <c r="L51" s="155"/>
      <c r="M51" s="155"/>
      <c r="N51" s="155"/>
      <c r="O51" s="156">
        <v>0</v>
      </c>
      <c r="P51" s="100">
        <f>VLOOKUP(Table3236[[#This Row],[Census Tract]],'Population and Diversity Data'!$B$2:$K$823,10,FALSE)</f>
        <v>5</v>
      </c>
      <c r="Q51" s="101" t="str">
        <f>VLOOKUP(Table3236[[#This Row],[Census Tract]],'UI EnergyBurden'!$A$2:$B$184,2,FALSE)</f>
        <v>Yes</v>
      </c>
    </row>
    <row r="52" spans="1:17" x14ac:dyDescent="0.2">
      <c r="A52" s="121">
        <v>9001070500</v>
      </c>
      <c r="B52" s="121" t="s">
        <v>934</v>
      </c>
      <c r="C52" s="128" t="s">
        <v>3887</v>
      </c>
      <c r="D52" s="152">
        <v>0</v>
      </c>
      <c r="E52" s="152">
        <v>0</v>
      </c>
      <c r="F52" s="153">
        <f>[2]!Table323[[#This Row],[Single Family]]+[2]!Table323[[#This Row],[2-4 Units]]+[2]!Table323[[#This Row],[&gt;4 Units]]</f>
        <v>0</v>
      </c>
      <c r="G52" s="153"/>
      <c r="H52" s="153"/>
      <c r="I52" s="153"/>
      <c r="J52" s="154">
        <v>0</v>
      </c>
      <c r="K52" s="153">
        <f>SUM([2]!Table323[[#This Row],[Single Family ]:[&gt;4 Units ]])</f>
        <v>0</v>
      </c>
      <c r="L52" s="155"/>
      <c r="M52" s="155"/>
      <c r="N52" s="155"/>
      <c r="O52" s="156"/>
      <c r="P52" s="100">
        <f>VLOOKUP(Table3236[[#This Row],[Census Tract]],'Population and Diversity Data'!$B$2:$K$823,10,FALSE)</f>
        <v>5</v>
      </c>
      <c r="Q52" s="101" t="str">
        <f>VLOOKUP(Table3236[[#This Row],[Census Tract]],'UI EnergyBurden'!$A$2:$B$184,2,FALSE)</f>
        <v>Yes</v>
      </c>
    </row>
    <row r="53" spans="1:17" x14ac:dyDescent="0.2">
      <c r="A53" s="121">
        <v>9001070600</v>
      </c>
      <c r="B53" s="121" t="s">
        <v>934</v>
      </c>
      <c r="C53" s="128" t="s">
        <v>3887</v>
      </c>
      <c r="D53" s="152">
        <v>32159.257142406703</v>
      </c>
      <c r="E53" s="152">
        <v>155642.63</v>
      </c>
      <c r="F53" s="153">
        <f>[2]!Table323[[#This Row],[Single Family]]+[2]!Table323[[#This Row],[2-4 Units]]+[2]!Table323[[#This Row],[&gt;4 Units]]</f>
        <v>0</v>
      </c>
      <c r="G53" s="153"/>
      <c r="H53" s="153"/>
      <c r="I53" s="153"/>
      <c r="J53" s="154">
        <v>0</v>
      </c>
      <c r="K53" s="153">
        <f>SUM([2]!Table323[[#This Row],[Single Family ]:[&gt;4 Units ]])</f>
        <v>5</v>
      </c>
      <c r="L53" s="155">
        <v>2</v>
      </c>
      <c r="M53" s="155">
        <v>1</v>
      </c>
      <c r="N53" s="155">
        <v>2</v>
      </c>
      <c r="O53" s="156">
        <v>155642.63</v>
      </c>
      <c r="P53" s="100">
        <f>VLOOKUP(Table3236[[#This Row],[Census Tract]],'Population and Diversity Data'!$B$2:$K$823,10,FALSE)</f>
        <v>4</v>
      </c>
      <c r="Q53" s="101" t="str">
        <f>VLOOKUP(Table3236[[#This Row],[Census Tract]],'UI EnergyBurden'!$A$2:$B$184,2,FALSE)</f>
        <v>No</v>
      </c>
    </row>
    <row r="54" spans="1:17" x14ac:dyDescent="0.2">
      <c r="A54" s="121">
        <v>9001070600</v>
      </c>
      <c r="B54" s="121" t="s">
        <v>934</v>
      </c>
      <c r="C54" s="128" t="s">
        <v>3887</v>
      </c>
      <c r="D54" s="152">
        <v>0</v>
      </c>
      <c r="E54" s="152">
        <v>0</v>
      </c>
      <c r="F54" s="153">
        <f>[2]!Table323[[#This Row],[Single Family]]+[2]!Table323[[#This Row],[2-4 Units]]+[2]!Table323[[#This Row],[&gt;4 Units]]</f>
        <v>0</v>
      </c>
      <c r="G54" s="153"/>
      <c r="H54" s="153"/>
      <c r="I54" s="153"/>
      <c r="J54" s="154">
        <v>0</v>
      </c>
      <c r="K54" s="153">
        <f>SUM([2]!Table323[[#This Row],[Single Family ]:[&gt;4 Units ]])</f>
        <v>0</v>
      </c>
      <c r="L54" s="155"/>
      <c r="M54" s="155"/>
      <c r="N54" s="155"/>
      <c r="O54" s="156">
        <v>0</v>
      </c>
      <c r="P54" s="100">
        <f>VLOOKUP(Table3236[[#This Row],[Census Tract]],'Population and Diversity Data'!$B$2:$K$823,10,FALSE)</f>
        <v>4</v>
      </c>
      <c r="Q54" s="101" t="str">
        <f>VLOOKUP(Table3236[[#This Row],[Census Tract]],'UI EnergyBurden'!$A$2:$B$184,2,FALSE)</f>
        <v>No</v>
      </c>
    </row>
    <row r="55" spans="1:17" x14ac:dyDescent="0.2">
      <c r="A55" s="121">
        <v>9001070900</v>
      </c>
      <c r="B55" s="121" t="s">
        <v>934</v>
      </c>
      <c r="C55" s="128" t="s">
        <v>3887</v>
      </c>
      <c r="D55" s="152">
        <v>24032.389722571537</v>
      </c>
      <c r="E55" s="152">
        <v>5276.21</v>
      </c>
      <c r="F55" s="153">
        <f>[2]!Table323[[#This Row],[Single Family]]+[2]!Table323[[#This Row],[2-4 Units]]+[2]!Table323[[#This Row],[&gt;4 Units]]</f>
        <v>4</v>
      </c>
      <c r="G55" s="153">
        <v>2</v>
      </c>
      <c r="H55" s="153">
        <v>2</v>
      </c>
      <c r="I55" s="153">
        <v>0</v>
      </c>
      <c r="J55" s="154">
        <v>702.89</v>
      </c>
      <c r="K55" s="153">
        <f>SUM([2]!Table323[[#This Row],[Single Family ]:[&gt;4 Units ]])</f>
        <v>9</v>
      </c>
      <c r="L55" s="155">
        <v>5</v>
      </c>
      <c r="M55" s="155">
        <v>4</v>
      </c>
      <c r="N55" s="155">
        <v>0</v>
      </c>
      <c r="O55" s="156">
        <v>4573.3200000000006</v>
      </c>
      <c r="P55" s="100">
        <f>VLOOKUP(Table3236[[#This Row],[Census Tract]],'Population and Diversity Data'!$B$2:$K$823,10,FALSE)</f>
        <v>5</v>
      </c>
      <c r="Q55" s="101" t="str">
        <f>VLOOKUP(Table3236[[#This Row],[Census Tract]],'UI EnergyBurden'!$A$2:$B$184,2,FALSE)</f>
        <v>Yes</v>
      </c>
    </row>
    <row r="56" spans="1:17" x14ac:dyDescent="0.2">
      <c r="A56" s="121">
        <v>9001070900</v>
      </c>
      <c r="B56" s="121" t="s">
        <v>934</v>
      </c>
      <c r="C56" s="128" t="s">
        <v>3887</v>
      </c>
      <c r="D56" s="152">
        <v>0</v>
      </c>
      <c r="E56" s="152">
        <v>0</v>
      </c>
      <c r="F56" s="153">
        <f>[2]!Table323[[#This Row],[Single Family]]+[2]!Table323[[#This Row],[2-4 Units]]+[2]!Table323[[#This Row],[&gt;4 Units]]</f>
        <v>0</v>
      </c>
      <c r="G56" s="153"/>
      <c r="H56" s="153"/>
      <c r="I56" s="153"/>
      <c r="J56" s="154">
        <v>0</v>
      </c>
      <c r="K56" s="153">
        <f>SUM([2]!Table323[[#This Row],[Single Family ]:[&gt;4 Units ]])</f>
        <v>0</v>
      </c>
      <c r="L56" s="155"/>
      <c r="M56" s="155"/>
      <c r="N56" s="155"/>
      <c r="O56" s="156">
        <v>0</v>
      </c>
      <c r="P56" s="100">
        <f>VLOOKUP(Table3236[[#This Row],[Census Tract]],'Population and Diversity Data'!$B$2:$K$823,10,FALSE)</f>
        <v>5</v>
      </c>
      <c r="Q56" s="101" t="str">
        <f>VLOOKUP(Table3236[[#This Row],[Census Tract]],'UI EnergyBurden'!$A$2:$B$184,2,FALSE)</f>
        <v>Yes</v>
      </c>
    </row>
    <row r="57" spans="1:17" x14ac:dyDescent="0.2">
      <c r="A57" s="121">
        <v>9001071000</v>
      </c>
      <c r="B57" s="121" t="s">
        <v>934</v>
      </c>
      <c r="C57" s="128" t="s">
        <v>3887</v>
      </c>
      <c r="D57" s="152">
        <v>31840.863694316715</v>
      </c>
      <c r="E57" s="152">
        <v>8702.2800000000007</v>
      </c>
      <c r="F57" s="153">
        <f>[2]!Table323[[#This Row],[Single Family]]+[2]!Table323[[#This Row],[2-4 Units]]+[2]!Table323[[#This Row],[&gt;4 Units]]</f>
        <v>10</v>
      </c>
      <c r="G57" s="153">
        <v>7</v>
      </c>
      <c r="H57" s="153">
        <v>3</v>
      </c>
      <c r="I57" s="153">
        <v>0</v>
      </c>
      <c r="J57" s="154">
        <v>7305.18</v>
      </c>
      <c r="K57" s="153">
        <f>SUM([2]!Table323[[#This Row],[Single Family ]:[&gt;4 Units ]])</f>
        <v>11</v>
      </c>
      <c r="L57" s="155">
        <v>1</v>
      </c>
      <c r="M57" s="155">
        <v>10</v>
      </c>
      <c r="N57" s="155">
        <v>0</v>
      </c>
      <c r="O57" s="156">
        <v>1397.1</v>
      </c>
      <c r="P57" s="100">
        <f>VLOOKUP(Table3236[[#This Row],[Census Tract]],'Population and Diversity Data'!$B$2:$K$823,10,FALSE)</f>
        <v>5</v>
      </c>
      <c r="Q57" s="101" t="str">
        <f>VLOOKUP(Table3236[[#This Row],[Census Tract]],'UI EnergyBurden'!$A$2:$B$184,2,FALSE)</f>
        <v>Yes</v>
      </c>
    </row>
    <row r="58" spans="1:17" x14ac:dyDescent="0.2">
      <c r="A58" s="121">
        <v>9001071000</v>
      </c>
      <c r="B58" s="121" t="s">
        <v>934</v>
      </c>
      <c r="C58" s="128" t="s">
        <v>3887</v>
      </c>
      <c r="D58" s="152">
        <v>0</v>
      </c>
      <c r="E58" s="152">
        <v>0</v>
      </c>
      <c r="F58" s="153">
        <f>[2]!Table323[[#This Row],[Single Family]]+[2]!Table323[[#This Row],[2-4 Units]]+[2]!Table323[[#This Row],[&gt;4 Units]]</f>
        <v>0</v>
      </c>
      <c r="G58" s="153"/>
      <c r="H58" s="153"/>
      <c r="I58" s="153"/>
      <c r="J58" s="154">
        <v>0</v>
      </c>
      <c r="K58" s="153">
        <f>SUM([2]!Table323[[#This Row],[Single Family ]:[&gt;4 Units ]])</f>
        <v>0</v>
      </c>
      <c r="L58" s="155"/>
      <c r="M58" s="155"/>
      <c r="N58" s="155"/>
      <c r="O58" s="156">
        <v>0</v>
      </c>
      <c r="P58" s="100">
        <f>VLOOKUP(Table3236[[#This Row],[Census Tract]],'Population and Diversity Data'!$B$2:$K$823,10,FALSE)</f>
        <v>5</v>
      </c>
      <c r="Q58" s="101" t="str">
        <f>VLOOKUP(Table3236[[#This Row],[Census Tract]],'UI EnergyBurden'!$A$2:$B$184,2,FALSE)</f>
        <v>Yes</v>
      </c>
    </row>
    <row r="59" spans="1:17" x14ac:dyDescent="0.2">
      <c r="A59" s="121">
        <v>9001071100</v>
      </c>
      <c r="B59" s="121" t="s">
        <v>934</v>
      </c>
      <c r="C59" s="128" t="s">
        <v>3886</v>
      </c>
      <c r="D59" s="152">
        <v>41713.350454757652</v>
      </c>
      <c r="E59" s="152">
        <v>9974.7300000000032</v>
      </c>
      <c r="F59" s="153">
        <f>[2]!Table323[[#This Row],[Single Family]]+[2]!Table323[[#This Row],[2-4 Units]]+[2]!Table323[[#This Row],[&gt;4 Units]]</f>
        <v>8</v>
      </c>
      <c r="G59" s="153">
        <v>5</v>
      </c>
      <c r="H59" s="153">
        <v>3</v>
      </c>
      <c r="I59" s="153">
        <v>0</v>
      </c>
      <c r="J59" s="154">
        <v>4007.3700000000003</v>
      </c>
      <c r="K59" s="153">
        <f>SUM([2]!Table323[[#This Row],[Single Family ]:[&gt;4 Units ]])</f>
        <v>30</v>
      </c>
      <c r="L59" s="155">
        <v>6</v>
      </c>
      <c r="M59" s="155">
        <v>24</v>
      </c>
      <c r="N59" s="155">
        <v>0</v>
      </c>
      <c r="O59" s="156">
        <v>5967.36</v>
      </c>
      <c r="P59" s="100">
        <f>VLOOKUP(Table3236[[#This Row],[Census Tract]],'Population and Diversity Data'!$B$2:$K$823,10,FALSE)</f>
        <v>5</v>
      </c>
      <c r="Q59" s="101" t="str">
        <f>VLOOKUP(Table3236[[#This Row],[Census Tract]],'UI EnergyBurden'!$A$2:$B$184,2,FALSE)</f>
        <v>Yes</v>
      </c>
    </row>
    <row r="60" spans="1:17" x14ac:dyDescent="0.2">
      <c r="A60" s="121">
        <v>9001071100</v>
      </c>
      <c r="B60" s="121" t="s">
        <v>934</v>
      </c>
      <c r="C60" s="128" t="s">
        <v>3886</v>
      </c>
      <c r="D60" s="152">
        <v>0</v>
      </c>
      <c r="E60" s="152">
        <v>0</v>
      </c>
      <c r="F60" s="153">
        <f>[2]!Table323[[#This Row],[Single Family]]+[2]!Table323[[#This Row],[2-4 Units]]+[2]!Table323[[#This Row],[&gt;4 Units]]</f>
        <v>0</v>
      </c>
      <c r="G60" s="153"/>
      <c r="H60" s="153"/>
      <c r="I60" s="153"/>
      <c r="J60" s="154">
        <v>0</v>
      </c>
      <c r="K60" s="153">
        <f>SUM([2]!Table323[[#This Row],[Single Family ]:[&gt;4 Units ]])</f>
        <v>0</v>
      </c>
      <c r="L60" s="155"/>
      <c r="M60" s="155"/>
      <c r="N60" s="155"/>
      <c r="O60" s="156">
        <v>0</v>
      </c>
      <c r="P60" s="100">
        <f>VLOOKUP(Table3236[[#This Row],[Census Tract]],'Population and Diversity Data'!$B$2:$K$823,10,FALSE)</f>
        <v>5</v>
      </c>
      <c r="Q60" s="101" t="str">
        <f>VLOOKUP(Table3236[[#This Row],[Census Tract]],'UI EnergyBurden'!$A$2:$B$184,2,FALSE)</f>
        <v>Yes</v>
      </c>
    </row>
    <row r="61" spans="1:17" x14ac:dyDescent="0.2">
      <c r="A61" s="121">
        <v>9001071200</v>
      </c>
      <c r="B61" s="121" t="s">
        <v>934</v>
      </c>
      <c r="C61" s="128" t="s">
        <v>3887</v>
      </c>
      <c r="D61" s="152">
        <v>38532.402961081491</v>
      </c>
      <c r="E61" s="152">
        <v>18361.129999999997</v>
      </c>
      <c r="F61" s="153">
        <f>[2]!Table323[[#This Row],[Single Family]]+[2]!Table323[[#This Row],[2-4 Units]]+[2]!Table323[[#This Row],[&gt;4 Units]]</f>
        <v>7</v>
      </c>
      <c r="G61" s="153">
        <v>4</v>
      </c>
      <c r="H61" s="153">
        <v>3</v>
      </c>
      <c r="I61" s="153">
        <v>0</v>
      </c>
      <c r="J61" s="154">
        <v>683.6400000000001</v>
      </c>
      <c r="K61" s="153">
        <f>SUM([2]!Table323[[#This Row],[Single Family ]:[&gt;4 Units ]])</f>
        <v>12</v>
      </c>
      <c r="L61" s="155">
        <v>3</v>
      </c>
      <c r="M61" s="155">
        <v>8</v>
      </c>
      <c r="N61" s="155">
        <v>1</v>
      </c>
      <c r="O61" s="156">
        <v>17677.490000000002</v>
      </c>
      <c r="P61" s="100">
        <f>VLOOKUP(Table3236[[#This Row],[Census Tract]],'Population and Diversity Data'!$B$2:$K$823,10,FALSE)</f>
        <v>5</v>
      </c>
      <c r="Q61" s="101" t="str">
        <f>VLOOKUP(Table3236[[#This Row],[Census Tract]],'UI EnergyBurden'!$A$2:$B$184,2,FALSE)</f>
        <v>Yes</v>
      </c>
    </row>
    <row r="62" spans="1:17" x14ac:dyDescent="0.2">
      <c r="A62" s="121">
        <v>9001071200</v>
      </c>
      <c r="B62" s="121" t="s">
        <v>934</v>
      </c>
      <c r="C62" s="128" t="s">
        <v>3887</v>
      </c>
      <c r="D62" s="152">
        <v>1120.9281268489326</v>
      </c>
      <c r="E62" s="152">
        <v>0</v>
      </c>
      <c r="F62" s="153">
        <f>[2]!Table323[[#This Row],[Single Family]]+[2]!Table323[[#This Row],[2-4 Units]]+[2]!Table323[[#This Row],[&gt;4 Units]]</f>
        <v>0</v>
      </c>
      <c r="G62" s="153"/>
      <c r="H62" s="153"/>
      <c r="I62" s="153"/>
      <c r="J62" s="154">
        <v>0</v>
      </c>
      <c r="K62" s="153">
        <f>SUM([2]!Table323[[#This Row],[Single Family ]:[&gt;4 Units ]])</f>
        <v>0</v>
      </c>
      <c r="L62" s="155"/>
      <c r="M62" s="155"/>
      <c r="N62" s="155"/>
      <c r="O62" s="156">
        <v>0</v>
      </c>
      <c r="P62" s="100">
        <f>VLOOKUP(Table3236[[#This Row],[Census Tract]],'Population and Diversity Data'!$B$2:$K$823,10,FALSE)</f>
        <v>5</v>
      </c>
      <c r="Q62" s="101" t="str">
        <f>VLOOKUP(Table3236[[#This Row],[Census Tract]],'UI EnergyBurden'!$A$2:$B$184,2,FALSE)</f>
        <v>Yes</v>
      </c>
    </row>
    <row r="63" spans="1:17" x14ac:dyDescent="0.2">
      <c r="A63" s="121">
        <v>9001071300</v>
      </c>
      <c r="B63" s="121" t="s">
        <v>934</v>
      </c>
      <c r="C63" s="128" t="s">
        <v>3887</v>
      </c>
      <c r="D63" s="152">
        <v>28300.863716252417</v>
      </c>
      <c r="E63" s="152">
        <v>3408.55</v>
      </c>
      <c r="F63" s="153">
        <f>[2]!Table323[[#This Row],[Single Family]]+[2]!Table323[[#This Row],[2-4 Units]]+[2]!Table323[[#This Row],[&gt;4 Units]]</f>
        <v>6</v>
      </c>
      <c r="G63" s="153">
        <v>2</v>
      </c>
      <c r="H63" s="153">
        <v>4</v>
      </c>
      <c r="I63" s="153">
        <v>0</v>
      </c>
      <c r="J63" s="154">
        <v>372.65000000000003</v>
      </c>
      <c r="K63" s="153">
        <f>SUM([2]!Table323[[#This Row],[Single Family ]:[&gt;4 Units ]])</f>
        <v>8</v>
      </c>
      <c r="L63" s="155">
        <v>3</v>
      </c>
      <c r="M63" s="155">
        <v>5</v>
      </c>
      <c r="N63" s="155">
        <v>0</v>
      </c>
      <c r="O63" s="156">
        <v>3035.9</v>
      </c>
      <c r="P63" s="100">
        <f>VLOOKUP(Table3236[[#This Row],[Census Tract]],'Population and Diversity Data'!$B$2:$K$823,10,FALSE)</f>
        <v>5</v>
      </c>
      <c r="Q63" s="101" t="str">
        <f>VLOOKUP(Table3236[[#This Row],[Census Tract]],'UI EnergyBurden'!$A$2:$B$184,2,FALSE)</f>
        <v>Yes</v>
      </c>
    </row>
    <row r="64" spans="1:17" x14ac:dyDescent="0.2">
      <c r="A64" s="121">
        <v>9001071300</v>
      </c>
      <c r="B64" s="121" t="s">
        <v>934</v>
      </c>
      <c r="C64" s="128" t="s">
        <v>3887</v>
      </c>
      <c r="D64" s="152">
        <v>0</v>
      </c>
      <c r="E64" s="152">
        <v>0</v>
      </c>
      <c r="F64" s="153">
        <f>[2]!Table323[[#This Row],[Single Family]]+[2]!Table323[[#This Row],[2-4 Units]]+[2]!Table323[[#This Row],[&gt;4 Units]]</f>
        <v>0</v>
      </c>
      <c r="G64" s="153"/>
      <c r="H64" s="153"/>
      <c r="I64" s="153"/>
      <c r="J64" s="154">
        <v>0</v>
      </c>
      <c r="K64" s="153">
        <f>SUM([2]!Table323[[#This Row],[Single Family ]:[&gt;4 Units ]])</f>
        <v>0</v>
      </c>
      <c r="L64" s="155"/>
      <c r="M64" s="155"/>
      <c r="N64" s="155"/>
      <c r="O64" s="156"/>
      <c r="P64" s="100">
        <f>VLOOKUP(Table3236[[#This Row],[Census Tract]],'Population and Diversity Data'!$B$2:$K$823,10,FALSE)</f>
        <v>5</v>
      </c>
      <c r="Q64" s="101" t="str">
        <f>VLOOKUP(Table3236[[#This Row],[Census Tract]],'UI EnergyBurden'!$A$2:$B$184,2,FALSE)</f>
        <v>Yes</v>
      </c>
    </row>
    <row r="65" spans="1:17" x14ac:dyDescent="0.2">
      <c r="A65" s="121">
        <v>9001071400</v>
      </c>
      <c r="B65" s="121" t="s">
        <v>934</v>
      </c>
      <c r="C65" s="128" t="s">
        <v>3886</v>
      </c>
      <c r="D65" s="152">
        <v>32022.548230988879</v>
      </c>
      <c r="E65" s="152">
        <v>8733.98</v>
      </c>
      <c r="F65" s="153">
        <f>[2]!Table323[[#This Row],[Single Family]]+[2]!Table323[[#This Row],[2-4 Units]]+[2]!Table323[[#This Row],[&gt;4 Units]]</f>
        <v>4</v>
      </c>
      <c r="G65" s="153">
        <v>2</v>
      </c>
      <c r="H65" s="153">
        <v>2</v>
      </c>
      <c r="I65" s="153">
        <v>0</v>
      </c>
      <c r="J65" s="154">
        <v>8634.34</v>
      </c>
      <c r="K65" s="153">
        <f>SUM([2]!Table323[[#This Row],[Single Family ]:[&gt;4 Units ]])</f>
        <v>2</v>
      </c>
      <c r="L65" s="155">
        <v>0</v>
      </c>
      <c r="M65" s="155">
        <v>2</v>
      </c>
      <c r="N65" s="155">
        <v>0</v>
      </c>
      <c r="O65" s="156">
        <v>99.639999999999986</v>
      </c>
      <c r="P65" s="100">
        <f>VLOOKUP(Table3236[[#This Row],[Census Tract]],'Population and Diversity Data'!$B$2:$K$823,10,FALSE)</f>
        <v>5</v>
      </c>
      <c r="Q65" s="101" t="str">
        <f>VLOOKUP(Table3236[[#This Row],[Census Tract]],'UI EnergyBurden'!$A$2:$B$184,2,FALSE)</f>
        <v>Yes</v>
      </c>
    </row>
    <row r="66" spans="1:17" x14ac:dyDescent="0.2">
      <c r="A66" s="121">
        <v>9001071400</v>
      </c>
      <c r="B66" s="121" t="s">
        <v>934</v>
      </c>
      <c r="C66" s="128" t="s">
        <v>3886</v>
      </c>
      <c r="D66" s="152">
        <v>0</v>
      </c>
      <c r="E66" s="152">
        <v>0</v>
      </c>
      <c r="F66" s="153">
        <f>[2]!Table323[[#This Row],[Single Family]]+[2]!Table323[[#This Row],[2-4 Units]]+[2]!Table323[[#This Row],[&gt;4 Units]]</f>
        <v>0</v>
      </c>
      <c r="G66" s="153"/>
      <c r="H66" s="153"/>
      <c r="I66" s="153"/>
      <c r="J66" s="154">
        <v>0</v>
      </c>
      <c r="K66" s="153">
        <f>SUM([2]!Table323[[#This Row],[Single Family ]:[&gt;4 Units ]])</f>
        <v>0</v>
      </c>
      <c r="L66" s="155"/>
      <c r="M66" s="155"/>
      <c r="N66" s="155"/>
      <c r="O66" s="156"/>
      <c r="P66" s="100">
        <f>VLOOKUP(Table3236[[#This Row],[Census Tract]],'Population and Diversity Data'!$B$2:$K$823,10,FALSE)</f>
        <v>5</v>
      </c>
      <c r="Q66" s="101" t="str">
        <f>VLOOKUP(Table3236[[#This Row],[Census Tract]],'UI EnergyBurden'!$A$2:$B$184,2,FALSE)</f>
        <v>Yes</v>
      </c>
    </row>
    <row r="67" spans="1:17" x14ac:dyDescent="0.2">
      <c r="A67" s="121">
        <v>9001071600</v>
      </c>
      <c r="B67" s="121" t="s">
        <v>934</v>
      </c>
      <c r="C67" s="128" t="s">
        <v>3887</v>
      </c>
      <c r="D67" s="152">
        <v>20606.006059176787</v>
      </c>
      <c r="E67" s="152">
        <v>42.429999999999993</v>
      </c>
      <c r="F67" s="153">
        <f>[2]!Table323[[#This Row],[Single Family]]+[2]!Table323[[#This Row],[2-4 Units]]+[2]!Table323[[#This Row],[&gt;4 Units]]</f>
        <v>0</v>
      </c>
      <c r="G67" s="153"/>
      <c r="H67" s="153"/>
      <c r="I67" s="153"/>
      <c r="J67" s="154">
        <v>0</v>
      </c>
      <c r="K67" s="153">
        <f>SUM([2]!Table323[[#This Row],[Single Family ]:[&gt;4 Units ]])</f>
        <v>1</v>
      </c>
      <c r="L67" s="155">
        <v>1</v>
      </c>
      <c r="M67" s="155">
        <v>0</v>
      </c>
      <c r="N67" s="155">
        <v>0</v>
      </c>
      <c r="O67" s="156">
        <v>42.429999999999993</v>
      </c>
      <c r="P67" s="100">
        <f>VLOOKUP(Table3236[[#This Row],[Census Tract]],'Population and Diversity Data'!$B$2:$K$823,10,FALSE)</f>
        <v>4</v>
      </c>
      <c r="Q67" s="101" t="str">
        <f>VLOOKUP(Table3236[[#This Row],[Census Tract]],'UI EnergyBurden'!$A$2:$B$184,2,FALSE)</f>
        <v>Yes</v>
      </c>
    </row>
    <row r="68" spans="1:17" x14ac:dyDescent="0.2">
      <c r="A68" s="121">
        <v>9001071900</v>
      </c>
      <c r="B68" s="121" t="s">
        <v>934</v>
      </c>
      <c r="C68" s="128" t="s">
        <v>3887</v>
      </c>
      <c r="D68" s="152">
        <v>41755.588393112448</v>
      </c>
      <c r="E68" s="152">
        <v>9677.48</v>
      </c>
      <c r="F68" s="153">
        <f>[2]!Table323[[#This Row],[Single Family]]+[2]!Table323[[#This Row],[2-4 Units]]+[2]!Table323[[#This Row],[&gt;4 Units]]</f>
        <v>7</v>
      </c>
      <c r="G68" s="153">
        <v>5</v>
      </c>
      <c r="H68" s="153">
        <v>2</v>
      </c>
      <c r="I68" s="153">
        <v>0</v>
      </c>
      <c r="J68" s="154">
        <v>1421.8100000000002</v>
      </c>
      <c r="K68" s="153">
        <f>SUM([2]!Table323[[#This Row],[Single Family ]:[&gt;4 Units ]])</f>
        <v>16</v>
      </c>
      <c r="L68" s="155">
        <v>2</v>
      </c>
      <c r="M68" s="155">
        <v>14</v>
      </c>
      <c r="N68" s="155">
        <v>0</v>
      </c>
      <c r="O68" s="156">
        <v>8255.67</v>
      </c>
      <c r="P68" s="100">
        <f>VLOOKUP(Table3236[[#This Row],[Census Tract]],'Population and Diversity Data'!$B$2:$K$823,10,FALSE)</f>
        <v>5</v>
      </c>
      <c r="Q68" s="101" t="str">
        <f>VLOOKUP(Table3236[[#This Row],[Census Tract]],'UI EnergyBurden'!$A$2:$B$184,2,FALSE)</f>
        <v>Yes</v>
      </c>
    </row>
    <row r="69" spans="1:17" x14ac:dyDescent="0.2">
      <c r="A69" s="121">
        <v>9001071900</v>
      </c>
      <c r="B69" s="121" t="s">
        <v>934</v>
      </c>
      <c r="C69" s="128" t="s">
        <v>3887</v>
      </c>
      <c r="D69" s="152">
        <v>0</v>
      </c>
      <c r="E69" s="152">
        <v>0</v>
      </c>
      <c r="F69" s="153">
        <f>[2]!Table323[[#This Row],[Single Family]]+[2]!Table323[[#This Row],[2-4 Units]]+[2]!Table323[[#This Row],[&gt;4 Units]]</f>
        <v>0</v>
      </c>
      <c r="G69" s="153"/>
      <c r="H69" s="153"/>
      <c r="I69" s="153"/>
      <c r="J69" s="154">
        <v>0</v>
      </c>
      <c r="K69" s="153">
        <f>SUM([2]!Table323[[#This Row],[Single Family ]:[&gt;4 Units ]])</f>
        <v>0</v>
      </c>
      <c r="L69" s="155"/>
      <c r="M69" s="155"/>
      <c r="N69" s="155"/>
      <c r="O69" s="156">
        <v>0</v>
      </c>
      <c r="P69" s="100">
        <f>VLOOKUP(Table3236[[#This Row],[Census Tract]],'Population and Diversity Data'!$B$2:$K$823,10,FALSE)</f>
        <v>5</v>
      </c>
      <c r="Q69" s="101" t="str">
        <f>VLOOKUP(Table3236[[#This Row],[Census Tract]],'UI EnergyBurden'!$A$2:$B$184,2,FALSE)</f>
        <v>Yes</v>
      </c>
    </row>
    <row r="70" spans="1:17" x14ac:dyDescent="0.2">
      <c r="A70" s="121">
        <v>9001072000</v>
      </c>
      <c r="B70" s="121" t="s">
        <v>934</v>
      </c>
      <c r="C70" s="128" t="s">
        <v>3887</v>
      </c>
      <c r="D70" s="152">
        <v>36911.586133050274</v>
      </c>
      <c r="E70" s="152">
        <v>9198.630000000001</v>
      </c>
      <c r="F70" s="153">
        <f>[2]!Table323[[#This Row],[Single Family]]+[2]!Table323[[#This Row],[2-4 Units]]+[2]!Table323[[#This Row],[&gt;4 Units]]</f>
        <v>11</v>
      </c>
      <c r="G70" s="153">
        <v>9</v>
      </c>
      <c r="H70" s="153">
        <v>2</v>
      </c>
      <c r="I70" s="153">
        <v>0</v>
      </c>
      <c r="J70" s="154">
        <v>5162.92</v>
      </c>
      <c r="K70" s="153">
        <f>SUM([2]!Table323[[#This Row],[Single Family ]:[&gt;4 Units ]])</f>
        <v>11</v>
      </c>
      <c r="L70" s="155">
        <v>4</v>
      </c>
      <c r="M70" s="155">
        <v>7</v>
      </c>
      <c r="N70" s="155">
        <v>0</v>
      </c>
      <c r="O70" s="156">
        <v>4035.7100000000005</v>
      </c>
      <c r="P70" s="100">
        <f>VLOOKUP(Table3236[[#This Row],[Census Tract]],'Population and Diversity Data'!$B$2:$K$823,10,FALSE)</f>
        <v>5</v>
      </c>
      <c r="Q70" s="101" t="str">
        <f>VLOOKUP(Table3236[[#This Row],[Census Tract]],'UI EnergyBurden'!$A$2:$B$184,2,FALSE)</f>
        <v>No</v>
      </c>
    </row>
    <row r="71" spans="1:17" x14ac:dyDescent="0.2">
      <c r="A71" s="121">
        <v>9001072000</v>
      </c>
      <c r="B71" s="121" t="s">
        <v>934</v>
      </c>
      <c r="C71" s="128" t="s">
        <v>3887</v>
      </c>
      <c r="D71" s="152">
        <v>0</v>
      </c>
      <c r="E71" s="152">
        <v>0</v>
      </c>
      <c r="F71" s="153">
        <f>[2]!Table323[[#This Row],[Single Family]]+[2]!Table323[[#This Row],[2-4 Units]]+[2]!Table323[[#This Row],[&gt;4 Units]]</f>
        <v>0</v>
      </c>
      <c r="G71" s="153"/>
      <c r="H71" s="153"/>
      <c r="I71" s="153"/>
      <c r="J71" s="154">
        <v>0</v>
      </c>
      <c r="K71" s="153">
        <f>SUM([2]!Table323[[#This Row],[Single Family ]:[&gt;4 Units ]])</f>
        <v>0</v>
      </c>
      <c r="L71" s="155"/>
      <c r="M71" s="155"/>
      <c r="N71" s="155"/>
      <c r="O71" s="156"/>
      <c r="P71" s="100">
        <f>VLOOKUP(Table3236[[#This Row],[Census Tract]],'Population and Diversity Data'!$B$2:$K$823,10,FALSE)</f>
        <v>5</v>
      </c>
      <c r="Q71" s="101" t="str">
        <f>VLOOKUP(Table3236[[#This Row],[Census Tract]],'UI EnergyBurden'!$A$2:$B$184,2,FALSE)</f>
        <v>No</v>
      </c>
    </row>
    <row r="72" spans="1:17" x14ac:dyDescent="0.2">
      <c r="A72" s="121">
        <v>9001072100</v>
      </c>
      <c r="B72" s="121" t="s">
        <v>934</v>
      </c>
      <c r="C72" s="128" t="s">
        <v>3886</v>
      </c>
      <c r="D72" s="152">
        <v>100303.04022689105</v>
      </c>
      <c r="E72" s="152">
        <v>15663.310000000001</v>
      </c>
      <c r="F72" s="153">
        <f>[2]!Table323[[#This Row],[Single Family]]+[2]!Table323[[#This Row],[2-4 Units]]+[2]!Table323[[#This Row],[&gt;4 Units]]</f>
        <v>22</v>
      </c>
      <c r="G72" s="153">
        <v>20</v>
      </c>
      <c r="H72" s="153">
        <v>2</v>
      </c>
      <c r="I72" s="153">
        <v>0</v>
      </c>
      <c r="J72" s="154">
        <v>13354.19</v>
      </c>
      <c r="K72" s="153">
        <f>SUM([2]!Table323[[#This Row],[Single Family ]:[&gt;4 Units ]])</f>
        <v>15</v>
      </c>
      <c r="L72" s="155">
        <v>6</v>
      </c>
      <c r="M72" s="155">
        <v>9</v>
      </c>
      <c r="N72" s="155">
        <v>0</v>
      </c>
      <c r="O72" s="156">
        <v>2309.12</v>
      </c>
      <c r="P72" s="100">
        <f>VLOOKUP(Table3236[[#This Row],[Census Tract]],'Population and Diversity Data'!$B$2:$K$823,10,FALSE)</f>
        <v>5</v>
      </c>
      <c r="Q72" s="101" t="str">
        <f>VLOOKUP(Table3236[[#This Row],[Census Tract]],'UI EnergyBurden'!$A$2:$B$184,2,FALSE)</f>
        <v>No</v>
      </c>
    </row>
    <row r="73" spans="1:17" x14ac:dyDescent="0.2">
      <c r="A73" s="121">
        <v>9001072100</v>
      </c>
      <c r="B73" s="121" t="s">
        <v>2983</v>
      </c>
      <c r="C73" s="128" t="s">
        <v>3886</v>
      </c>
      <c r="D73" s="152">
        <v>0</v>
      </c>
      <c r="E73" s="152">
        <v>0</v>
      </c>
      <c r="F73" s="153">
        <f>[2]!Table323[[#This Row],[Single Family]]+[2]!Table323[[#This Row],[2-4 Units]]+[2]!Table323[[#This Row],[&gt;4 Units]]</f>
        <v>0</v>
      </c>
      <c r="G73" s="153"/>
      <c r="H73" s="153"/>
      <c r="I73" s="153"/>
      <c r="J73" s="154">
        <v>0</v>
      </c>
      <c r="K73" s="153">
        <f>SUM([2]!Table323[[#This Row],[Single Family ]:[&gt;4 Units ]])</f>
        <v>0</v>
      </c>
      <c r="L73" s="155"/>
      <c r="M73" s="155"/>
      <c r="N73" s="155"/>
      <c r="O73" s="156">
        <v>0</v>
      </c>
      <c r="P73" s="100">
        <f>VLOOKUP(Table3236[[#This Row],[Census Tract]],'Population and Diversity Data'!$B$2:$K$823,10,FALSE)</f>
        <v>5</v>
      </c>
      <c r="Q73" s="101" t="str">
        <f>VLOOKUP(Table3236[[#This Row],[Census Tract]],'UI EnergyBurden'!$A$2:$B$184,2,FALSE)</f>
        <v>No</v>
      </c>
    </row>
    <row r="74" spans="1:17" x14ac:dyDescent="0.2">
      <c r="A74" s="121">
        <v>9001072100</v>
      </c>
      <c r="B74" s="121" t="s">
        <v>934</v>
      </c>
      <c r="C74" s="128" t="s">
        <v>3886</v>
      </c>
      <c r="D74" s="152">
        <v>3090.2160254843557</v>
      </c>
      <c r="E74" s="152">
        <v>0</v>
      </c>
      <c r="F74" s="153">
        <f>[2]!Table323[[#This Row],[Single Family]]+[2]!Table323[[#This Row],[2-4 Units]]+[2]!Table323[[#This Row],[&gt;4 Units]]</f>
        <v>0</v>
      </c>
      <c r="G74" s="153"/>
      <c r="H74" s="153"/>
      <c r="I74" s="153"/>
      <c r="J74" s="154">
        <v>0</v>
      </c>
      <c r="K74" s="153">
        <f>SUM([2]!Table323[[#This Row],[Single Family ]:[&gt;4 Units ]])</f>
        <v>0</v>
      </c>
      <c r="L74" s="155"/>
      <c r="M74" s="155"/>
      <c r="N74" s="155"/>
      <c r="O74" s="156">
        <v>0</v>
      </c>
      <c r="P74" s="100">
        <f>VLOOKUP(Table3236[[#This Row],[Census Tract]],'Population and Diversity Data'!$B$2:$K$823,10,FALSE)</f>
        <v>5</v>
      </c>
      <c r="Q74" s="101" t="str">
        <f>VLOOKUP(Table3236[[#This Row],[Census Tract]],'UI EnergyBurden'!$A$2:$B$184,2,FALSE)</f>
        <v>No</v>
      </c>
    </row>
    <row r="75" spans="1:17" x14ac:dyDescent="0.2">
      <c r="A75" s="121">
        <v>9001072200</v>
      </c>
      <c r="B75" s="121" t="s">
        <v>934</v>
      </c>
      <c r="C75" s="128" t="s">
        <v>3887</v>
      </c>
      <c r="D75" s="152">
        <v>34093.333678507159</v>
      </c>
      <c r="E75" s="152">
        <v>55571.21</v>
      </c>
      <c r="F75" s="153">
        <f>[2]!Table323[[#This Row],[Single Family]]+[2]!Table323[[#This Row],[2-4 Units]]+[2]!Table323[[#This Row],[&gt;4 Units]]</f>
        <v>23</v>
      </c>
      <c r="G75" s="153">
        <v>19</v>
      </c>
      <c r="H75" s="153">
        <v>4</v>
      </c>
      <c r="I75" s="153">
        <v>0</v>
      </c>
      <c r="J75" s="154">
        <v>28190.41</v>
      </c>
      <c r="K75" s="153">
        <f>SUM([2]!Table323[[#This Row],[Single Family ]:[&gt;4 Units ]])</f>
        <v>6</v>
      </c>
      <c r="L75" s="155">
        <v>4</v>
      </c>
      <c r="M75" s="155">
        <v>1</v>
      </c>
      <c r="N75" s="155">
        <v>1</v>
      </c>
      <c r="O75" s="156">
        <v>27380.800000000003</v>
      </c>
      <c r="P75" s="100">
        <f>VLOOKUP(Table3236[[#This Row],[Census Tract]],'Population and Diversity Data'!$B$2:$K$823,10,FALSE)</f>
        <v>4</v>
      </c>
      <c r="Q75" s="101" t="str">
        <f>VLOOKUP(Table3236[[#This Row],[Census Tract]],'UI EnergyBurden'!$A$2:$B$184,2,FALSE)</f>
        <v>No</v>
      </c>
    </row>
    <row r="76" spans="1:17" x14ac:dyDescent="0.2">
      <c r="A76" s="121">
        <v>9001072200</v>
      </c>
      <c r="B76" s="121" t="s">
        <v>2983</v>
      </c>
      <c r="C76" s="128" t="s">
        <v>3887</v>
      </c>
      <c r="D76" s="152">
        <v>0</v>
      </c>
      <c r="E76" s="152">
        <v>0</v>
      </c>
      <c r="F76" s="153">
        <f>[2]!Table323[[#This Row],[Single Family]]+[2]!Table323[[#This Row],[2-4 Units]]+[2]!Table323[[#This Row],[&gt;4 Units]]</f>
        <v>0</v>
      </c>
      <c r="G76" s="153"/>
      <c r="H76" s="153"/>
      <c r="I76" s="153"/>
      <c r="J76" s="154">
        <v>0</v>
      </c>
      <c r="K76" s="153">
        <f>SUM([2]!Table323[[#This Row],[Single Family ]:[&gt;4 Units ]])</f>
        <v>0</v>
      </c>
      <c r="L76" s="155"/>
      <c r="M76" s="155"/>
      <c r="N76" s="155"/>
      <c r="O76" s="156"/>
      <c r="P76" s="100">
        <f>VLOOKUP(Table3236[[#This Row],[Census Tract]],'Population and Diversity Data'!$B$2:$K$823,10,FALSE)</f>
        <v>4</v>
      </c>
      <c r="Q76" s="101" t="str">
        <f>VLOOKUP(Table3236[[#This Row],[Census Tract]],'UI EnergyBurden'!$A$2:$B$184,2,FALSE)</f>
        <v>No</v>
      </c>
    </row>
    <row r="77" spans="1:17" x14ac:dyDescent="0.2">
      <c r="A77" s="121">
        <v>9001072200</v>
      </c>
      <c r="B77" s="121" t="s">
        <v>934</v>
      </c>
      <c r="C77" s="128" t="s">
        <v>3887</v>
      </c>
      <c r="D77" s="152">
        <v>0</v>
      </c>
      <c r="E77" s="152">
        <v>0</v>
      </c>
      <c r="F77" s="153">
        <f>[2]!Table323[[#This Row],[Single Family]]+[2]!Table323[[#This Row],[2-4 Units]]+[2]!Table323[[#This Row],[&gt;4 Units]]</f>
        <v>0</v>
      </c>
      <c r="G77" s="153"/>
      <c r="H77" s="153"/>
      <c r="I77" s="153"/>
      <c r="J77" s="154">
        <v>0</v>
      </c>
      <c r="K77" s="153">
        <f>SUM([2]!Table323[[#This Row],[Single Family ]:[&gt;4 Units ]])</f>
        <v>0</v>
      </c>
      <c r="L77" s="155"/>
      <c r="M77" s="155"/>
      <c r="N77" s="155"/>
      <c r="O77" s="156"/>
      <c r="P77" s="100">
        <f>VLOOKUP(Table3236[[#This Row],[Census Tract]],'Population and Diversity Data'!$B$2:$K$823,10,FALSE)</f>
        <v>4</v>
      </c>
      <c r="Q77" s="101" t="str">
        <f>VLOOKUP(Table3236[[#This Row],[Census Tract]],'UI EnergyBurden'!$A$2:$B$184,2,FALSE)</f>
        <v>No</v>
      </c>
    </row>
    <row r="78" spans="1:17" x14ac:dyDescent="0.2">
      <c r="A78" s="121">
        <v>9001072300</v>
      </c>
      <c r="B78" s="121" t="s">
        <v>934</v>
      </c>
      <c r="C78" s="128" t="s">
        <v>3886</v>
      </c>
      <c r="D78" s="152">
        <v>53068.35237973748</v>
      </c>
      <c r="E78" s="152">
        <v>26549.550000000007</v>
      </c>
      <c r="F78" s="153">
        <f>[2]!Table323[[#This Row],[Single Family]]+[2]!Table323[[#This Row],[2-4 Units]]+[2]!Table323[[#This Row],[&gt;4 Units]]</f>
        <v>24</v>
      </c>
      <c r="G78" s="153">
        <v>23</v>
      </c>
      <c r="H78" s="153">
        <v>1</v>
      </c>
      <c r="I78" s="153">
        <v>0</v>
      </c>
      <c r="J78" s="154">
        <v>8901.14</v>
      </c>
      <c r="K78" s="153">
        <f>SUM([2]!Table323[[#This Row],[Single Family ]:[&gt;4 Units ]])</f>
        <v>13</v>
      </c>
      <c r="L78" s="155">
        <v>6</v>
      </c>
      <c r="M78" s="155">
        <v>6</v>
      </c>
      <c r="N78" s="155">
        <v>1</v>
      </c>
      <c r="O78" s="156">
        <v>17648.41</v>
      </c>
      <c r="P78" s="100">
        <f>VLOOKUP(Table3236[[#This Row],[Census Tract]],'Population and Diversity Data'!$B$2:$K$823,10,FALSE)</f>
        <v>5</v>
      </c>
      <c r="Q78" s="101" t="str">
        <f>VLOOKUP(Table3236[[#This Row],[Census Tract]],'UI EnergyBurden'!$A$2:$B$184,2,FALSE)</f>
        <v>No</v>
      </c>
    </row>
    <row r="79" spans="1:17" x14ac:dyDescent="0.2">
      <c r="A79" s="121">
        <v>9001072300</v>
      </c>
      <c r="B79" s="121" t="s">
        <v>934</v>
      </c>
      <c r="C79" s="128" t="s">
        <v>3886</v>
      </c>
      <c r="D79" s="152">
        <v>0</v>
      </c>
      <c r="E79" s="152">
        <v>0</v>
      </c>
      <c r="F79" s="153">
        <f>[2]!Table323[[#This Row],[Single Family]]+[2]!Table323[[#This Row],[2-4 Units]]+[2]!Table323[[#This Row],[&gt;4 Units]]</f>
        <v>0</v>
      </c>
      <c r="G79" s="153"/>
      <c r="H79" s="153"/>
      <c r="I79" s="153"/>
      <c r="J79" s="154">
        <v>0</v>
      </c>
      <c r="K79" s="153">
        <f>SUM([2]!Table323[[#This Row],[Single Family ]:[&gt;4 Units ]])</f>
        <v>0</v>
      </c>
      <c r="L79" s="155"/>
      <c r="M79" s="155"/>
      <c r="N79" s="155"/>
      <c r="O79" s="156">
        <v>0</v>
      </c>
      <c r="P79" s="100">
        <f>VLOOKUP(Table3236[[#This Row],[Census Tract]],'Population and Diversity Data'!$B$2:$K$823,10,FALSE)</f>
        <v>5</v>
      </c>
      <c r="Q79" s="101" t="str">
        <f>VLOOKUP(Table3236[[#This Row],[Census Tract]],'UI EnergyBurden'!$A$2:$B$184,2,FALSE)</f>
        <v>No</v>
      </c>
    </row>
    <row r="80" spans="1:17" x14ac:dyDescent="0.2">
      <c r="A80" s="121">
        <v>9001072400</v>
      </c>
      <c r="B80" s="121" t="s">
        <v>934</v>
      </c>
      <c r="C80" s="128" t="s">
        <v>3886</v>
      </c>
      <c r="D80" s="152">
        <v>32434.729384585236</v>
      </c>
      <c r="E80" s="152">
        <v>9858.5799999999981</v>
      </c>
      <c r="F80" s="153">
        <f>[2]!Table323[[#This Row],[Single Family]]+[2]!Table323[[#This Row],[2-4 Units]]+[2]!Table323[[#This Row],[&gt;4 Units]]</f>
        <v>17</v>
      </c>
      <c r="G80" s="153">
        <v>15</v>
      </c>
      <c r="H80" s="153">
        <v>2</v>
      </c>
      <c r="I80" s="153">
        <v>0</v>
      </c>
      <c r="J80" s="154">
        <v>6719.4899999999989</v>
      </c>
      <c r="K80" s="153">
        <f>SUM([2]!Table323[[#This Row],[Single Family ]:[&gt;4 Units ]])</f>
        <v>9</v>
      </c>
      <c r="L80" s="155">
        <v>9</v>
      </c>
      <c r="M80" s="155">
        <v>0</v>
      </c>
      <c r="N80" s="155">
        <v>0</v>
      </c>
      <c r="O80" s="156">
        <v>3139.09</v>
      </c>
      <c r="P80" s="100">
        <f>VLOOKUP(Table3236[[#This Row],[Census Tract]],'Population and Diversity Data'!$B$2:$K$823,10,FALSE)</f>
        <v>5</v>
      </c>
      <c r="Q80" s="101" t="str">
        <f>VLOOKUP(Table3236[[#This Row],[Census Tract]],'UI EnergyBurden'!$A$2:$B$184,2,FALSE)</f>
        <v>No</v>
      </c>
    </row>
    <row r="81" spans="1:17" x14ac:dyDescent="0.2">
      <c r="A81" s="121">
        <v>9001072400</v>
      </c>
      <c r="B81" s="121" t="s">
        <v>934</v>
      </c>
      <c r="C81" s="128" t="s">
        <v>3886</v>
      </c>
      <c r="D81" s="152">
        <v>0</v>
      </c>
      <c r="E81" s="152">
        <v>0</v>
      </c>
      <c r="F81" s="153">
        <f>[2]!Table323[[#This Row],[Single Family]]+[2]!Table323[[#This Row],[2-4 Units]]+[2]!Table323[[#This Row],[&gt;4 Units]]</f>
        <v>0</v>
      </c>
      <c r="G81" s="153"/>
      <c r="H81" s="153"/>
      <c r="I81" s="153"/>
      <c r="J81" s="154">
        <v>0</v>
      </c>
      <c r="K81" s="153">
        <f>SUM([2]!Table323[[#This Row],[Single Family ]:[&gt;4 Units ]])</f>
        <v>0</v>
      </c>
      <c r="L81" s="155"/>
      <c r="M81" s="155"/>
      <c r="N81" s="155"/>
      <c r="O81" s="156"/>
      <c r="P81" s="100">
        <f>VLOOKUP(Table3236[[#This Row],[Census Tract]],'Population and Diversity Data'!$B$2:$K$823,10,FALSE)</f>
        <v>5</v>
      </c>
      <c r="Q81" s="101" t="str">
        <f>VLOOKUP(Table3236[[#This Row],[Census Tract]],'UI EnergyBurden'!$A$2:$B$184,2,FALSE)</f>
        <v>No</v>
      </c>
    </row>
    <row r="82" spans="1:17" x14ac:dyDescent="0.2">
      <c r="A82" s="121">
        <v>9001072500</v>
      </c>
      <c r="B82" s="121" t="s">
        <v>934</v>
      </c>
      <c r="C82" s="128" t="s">
        <v>3886</v>
      </c>
      <c r="D82" s="152">
        <v>65046.637433306336</v>
      </c>
      <c r="E82" s="152">
        <v>48754.179999999993</v>
      </c>
      <c r="F82" s="153">
        <f>[2]!Table323[[#This Row],[Single Family]]+[2]!Table323[[#This Row],[2-4 Units]]+[2]!Table323[[#This Row],[&gt;4 Units]]</f>
        <v>29</v>
      </c>
      <c r="G82" s="153">
        <v>28</v>
      </c>
      <c r="H82" s="153">
        <v>1</v>
      </c>
      <c r="I82" s="153">
        <v>0</v>
      </c>
      <c r="J82" s="154">
        <v>42999.429999999993</v>
      </c>
      <c r="K82" s="153">
        <f>SUM([2]!Table323[[#This Row],[Single Family ]:[&gt;4 Units ]])</f>
        <v>9</v>
      </c>
      <c r="L82" s="155">
        <v>7</v>
      </c>
      <c r="M82" s="155">
        <v>2</v>
      </c>
      <c r="N82" s="155">
        <v>0</v>
      </c>
      <c r="O82" s="156">
        <v>5754.7499999999991</v>
      </c>
      <c r="P82" s="100">
        <f>VLOOKUP(Table3236[[#This Row],[Census Tract]],'Population and Diversity Data'!$B$2:$K$823,10,FALSE)</f>
        <v>4</v>
      </c>
      <c r="Q82" s="101" t="str">
        <f>VLOOKUP(Table3236[[#This Row],[Census Tract]],'UI EnergyBurden'!$A$2:$B$184,2,FALSE)</f>
        <v>No</v>
      </c>
    </row>
    <row r="83" spans="1:17" x14ac:dyDescent="0.2">
      <c r="A83" s="121">
        <v>9001072500</v>
      </c>
      <c r="B83" s="121" t="s">
        <v>2983</v>
      </c>
      <c r="C83" s="128" t="s">
        <v>3886</v>
      </c>
      <c r="D83" s="152">
        <v>0</v>
      </c>
      <c r="E83" s="152">
        <v>0</v>
      </c>
      <c r="F83" s="153">
        <f>[2]!Table323[[#This Row],[Single Family]]+[2]!Table323[[#This Row],[2-4 Units]]+[2]!Table323[[#This Row],[&gt;4 Units]]</f>
        <v>0</v>
      </c>
      <c r="G83" s="153"/>
      <c r="H83" s="153"/>
      <c r="I83" s="153"/>
      <c r="J83" s="154">
        <v>0</v>
      </c>
      <c r="K83" s="153">
        <f>SUM([2]!Table323[[#This Row],[Single Family ]:[&gt;4 Units ]])</f>
        <v>0</v>
      </c>
      <c r="L83" s="155"/>
      <c r="M83" s="155"/>
      <c r="N83" s="155"/>
      <c r="O83" s="156"/>
      <c r="P83" s="100">
        <f>VLOOKUP(Table3236[[#This Row],[Census Tract]],'Population and Diversity Data'!$B$2:$K$823,10,FALSE)</f>
        <v>4</v>
      </c>
      <c r="Q83" s="101" t="str">
        <f>VLOOKUP(Table3236[[#This Row],[Census Tract]],'UI EnergyBurden'!$A$2:$B$184,2,FALSE)</f>
        <v>No</v>
      </c>
    </row>
    <row r="84" spans="1:17" x14ac:dyDescent="0.2">
      <c r="A84" s="121">
        <v>9001072500</v>
      </c>
      <c r="B84" s="121" t="s">
        <v>934</v>
      </c>
      <c r="C84" s="128" t="s">
        <v>3886</v>
      </c>
      <c r="D84" s="152">
        <v>0</v>
      </c>
      <c r="E84" s="152">
        <v>0</v>
      </c>
      <c r="F84" s="153">
        <f>[2]!Table323[[#This Row],[Single Family]]+[2]!Table323[[#This Row],[2-4 Units]]+[2]!Table323[[#This Row],[&gt;4 Units]]</f>
        <v>0</v>
      </c>
      <c r="G84" s="153"/>
      <c r="H84" s="153"/>
      <c r="I84" s="153"/>
      <c r="J84" s="154">
        <v>0</v>
      </c>
      <c r="K84" s="153">
        <f>SUM([2]!Table323[[#This Row],[Single Family ]:[&gt;4 Units ]])</f>
        <v>0</v>
      </c>
      <c r="L84" s="155"/>
      <c r="M84" s="155"/>
      <c r="N84" s="155"/>
      <c r="O84" s="156">
        <v>0</v>
      </c>
      <c r="P84" s="100">
        <f>VLOOKUP(Table3236[[#This Row],[Census Tract]],'Population and Diversity Data'!$B$2:$K$823,10,FALSE)</f>
        <v>4</v>
      </c>
      <c r="Q84" s="101" t="str">
        <f>VLOOKUP(Table3236[[#This Row],[Census Tract]],'UI EnergyBurden'!$A$2:$B$184,2,FALSE)</f>
        <v>No</v>
      </c>
    </row>
    <row r="85" spans="1:17" x14ac:dyDescent="0.2">
      <c r="A85" s="121">
        <v>9001072600</v>
      </c>
      <c r="B85" s="121" t="s">
        <v>934</v>
      </c>
      <c r="C85" s="128" t="s">
        <v>3886</v>
      </c>
      <c r="D85" s="152">
        <v>96631.349660612759</v>
      </c>
      <c r="E85" s="152">
        <v>42679.679999999993</v>
      </c>
      <c r="F85" s="153">
        <f>[2]!Table323[[#This Row],[Single Family]]+[2]!Table323[[#This Row],[2-4 Units]]+[2]!Table323[[#This Row],[&gt;4 Units]]</f>
        <v>26</v>
      </c>
      <c r="G85" s="153">
        <v>26</v>
      </c>
      <c r="H85" s="153">
        <v>0</v>
      </c>
      <c r="I85" s="153">
        <v>0</v>
      </c>
      <c r="J85" s="154">
        <v>24731.690000000002</v>
      </c>
      <c r="K85" s="153">
        <f>SUM([2]!Table323[[#This Row],[Single Family ]:[&gt;4 Units ]])</f>
        <v>12</v>
      </c>
      <c r="L85" s="155">
        <v>12</v>
      </c>
      <c r="M85" s="155">
        <v>0</v>
      </c>
      <c r="N85" s="155">
        <v>0</v>
      </c>
      <c r="O85" s="156">
        <v>17947.990000000002</v>
      </c>
      <c r="P85" s="100">
        <f>VLOOKUP(Table3236[[#This Row],[Census Tract]],'Population and Diversity Data'!$B$2:$K$823,10,FALSE)</f>
        <v>3</v>
      </c>
      <c r="Q85" s="101" t="str">
        <f>VLOOKUP(Table3236[[#This Row],[Census Tract]],'UI EnergyBurden'!$A$2:$B$184,2,FALSE)</f>
        <v>No</v>
      </c>
    </row>
    <row r="86" spans="1:17" x14ac:dyDescent="0.2">
      <c r="A86" s="121">
        <v>9001072600</v>
      </c>
      <c r="B86" s="121" t="s">
        <v>2984</v>
      </c>
      <c r="C86" s="128" t="s">
        <v>3886</v>
      </c>
      <c r="D86" s="152">
        <v>30.109939222853125</v>
      </c>
      <c r="E86" s="152">
        <v>0</v>
      </c>
      <c r="F86" s="153">
        <f>[2]!Table323[[#This Row],[Single Family]]+[2]!Table323[[#This Row],[2-4 Units]]+[2]!Table323[[#This Row],[&gt;4 Units]]</f>
        <v>0</v>
      </c>
      <c r="G86" s="153"/>
      <c r="H86" s="153"/>
      <c r="I86" s="153"/>
      <c r="J86" s="154">
        <v>0</v>
      </c>
      <c r="K86" s="153">
        <f>SUM([2]!Table323[[#This Row],[Single Family ]:[&gt;4 Units ]])</f>
        <v>0</v>
      </c>
      <c r="L86" s="155"/>
      <c r="M86" s="155"/>
      <c r="N86" s="155"/>
      <c r="O86" s="156"/>
      <c r="P86" s="100">
        <f>VLOOKUP(Table3236[[#This Row],[Census Tract]],'Population and Diversity Data'!$B$2:$K$823,10,FALSE)</f>
        <v>3</v>
      </c>
      <c r="Q86" s="101" t="str">
        <f>VLOOKUP(Table3236[[#This Row],[Census Tract]],'UI EnergyBurden'!$A$2:$B$184,2,FALSE)</f>
        <v>No</v>
      </c>
    </row>
    <row r="87" spans="1:17" x14ac:dyDescent="0.2">
      <c r="A87" s="121">
        <v>9001072600</v>
      </c>
      <c r="B87" s="121" t="s">
        <v>2990</v>
      </c>
      <c r="C87" s="128" t="s">
        <v>3886</v>
      </c>
      <c r="D87" s="152">
        <v>0</v>
      </c>
      <c r="E87" s="152">
        <v>0</v>
      </c>
      <c r="F87" s="153">
        <f>[2]!Table323[[#This Row],[Single Family]]+[2]!Table323[[#This Row],[2-4 Units]]+[2]!Table323[[#This Row],[&gt;4 Units]]</f>
        <v>0</v>
      </c>
      <c r="G87" s="153"/>
      <c r="H87" s="153"/>
      <c r="I87" s="153"/>
      <c r="J87" s="154">
        <v>0</v>
      </c>
      <c r="K87" s="153">
        <f>SUM([2]!Table323[[#This Row],[Single Family ]:[&gt;4 Units ]])</f>
        <v>0</v>
      </c>
      <c r="L87" s="155"/>
      <c r="M87" s="155"/>
      <c r="N87" s="155"/>
      <c r="O87" s="156">
        <v>0</v>
      </c>
      <c r="P87" s="100">
        <f>VLOOKUP(Table3236[[#This Row],[Census Tract]],'Population and Diversity Data'!$B$2:$K$823,10,FALSE)</f>
        <v>3</v>
      </c>
      <c r="Q87" s="101" t="str">
        <f>VLOOKUP(Table3236[[#This Row],[Census Tract]],'UI EnergyBurden'!$A$2:$B$184,2,FALSE)</f>
        <v>No</v>
      </c>
    </row>
    <row r="88" spans="1:17" x14ac:dyDescent="0.2">
      <c r="A88" s="121">
        <v>9001072600</v>
      </c>
      <c r="B88" s="121" t="s">
        <v>934</v>
      </c>
      <c r="C88" s="128" t="s">
        <v>3886</v>
      </c>
      <c r="D88" s="152">
        <v>0</v>
      </c>
      <c r="E88" s="152">
        <v>0</v>
      </c>
      <c r="F88" s="153">
        <f>[2]!Table323[[#This Row],[Single Family]]+[2]!Table323[[#This Row],[2-4 Units]]+[2]!Table323[[#This Row],[&gt;4 Units]]</f>
        <v>0</v>
      </c>
      <c r="G88" s="153"/>
      <c r="H88" s="153"/>
      <c r="I88" s="153"/>
      <c r="J88" s="154">
        <v>0</v>
      </c>
      <c r="K88" s="153">
        <f>SUM([2]!Table323[[#This Row],[Single Family ]:[&gt;4 Units ]])</f>
        <v>0</v>
      </c>
      <c r="L88" s="155"/>
      <c r="M88" s="155"/>
      <c r="N88" s="155"/>
      <c r="O88" s="156">
        <v>0</v>
      </c>
      <c r="P88" s="100">
        <f>VLOOKUP(Table3236[[#This Row],[Census Tract]],'Population and Diversity Data'!$B$2:$K$823,10,FALSE)</f>
        <v>3</v>
      </c>
      <c r="Q88" s="101" t="str">
        <f>VLOOKUP(Table3236[[#This Row],[Census Tract]],'UI EnergyBurden'!$A$2:$B$184,2,FALSE)</f>
        <v>No</v>
      </c>
    </row>
    <row r="89" spans="1:17" x14ac:dyDescent="0.2">
      <c r="A89" s="121">
        <v>9001072700</v>
      </c>
      <c r="B89" s="121" t="s">
        <v>934</v>
      </c>
      <c r="C89" s="128" t="s">
        <v>3886</v>
      </c>
      <c r="D89" s="152">
        <v>50527.437303135754</v>
      </c>
      <c r="E89" s="152">
        <v>51405.029999999992</v>
      </c>
      <c r="F89" s="153">
        <f>[2]!Table323[[#This Row],[Single Family]]+[2]!Table323[[#This Row],[2-4 Units]]+[2]!Table323[[#This Row],[&gt;4 Units]]</f>
        <v>35</v>
      </c>
      <c r="G89" s="153">
        <v>35</v>
      </c>
      <c r="H89" s="153">
        <v>0</v>
      </c>
      <c r="I89" s="153">
        <v>0</v>
      </c>
      <c r="J89" s="154">
        <v>33722.939999999995</v>
      </c>
      <c r="K89" s="153">
        <f>SUM([2]!Table323[[#This Row],[Single Family ]:[&gt;4 Units ]])</f>
        <v>13</v>
      </c>
      <c r="L89" s="155">
        <v>13</v>
      </c>
      <c r="M89" s="155">
        <v>0</v>
      </c>
      <c r="N89" s="155">
        <v>0</v>
      </c>
      <c r="O89" s="156">
        <v>17682.089999999997</v>
      </c>
      <c r="P89" s="100">
        <f>VLOOKUP(Table3236[[#This Row],[Census Tract]],'Population and Diversity Data'!$B$2:$K$823,10,FALSE)</f>
        <v>4</v>
      </c>
      <c r="Q89" s="101" t="str">
        <f>VLOOKUP(Table3236[[#This Row],[Census Tract]],'UI EnergyBurden'!$A$2:$B$184,2,FALSE)</f>
        <v>No</v>
      </c>
    </row>
    <row r="90" spans="1:17" x14ac:dyDescent="0.2">
      <c r="A90" s="121">
        <v>9001072700</v>
      </c>
      <c r="B90" s="121" t="s">
        <v>2984</v>
      </c>
      <c r="C90" s="128" t="s">
        <v>3886</v>
      </c>
      <c r="D90" s="152">
        <v>250.43602623166063</v>
      </c>
      <c r="E90" s="152">
        <v>0</v>
      </c>
      <c r="F90" s="153">
        <f>[2]!Table323[[#This Row],[Single Family]]+[2]!Table323[[#This Row],[2-4 Units]]+[2]!Table323[[#This Row],[&gt;4 Units]]</f>
        <v>0</v>
      </c>
      <c r="G90" s="153"/>
      <c r="H90" s="153"/>
      <c r="I90" s="153"/>
      <c r="J90" s="154">
        <v>0</v>
      </c>
      <c r="K90" s="153">
        <f>SUM([2]!Table323[[#This Row],[Single Family ]:[&gt;4 Units ]])</f>
        <v>0</v>
      </c>
      <c r="L90" s="155"/>
      <c r="M90" s="155"/>
      <c r="N90" s="155"/>
      <c r="O90" s="156"/>
      <c r="P90" s="100">
        <f>VLOOKUP(Table3236[[#This Row],[Census Tract]],'Population and Diversity Data'!$B$2:$K$823,10,FALSE)</f>
        <v>4</v>
      </c>
      <c r="Q90" s="101" t="str">
        <f>VLOOKUP(Table3236[[#This Row],[Census Tract]],'UI EnergyBurden'!$A$2:$B$184,2,FALSE)</f>
        <v>No</v>
      </c>
    </row>
    <row r="91" spans="1:17" x14ac:dyDescent="0.2">
      <c r="A91" s="121">
        <v>9001072700</v>
      </c>
      <c r="B91" s="121" t="s">
        <v>934</v>
      </c>
      <c r="C91" s="128" t="s">
        <v>3886</v>
      </c>
      <c r="D91" s="152">
        <v>0</v>
      </c>
      <c r="E91" s="152">
        <v>0</v>
      </c>
      <c r="F91" s="153">
        <f>[2]!Table323[[#This Row],[Single Family]]+[2]!Table323[[#This Row],[2-4 Units]]+[2]!Table323[[#This Row],[&gt;4 Units]]</f>
        <v>0</v>
      </c>
      <c r="G91" s="153"/>
      <c r="H91" s="153"/>
      <c r="I91" s="153"/>
      <c r="J91" s="154">
        <v>0</v>
      </c>
      <c r="K91" s="153">
        <f>SUM([2]!Table323[[#This Row],[Single Family ]:[&gt;4 Units ]])</f>
        <v>0</v>
      </c>
      <c r="L91" s="155"/>
      <c r="M91" s="155"/>
      <c r="N91" s="155"/>
      <c r="O91" s="156">
        <v>0</v>
      </c>
      <c r="P91" s="100">
        <f>VLOOKUP(Table3236[[#This Row],[Census Tract]],'Population and Diversity Data'!$B$2:$K$823,10,FALSE)</f>
        <v>4</v>
      </c>
      <c r="Q91" s="101" t="str">
        <f>VLOOKUP(Table3236[[#This Row],[Census Tract]],'UI EnergyBurden'!$A$2:$B$184,2,FALSE)</f>
        <v>No</v>
      </c>
    </row>
    <row r="92" spans="1:17" x14ac:dyDescent="0.2">
      <c r="A92" s="121">
        <v>9001072800</v>
      </c>
      <c r="B92" s="121" t="s">
        <v>934</v>
      </c>
      <c r="C92" s="128" t="s">
        <v>3886</v>
      </c>
      <c r="D92" s="152">
        <v>56703.732815382595</v>
      </c>
      <c r="E92" s="152">
        <v>37978.330000000009</v>
      </c>
      <c r="F92" s="153">
        <f>[2]!Table323[[#This Row],[Single Family]]+[2]!Table323[[#This Row],[2-4 Units]]+[2]!Table323[[#This Row],[&gt;4 Units]]</f>
        <v>16</v>
      </c>
      <c r="G92" s="153">
        <v>16</v>
      </c>
      <c r="H92" s="153">
        <v>0</v>
      </c>
      <c r="I92" s="153">
        <v>0</v>
      </c>
      <c r="J92" s="154">
        <v>5784.93</v>
      </c>
      <c r="K92" s="153">
        <f>SUM([2]!Table323[[#This Row],[Single Family ]:[&gt;4 Units ]])</f>
        <v>18</v>
      </c>
      <c r="L92" s="155">
        <v>16</v>
      </c>
      <c r="M92" s="155">
        <v>2</v>
      </c>
      <c r="N92" s="155">
        <v>0</v>
      </c>
      <c r="O92" s="156">
        <v>32193.399999999998</v>
      </c>
      <c r="P92" s="100">
        <f>VLOOKUP(Table3236[[#This Row],[Census Tract]],'Population and Diversity Data'!$B$2:$K$823,10,FALSE)</f>
        <v>5</v>
      </c>
      <c r="Q92" s="101" t="str">
        <f>VLOOKUP(Table3236[[#This Row],[Census Tract]],'UI EnergyBurden'!$A$2:$B$184,2,FALSE)</f>
        <v>No</v>
      </c>
    </row>
    <row r="93" spans="1:17" x14ac:dyDescent="0.2">
      <c r="A93" s="121">
        <v>9001072800</v>
      </c>
      <c r="B93" s="121" t="s">
        <v>934</v>
      </c>
      <c r="C93" s="128" t="s">
        <v>3886</v>
      </c>
      <c r="D93" s="152">
        <v>0</v>
      </c>
      <c r="E93" s="152">
        <v>0</v>
      </c>
      <c r="F93" s="153">
        <f>[2]!Table323[[#This Row],[Single Family]]+[2]!Table323[[#This Row],[2-4 Units]]+[2]!Table323[[#This Row],[&gt;4 Units]]</f>
        <v>0</v>
      </c>
      <c r="G93" s="153"/>
      <c r="H93" s="153"/>
      <c r="I93" s="153"/>
      <c r="J93" s="154">
        <v>0</v>
      </c>
      <c r="K93" s="153">
        <f>SUM([2]!Table323[[#This Row],[Single Family ]:[&gt;4 Units ]])</f>
        <v>0</v>
      </c>
      <c r="L93" s="155"/>
      <c r="M93" s="155"/>
      <c r="N93" s="155"/>
      <c r="O93" s="156"/>
      <c r="P93" s="100">
        <f>VLOOKUP(Table3236[[#This Row],[Census Tract]],'Population and Diversity Data'!$B$2:$K$823,10,FALSE)</f>
        <v>5</v>
      </c>
      <c r="Q93" s="101" t="str">
        <f>VLOOKUP(Table3236[[#This Row],[Census Tract]],'UI EnergyBurden'!$A$2:$B$184,2,FALSE)</f>
        <v>No</v>
      </c>
    </row>
    <row r="94" spans="1:17" x14ac:dyDescent="0.2">
      <c r="A94" s="121">
        <v>9001072900</v>
      </c>
      <c r="B94" s="121" t="s">
        <v>934</v>
      </c>
      <c r="C94" s="128" t="s">
        <v>3886</v>
      </c>
      <c r="D94" s="152">
        <v>56153.471598582248</v>
      </c>
      <c r="E94" s="152">
        <v>62555.659999999989</v>
      </c>
      <c r="F94" s="153">
        <f>[2]!Table323[[#This Row],[Single Family]]+[2]!Table323[[#This Row],[2-4 Units]]+[2]!Table323[[#This Row],[&gt;4 Units]]</f>
        <v>26</v>
      </c>
      <c r="G94" s="153">
        <v>24</v>
      </c>
      <c r="H94" s="153">
        <v>2</v>
      </c>
      <c r="I94" s="153">
        <v>0</v>
      </c>
      <c r="J94" s="154">
        <v>9904.630000000001</v>
      </c>
      <c r="K94" s="153">
        <f>SUM([2]!Table323[[#This Row],[Single Family ]:[&gt;4 Units ]])</f>
        <v>24</v>
      </c>
      <c r="L94" s="155">
        <v>19</v>
      </c>
      <c r="M94" s="155">
        <v>5</v>
      </c>
      <c r="N94" s="155">
        <v>0</v>
      </c>
      <c r="O94" s="156">
        <v>52651.029999999992</v>
      </c>
      <c r="P94" s="100">
        <f>VLOOKUP(Table3236[[#This Row],[Census Tract]],'Population and Diversity Data'!$B$2:$K$823,10,FALSE)</f>
        <v>4</v>
      </c>
      <c r="Q94" s="101" t="str">
        <f>VLOOKUP(Table3236[[#This Row],[Census Tract]],'UI EnergyBurden'!$A$2:$B$184,2,FALSE)</f>
        <v>No</v>
      </c>
    </row>
    <row r="95" spans="1:17" x14ac:dyDescent="0.2">
      <c r="A95" s="121">
        <v>9001072900</v>
      </c>
      <c r="B95" s="121" t="s">
        <v>956</v>
      </c>
      <c r="C95" s="128" t="s">
        <v>3886</v>
      </c>
      <c r="D95" s="152">
        <v>5.1383566935043739</v>
      </c>
      <c r="E95" s="152">
        <v>0</v>
      </c>
      <c r="F95" s="153">
        <f>[2]!Table323[[#This Row],[Single Family]]+[2]!Table323[[#This Row],[2-4 Units]]+[2]!Table323[[#This Row],[&gt;4 Units]]</f>
        <v>0</v>
      </c>
      <c r="G95" s="153"/>
      <c r="H95" s="153"/>
      <c r="I95" s="153"/>
      <c r="J95" s="154">
        <v>0</v>
      </c>
      <c r="K95" s="153">
        <f>SUM([2]!Table323[[#This Row],[Single Family ]:[&gt;4 Units ]])</f>
        <v>0</v>
      </c>
      <c r="L95" s="155"/>
      <c r="M95" s="155"/>
      <c r="N95" s="155"/>
      <c r="O95" s="156"/>
      <c r="P95" s="100">
        <f>VLOOKUP(Table3236[[#This Row],[Census Tract]],'Population and Diversity Data'!$B$2:$K$823,10,FALSE)</f>
        <v>4</v>
      </c>
      <c r="Q95" s="101" t="str">
        <f>VLOOKUP(Table3236[[#This Row],[Census Tract]],'UI EnergyBurden'!$A$2:$B$184,2,FALSE)</f>
        <v>No</v>
      </c>
    </row>
    <row r="96" spans="1:17" x14ac:dyDescent="0.2">
      <c r="A96" s="121">
        <v>9001072900</v>
      </c>
      <c r="B96" s="121" t="s">
        <v>2984</v>
      </c>
      <c r="C96" s="128" t="s">
        <v>3886</v>
      </c>
      <c r="D96" s="152">
        <v>67.195670866088193</v>
      </c>
      <c r="E96" s="152">
        <v>0</v>
      </c>
      <c r="F96" s="153">
        <f>[2]!Table323[[#This Row],[Single Family]]+[2]!Table323[[#This Row],[2-4 Units]]+[2]!Table323[[#This Row],[&gt;4 Units]]</f>
        <v>0</v>
      </c>
      <c r="G96" s="153"/>
      <c r="H96" s="153"/>
      <c r="I96" s="153"/>
      <c r="J96" s="154">
        <v>0</v>
      </c>
      <c r="K96" s="153">
        <f>SUM([2]!Table323[[#This Row],[Single Family ]:[&gt;4 Units ]])</f>
        <v>0</v>
      </c>
      <c r="L96" s="155"/>
      <c r="M96" s="155"/>
      <c r="N96" s="155"/>
      <c r="O96" s="156"/>
      <c r="P96" s="100">
        <f>VLOOKUP(Table3236[[#This Row],[Census Tract]],'Population and Diversity Data'!$B$2:$K$823,10,FALSE)</f>
        <v>4</v>
      </c>
      <c r="Q96" s="101" t="str">
        <f>VLOOKUP(Table3236[[#This Row],[Census Tract]],'UI EnergyBurden'!$A$2:$B$184,2,FALSE)</f>
        <v>No</v>
      </c>
    </row>
    <row r="97" spans="1:17" x14ac:dyDescent="0.2">
      <c r="A97" s="121">
        <v>9001072900</v>
      </c>
      <c r="B97" s="121" t="s">
        <v>934</v>
      </c>
      <c r="C97" s="128" t="s">
        <v>3886</v>
      </c>
      <c r="D97" s="152">
        <v>0</v>
      </c>
      <c r="E97" s="152">
        <v>0</v>
      </c>
      <c r="F97" s="153">
        <f>[2]!Table323[[#This Row],[Single Family]]+[2]!Table323[[#This Row],[2-4 Units]]+[2]!Table323[[#This Row],[&gt;4 Units]]</f>
        <v>0</v>
      </c>
      <c r="G97" s="153"/>
      <c r="H97" s="153"/>
      <c r="I97" s="153"/>
      <c r="J97" s="154">
        <v>0</v>
      </c>
      <c r="K97" s="153">
        <f>SUM([2]!Table323[[#This Row],[Single Family ]:[&gt;4 Units ]])</f>
        <v>0</v>
      </c>
      <c r="L97" s="155"/>
      <c r="M97" s="155"/>
      <c r="N97" s="155"/>
      <c r="O97" s="156">
        <v>0</v>
      </c>
      <c r="P97" s="100">
        <f>VLOOKUP(Table3236[[#This Row],[Census Tract]],'Population and Diversity Data'!$B$2:$K$823,10,FALSE)</f>
        <v>4</v>
      </c>
      <c r="Q97" s="101" t="str">
        <f>VLOOKUP(Table3236[[#This Row],[Census Tract]],'UI EnergyBurden'!$A$2:$B$184,2,FALSE)</f>
        <v>No</v>
      </c>
    </row>
    <row r="98" spans="1:17" x14ac:dyDescent="0.2">
      <c r="A98" s="121">
        <v>9001073000</v>
      </c>
      <c r="B98" s="121" t="s">
        <v>934</v>
      </c>
      <c r="C98" s="128" t="s">
        <v>3886</v>
      </c>
      <c r="D98" s="152">
        <v>22816.935222587344</v>
      </c>
      <c r="E98" s="152">
        <v>31448.59</v>
      </c>
      <c r="F98" s="153">
        <f>[2]!Table323[[#This Row],[Single Family]]+[2]!Table323[[#This Row],[2-4 Units]]+[2]!Table323[[#This Row],[&gt;4 Units]]</f>
        <v>17</v>
      </c>
      <c r="G98" s="153">
        <v>15</v>
      </c>
      <c r="H98" s="153">
        <v>2</v>
      </c>
      <c r="I98" s="153">
        <v>0</v>
      </c>
      <c r="J98" s="154">
        <v>14162.010000000002</v>
      </c>
      <c r="K98" s="153">
        <f>SUM([2]!Table323[[#This Row],[Single Family ]:[&gt;4 Units ]])</f>
        <v>10</v>
      </c>
      <c r="L98" s="155">
        <v>7</v>
      </c>
      <c r="M98" s="155">
        <v>3</v>
      </c>
      <c r="N98" s="155">
        <v>0</v>
      </c>
      <c r="O98" s="156">
        <v>17286.580000000002</v>
      </c>
      <c r="P98" s="100">
        <f>VLOOKUP(Table3236[[#This Row],[Census Tract]],'Population and Diversity Data'!$B$2:$K$823,10,FALSE)</f>
        <v>4</v>
      </c>
      <c r="Q98" s="101" t="str">
        <f>VLOOKUP(Table3236[[#This Row],[Census Tract]],'UI EnergyBurden'!$A$2:$B$184,2,FALSE)</f>
        <v>No</v>
      </c>
    </row>
    <row r="99" spans="1:17" x14ac:dyDescent="0.2">
      <c r="A99" s="121">
        <v>9001073000</v>
      </c>
      <c r="B99" s="121" t="s">
        <v>2984</v>
      </c>
      <c r="C99" s="128" t="s">
        <v>3886</v>
      </c>
      <c r="D99" s="152">
        <v>157.35005497278487</v>
      </c>
      <c r="E99" s="152">
        <v>0</v>
      </c>
      <c r="F99" s="153">
        <f>[2]!Table323[[#This Row],[Single Family]]+[2]!Table323[[#This Row],[2-4 Units]]+[2]!Table323[[#This Row],[&gt;4 Units]]</f>
        <v>0</v>
      </c>
      <c r="G99" s="153"/>
      <c r="H99" s="153"/>
      <c r="I99" s="153"/>
      <c r="J99" s="154">
        <v>0</v>
      </c>
      <c r="K99" s="153">
        <f>SUM([2]!Table323[[#This Row],[Single Family ]:[&gt;4 Units ]])</f>
        <v>0</v>
      </c>
      <c r="L99" s="155"/>
      <c r="M99" s="155"/>
      <c r="N99" s="155"/>
      <c r="O99" s="156"/>
      <c r="P99" s="100">
        <f>VLOOKUP(Table3236[[#This Row],[Census Tract]],'Population and Diversity Data'!$B$2:$K$823,10,FALSE)</f>
        <v>4</v>
      </c>
      <c r="Q99" s="101" t="str">
        <f>VLOOKUP(Table3236[[#This Row],[Census Tract]],'UI EnergyBurden'!$A$2:$B$184,2,FALSE)</f>
        <v>No</v>
      </c>
    </row>
    <row r="100" spans="1:17" x14ac:dyDescent="0.2">
      <c r="A100" s="121">
        <v>9001073000</v>
      </c>
      <c r="B100" s="121" t="s">
        <v>934</v>
      </c>
      <c r="C100" s="128" t="s">
        <v>3886</v>
      </c>
      <c r="D100" s="152">
        <v>0</v>
      </c>
      <c r="E100" s="152">
        <v>0</v>
      </c>
      <c r="F100" s="153">
        <f>[2]!Table323[[#This Row],[Single Family]]+[2]!Table323[[#This Row],[2-4 Units]]+[2]!Table323[[#This Row],[&gt;4 Units]]</f>
        <v>0</v>
      </c>
      <c r="G100" s="153"/>
      <c r="H100" s="153"/>
      <c r="I100" s="153"/>
      <c r="J100" s="154">
        <v>0</v>
      </c>
      <c r="K100" s="153">
        <f>SUM([2]!Table323[[#This Row],[Single Family ]:[&gt;4 Units ]])</f>
        <v>0</v>
      </c>
      <c r="L100" s="155"/>
      <c r="M100" s="155"/>
      <c r="N100" s="155"/>
      <c r="O100" s="156"/>
      <c r="P100" s="100">
        <f>VLOOKUP(Table3236[[#This Row],[Census Tract]],'Population and Diversity Data'!$B$2:$K$823,10,FALSE)</f>
        <v>4</v>
      </c>
      <c r="Q100" s="101" t="str">
        <f>VLOOKUP(Table3236[[#This Row],[Census Tract]],'UI EnergyBurden'!$A$2:$B$184,2,FALSE)</f>
        <v>No</v>
      </c>
    </row>
    <row r="101" spans="1:17" x14ac:dyDescent="0.2">
      <c r="A101" s="121">
        <v>9001073100</v>
      </c>
      <c r="B101" s="121" t="s">
        <v>934</v>
      </c>
      <c r="C101" s="128" t="s">
        <v>3887</v>
      </c>
      <c r="D101" s="152">
        <v>54079.657613785552</v>
      </c>
      <c r="E101" s="152">
        <v>43285.100000000006</v>
      </c>
      <c r="F101" s="153">
        <f>[2]!Table323[[#This Row],[Single Family]]+[2]!Table323[[#This Row],[2-4 Units]]+[2]!Table323[[#This Row],[&gt;4 Units]]</f>
        <v>34</v>
      </c>
      <c r="G101" s="153">
        <v>29</v>
      </c>
      <c r="H101" s="153">
        <v>5</v>
      </c>
      <c r="I101" s="153">
        <v>0</v>
      </c>
      <c r="J101" s="154">
        <v>20560.679999999989</v>
      </c>
      <c r="K101" s="153">
        <f>SUM([2]!Table323[[#This Row],[Single Family ]:[&gt;4 Units ]])</f>
        <v>17</v>
      </c>
      <c r="L101" s="155">
        <v>12</v>
      </c>
      <c r="M101" s="155">
        <v>5</v>
      </c>
      <c r="N101" s="155">
        <v>0</v>
      </c>
      <c r="O101" s="156">
        <v>22724.42</v>
      </c>
      <c r="P101" s="100">
        <f>VLOOKUP(Table3236[[#This Row],[Census Tract]],'Population and Diversity Data'!$B$2:$K$823,10,FALSE)</f>
        <v>5</v>
      </c>
      <c r="Q101" s="101" t="str">
        <f>VLOOKUP(Table3236[[#This Row],[Census Tract]],'UI EnergyBurden'!$A$2:$B$184,2,FALSE)</f>
        <v>No</v>
      </c>
    </row>
    <row r="102" spans="1:17" x14ac:dyDescent="0.2">
      <c r="A102" s="121">
        <v>9001073100</v>
      </c>
      <c r="B102" s="121" t="s">
        <v>2984</v>
      </c>
      <c r="C102" s="128" t="s">
        <v>3887</v>
      </c>
      <c r="D102" s="152">
        <v>79.545270286684968</v>
      </c>
      <c r="E102" s="152">
        <v>0</v>
      </c>
      <c r="F102" s="153">
        <f>[2]!Table323[[#This Row],[Single Family]]+[2]!Table323[[#This Row],[2-4 Units]]+[2]!Table323[[#This Row],[&gt;4 Units]]</f>
        <v>0</v>
      </c>
      <c r="G102" s="153"/>
      <c r="H102" s="153"/>
      <c r="I102" s="153"/>
      <c r="J102" s="154">
        <v>0</v>
      </c>
      <c r="K102" s="153">
        <f>SUM([2]!Table323[[#This Row],[Single Family ]:[&gt;4 Units ]])</f>
        <v>0</v>
      </c>
      <c r="L102" s="155"/>
      <c r="M102" s="155"/>
      <c r="N102" s="155"/>
      <c r="O102" s="156"/>
      <c r="P102" s="100">
        <f>VLOOKUP(Table3236[[#This Row],[Census Tract]],'Population and Diversity Data'!$B$2:$K$823,10,FALSE)</f>
        <v>5</v>
      </c>
      <c r="Q102" s="101" t="str">
        <f>VLOOKUP(Table3236[[#This Row],[Census Tract]],'UI EnergyBurden'!$A$2:$B$184,2,FALSE)</f>
        <v>No</v>
      </c>
    </row>
    <row r="103" spans="1:17" x14ac:dyDescent="0.2">
      <c r="A103" s="121">
        <v>9001073100</v>
      </c>
      <c r="B103" s="121" t="s">
        <v>934</v>
      </c>
      <c r="C103" s="128" t="s">
        <v>3887</v>
      </c>
      <c r="D103" s="152">
        <v>0</v>
      </c>
      <c r="E103" s="152">
        <v>257877</v>
      </c>
      <c r="F103" s="153">
        <f>[2]!Table323[[#This Row],[Single Family]]+[2]!Table323[[#This Row],[2-4 Units]]+[2]!Table323[[#This Row],[&gt;4 Units]]</f>
        <v>0</v>
      </c>
      <c r="G103" s="153"/>
      <c r="H103" s="153"/>
      <c r="I103" s="153"/>
      <c r="J103" s="154">
        <v>0</v>
      </c>
      <c r="K103" s="153">
        <f>SUM([2]!Table323[[#This Row],[Single Family ]:[&gt;4 Units ]])</f>
        <v>0</v>
      </c>
      <c r="L103" s="155">
        <v>0</v>
      </c>
      <c r="M103" s="155">
        <v>0</v>
      </c>
      <c r="N103" s="155">
        <v>0</v>
      </c>
      <c r="O103" s="156">
        <v>257877</v>
      </c>
      <c r="P103" s="100">
        <f>VLOOKUP(Table3236[[#This Row],[Census Tract]],'Population and Diversity Data'!$B$2:$K$823,10,FALSE)</f>
        <v>5</v>
      </c>
      <c r="Q103" s="101" t="str">
        <f>VLOOKUP(Table3236[[#This Row],[Census Tract]],'UI EnergyBurden'!$A$2:$B$184,2,FALSE)</f>
        <v>No</v>
      </c>
    </row>
    <row r="104" spans="1:17" x14ac:dyDescent="0.2">
      <c r="A104" s="121">
        <v>9001073200</v>
      </c>
      <c r="B104" s="121" t="s">
        <v>934</v>
      </c>
      <c r="C104" s="128" t="s">
        <v>3886</v>
      </c>
      <c r="D104" s="152">
        <v>17834.700549122732</v>
      </c>
      <c r="E104" s="152">
        <v>1102.96</v>
      </c>
      <c r="F104" s="153">
        <f>[2]!Table323[[#This Row],[Single Family]]+[2]!Table323[[#This Row],[2-4 Units]]+[2]!Table323[[#This Row],[&gt;4 Units]]</f>
        <v>5</v>
      </c>
      <c r="G104" s="153">
        <v>4</v>
      </c>
      <c r="H104" s="153">
        <v>1</v>
      </c>
      <c r="I104" s="153">
        <v>0</v>
      </c>
      <c r="J104" s="154">
        <v>818.97</v>
      </c>
      <c r="K104" s="153">
        <f>SUM([2]!Table323[[#This Row],[Single Family ]:[&gt;4 Units ]])</f>
        <v>3</v>
      </c>
      <c r="L104" s="155">
        <v>1</v>
      </c>
      <c r="M104" s="155">
        <v>2</v>
      </c>
      <c r="N104" s="155">
        <v>0</v>
      </c>
      <c r="O104" s="156">
        <v>283.99</v>
      </c>
      <c r="P104" s="100">
        <f>VLOOKUP(Table3236[[#This Row],[Census Tract]],'Population and Diversity Data'!$B$2:$K$823,10,FALSE)</f>
        <v>5</v>
      </c>
      <c r="Q104" s="101" t="str">
        <f>VLOOKUP(Table3236[[#This Row],[Census Tract]],'UI EnergyBurden'!$A$2:$B$184,2,FALSE)</f>
        <v>No</v>
      </c>
    </row>
    <row r="105" spans="1:17" x14ac:dyDescent="0.2">
      <c r="A105" s="121">
        <v>9001073200</v>
      </c>
      <c r="B105" s="121" t="s">
        <v>956</v>
      </c>
      <c r="C105" s="128" t="s">
        <v>3886</v>
      </c>
      <c r="D105" s="152">
        <v>29.242004758900901</v>
      </c>
      <c r="E105" s="152">
        <v>0</v>
      </c>
      <c r="F105" s="153">
        <f>[2]!Table323[[#This Row],[Single Family]]+[2]!Table323[[#This Row],[2-4 Units]]+[2]!Table323[[#This Row],[&gt;4 Units]]</f>
        <v>0</v>
      </c>
      <c r="G105" s="153"/>
      <c r="H105" s="153"/>
      <c r="I105" s="153"/>
      <c r="J105" s="154">
        <v>0</v>
      </c>
      <c r="K105" s="153">
        <f>SUM([2]!Table323[[#This Row],[Single Family ]:[&gt;4 Units ]])</f>
        <v>0</v>
      </c>
      <c r="L105" s="155"/>
      <c r="M105" s="155"/>
      <c r="N105" s="155"/>
      <c r="O105" s="156"/>
      <c r="P105" s="100">
        <f>VLOOKUP(Table3236[[#This Row],[Census Tract]],'Population and Diversity Data'!$B$2:$K$823,10,FALSE)</f>
        <v>5</v>
      </c>
      <c r="Q105" s="101" t="str">
        <f>VLOOKUP(Table3236[[#This Row],[Census Tract]],'UI EnergyBurden'!$A$2:$B$184,2,FALSE)</f>
        <v>No</v>
      </c>
    </row>
    <row r="106" spans="1:17" x14ac:dyDescent="0.2">
      <c r="A106" s="121">
        <v>9001073300</v>
      </c>
      <c r="B106" s="121" t="s">
        <v>934</v>
      </c>
      <c r="C106" s="128" t="s">
        <v>3887</v>
      </c>
      <c r="D106" s="152">
        <v>38061.257664008546</v>
      </c>
      <c r="E106" s="152">
        <v>17489.239999999998</v>
      </c>
      <c r="F106" s="153">
        <f>[2]!Table323[[#This Row],[Single Family]]+[2]!Table323[[#This Row],[2-4 Units]]+[2]!Table323[[#This Row],[&gt;4 Units]]</f>
        <v>14</v>
      </c>
      <c r="G106" s="153">
        <v>10</v>
      </c>
      <c r="H106" s="153">
        <v>4</v>
      </c>
      <c r="I106" s="153">
        <v>0</v>
      </c>
      <c r="J106" s="154">
        <v>2425.17</v>
      </c>
      <c r="K106" s="153">
        <f>SUM([2]!Table323[[#This Row],[Single Family ]:[&gt;4 Units ]])</f>
        <v>18</v>
      </c>
      <c r="L106" s="155">
        <v>10</v>
      </c>
      <c r="M106" s="155">
        <v>8</v>
      </c>
      <c r="N106" s="155">
        <v>0</v>
      </c>
      <c r="O106" s="156">
        <v>15064.07</v>
      </c>
      <c r="P106" s="100">
        <f>VLOOKUP(Table3236[[#This Row],[Census Tract]],'Population and Diversity Data'!$B$2:$K$823,10,FALSE)</f>
        <v>5</v>
      </c>
      <c r="Q106" s="101" t="str">
        <f>VLOOKUP(Table3236[[#This Row],[Census Tract]],'UI EnergyBurden'!$A$2:$B$184,2,FALSE)</f>
        <v>Yes</v>
      </c>
    </row>
    <row r="107" spans="1:17" x14ac:dyDescent="0.2">
      <c r="A107" s="121">
        <v>9001073300</v>
      </c>
      <c r="B107" s="121" t="s">
        <v>934</v>
      </c>
      <c r="C107" s="128" t="s">
        <v>3887</v>
      </c>
      <c r="D107" s="152">
        <v>0</v>
      </c>
      <c r="E107" s="152">
        <v>0</v>
      </c>
      <c r="F107" s="153">
        <f>[2]!Table323[[#This Row],[Single Family]]+[2]!Table323[[#This Row],[2-4 Units]]+[2]!Table323[[#This Row],[&gt;4 Units]]</f>
        <v>0</v>
      </c>
      <c r="G107" s="153"/>
      <c r="H107" s="153"/>
      <c r="I107" s="153"/>
      <c r="J107" s="154">
        <v>0</v>
      </c>
      <c r="K107" s="153">
        <f>SUM([2]!Table323[[#This Row],[Single Family ]:[&gt;4 Units ]])</f>
        <v>0</v>
      </c>
      <c r="L107" s="155"/>
      <c r="M107" s="155"/>
      <c r="N107" s="155"/>
      <c r="O107" s="156">
        <v>0</v>
      </c>
      <c r="P107" s="100">
        <f>VLOOKUP(Table3236[[#This Row],[Census Tract]],'Population and Diversity Data'!$B$2:$K$823,10,FALSE)</f>
        <v>5</v>
      </c>
      <c r="Q107" s="101" t="str">
        <f>VLOOKUP(Table3236[[#This Row],[Census Tract]],'UI EnergyBurden'!$A$2:$B$184,2,FALSE)</f>
        <v>Yes</v>
      </c>
    </row>
    <row r="108" spans="1:17" x14ac:dyDescent="0.2">
      <c r="A108" s="121">
        <v>9001073400</v>
      </c>
      <c r="B108" s="121" t="s">
        <v>934</v>
      </c>
      <c r="C108" s="128" t="s">
        <v>3887</v>
      </c>
      <c r="D108" s="152">
        <v>43314.601823968565</v>
      </c>
      <c r="E108" s="152">
        <v>12070.77</v>
      </c>
      <c r="F108" s="153">
        <f>[2]!Table323[[#This Row],[Single Family]]+[2]!Table323[[#This Row],[2-4 Units]]+[2]!Table323[[#This Row],[&gt;4 Units]]</f>
        <v>13</v>
      </c>
      <c r="G108" s="153">
        <v>6</v>
      </c>
      <c r="H108" s="153">
        <v>7</v>
      </c>
      <c r="I108" s="153">
        <v>0</v>
      </c>
      <c r="J108" s="154">
        <v>8980.3299999999981</v>
      </c>
      <c r="K108" s="153">
        <f>SUM([2]!Table323[[#This Row],[Single Family ]:[&gt;4 Units ]])</f>
        <v>13</v>
      </c>
      <c r="L108" s="155">
        <v>8</v>
      </c>
      <c r="M108" s="155">
        <v>5</v>
      </c>
      <c r="N108" s="155">
        <v>0</v>
      </c>
      <c r="O108" s="156">
        <v>3090.440000000001</v>
      </c>
      <c r="P108" s="100">
        <f>VLOOKUP(Table3236[[#This Row],[Census Tract]],'Population and Diversity Data'!$B$2:$K$823,10,FALSE)</f>
        <v>5</v>
      </c>
      <c r="Q108" s="101" t="str">
        <f>VLOOKUP(Table3236[[#This Row],[Census Tract]],'UI EnergyBurden'!$A$2:$B$184,2,FALSE)</f>
        <v>Yes</v>
      </c>
    </row>
    <row r="109" spans="1:17" x14ac:dyDescent="0.2">
      <c r="A109" s="121">
        <v>9001073400</v>
      </c>
      <c r="B109" s="121" t="s">
        <v>934</v>
      </c>
      <c r="C109" s="128" t="s">
        <v>3887</v>
      </c>
      <c r="D109" s="152">
        <v>0</v>
      </c>
      <c r="E109" s="152">
        <v>0</v>
      </c>
      <c r="F109" s="153">
        <f>[2]!Table323[[#This Row],[Single Family]]+[2]!Table323[[#This Row],[2-4 Units]]+[2]!Table323[[#This Row],[&gt;4 Units]]</f>
        <v>0</v>
      </c>
      <c r="G109" s="153"/>
      <c r="H109" s="153"/>
      <c r="I109" s="153"/>
      <c r="J109" s="154">
        <v>0</v>
      </c>
      <c r="K109" s="153">
        <f>SUM([2]!Table323[[#This Row],[Single Family ]:[&gt;4 Units ]])</f>
        <v>0</v>
      </c>
      <c r="L109" s="155"/>
      <c r="M109" s="155"/>
      <c r="N109" s="155"/>
      <c r="O109" s="156"/>
      <c r="P109" s="100">
        <f>VLOOKUP(Table3236[[#This Row],[Census Tract]],'Population and Diversity Data'!$B$2:$K$823,10,FALSE)</f>
        <v>5</v>
      </c>
      <c r="Q109" s="101" t="str">
        <f>VLOOKUP(Table3236[[#This Row],[Census Tract]],'UI EnergyBurden'!$A$2:$B$184,2,FALSE)</f>
        <v>Yes</v>
      </c>
    </row>
    <row r="110" spans="1:17" x14ac:dyDescent="0.2">
      <c r="A110" s="121">
        <v>9001073500</v>
      </c>
      <c r="B110" s="121" t="s">
        <v>934</v>
      </c>
      <c r="C110" s="128" t="s">
        <v>3887</v>
      </c>
      <c r="D110" s="152">
        <v>30167.042847239463</v>
      </c>
      <c r="E110" s="152">
        <v>5537.2699999999995</v>
      </c>
      <c r="F110" s="153">
        <f>[2]!Table323[[#This Row],[Single Family]]+[2]!Table323[[#This Row],[2-4 Units]]+[2]!Table323[[#This Row],[&gt;4 Units]]</f>
        <v>6</v>
      </c>
      <c r="G110" s="153">
        <v>3</v>
      </c>
      <c r="H110" s="153">
        <v>3</v>
      </c>
      <c r="I110" s="153">
        <v>0</v>
      </c>
      <c r="J110" s="154">
        <v>3338.9899999999993</v>
      </c>
      <c r="K110" s="153">
        <f>SUM([2]!Table323[[#This Row],[Single Family ]:[&gt;4 Units ]])</f>
        <v>5</v>
      </c>
      <c r="L110" s="155">
        <v>2</v>
      </c>
      <c r="M110" s="155">
        <v>3</v>
      </c>
      <c r="N110" s="155">
        <v>0</v>
      </c>
      <c r="O110" s="156">
        <v>2198.2799999999997</v>
      </c>
      <c r="P110" s="100">
        <f>VLOOKUP(Table3236[[#This Row],[Census Tract]],'Population and Diversity Data'!$B$2:$K$823,10,FALSE)</f>
        <v>5</v>
      </c>
      <c r="Q110" s="101" t="str">
        <f>VLOOKUP(Table3236[[#This Row],[Census Tract]],'UI EnergyBurden'!$A$2:$B$184,2,FALSE)</f>
        <v>Yes</v>
      </c>
    </row>
    <row r="111" spans="1:17" x14ac:dyDescent="0.2">
      <c r="A111" s="121">
        <v>9001073500</v>
      </c>
      <c r="B111" s="121" t="s">
        <v>934</v>
      </c>
      <c r="C111" s="128" t="s">
        <v>3887</v>
      </c>
      <c r="D111" s="152">
        <v>0</v>
      </c>
      <c r="E111" s="152">
        <v>0</v>
      </c>
      <c r="F111" s="153">
        <f>[2]!Table323[[#This Row],[Single Family]]+[2]!Table323[[#This Row],[2-4 Units]]+[2]!Table323[[#This Row],[&gt;4 Units]]</f>
        <v>0</v>
      </c>
      <c r="G111" s="153"/>
      <c r="H111" s="153"/>
      <c r="I111" s="153"/>
      <c r="J111" s="154">
        <v>0</v>
      </c>
      <c r="K111" s="153">
        <f>SUM([2]!Table323[[#This Row],[Single Family ]:[&gt;4 Units ]])</f>
        <v>0</v>
      </c>
      <c r="L111" s="155"/>
      <c r="M111" s="155"/>
      <c r="N111" s="155"/>
      <c r="O111" s="156"/>
      <c r="P111" s="100">
        <f>VLOOKUP(Table3236[[#This Row],[Census Tract]],'Population and Diversity Data'!$B$2:$K$823,10,FALSE)</f>
        <v>5</v>
      </c>
      <c r="Q111" s="101" t="str">
        <f>VLOOKUP(Table3236[[#This Row],[Census Tract]],'UI EnergyBurden'!$A$2:$B$184,2,FALSE)</f>
        <v>Yes</v>
      </c>
    </row>
    <row r="112" spans="1:17" x14ac:dyDescent="0.2">
      <c r="A112" s="121">
        <v>9001073600</v>
      </c>
      <c r="B112" s="121" t="s">
        <v>934</v>
      </c>
      <c r="C112" s="128" t="s">
        <v>3887</v>
      </c>
      <c r="D112" s="152">
        <v>18536.111629485844</v>
      </c>
      <c r="E112" s="152">
        <v>1008.44</v>
      </c>
      <c r="F112" s="153">
        <f>[2]!Table323[[#This Row],[Single Family]]+[2]!Table323[[#This Row],[2-4 Units]]+[2]!Table323[[#This Row],[&gt;4 Units]]</f>
        <v>0</v>
      </c>
      <c r="G112" s="153"/>
      <c r="H112" s="153"/>
      <c r="I112" s="153"/>
      <c r="J112" s="154">
        <v>0</v>
      </c>
      <c r="K112" s="153">
        <f>SUM([2]!Table323[[#This Row],[Single Family ]:[&gt;4 Units ]])</f>
        <v>7</v>
      </c>
      <c r="L112" s="155">
        <v>0</v>
      </c>
      <c r="M112" s="155">
        <v>7</v>
      </c>
      <c r="N112" s="155">
        <v>0</v>
      </c>
      <c r="O112" s="156">
        <v>1008.44</v>
      </c>
      <c r="P112" s="100">
        <f>VLOOKUP(Table3236[[#This Row],[Census Tract]],'Population and Diversity Data'!$B$2:$K$823,10,FALSE)</f>
        <v>5</v>
      </c>
      <c r="Q112" s="101" t="str">
        <f>VLOOKUP(Table3236[[#This Row],[Census Tract]],'UI EnergyBurden'!$A$2:$B$184,2,FALSE)</f>
        <v>Yes</v>
      </c>
    </row>
    <row r="113" spans="1:17" x14ac:dyDescent="0.2">
      <c r="A113" s="121">
        <v>9001073600</v>
      </c>
      <c r="B113" s="121" t="s">
        <v>934</v>
      </c>
      <c r="C113" s="128" t="s">
        <v>3887</v>
      </c>
      <c r="D113" s="152">
        <v>0</v>
      </c>
      <c r="E113" s="152">
        <v>0</v>
      </c>
      <c r="F113" s="153">
        <f>[2]!Table323[[#This Row],[Single Family]]+[2]!Table323[[#This Row],[2-4 Units]]+[2]!Table323[[#This Row],[&gt;4 Units]]</f>
        <v>0</v>
      </c>
      <c r="G113" s="153"/>
      <c r="H113" s="153"/>
      <c r="I113" s="153"/>
      <c r="J113" s="154">
        <v>0</v>
      </c>
      <c r="K113" s="153">
        <f>SUM([2]!Table323[[#This Row],[Single Family ]:[&gt;4 Units ]])</f>
        <v>0</v>
      </c>
      <c r="L113" s="155"/>
      <c r="M113" s="155"/>
      <c r="N113" s="155"/>
      <c r="O113" s="156"/>
      <c r="P113" s="100">
        <f>VLOOKUP(Table3236[[#This Row],[Census Tract]],'Population and Diversity Data'!$B$2:$K$823,10,FALSE)</f>
        <v>5</v>
      </c>
      <c r="Q113" s="101" t="str">
        <f>VLOOKUP(Table3236[[#This Row],[Census Tract]],'UI EnergyBurden'!$A$2:$B$184,2,FALSE)</f>
        <v>Yes</v>
      </c>
    </row>
    <row r="114" spans="1:17" x14ac:dyDescent="0.2">
      <c r="A114" s="121">
        <v>9001073700</v>
      </c>
      <c r="B114" s="121" t="s">
        <v>934</v>
      </c>
      <c r="C114" s="128" t="s">
        <v>3887</v>
      </c>
      <c r="D114" s="152">
        <v>49683.675737339123</v>
      </c>
      <c r="E114" s="152">
        <v>12655.240000000002</v>
      </c>
      <c r="F114" s="153">
        <f>[2]!Table323[[#This Row],[Single Family]]+[2]!Table323[[#This Row],[2-4 Units]]+[2]!Table323[[#This Row],[&gt;4 Units]]</f>
        <v>20</v>
      </c>
      <c r="G114" s="153">
        <v>12</v>
      </c>
      <c r="H114" s="153">
        <v>8</v>
      </c>
      <c r="I114" s="153">
        <v>0</v>
      </c>
      <c r="J114" s="154">
        <v>8061.8499999999995</v>
      </c>
      <c r="K114" s="153">
        <f>SUM([2]!Table323[[#This Row],[Single Family ]:[&gt;4 Units ]])</f>
        <v>29</v>
      </c>
      <c r="L114" s="155">
        <v>11</v>
      </c>
      <c r="M114" s="155">
        <v>18</v>
      </c>
      <c r="N114" s="155">
        <v>0</v>
      </c>
      <c r="O114" s="156">
        <v>4593.3899999999985</v>
      </c>
      <c r="P114" s="100">
        <f>VLOOKUP(Table3236[[#This Row],[Census Tract]],'Population and Diversity Data'!$B$2:$K$823,10,FALSE)</f>
        <v>5</v>
      </c>
      <c r="Q114" s="101" t="str">
        <f>VLOOKUP(Table3236[[#This Row],[Census Tract]],'UI EnergyBurden'!$A$2:$B$184,2,FALSE)</f>
        <v>Yes</v>
      </c>
    </row>
    <row r="115" spans="1:17" x14ac:dyDescent="0.2">
      <c r="A115" s="121">
        <v>9001073700</v>
      </c>
      <c r="B115" s="121" t="s">
        <v>956</v>
      </c>
      <c r="C115" s="128" t="s">
        <v>3887</v>
      </c>
      <c r="D115" s="152">
        <v>0</v>
      </c>
      <c r="E115" s="152">
        <v>0</v>
      </c>
      <c r="F115" s="153">
        <f>[2]!Table323[[#This Row],[Single Family]]+[2]!Table323[[#This Row],[2-4 Units]]+[2]!Table323[[#This Row],[&gt;4 Units]]</f>
        <v>0</v>
      </c>
      <c r="G115" s="153"/>
      <c r="H115" s="153"/>
      <c r="I115" s="153"/>
      <c r="J115" s="154">
        <v>0</v>
      </c>
      <c r="K115" s="153">
        <f>SUM([2]!Table323[[#This Row],[Single Family ]:[&gt;4 Units ]])</f>
        <v>0</v>
      </c>
      <c r="L115" s="155"/>
      <c r="M115" s="155"/>
      <c r="N115" s="155"/>
      <c r="O115" s="156"/>
      <c r="P115" s="100">
        <f>VLOOKUP(Table3236[[#This Row],[Census Tract]],'Population and Diversity Data'!$B$2:$K$823,10,FALSE)</f>
        <v>5</v>
      </c>
      <c r="Q115" s="101" t="str">
        <f>VLOOKUP(Table3236[[#This Row],[Census Tract]],'UI EnergyBurden'!$A$2:$B$184,2,FALSE)</f>
        <v>Yes</v>
      </c>
    </row>
    <row r="116" spans="1:17" x14ac:dyDescent="0.2">
      <c r="A116" s="121">
        <v>9001073700</v>
      </c>
      <c r="B116" s="121" t="s">
        <v>934</v>
      </c>
      <c r="C116" s="128" t="s">
        <v>3887</v>
      </c>
      <c r="D116" s="152">
        <v>0</v>
      </c>
      <c r="E116" s="152">
        <v>0</v>
      </c>
      <c r="F116" s="153">
        <f>[2]!Table323[[#This Row],[Single Family]]+[2]!Table323[[#This Row],[2-4 Units]]+[2]!Table323[[#This Row],[&gt;4 Units]]</f>
        <v>0</v>
      </c>
      <c r="G116" s="153"/>
      <c r="H116" s="153"/>
      <c r="I116" s="153"/>
      <c r="J116" s="154">
        <v>0</v>
      </c>
      <c r="K116" s="153">
        <f>SUM([2]!Table323[[#This Row],[Single Family ]:[&gt;4 Units ]])</f>
        <v>0</v>
      </c>
      <c r="L116" s="155"/>
      <c r="M116" s="155"/>
      <c r="N116" s="155"/>
      <c r="O116" s="156">
        <v>0</v>
      </c>
      <c r="P116" s="100">
        <f>VLOOKUP(Table3236[[#This Row],[Census Tract]],'Population and Diversity Data'!$B$2:$K$823,10,FALSE)</f>
        <v>5</v>
      </c>
      <c r="Q116" s="101" t="str">
        <f>VLOOKUP(Table3236[[#This Row],[Census Tract]],'UI EnergyBurden'!$A$2:$B$184,2,FALSE)</f>
        <v>Yes</v>
      </c>
    </row>
    <row r="117" spans="1:17" x14ac:dyDescent="0.2">
      <c r="A117" s="121">
        <v>9001073800</v>
      </c>
      <c r="B117" s="121" t="s">
        <v>934</v>
      </c>
      <c r="C117" s="128" t="s">
        <v>3887</v>
      </c>
      <c r="D117" s="152">
        <v>19751.524579415858</v>
      </c>
      <c r="E117" s="152">
        <v>947.4799999999999</v>
      </c>
      <c r="F117" s="153">
        <f>[2]!Table323[[#This Row],[Single Family]]+[2]!Table323[[#This Row],[2-4 Units]]+[2]!Table323[[#This Row],[&gt;4 Units]]</f>
        <v>1</v>
      </c>
      <c r="G117" s="153">
        <v>1</v>
      </c>
      <c r="H117" s="153">
        <v>0</v>
      </c>
      <c r="I117" s="153">
        <v>0</v>
      </c>
      <c r="J117" s="154">
        <v>138.25</v>
      </c>
      <c r="K117" s="153">
        <f>SUM([2]!Table323[[#This Row],[Single Family ]:[&gt;4 Units ]])</f>
        <v>9</v>
      </c>
      <c r="L117" s="155">
        <v>3</v>
      </c>
      <c r="M117" s="155">
        <v>6</v>
      </c>
      <c r="N117" s="155">
        <v>0</v>
      </c>
      <c r="O117" s="156">
        <v>809.22999999999979</v>
      </c>
      <c r="P117" s="100">
        <f>VLOOKUP(Table3236[[#This Row],[Census Tract]],'Population and Diversity Data'!$B$2:$K$823,10,FALSE)</f>
        <v>5</v>
      </c>
      <c r="Q117" s="101" t="str">
        <f>VLOOKUP(Table3236[[#This Row],[Census Tract]],'UI EnergyBurden'!$A$2:$B$184,2,FALSE)</f>
        <v>Yes</v>
      </c>
    </row>
    <row r="118" spans="1:17" x14ac:dyDescent="0.2">
      <c r="A118" s="121">
        <v>9001073800</v>
      </c>
      <c r="B118" s="121" t="s">
        <v>934</v>
      </c>
      <c r="C118" s="128" t="s">
        <v>3887</v>
      </c>
      <c r="D118" s="152">
        <v>0</v>
      </c>
      <c r="E118" s="152">
        <v>0</v>
      </c>
      <c r="F118" s="153">
        <f>[2]!Table323[[#This Row],[Single Family]]+[2]!Table323[[#This Row],[2-4 Units]]+[2]!Table323[[#This Row],[&gt;4 Units]]</f>
        <v>0</v>
      </c>
      <c r="G118" s="153"/>
      <c r="H118" s="153"/>
      <c r="I118" s="153"/>
      <c r="J118" s="154">
        <v>0</v>
      </c>
      <c r="K118" s="153">
        <f>SUM([2]!Table323[[#This Row],[Single Family ]:[&gt;4 Units ]])</f>
        <v>0</v>
      </c>
      <c r="L118" s="155"/>
      <c r="M118" s="155"/>
      <c r="N118" s="155"/>
      <c r="O118" s="156">
        <v>0</v>
      </c>
      <c r="P118" s="100">
        <f>VLOOKUP(Table3236[[#This Row],[Census Tract]],'Population and Diversity Data'!$B$2:$K$823,10,FALSE)</f>
        <v>5</v>
      </c>
      <c r="Q118" s="101" t="str">
        <f>VLOOKUP(Table3236[[#This Row],[Census Tract]],'UI EnergyBurden'!$A$2:$B$184,2,FALSE)</f>
        <v>Yes</v>
      </c>
    </row>
    <row r="119" spans="1:17" x14ac:dyDescent="0.2">
      <c r="A119" s="121">
        <v>9001073900</v>
      </c>
      <c r="B119" s="121" t="s">
        <v>934</v>
      </c>
      <c r="C119" s="128" t="s">
        <v>3887</v>
      </c>
      <c r="D119" s="152">
        <v>27048.466601478158</v>
      </c>
      <c r="E119" s="152">
        <v>3298.98</v>
      </c>
      <c r="F119" s="153">
        <f>[2]!Table323[[#This Row],[Single Family]]+[2]!Table323[[#This Row],[2-4 Units]]+[2]!Table323[[#This Row],[&gt;4 Units]]</f>
        <v>4</v>
      </c>
      <c r="G119" s="153">
        <v>3</v>
      </c>
      <c r="H119" s="153">
        <v>1</v>
      </c>
      <c r="I119" s="153">
        <v>0</v>
      </c>
      <c r="J119" s="154">
        <v>1545.8</v>
      </c>
      <c r="K119" s="153">
        <f>SUM([2]!Table323[[#This Row],[Single Family ]:[&gt;4 Units ]])</f>
        <v>11</v>
      </c>
      <c r="L119" s="155">
        <v>2</v>
      </c>
      <c r="M119" s="155">
        <v>9</v>
      </c>
      <c r="N119" s="155">
        <v>0</v>
      </c>
      <c r="O119" s="156">
        <v>1753.1799999999998</v>
      </c>
      <c r="P119" s="100">
        <f>VLOOKUP(Table3236[[#This Row],[Census Tract]],'Population and Diversity Data'!$B$2:$K$823,10,FALSE)</f>
        <v>5</v>
      </c>
      <c r="Q119" s="101" t="str">
        <f>VLOOKUP(Table3236[[#This Row],[Census Tract]],'UI EnergyBurden'!$A$2:$B$184,2,FALSE)</f>
        <v>Yes</v>
      </c>
    </row>
    <row r="120" spans="1:17" x14ac:dyDescent="0.2">
      <c r="A120" s="121">
        <v>9001073900</v>
      </c>
      <c r="B120" s="121" t="s">
        <v>934</v>
      </c>
      <c r="C120" s="128" t="s">
        <v>3887</v>
      </c>
      <c r="D120" s="152">
        <v>4483.7125073957304</v>
      </c>
      <c r="E120" s="152">
        <v>0</v>
      </c>
      <c r="F120" s="153">
        <f>[2]!Table323[[#This Row],[Single Family]]+[2]!Table323[[#This Row],[2-4 Units]]+[2]!Table323[[#This Row],[&gt;4 Units]]</f>
        <v>0</v>
      </c>
      <c r="G120" s="153"/>
      <c r="H120" s="153"/>
      <c r="I120" s="153"/>
      <c r="J120" s="154">
        <v>0</v>
      </c>
      <c r="K120" s="153">
        <f>SUM([2]!Table323[[#This Row],[Single Family ]:[&gt;4 Units ]])</f>
        <v>0</v>
      </c>
      <c r="L120" s="155"/>
      <c r="M120" s="155"/>
      <c r="N120" s="155"/>
      <c r="O120" s="156"/>
      <c r="P120" s="100">
        <f>VLOOKUP(Table3236[[#This Row],[Census Tract]],'Population and Diversity Data'!$B$2:$K$823,10,FALSE)</f>
        <v>5</v>
      </c>
      <c r="Q120" s="101" t="str">
        <f>VLOOKUP(Table3236[[#This Row],[Census Tract]],'UI EnergyBurden'!$A$2:$B$184,2,FALSE)</f>
        <v>Yes</v>
      </c>
    </row>
    <row r="121" spans="1:17" x14ac:dyDescent="0.2">
      <c r="A121" s="121">
        <v>9001074000</v>
      </c>
      <c r="B121" s="121" t="s">
        <v>934</v>
      </c>
      <c r="C121" s="128" t="s">
        <v>3887</v>
      </c>
      <c r="D121" s="152">
        <v>22256.720459487649</v>
      </c>
      <c r="E121" s="152">
        <v>18418.460000000003</v>
      </c>
      <c r="F121" s="153">
        <f>[2]!Table323[[#This Row],[Single Family]]+[2]!Table323[[#This Row],[2-4 Units]]+[2]!Table323[[#This Row],[&gt;4 Units]]</f>
        <v>1</v>
      </c>
      <c r="G121" s="153">
        <v>1</v>
      </c>
      <c r="H121" s="153">
        <v>0</v>
      </c>
      <c r="I121" s="153">
        <v>0</v>
      </c>
      <c r="J121" s="154">
        <v>171.73</v>
      </c>
      <c r="K121" s="153">
        <f>SUM([2]!Table323[[#This Row],[Single Family ]:[&gt;4 Units ]])</f>
        <v>7</v>
      </c>
      <c r="L121" s="155">
        <v>4</v>
      </c>
      <c r="M121" s="155">
        <v>3</v>
      </c>
      <c r="N121" s="155">
        <v>0</v>
      </c>
      <c r="O121" s="156">
        <v>18246.730000000003</v>
      </c>
      <c r="P121" s="100">
        <f>VLOOKUP(Table3236[[#This Row],[Census Tract]],'Population and Diversity Data'!$B$2:$K$823,10,FALSE)</f>
        <v>5</v>
      </c>
      <c r="Q121" s="101" t="str">
        <f>VLOOKUP(Table3236[[#This Row],[Census Tract]],'UI EnergyBurden'!$A$2:$B$184,2,FALSE)</f>
        <v>Yes</v>
      </c>
    </row>
    <row r="122" spans="1:17" x14ac:dyDescent="0.2">
      <c r="A122" s="121">
        <v>9001074000</v>
      </c>
      <c r="B122" s="121" t="s">
        <v>943</v>
      </c>
      <c r="C122" s="128" t="s">
        <v>3887</v>
      </c>
      <c r="D122" s="152">
        <v>6835.07623707736</v>
      </c>
      <c r="E122" s="152">
        <v>0</v>
      </c>
      <c r="F122" s="153">
        <f>[2]!Table323[[#This Row],[Single Family]]+[2]!Table323[[#This Row],[2-4 Units]]+[2]!Table323[[#This Row],[&gt;4 Units]]</f>
        <v>0</v>
      </c>
      <c r="G122" s="153"/>
      <c r="H122" s="153"/>
      <c r="I122" s="153"/>
      <c r="J122" s="154">
        <v>0</v>
      </c>
      <c r="K122" s="153">
        <f>SUM([2]!Table323[[#This Row],[Single Family ]:[&gt;4 Units ]])</f>
        <v>0</v>
      </c>
      <c r="L122" s="155"/>
      <c r="M122" s="155"/>
      <c r="N122" s="155"/>
      <c r="O122" s="156"/>
      <c r="P122" s="100">
        <f>VLOOKUP(Table3236[[#This Row],[Census Tract]],'Population and Diversity Data'!$B$2:$K$823,10,FALSE)</f>
        <v>5</v>
      </c>
      <c r="Q122" s="101" t="str">
        <f>VLOOKUP(Table3236[[#This Row],[Census Tract]],'UI EnergyBurden'!$A$2:$B$184,2,FALSE)</f>
        <v>Yes</v>
      </c>
    </row>
    <row r="123" spans="1:17" x14ac:dyDescent="0.2">
      <c r="A123" s="121">
        <v>9001074000</v>
      </c>
      <c r="B123" s="121" t="s">
        <v>934</v>
      </c>
      <c r="C123" s="128" t="s">
        <v>3887</v>
      </c>
      <c r="D123" s="152">
        <v>0</v>
      </c>
      <c r="E123" s="152">
        <v>0</v>
      </c>
      <c r="F123" s="153">
        <f>[2]!Table323[[#This Row],[Single Family]]+[2]!Table323[[#This Row],[2-4 Units]]+[2]!Table323[[#This Row],[&gt;4 Units]]</f>
        <v>0</v>
      </c>
      <c r="G123" s="153"/>
      <c r="H123" s="153"/>
      <c r="I123" s="153"/>
      <c r="J123" s="154">
        <v>0</v>
      </c>
      <c r="K123" s="153">
        <f>SUM([2]!Table323[[#This Row],[Single Family ]:[&gt;4 Units ]])</f>
        <v>0</v>
      </c>
      <c r="L123" s="155"/>
      <c r="M123" s="155"/>
      <c r="N123" s="155"/>
      <c r="O123" s="156"/>
      <c r="P123" s="100">
        <f>VLOOKUP(Table3236[[#This Row],[Census Tract]],'Population and Diversity Data'!$B$2:$K$823,10,FALSE)</f>
        <v>5</v>
      </c>
      <c r="Q123" s="101" t="str">
        <f>VLOOKUP(Table3236[[#This Row],[Census Tract]],'UI EnergyBurden'!$A$2:$B$184,2,FALSE)</f>
        <v>Yes</v>
      </c>
    </row>
    <row r="124" spans="1:17" x14ac:dyDescent="0.2">
      <c r="A124" s="121">
        <v>9001074000</v>
      </c>
      <c r="B124" s="121" t="s">
        <v>943</v>
      </c>
      <c r="C124" s="128" t="s">
        <v>3887</v>
      </c>
      <c r="D124" s="152">
        <v>0</v>
      </c>
      <c r="E124" s="152">
        <v>0</v>
      </c>
      <c r="F124" s="153">
        <f>[2]!Table323[[#This Row],[Single Family]]+[2]!Table323[[#This Row],[2-4 Units]]+[2]!Table323[[#This Row],[&gt;4 Units]]</f>
        <v>0</v>
      </c>
      <c r="G124" s="153"/>
      <c r="H124" s="153"/>
      <c r="I124" s="153"/>
      <c r="J124" s="154">
        <v>0</v>
      </c>
      <c r="K124" s="153">
        <f>SUM([2]!Table323[[#This Row],[Single Family ]:[&gt;4 Units ]])</f>
        <v>0</v>
      </c>
      <c r="L124" s="155"/>
      <c r="M124" s="155"/>
      <c r="N124" s="155"/>
      <c r="O124" s="156"/>
      <c r="P124" s="100">
        <f>VLOOKUP(Table3236[[#This Row],[Census Tract]],'Population and Diversity Data'!$B$2:$K$823,10,FALSE)</f>
        <v>5</v>
      </c>
      <c r="Q124" s="101" t="str">
        <f>VLOOKUP(Table3236[[#This Row],[Census Tract]],'UI EnergyBurden'!$A$2:$B$184,2,FALSE)</f>
        <v>Yes</v>
      </c>
    </row>
    <row r="125" spans="1:17" x14ac:dyDescent="0.2">
      <c r="A125" s="121">
        <v>9001074300</v>
      </c>
      <c r="B125" s="121" t="s">
        <v>934</v>
      </c>
      <c r="C125" s="128" t="s">
        <v>3887</v>
      </c>
      <c r="D125" s="152">
        <v>42291.067023989599</v>
      </c>
      <c r="E125" s="152">
        <v>6796.3099999999995</v>
      </c>
      <c r="F125" s="153">
        <f>[2]!Table323[[#This Row],[Single Family]]+[2]!Table323[[#This Row],[2-4 Units]]+[2]!Table323[[#This Row],[&gt;4 Units]]</f>
        <v>6</v>
      </c>
      <c r="G125" s="153">
        <v>3</v>
      </c>
      <c r="H125" s="153">
        <v>3</v>
      </c>
      <c r="I125" s="153">
        <v>0</v>
      </c>
      <c r="J125" s="154">
        <v>4543.13</v>
      </c>
      <c r="K125" s="153">
        <f>SUM([2]!Table323[[#This Row],[Single Family ]:[&gt;4 Units ]])</f>
        <v>13</v>
      </c>
      <c r="L125" s="155">
        <v>4</v>
      </c>
      <c r="M125" s="155">
        <v>9</v>
      </c>
      <c r="N125" s="155">
        <v>0</v>
      </c>
      <c r="O125" s="156">
        <v>2253.1799999999994</v>
      </c>
      <c r="P125" s="100">
        <f>VLOOKUP(Table3236[[#This Row],[Census Tract]],'Population and Diversity Data'!$B$2:$K$823,10,FALSE)</f>
        <v>5</v>
      </c>
      <c r="Q125" s="101" t="str">
        <f>VLOOKUP(Table3236[[#This Row],[Census Tract]],'UI EnergyBurden'!$A$2:$B$184,2,FALSE)</f>
        <v>Yes</v>
      </c>
    </row>
    <row r="126" spans="1:17" x14ac:dyDescent="0.2">
      <c r="A126" s="121">
        <v>9001074300</v>
      </c>
      <c r="B126" s="121" t="s">
        <v>956</v>
      </c>
      <c r="C126" s="128" t="s">
        <v>3887</v>
      </c>
      <c r="D126" s="152">
        <v>54.116637161957115</v>
      </c>
      <c r="E126" s="152">
        <v>0</v>
      </c>
      <c r="F126" s="153">
        <f>[2]!Table323[[#This Row],[Single Family]]+[2]!Table323[[#This Row],[2-4 Units]]+[2]!Table323[[#This Row],[&gt;4 Units]]</f>
        <v>0</v>
      </c>
      <c r="G126" s="153"/>
      <c r="H126" s="153"/>
      <c r="I126" s="153"/>
      <c r="J126" s="154">
        <v>0</v>
      </c>
      <c r="K126" s="153">
        <f>SUM([2]!Table323[[#This Row],[Single Family ]:[&gt;4 Units ]])</f>
        <v>0</v>
      </c>
      <c r="L126" s="155"/>
      <c r="M126" s="155"/>
      <c r="N126" s="155"/>
      <c r="O126" s="156"/>
      <c r="P126" s="100">
        <f>VLOOKUP(Table3236[[#This Row],[Census Tract]],'Population and Diversity Data'!$B$2:$K$823,10,FALSE)</f>
        <v>5</v>
      </c>
      <c r="Q126" s="101" t="str">
        <f>VLOOKUP(Table3236[[#This Row],[Census Tract]],'UI EnergyBurden'!$A$2:$B$184,2,FALSE)</f>
        <v>Yes</v>
      </c>
    </row>
    <row r="127" spans="1:17" x14ac:dyDescent="0.2">
      <c r="A127" s="121">
        <v>9001074300</v>
      </c>
      <c r="B127" s="121" t="s">
        <v>934</v>
      </c>
      <c r="C127" s="128" t="s">
        <v>3887</v>
      </c>
      <c r="D127" s="152">
        <v>0</v>
      </c>
      <c r="E127" s="152">
        <v>0</v>
      </c>
      <c r="F127" s="153">
        <f>[2]!Table323[[#This Row],[Single Family]]+[2]!Table323[[#This Row],[2-4 Units]]+[2]!Table323[[#This Row],[&gt;4 Units]]</f>
        <v>0</v>
      </c>
      <c r="G127" s="153"/>
      <c r="H127" s="153"/>
      <c r="I127" s="153"/>
      <c r="J127" s="154">
        <v>0</v>
      </c>
      <c r="K127" s="153">
        <f>SUM([2]!Table323[[#This Row],[Single Family ]:[&gt;4 Units ]])</f>
        <v>0</v>
      </c>
      <c r="L127" s="155"/>
      <c r="M127" s="155"/>
      <c r="N127" s="155"/>
      <c r="O127" s="156">
        <v>0</v>
      </c>
      <c r="P127" s="100">
        <f>VLOOKUP(Table3236[[#This Row],[Census Tract]],'Population and Diversity Data'!$B$2:$K$823,10,FALSE)</f>
        <v>5</v>
      </c>
      <c r="Q127" s="101" t="str">
        <f>VLOOKUP(Table3236[[#This Row],[Census Tract]],'UI EnergyBurden'!$A$2:$B$184,2,FALSE)</f>
        <v>Yes</v>
      </c>
    </row>
    <row r="128" spans="1:17" x14ac:dyDescent="0.2">
      <c r="A128" s="121">
        <v>9001074400</v>
      </c>
      <c r="B128" s="121" t="s">
        <v>934</v>
      </c>
      <c r="C128" s="128" t="s">
        <v>3887</v>
      </c>
      <c r="D128" s="152">
        <v>43070.028972041371</v>
      </c>
      <c r="E128" s="152">
        <v>25712.059999999998</v>
      </c>
      <c r="F128" s="153">
        <f>[2]!Table323[[#This Row],[Single Family]]+[2]!Table323[[#This Row],[2-4 Units]]+[2]!Table323[[#This Row],[&gt;4 Units]]</f>
        <v>10</v>
      </c>
      <c r="G128" s="153">
        <v>5</v>
      </c>
      <c r="H128" s="153">
        <v>5</v>
      </c>
      <c r="I128" s="153">
        <v>0</v>
      </c>
      <c r="J128" s="154">
        <v>2113.11</v>
      </c>
      <c r="K128" s="153">
        <f>SUM([2]!Table323[[#This Row],[Single Family ]:[&gt;4 Units ]])</f>
        <v>9</v>
      </c>
      <c r="L128" s="155">
        <v>3</v>
      </c>
      <c r="M128" s="155">
        <v>6</v>
      </c>
      <c r="N128" s="155">
        <v>0</v>
      </c>
      <c r="O128" s="156">
        <v>1598.95</v>
      </c>
      <c r="P128" s="100">
        <f>VLOOKUP(Table3236[[#This Row],[Census Tract]],'Population and Diversity Data'!$B$2:$K$823,10,FALSE)</f>
        <v>5</v>
      </c>
      <c r="Q128" s="101" t="str">
        <f>VLOOKUP(Table3236[[#This Row],[Census Tract]],'UI EnergyBurden'!$A$2:$B$184,2,FALSE)</f>
        <v>Yes</v>
      </c>
    </row>
    <row r="129" spans="1:17" x14ac:dyDescent="0.2">
      <c r="A129" s="121">
        <v>9001074400</v>
      </c>
      <c r="B129" s="121" t="s">
        <v>934</v>
      </c>
      <c r="C129" s="128" t="s">
        <v>3887</v>
      </c>
      <c r="D129" s="152">
        <v>0</v>
      </c>
      <c r="E129" s="152">
        <v>0</v>
      </c>
      <c r="F129" s="153">
        <f>[2]!Table323[[#This Row],[Single Family]]+[2]!Table323[[#This Row],[2-4 Units]]+[2]!Table323[[#This Row],[&gt;4 Units]]</f>
        <v>0</v>
      </c>
      <c r="G129" s="153"/>
      <c r="H129" s="153"/>
      <c r="I129" s="153"/>
      <c r="J129" s="154">
        <v>0</v>
      </c>
      <c r="K129" s="153">
        <f>SUM([2]!Table323[[#This Row],[Single Family ]:[&gt;4 Units ]])</f>
        <v>0</v>
      </c>
      <c r="L129" s="155"/>
      <c r="M129" s="155"/>
      <c r="N129" s="155"/>
      <c r="O129" s="156">
        <v>0</v>
      </c>
      <c r="P129" s="100">
        <f>VLOOKUP(Table3236[[#This Row],[Census Tract]],'Population and Diversity Data'!$B$2:$K$823,10,FALSE)</f>
        <v>5</v>
      </c>
      <c r="Q129" s="101" t="str">
        <f>VLOOKUP(Table3236[[#This Row],[Census Tract]],'UI EnergyBurden'!$A$2:$B$184,2,FALSE)</f>
        <v>Yes</v>
      </c>
    </row>
    <row r="130" spans="1:17" x14ac:dyDescent="0.2">
      <c r="A130" s="121">
        <v>9001080100</v>
      </c>
      <c r="B130" s="121" t="s">
        <v>934</v>
      </c>
      <c r="C130" s="128" t="s">
        <v>3886</v>
      </c>
      <c r="D130" s="152">
        <v>209.7677565882824</v>
      </c>
      <c r="E130" s="152">
        <v>0</v>
      </c>
      <c r="F130" s="153">
        <f>[2]!Table323[[#This Row],[Single Family]]+[2]!Table323[[#This Row],[2-4 Units]]+[2]!Table323[[#This Row],[&gt;4 Units]]</f>
        <v>0</v>
      </c>
      <c r="G130" s="153"/>
      <c r="H130" s="153"/>
      <c r="I130" s="153"/>
      <c r="J130" s="154">
        <v>0</v>
      </c>
      <c r="K130" s="153">
        <f>SUM([2]!Table323[[#This Row],[Single Family ]:[&gt;4 Units ]])</f>
        <v>0</v>
      </c>
      <c r="L130" s="155"/>
      <c r="M130" s="155"/>
      <c r="N130" s="155"/>
      <c r="O130" s="156"/>
      <c r="P130" s="100">
        <f>VLOOKUP(Table3236[[#This Row],[Census Tract]],'Population and Diversity Data'!$B$2:$K$823,10,FALSE)</f>
        <v>5</v>
      </c>
      <c r="Q130" s="101" t="str">
        <f>VLOOKUP(Table3236[[#This Row],[Census Tract]],'UI EnergyBurden'!$A$2:$B$184,2,FALSE)</f>
        <v>No</v>
      </c>
    </row>
    <row r="131" spans="1:17" x14ac:dyDescent="0.2">
      <c r="A131" s="121">
        <v>9001080100</v>
      </c>
      <c r="B131" s="121" t="s">
        <v>956</v>
      </c>
      <c r="C131" s="128" t="s">
        <v>3886</v>
      </c>
      <c r="D131" s="152">
        <v>46002.622558864692</v>
      </c>
      <c r="E131" s="152">
        <v>30868.019999999997</v>
      </c>
      <c r="F131" s="153">
        <f>[2]!Table323[[#This Row],[Single Family]]+[2]!Table323[[#This Row],[2-4 Units]]+[2]!Table323[[#This Row],[&gt;4 Units]]</f>
        <v>27</v>
      </c>
      <c r="G131" s="153">
        <v>25</v>
      </c>
      <c r="H131" s="153">
        <v>2</v>
      </c>
      <c r="I131" s="153">
        <v>0</v>
      </c>
      <c r="J131" s="154">
        <v>16302.84</v>
      </c>
      <c r="K131" s="153">
        <f>SUM([2]!Table323[[#This Row],[Single Family ]:[&gt;4 Units ]])</f>
        <v>13</v>
      </c>
      <c r="L131" s="155">
        <v>7</v>
      </c>
      <c r="M131" s="155">
        <v>6</v>
      </c>
      <c r="N131" s="155">
        <v>0</v>
      </c>
      <c r="O131" s="156">
        <v>14565.180000000002</v>
      </c>
      <c r="P131" s="100">
        <f>VLOOKUP(Table3236[[#This Row],[Census Tract]],'Population and Diversity Data'!$B$2:$K$823,10,FALSE)</f>
        <v>5</v>
      </c>
      <c r="Q131" s="101" t="str">
        <f>VLOOKUP(Table3236[[#This Row],[Census Tract]],'UI EnergyBurden'!$A$2:$B$184,2,FALSE)</f>
        <v>No</v>
      </c>
    </row>
    <row r="132" spans="1:17" x14ac:dyDescent="0.2">
      <c r="A132" s="121">
        <v>9001080100</v>
      </c>
      <c r="B132" s="121" t="s">
        <v>956</v>
      </c>
      <c r="C132" s="128" t="s">
        <v>3886</v>
      </c>
      <c r="D132" s="152">
        <v>0</v>
      </c>
      <c r="E132" s="152">
        <v>3000</v>
      </c>
      <c r="F132" s="153">
        <f>[2]!Table323[[#This Row],[Single Family]]+[2]!Table323[[#This Row],[2-4 Units]]+[2]!Table323[[#This Row],[&gt;4 Units]]</f>
        <v>0</v>
      </c>
      <c r="G132" s="153"/>
      <c r="H132" s="153"/>
      <c r="I132" s="153"/>
      <c r="J132" s="154">
        <v>3000</v>
      </c>
      <c r="K132" s="153">
        <f>SUM([2]!Table323[[#This Row],[Single Family ]:[&gt;4 Units ]])</f>
        <v>0</v>
      </c>
      <c r="L132" s="155"/>
      <c r="M132" s="155"/>
      <c r="N132" s="155"/>
      <c r="O132" s="156">
        <v>0</v>
      </c>
      <c r="P132" s="100">
        <f>VLOOKUP(Table3236[[#This Row],[Census Tract]],'Population and Diversity Data'!$B$2:$K$823,10,FALSE)</f>
        <v>5</v>
      </c>
      <c r="Q132" s="101" t="str">
        <f>VLOOKUP(Table3236[[#This Row],[Census Tract]],'UI EnergyBurden'!$A$2:$B$184,2,FALSE)</f>
        <v>No</v>
      </c>
    </row>
    <row r="133" spans="1:17" x14ac:dyDescent="0.2">
      <c r="A133" s="121">
        <v>9001080200</v>
      </c>
      <c r="B133" s="121" t="s">
        <v>956</v>
      </c>
      <c r="C133" s="128" t="s">
        <v>3886</v>
      </c>
      <c r="D133" s="152">
        <v>43719.91336861629</v>
      </c>
      <c r="E133" s="152">
        <v>289728.50000000006</v>
      </c>
      <c r="F133" s="153">
        <f>[2]!Table323[[#This Row],[Single Family]]+[2]!Table323[[#This Row],[2-4 Units]]+[2]!Table323[[#This Row],[&gt;4 Units]]</f>
        <v>21</v>
      </c>
      <c r="G133" s="153">
        <v>21</v>
      </c>
      <c r="H133" s="153">
        <v>0</v>
      </c>
      <c r="I133" s="153">
        <v>0</v>
      </c>
      <c r="J133" s="154">
        <v>15526.26</v>
      </c>
      <c r="K133" s="153">
        <f>SUM([2]!Table323[[#This Row],[Single Family ]:[&gt;4 Units ]])</f>
        <v>21</v>
      </c>
      <c r="L133" s="155">
        <v>13</v>
      </c>
      <c r="M133" s="155">
        <v>7</v>
      </c>
      <c r="N133" s="155">
        <v>1</v>
      </c>
      <c r="O133" s="156">
        <v>274202.24000000005</v>
      </c>
      <c r="P133" s="100">
        <f>VLOOKUP(Table3236[[#This Row],[Census Tract]],'Population and Diversity Data'!$B$2:$K$823,10,FALSE)</f>
        <v>4</v>
      </c>
      <c r="Q133" s="101" t="str">
        <f>VLOOKUP(Table3236[[#This Row],[Census Tract]],'UI EnergyBurden'!$A$2:$B$184,2,FALSE)</f>
        <v>No</v>
      </c>
    </row>
    <row r="134" spans="1:17" x14ac:dyDescent="0.2">
      <c r="A134" s="121">
        <v>9001080200</v>
      </c>
      <c r="B134" s="121" t="s">
        <v>956</v>
      </c>
      <c r="C134" s="128" t="s">
        <v>3886</v>
      </c>
      <c r="D134" s="152">
        <v>0</v>
      </c>
      <c r="E134" s="152">
        <v>0</v>
      </c>
      <c r="F134" s="153">
        <f>[2]!Table323[[#This Row],[Single Family]]+[2]!Table323[[#This Row],[2-4 Units]]+[2]!Table323[[#This Row],[&gt;4 Units]]</f>
        <v>0</v>
      </c>
      <c r="G134" s="153"/>
      <c r="H134" s="153"/>
      <c r="I134" s="153"/>
      <c r="J134" s="154">
        <v>0</v>
      </c>
      <c r="K134" s="153">
        <f>SUM([2]!Table323[[#This Row],[Single Family ]:[&gt;4 Units ]])</f>
        <v>0</v>
      </c>
      <c r="L134" s="155"/>
      <c r="M134" s="155"/>
      <c r="N134" s="155"/>
      <c r="O134" s="156">
        <v>0</v>
      </c>
      <c r="P134" s="100">
        <f>VLOOKUP(Table3236[[#This Row],[Census Tract]],'Population and Diversity Data'!$B$2:$K$823,10,FALSE)</f>
        <v>4</v>
      </c>
      <c r="Q134" s="101" t="str">
        <f>VLOOKUP(Table3236[[#This Row],[Census Tract]],'UI EnergyBurden'!$A$2:$B$184,2,FALSE)</f>
        <v>No</v>
      </c>
    </row>
    <row r="135" spans="1:17" x14ac:dyDescent="0.2">
      <c r="A135" s="121">
        <v>9001080400</v>
      </c>
      <c r="B135" s="121" t="s">
        <v>934</v>
      </c>
      <c r="C135" s="128" t="s">
        <v>3886</v>
      </c>
      <c r="D135" s="152">
        <v>0</v>
      </c>
      <c r="E135" s="152">
        <v>0</v>
      </c>
      <c r="F135" s="153">
        <f>[2]!Table323[[#This Row],[Single Family]]+[2]!Table323[[#This Row],[2-4 Units]]+[2]!Table323[[#This Row],[&gt;4 Units]]</f>
        <v>0</v>
      </c>
      <c r="G135" s="153"/>
      <c r="H135" s="153"/>
      <c r="I135" s="153"/>
      <c r="J135" s="154">
        <v>0</v>
      </c>
      <c r="K135" s="153">
        <f>SUM([2]!Table323[[#This Row],[Single Family ]:[&gt;4 Units ]])</f>
        <v>0</v>
      </c>
      <c r="L135" s="155"/>
      <c r="M135" s="155"/>
      <c r="N135" s="155"/>
      <c r="O135" s="156"/>
      <c r="P135" s="100">
        <f>VLOOKUP(Table3236[[#This Row],[Census Tract]],'Population and Diversity Data'!$B$2:$K$823,10,FALSE)</f>
        <v>3</v>
      </c>
      <c r="Q135" s="101" t="str">
        <f>VLOOKUP(Table3236[[#This Row],[Census Tract]],'UI EnergyBurden'!$A$2:$B$184,2,FALSE)</f>
        <v>No</v>
      </c>
    </row>
    <row r="136" spans="1:17" x14ac:dyDescent="0.2">
      <c r="A136" s="121">
        <v>9001080400</v>
      </c>
      <c r="B136" s="121" t="s">
        <v>956</v>
      </c>
      <c r="C136" s="128" t="s">
        <v>3886</v>
      </c>
      <c r="D136" s="152">
        <v>60043.244548946466</v>
      </c>
      <c r="E136" s="152">
        <v>56480.920000000027</v>
      </c>
      <c r="F136" s="153">
        <f>[2]!Table323[[#This Row],[Single Family]]+[2]!Table323[[#This Row],[2-4 Units]]+[2]!Table323[[#This Row],[&gt;4 Units]]</f>
        <v>32</v>
      </c>
      <c r="G136" s="153">
        <v>27</v>
      </c>
      <c r="H136" s="153">
        <v>5</v>
      </c>
      <c r="I136" s="153">
        <v>0</v>
      </c>
      <c r="J136" s="154">
        <v>29243.1</v>
      </c>
      <c r="K136" s="153">
        <f>SUM([2]!Table323[[#This Row],[Single Family ]:[&gt;4 Units ]])</f>
        <v>31</v>
      </c>
      <c r="L136" s="155">
        <v>17</v>
      </c>
      <c r="M136" s="155">
        <v>14</v>
      </c>
      <c r="N136" s="155">
        <v>0</v>
      </c>
      <c r="O136" s="156">
        <v>27237.819999999992</v>
      </c>
      <c r="P136" s="100">
        <f>VLOOKUP(Table3236[[#This Row],[Census Tract]],'Population and Diversity Data'!$B$2:$K$823,10,FALSE)</f>
        <v>3</v>
      </c>
      <c r="Q136" s="101" t="str">
        <f>VLOOKUP(Table3236[[#This Row],[Census Tract]],'UI EnergyBurden'!$A$2:$B$184,2,FALSE)</f>
        <v>No</v>
      </c>
    </row>
    <row r="137" spans="1:17" x14ac:dyDescent="0.2">
      <c r="A137" s="121">
        <v>9001080400</v>
      </c>
      <c r="B137" s="121" t="s">
        <v>956</v>
      </c>
      <c r="C137" s="128" t="s">
        <v>3886</v>
      </c>
      <c r="D137" s="152">
        <v>0</v>
      </c>
      <c r="E137" s="152">
        <v>0</v>
      </c>
      <c r="F137" s="153">
        <f>[2]!Table323[[#This Row],[Single Family]]+[2]!Table323[[#This Row],[2-4 Units]]+[2]!Table323[[#This Row],[&gt;4 Units]]</f>
        <v>0</v>
      </c>
      <c r="G137" s="153"/>
      <c r="H137" s="153"/>
      <c r="I137" s="153"/>
      <c r="J137" s="154">
        <v>0</v>
      </c>
      <c r="K137" s="153">
        <f>SUM([2]!Table323[[#This Row],[Single Family ]:[&gt;4 Units ]])</f>
        <v>0</v>
      </c>
      <c r="L137" s="155"/>
      <c r="M137" s="155"/>
      <c r="N137" s="155"/>
      <c r="O137" s="156">
        <v>0</v>
      </c>
      <c r="P137" s="100">
        <f>VLOOKUP(Table3236[[#This Row],[Census Tract]],'Population and Diversity Data'!$B$2:$K$823,10,FALSE)</f>
        <v>3</v>
      </c>
      <c r="Q137" s="101" t="str">
        <f>VLOOKUP(Table3236[[#This Row],[Census Tract]],'UI EnergyBurden'!$A$2:$B$184,2,FALSE)</f>
        <v>No</v>
      </c>
    </row>
    <row r="138" spans="1:17" x14ac:dyDescent="0.2">
      <c r="A138" s="121">
        <v>9001080500</v>
      </c>
      <c r="B138" s="121" t="s">
        <v>934</v>
      </c>
      <c r="C138" s="128" t="s">
        <v>3886</v>
      </c>
      <c r="D138" s="152">
        <v>0</v>
      </c>
      <c r="E138" s="152">
        <v>0</v>
      </c>
      <c r="F138" s="153">
        <f>[2]!Table323[[#This Row],[Single Family]]+[2]!Table323[[#This Row],[2-4 Units]]+[2]!Table323[[#This Row],[&gt;4 Units]]</f>
        <v>0</v>
      </c>
      <c r="G138" s="153"/>
      <c r="H138" s="153"/>
      <c r="I138" s="153"/>
      <c r="J138" s="154">
        <v>0</v>
      </c>
      <c r="K138" s="153">
        <f>SUM([2]!Table323[[#This Row],[Single Family ]:[&gt;4 Units ]])</f>
        <v>0</v>
      </c>
      <c r="L138" s="155"/>
      <c r="M138" s="155"/>
      <c r="N138" s="155"/>
      <c r="O138" s="156"/>
      <c r="P138" s="100">
        <f>VLOOKUP(Table3236[[#This Row],[Census Tract]],'Population and Diversity Data'!$B$2:$K$823,10,FALSE)</f>
        <v>1</v>
      </c>
      <c r="Q138" s="101" t="str">
        <f>VLOOKUP(Table3236[[#This Row],[Census Tract]],'UI EnergyBurden'!$A$2:$B$184,2,FALSE)</f>
        <v>No</v>
      </c>
    </row>
    <row r="139" spans="1:17" x14ac:dyDescent="0.2">
      <c r="A139" s="121">
        <v>9001080500</v>
      </c>
      <c r="B139" s="121" t="s">
        <v>956</v>
      </c>
      <c r="C139" s="128" t="s">
        <v>3886</v>
      </c>
      <c r="D139" s="152">
        <v>53757.159943682571</v>
      </c>
      <c r="E139" s="152">
        <v>83835.760000000009</v>
      </c>
      <c r="F139" s="153">
        <f>[2]!Table323[[#This Row],[Single Family]]+[2]!Table323[[#This Row],[2-4 Units]]+[2]!Table323[[#This Row],[&gt;4 Units]]</f>
        <v>19</v>
      </c>
      <c r="G139" s="153">
        <v>19</v>
      </c>
      <c r="H139" s="153">
        <v>0</v>
      </c>
      <c r="I139" s="153">
        <v>0</v>
      </c>
      <c r="J139" s="154">
        <v>81849.41</v>
      </c>
      <c r="K139" s="153">
        <f>SUM([2]!Table323[[#This Row],[Single Family ]:[&gt;4 Units ]])</f>
        <v>2</v>
      </c>
      <c r="L139" s="155">
        <v>1</v>
      </c>
      <c r="M139" s="155">
        <v>1</v>
      </c>
      <c r="N139" s="155">
        <v>0</v>
      </c>
      <c r="O139" s="156">
        <v>1986.3500000000001</v>
      </c>
      <c r="P139" s="100">
        <f>VLOOKUP(Table3236[[#This Row],[Census Tract]],'Population and Diversity Data'!$B$2:$K$823,10,FALSE)</f>
        <v>1</v>
      </c>
      <c r="Q139" s="101" t="str">
        <f>VLOOKUP(Table3236[[#This Row],[Census Tract]],'UI EnergyBurden'!$A$2:$B$184,2,FALSE)</f>
        <v>No</v>
      </c>
    </row>
    <row r="140" spans="1:17" x14ac:dyDescent="0.2">
      <c r="A140" s="121">
        <v>9001080500</v>
      </c>
      <c r="B140" s="121" t="s">
        <v>956</v>
      </c>
      <c r="C140" s="128" t="s">
        <v>3886</v>
      </c>
      <c r="D140" s="152">
        <v>0</v>
      </c>
      <c r="E140" s="152">
        <v>0</v>
      </c>
      <c r="F140" s="153">
        <f>[2]!Table323[[#This Row],[Single Family]]+[2]!Table323[[#This Row],[2-4 Units]]+[2]!Table323[[#This Row],[&gt;4 Units]]</f>
        <v>0</v>
      </c>
      <c r="G140" s="153"/>
      <c r="H140" s="153"/>
      <c r="I140" s="153"/>
      <c r="J140" s="154">
        <v>0</v>
      </c>
      <c r="K140" s="153">
        <f>SUM([2]!Table323[[#This Row],[Single Family ]:[&gt;4 Units ]])</f>
        <v>0</v>
      </c>
      <c r="L140" s="155"/>
      <c r="M140" s="155"/>
      <c r="N140" s="155"/>
      <c r="O140" s="156">
        <v>0</v>
      </c>
      <c r="P140" s="100">
        <f>VLOOKUP(Table3236[[#This Row],[Census Tract]],'Population and Diversity Data'!$B$2:$K$823,10,FALSE)</f>
        <v>1</v>
      </c>
      <c r="Q140" s="101" t="str">
        <f>VLOOKUP(Table3236[[#This Row],[Census Tract]],'UI EnergyBurden'!$A$2:$B$184,2,FALSE)</f>
        <v>No</v>
      </c>
    </row>
    <row r="141" spans="1:17" x14ac:dyDescent="0.2">
      <c r="A141" s="121">
        <v>9001080600</v>
      </c>
      <c r="B141" s="121" t="s">
        <v>956</v>
      </c>
      <c r="C141" s="128" t="s">
        <v>3886</v>
      </c>
      <c r="D141" s="152">
        <v>33330.24846780402</v>
      </c>
      <c r="E141" s="152">
        <v>9345.65</v>
      </c>
      <c r="F141" s="153">
        <f>[2]!Table323[[#This Row],[Single Family]]+[2]!Table323[[#This Row],[2-4 Units]]+[2]!Table323[[#This Row],[&gt;4 Units]]</f>
        <v>17</v>
      </c>
      <c r="G141" s="153">
        <v>17</v>
      </c>
      <c r="H141" s="153">
        <v>0</v>
      </c>
      <c r="I141" s="153">
        <v>0</v>
      </c>
      <c r="J141" s="154">
        <v>7896.33</v>
      </c>
      <c r="K141" s="153">
        <f>SUM([2]!Table323[[#This Row],[Single Family ]:[&gt;4 Units ]])</f>
        <v>6</v>
      </c>
      <c r="L141" s="155">
        <v>5</v>
      </c>
      <c r="M141" s="155">
        <v>1</v>
      </c>
      <c r="N141" s="155">
        <v>0</v>
      </c>
      <c r="O141" s="156">
        <v>1449.3199999999997</v>
      </c>
      <c r="P141" s="100">
        <f>VLOOKUP(Table3236[[#This Row],[Census Tract]],'Population and Diversity Data'!$B$2:$K$823,10,FALSE)</f>
        <v>2</v>
      </c>
      <c r="Q141" s="101" t="str">
        <f>VLOOKUP(Table3236[[#This Row],[Census Tract]],'UI EnergyBurden'!$A$2:$B$184,2,FALSE)</f>
        <v>No</v>
      </c>
    </row>
    <row r="142" spans="1:17" x14ac:dyDescent="0.2">
      <c r="A142" s="121">
        <v>9001080600</v>
      </c>
      <c r="B142" s="121" t="s">
        <v>956</v>
      </c>
      <c r="C142" s="128" t="s">
        <v>3886</v>
      </c>
      <c r="D142" s="152">
        <v>0</v>
      </c>
      <c r="E142" s="152">
        <v>0</v>
      </c>
      <c r="F142" s="153">
        <f>[2]!Table323[[#This Row],[Single Family]]+[2]!Table323[[#This Row],[2-4 Units]]+[2]!Table323[[#This Row],[&gt;4 Units]]</f>
        <v>0</v>
      </c>
      <c r="G142" s="153"/>
      <c r="H142" s="153"/>
      <c r="I142" s="153"/>
      <c r="J142" s="154">
        <v>0</v>
      </c>
      <c r="K142" s="153">
        <f>SUM([2]!Table323[[#This Row],[Single Family ]:[&gt;4 Units ]])</f>
        <v>0</v>
      </c>
      <c r="L142" s="155"/>
      <c r="M142" s="155"/>
      <c r="N142" s="155"/>
      <c r="O142" s="156">
        <v>0</v>
      </c>
      <c r="P142" s="100">
        <f>VLOOKUP(Table3236[[#This Row],[Census Tract]],'Population and Diversity Data'!$B$2:$K$823,10,FALSE)</f>
        <v>2</v>
      </c>
      <c r="Q142" s="101" t="str">
        <f>VLOOKUP(Table3236[[#This Row],[Census Tract]],'UI EnergyBurden'!$A$2:$B$184,2,FALSE)</f>
        <v>No</v>
      </c>
    </row>
    <row r="143" spans="1:17" x14ac:dyDescent="0.2">
      <c r="A143" s="121">
        <v>9001080700</v>
      </c>
      <c r="B143" s="121" t="s">
        <v>956</v>
      </c>
      <c r="C143" s="128" t="s">
        <v>3886</v>
      </c>
      <c r="D143" s="152">
        <v>28592.268095851741</v>
      </c>
      <c r="E143" s="152">
        <v>20349.580000000002</v>
      </c>
      <c r="F143" s="153">
        <f>[2]!Table323[[#This Row],[Single Family]]+[2]!Table323[[#This Row],[2-4 Units]]+[2]!Table323[[#This Row],[&gt;4 Units]]</f>
        <v>8</v>
      </c>
      <c r="G143" s="153">
        <v>6</v>
      </c>
      <c r="H143" s="153">
        <v>2</v>
      </c>
      <c r="I143" s="153">
        <v>0</v>
      </c>
      <c r="J143" s="154">
        <v>10302.410000000002</v>
      </c>
      <c r="K143" s="153">
        <f>SUM([2]!Table323[[#This Row],[Single Family ]:[&gt;4 Units ]])</f>
        <v>7</v>
      </c>
      <c r="L143" s="155">
        <v>5</v>
      </c>
      <c r="M143" s="155">
        <v>2</v>
      </c>
      <c r="N143" s="155">
        <v>0</v>
      </c>
      <c r="O143" s="156">
        <v>10047.170000000002</v>
      </c>
      <c r="P143" s="100">
        <f>VLOOKUP(Table3236[[#This Row],[Census Tract]],'Population and Diversity Data'!$B$2:$K$823,10,FALSE)</f>
        <v>1</v>
      </c>
      <c r="Q143" s="101" t="str">
        <f>VLOOKUP(Table3236[[#This Row],[Census Tract]],'UI EnergyBurden'!$A$2:$B$184,2,FALSE)</f>
        <v>No</v>
      </c>
    </row>
    <row r="144" spans="1:17" x14ac:dyDescent="0.2">
      <c r="A144" s="121">
        <v>9001080700</v>
      </c>
      <c r="B144" s="121" t="s">
        <v>956</v>
      </c>
      <c r="C144" s="128" t="s">
        <v>3886</v>
      </c>
      <c r="D144" s="152">
        <v>0</v>
      </c>
      <c r="E144" s="152">
        <v>0</v>
      </c>
      <c r="F144" s="153">
        <f>[2]!Table323[[#This Row],[Single Family]]+[2]!Table323[[#This Row],[2-4 Units]]+[2]!Table323[[#This Row],[&gt;4 Units]]</f>
        <v>0</v>
      </c>
      <c r="G144" s="153"/>
      <c r="H144" s="153"/>
      <c r="I144" s="153"/>
      <c r="J144" s="154">
        <v>0</v>
      </c>
      <c r="K144" s="153">
        <f>SUM([2]!Table323[[#This Row],[Single Family ]:[&gt;4 Units ]])</f>
        <v>0</v>
      </c>
      <c r="L144" s="155"/>
      <c r="M144" s="155"/>
      <c r="N144" s="155"/>
      <c r="O144" s="156"/>
      <c r="P144" s="100">
        <f>VLOOKUP(Table3236[[#This Row],[Census Tract]],'Population and Diversity Data'!$B$2:$K$823,10,FALSE)</f>
        <v>1</v>
      </c>
      <c r="Q144" s="101" t="str">
        <f>VLOOKUP(Table3236[[#This Row],[Census Tract]],'UI EnergyBurden'!$A$2:$B$184,2,FALSE)</f>
        <v>No</v>
      </c>
    </row>
    <row r="145" spans="1:17" x14ac:dyDescent="0.2">
      <c r="A145" s="121">
        <v>9001080800</v>
      </c>
      <c r="B145" s="121" t="s">
        <v>2988</v>
      </c>
      <c r="C145" s="128" t="s">
        <v>3886</v>
      </c>
      <c r="D145" s="152">
        <v>0</v>
      </c>
      <c r="E145" s="152">
        <v>0</v>
      </c>
      <c r="F145" s="153">
        <f>[2]!Table323[[#This Row],[Single Family]]+[2]!Table323[[#This Row],[2-4 Units]]+[2]!Table323[[#This Row],[&gt;4 Units]]</f>
        <v>0</v>
      </c>
      <c r="G145" s="153"/>
      <c r="H145" s="153"/>
      <c r="I145" s="153"/>
      <c r="J145" s="154">
        <v>0</v>
      </c>
      <c r="K145" s="153">
        <f>SUM([2]!Table323[[#This Row],[Single Family ]:[&gt;4 Units ]])</f>
        <v>0</v>
      </c>
      <c r="L145" s="155"/>
      <c r="M145" s="155"/>
      <c r="N145" s="155"/>
      <c r="O145" s="156"/>
      <c r="P145" s="100">
        <f>VLOOKUP(Table3236[[#This Row],[Census Tract]],'Population and Diversity Data'!$B$2:$K$823,10,FALSE)</f>
        <v>2</v>
      </c>
      <c r="Q145" s="101" t="str">
        <f>VLOOKUP(Table3236[[#This Row],[Census Tract]],'UI EnergyBurden'!$A$2:$B$184,2,FALSE)</f>
        <v>No</v>
      </c>
    </row>
    <row r="146" spans="1:17" x14ac:dyDescent="0.2">
      <c r="A146" s="121">
        <v>9001080800</v>
      </c>
      <c r="B146" s="121" t="s">
        <v>956</v>
      </c>
      <c r="C146" s="128" t="s">
        <v>3886</v>
      </c>
      <c r="D146" s="152">
        <v>62015.020834156865</v>
      </c>
      <c r="E146" s="152">
        <v>53878.7</v>
      </c>
      <c r="F146" s="153">
        <f>[2]!Table323[[#This Row],[Single Family]]+[2]!Table323[[#This Row],[2-4 Units]]+[2]!Table323[[#This Row],[&gt;4 Units]]</f>
        <v>38</v>
      </c>
      <c r="G146" s="153">
        <v>38</v>
      </c>
      <c r="H146" s="153">
        <v>0</v>
      </c>
      <c r="I146" s="153">
        <v>0</v>
      </c>
      <c r="J146" s="154">
        <v>33150.229999999996</v>
      </c>
      <c r="K146" s="153">
        <f>SUM([2]!Table323[[#This Row],[Single Family ]:[&gt;4 Units ]])</f>
        <v>11</v>
      </c>
      <c r="L146" s="155">
        <v>11</v>
      </c>
      <c r="M146" s="155">
        <v>0</v>
      </c>
      <c r="N146" s="155">
        <v>0</v>
      </c>
      <c r="O146" s="156">
        <v>20728.469999999998</v>
      </c>
      <c r="P146" s="100">
        <f>VLOOKUP(Table3236[[#This Row],[Census Tract]],'Population and Diversity Data'!$B$2:$K$823,10,FALSE)</f>
        <v>2</v>
      </c>
      <c r="Q146" s="101" t="str">
        <f>VLOOKUP(Table3236[[#This Row],[Census Tract]],'UI EnergyBurden'!$A$2:$B$184,2,FALSE)</f>
        <v>No</v>
      </c>
    </row>
    <row r="147" spans="1:17" x14ac:dyDescent="0.2">
      <c r="A147" s="121">
        <v>9001080800</v>
      </c>
      <c r="B147" s="121" t="s">
        <v>956</v>
      </c>
      <c r="C147" s="128" t="s">
        <v>3886</v>
      </c>
      <c r="D147" s="152">
        <v>0</v>
      </c>
      <c r="E147" s="152">
        <v>0</v>
      </c>
      <c r="F147" s="153">
        <f>[2]!Table323[[#This Row],[Single Family]]+[2]!Table323[[#This Row],[2-4 Units]]+[2]!Table323[[#This Row],[&gt;4 Units]]</f>
        <v>0</v>
      </c>
      <c r="G147" s="153"/>
      <c r="H147" s="153"/>
      <c r="I147" s="153"/>
      <c r="J147" s="154">
        <v>0</v>
      </c>
      <c r="K147" s="153">
        <f>SUM([2]!Table323[[#This Row],[Single Family ]:[&gt;4 Units ]])</f>
        <v>0</v>
      </c>
      <c r="L147" s="155"/>
      <c r="M147" s="155"/>
      <c r="N147" s="155"/>
      <c r="O147" s="156">
        <v>0</v>
      </c>
      <c r="P147" s="100">
        <f>VLOOKUP(Table3236[[#This Row],[Census Tract]],'Population and Diversity Data'!$B$2:$K$823,10,FALSE)</f>
        <v>2</v>
      </c>
      <c r="Q147" s="101" t="str">
        <f>VLOOKUP(Table3236[[#This Row],[Census Tract]],'UI EnergyBurden'!$A$2:$B$184,2,FALSE)</f>
        <v>No</v>
      </c>
    </row>
    <row r="148" spans="1:17" x14ac:dyDescent="0.2">
      <c r="A148" s="121">
        <v>9001080900</v>
      </c>
      <c r="B148" s="121" t="s">
        <v>934</v>
      </c>
      <c r="C148" s="128" t="s">
        <v>3886</v>
      </c>
      <c r="D148" s="152">
        <v>0</v>
      </c>
      <c r="E148" s="152">
        <v>0</v>
      </c>
      <c r="F148" s="153">
        <f>[2]!Table323[[#This Row],[Single Family]]+[2]!Table323[[#This Row],[2-4 Units]]+[2]!Table323[[#This Row],[&gt;4 Units]]</f>
        <v>0</v>
      </c>
      <c r="G148" s="153"/>
      <c r="H148" s="153"/>
      <c r="I148" s="153"/>
      <c r="J148" s="154">
        <v>0</v>
      </c>
      <c r="K148" s="153">
        <f>SUM([2]!Table323[[#This Row],[Single Family ]:[&gt;4 Units ]])</f>
        <v>0</v>
      </c>
      <c r="L148" s="155"/>
      <c r="M148" s="155"/>
      <c r="N148" s="155"/>
      <c r="O148" s="156"/>
      <c r="P148" s="100">
        <f>VLOOKUP(Table3236[[#This Row],[Census Tract]],'Population and Diversity Data'!$B$2:$K$823,10,FALSE)</f>
        <v>4</v>
      </c>
      <c r="Q148" s="101" t="str">
        <f>VLOOKUP(Table3236[[#This Row],[Census Tract]],'UI EnergyBurden'!$A$2:$B$184,2,FALSE)</f>
        <v>No</v>
      </c>
    </row>
    <row r="149" spans="1:17" x14ac:dyDescent="0.2">
      <c r="A149" s="121">
        <v>9001080900</v>
      </c>
      <c r="B149" s="121" t="s">
        <v>956</v>
      </c>
      <c r="C149" s="128" t="s">
        <v>3886</v>
      </c>
      <c r="D149" s="152">
        <v>61031.180185885525</v>
      </c>
      <c r="E149" s="152">
        <v>58052.97</v>
      </c>
      <c r="F149" s="153">
        <f>[2]!Table323[[#This Row],[Single Family]]+[2]!Table323[[#This Row],[2-4 Units]]+[2]!Table323[[#This Row],[&gt;4 Units]]</f>
        <v>36</v>
      </c>
      <c r="G149" s="153">
        <v>35</v>
      </c>
      <c r="H149" s="153">
        <v>1</v>
      </c>
      <c r="I149" s="153">
        <v>0</v>
      </c>
      <c r="J149" s="154">
        <v>25848.459999999995</v>
      </c>
      <c r="K149" s="153">
        <f>SUM([2]!Table323[[#This Row],[Single Family ]:[&gt;4 Units ]])</f>
        <v>21</v>
      </c>
      <c r="L149" s="155">
        <v>20</v>
      </c>
      <c r="M149" s="155">
        <v>1</v>
      </c>
      <c r="N149" s="155">
        <v>0</v>
      </c>
      <c r="O149" s="156">
        <v>32204.510000000006</v>
      </c>
      <c r="P149" s="100">
        <f>VLOOKUP(Table3236[[#This Row],[Census Tract]],'Population and Diversity Data'!$B$2:$K$823,10,FALSE)</f>
        <v>4</v>
      </c>
      <c r="Q149" s="101" t="str">
        <f>VLOOKUP(Table3236[[#This Row],[Census Tract]],'UI EnergyBurden'!$A$2:$B$184,2,FALSE)</f>
        <v>No</v>
      </c>
    </row>
    <row r="150" spans="1:17" x14ac:dyDescent="0.2">
      <c r="A150" s="121">
        <v>9001081000</v>
      </c>
      <c r="B150" s="121" t="s">
        <v>934</v>
      </c>
      <c r="C150" s="128" t="s">
        <v>3886</v>
      </c>
      <c r="D150" s="152">
        <v>46.942327816309501</v>
      </c>
      <c r="E150" s="152">
        <v>0</v>
      </c>
      <c r="F150" s="153">
        <f>[2]!Table323[[#This Row],[Single Family]]+[2]!Table323[[#This Row],[2-4 Units]]+[2]!Table323[[#This Row],[&gt;4 Units]]</f>
        <v>0</v>
      </c>
      <c r="G150" s="153"/>
      <c r="H150" s="153"/>
      <c r="I150" s="153"/>
      <c r="J150" s="154">
        <v>0</v>
      </c>
      <c r="K150" s="153">
        <f>SUM([2]!Table323[[#This Row],[Single Family ]:[&gt;4 Units ]])</f>
        <v>0</v>
      </c>
      <c r="L150" s="155"/>
      <c r="M150" s="155"/>
      <c r="N150" s="155"/>
      <c r="O150" s="156"/>
      <c r="P150" s="100">
        <f>VLOOKUP(Table3236[[#This Row],[Census Tract]],'Population and Diversity Data'!$B$2:$K$823,10,FALSE)</f>
        <v>2</v>
      </c>
      <c r="Q150" s="101" t="str">
        <f>VLOOKUP(Table3236[[#This Row],[Census Tract]],'UI EnergyBurden'!$A$2:$B$184,2,FALSE)</f>
        <v>No</v>
      </c>
    </row>
    <row r="151" spans="1:17" x14ac:dyDescent="0.2">
      <c r="A151" s="121">
        <v>9001081000</v>
      </c>
      <c r="B151" s="121" t="s">
        <v>956</v>
      </c>
      <c r="C151" s="128" t="s">
        <v>3886</v>
      </c>
      <c r="D151" s="152">
        <v>51990.026908385029</v>
      </c>
      <c r="E151" s="152">
        <v>35234.749999999985</v>
      </c>
      <c r="F151" s="153">
        <f>[2]!Table323[[#This Row],[Single Family]]+[2]!Table323[[#This Row],[2-4 Units]]+[2]!Table323[[#This Row],[&gt;4 Units]]</f>
        <v>30</v>
      </c>
      <c r="G151" s="153">
        <v>30</v>
      </c>
      <c r="H151" s="153">
        <v>0</v>
      </c>
      <c r="I151" s="153">
        <v>0</v>
      </c>
      <c r="J151" s="154">
        <v>31380.029999999995</v>
      </c>
      <c r="K151" s="153">
        <f>SUM([2]!Table323[[#This Row],[Single Family ]:[&gt;4 Units ]])</f>
        <v>6</v>
      </c>
      <c r="L151" s="155">
        <v>6</v>
      </c>
      <c r="M151" s="155">
        <v>0</v>
      </c>
      <c r="N151" s="155">
        <v>0</v>
      </c>
      <c r="O151" s="156">
        <v>3854.7199999999993</v>
      </c>
      <c r="P151" s="100">
        <f>VLOOKUP(Table3236[[#This Row],[Census Tract]],'Population and Diversity Data'!$B$2:$K$823,10,FALSE)</f>
        <v>2</v>
      </c>
      <c r="Q151" s="101" t="str">
        <f>VLOOKUP(Table3236[[#This Row],[Census Tract]],'UI EnergyBurden'!$A$2:$B$184,2,FALSE)</f>
        <v>No</v>
      </c>
    </row>
    <row r="152" spans="1:17" x14ac:dyDescent="0.2">
      <c r="A152" s="121">
        <v>9001081000</v>
      </c>
      <c r="B152" s="121" t="s">
        <v>956</v>
      </c>
      <c r="C152" s="128" t="s">
        <v>3886</v>
      </c>
      <c r="D152" s="152">
        <v>0</v>
      </c>
      <c r="E152" s="152">
        <v>0</v>
      </c>
      <c r="F152" s="153">
        <f>[2]!Table323[[#This Row],[Single Family]]+[2]!Table323[[#This Row],[2-4 Units]]+[2]!Table323[[#This Row],[&gt;4 Units]]</f>
        <v>0</v>
      </c>
      <c r="G152" s="153"/>
      <c r="H152" s="153"/>
      <c r="I152" s="153"/>
      <c r="J152" s="154">
        <v>0</v>
      </c>
      <c r="K152" s="153">
        <f>SUM([2]!Table323[[#This Row],[Single Family ]:[&gt;4 Units ]])</f>
        <v>0</v>
      </c>
      <c r="L152" s="155"/>
      <c r="M152" s="155"/>
      <c r="N152" s="155"/>
      <c r="O152" s="156"/>
      <c r="P152" s="100">
        <f>VLOOKUP(Table3236[[#This Row],[Census Tract]],'Population and Diversity Data'!$B$2:$K$823,10,FALSE)</f>
        <v>2</v>
      </c>
      <c r="Q152" s="101" t="str">
        <f>VLOOKUP(Table3236[[#This Row],[Census Tract]],'UI EnergyBurden'!$A$2:$B$184,2,FALSE)</f>
        <v>No</v>
      </c>
    </row>
    <row r="153" spans="1:17" x14ac:dyDescent="0.2">
      <c r="A153" s="121">
        <v>9001081100</v>
      </c>
      <c r="B153" s="121" t="s">
        <v>956</v>
      </c>
      <c r="C153" s="128" t="s">
        <v>3886</v>
      </c>
      <c r="D153" s="152">
        <v>57936.979971877801</v>
      </c>
      <c r="E153" s="152">
        <v>34003.589999999997</v>
      </c>
      <c r="F153" s="153">
        <f>[2]!Table323[[#This Row],[Single Family]]+[2]!Table323[[#This Row],[2-4 Units]]+[2]!Table323[[#This Row],[&gt;4 Units]]</f>
        <v>28</v>
      </c>
      <c r="G153" s="153">
        <v>28</v>
      </c>
      <c r="H153" s="153">
        <v>0</v>
      </c>
      <c r="I153" s="153">
        <v>0</v>
      </c>
      <c r="J153" s="154">
        <v>24871.890000000003</v>
      </c>
      <c r="K153" s="153">
        <f>SUM([2]!Table323[[#This Row],[Single Family ]:[&gt;4 Units ]])</f>
        <v>7</v>
      </c>
      <c r="L153" s="155">
        <v>7</v>
      </c>
      <c r="M153" s="155">
        <v>0</v>
      </c>
      <c r="N153" s="155">
        <v>0</v>
      </c>
      <c r="O153" s="156">
        <v>9131.7000000000007</v>
      </c>
      <c r="P153" s="100">
        <f>VLOOKUP(Table3236[[#This Row],[Census Tract]],'Population and Diversity Data'!$B$2:$K$823,10,FALSE)</f>
        <v>1</v>
      </c>
      <c r="Q153" s="101" t="str">
        <f>VLOOKUP(Table3236[[#This Row],[Census Tract]],'UI EnergyBurden'!$A$2:$B$184,2,FALSE)</f>
        <v>No</v>
      </c>
    </row>
    <row r="154" spans="1:17" x14ac:dyDescent="0.2">
      <c r="A154" s="121">
        <v>9001081100</v>
      </c>
      <c r="B154" s="121" t="s">
        <v>2984</v>
      </c>
      <c r="C154" s="128" t="s">
        <v>3886</v>
      </c>
      <c r="D154" s="152">
        <v>249.34649147903977</v>
      </c>
      <c r="E154" s="152">
        <v>0</v>
      </c>
      <c r="F154" s="153">
        <f>[2]!Table323[[#This Row],[Single Family]]+[2]!Table323[[#This Row],[2-4 Units]]+[2]!Table323[[#This Row],[&gt;4 Units]]</f>
        <v>0</v>
      </c>
      <c r="G154" s="153"/>
      <c r="H154" s="153"/>
      <c r="I154" s="153"/>
      <c r="J154" s="154">
        <v>0</v>
      </c>
      <c r="K154" s="153">
        <f>SUM([2]!Table323[[#This Row],[Single Family ]:[&gt;4 Units ]])</f>
        <v>0</v>
      </c>
      <c r="L154" s="155"/>
      <c r="M154" s="155"/>
      <c r="N154" s="155"/>
      <c r="O154" s="156"/>
      <c r="P154" s="100">
        <f>VLOOKUP(Table3236[[#This Row],[Census Tract]],'Population and Diversity Data'!$B$2:$K$823,10,FALSE)</f>
        <v>1</v>
      </c>
      <c r="Q154" s="101" t="str">
        <f>VLOOKUP(Table3236[[#This Row],[Census Tract]],'UI EnergyBurden'!$A$2:$B$184,2,FALSE)</f>
        <v>No</v>
      </c>
    </row>
    <row r="155" spans="1:17" x14ac:dyDescent="0.2">
      <c r="A155" s="121">
        <v>9001081100</v>
      </c>
      <c r="B155" s="121" t="s">
        <v>956</v>
      </c>
      <c r="C155" s="128" t="s">
        <v>3886</v>
      </c>
      <c r="D155" s="152">
        <v>0</v>
      </c>
      <c r="E155" s="152">
        <v>0</v>
      </c>
      <c r="F155" s="153">
        <f>[2]!Table323[[#This Row],[Single Family]]+[2]!Table323[[#This Row],[2-4 Units]]+[2]!Table323[[#This Row],[&gt;4 Units]]</f>
        <v>0</v>
      </c>
      <c r="G155" s="153"/>
      <c r="H155" s="153"/>
      <c r="I155" s="153"/>
      <c r="J155" s="154">
        <v>0</v>
      </c>
      <c r="K155" s="153">
        <f>SUM([2]!Table323[[#This Row],[Single Family ]:[&gt;4 Units ]])</f>
        <v>0</v>
      </c>
      <c r="L155" s="155"/>
      <c r="M155" s="155"/>
      <c r="N155" s="155"/>
      <c r="O155" s="156">
        <v>0</v>
      </c>
      <c r="P155" s="100">
        <f>VLOOKUP(Table3236[[#This Row],[Census Tract]],'Population and Diversity Data'!$B$2:$K$823,10,FALSE)</f>
        <v>1</v>
      </c>
      <c r="Q155" s="101" t="str">
        <f>VLOOKUP(Table3236[[#This Row],[Census Tract]],'UI EnergyBurden'!$A$2:$B$184,2,FALSE)</f>
        <v>No</v>
      </c>
    </row>
    <row r="156" spans="1:17" x14ac:dyDescent="0.2">
      <c r="A156" s="121">
        <v>9001081200</v>
      </c>
      <c r="B156" s="121" t="s">
        <v>934</v>
      </c>
      <c r="C156" s="128" t="s">
        <v>3886</v>
      </c>
      <c r="D156" s="152">
        <v>106.50663874137101</v>
      </c>
      <c r="E156" s="152">
        <v>0</v>
      </c>
      <c r="F156" s="153">
        <f>[2]!Table323[[#This Row],[Single Family]]+[2]!Table323[[#This Row],[2-4 Units]]+[2]!Table323[[#This Row],[&gt;4 Units]]</f>
        <v>0</v>
      </c>
      <c r="G156" s="153"/>
      <c r="H156" s="153"/>
      <c r="I156" s="153"/>
      <c r="J156" s="154">
        <v>0</v>
      </c>
      <c r="K156" s="153">
        <f>SUM([2]!Table323[[#This Row],[Single Family ]:[&gt;4 Units ]])</f>
        <v>0</v>
      </c>
      <c r="L156" s="155"/>
      <c r="M156" s="155"/>
      <c r="N156" s="155"/>
      <c r="O156" s="156"/>
      <c r="P156" s="100">
        <f>VLOOKUP(Table3236[[#This Row],[Census Tract]],'Population and Diversity Data'!$B$2:$K$823,10,FALSE)</f>
        <v>3</v>
      </c>
      <c r="Q156" s="101" t="str">
        <f>VLOOKUP(Table3236[[#This Row],[Census Tract]],'UI EnergyBurden'!$A$2:$B$184,2,FALSE)</f>
        <v>No</v>
      </c>
    </row>
    <row r="157" spans="1:17" x14ac:dyDescent="0.2">
      <c r="A157" s="121">
        <v>9001081200</v>
      </c>
      <c r="B157" s="121" t="s">
        <v>956</v>
      </c>
      <c r="C157" s="128" t="s">
        <v>3886</v>
      </c>
      <c r="D157" s="152">
        <v>77057.880913142275</v>
      </c>
      <c r="E157" s="152">
        <v>87118.670000000013</v>
      </c>
      <c r="F157" s="153">
        <f>[2]!Table323[[#This Row],[Single Family]]+[2]!Table323[[#This Row],[2-4 Units]]+[2]!Table323[[#This Row],[&gt;4 Units]]</f>
        <v>28</v>
      </c>
      <c r="G157" s="153">
        <v>28</v>
      </c>
      <c r="H157" s="153">
        <v>0</v>
      </c>
      <c r="I157" s="153">
        <v>0</v>
      </c>
      <c r="J157" s="154">
        <v>68411.900000000009</v>
      </c>
      <c r="K157" s="153">
        <f>SUM([2]!Table323[[#This Row],[Single Family ]:[&gt;4 Units ]])</f>
        <v>5</v>
      </c>
      <c r="L157" s="155">
        <v>5</v>
      </c>
      <c r="M157" s="155">
        <v>0</v>
      </c>
      <c r="N157" s="155">
        <v>0</v>
      </c>
      <c r="O157" s="156">
        <v>18706.77</v>
      </c>
      <c r="P157" s="100">
        <f>VLOOKUP(Table3236[[#This Row],[Census Tract]],'Population and Diversity Data'!$B$2:$K$823,10,FALSE)</f>
        <v>3</v>
      </c>
      <c r="Q157" s="101" t="str">
        <f>VLOOKUP(Table3236[[#This Row],[Census Tract]],'UI EnergyBurden'!$A$2:$B$184,2,FALSE)</f>
        <v>No</v>
      </c>
    </row>
    <row r="158" spans="1:17" x14ac:dyDescent="0.2">
      <c r="A158" s="121">
        <v>9001081200</v>
      </c>
      <c r="B158" s="121" t="s">
        <v>956</v>
      </c>
      <c r="C158" s="128" t="s">
        <v>3886</v>
      </c>
      <c r="D158" s="152">
        <v>0</v>
      </c>
      <c r="E158" s="152">
        <v>0</v>
      </c>
      <c r="F158" s="153">
        <f>[2]!Table323[[#This Row],[Single Family]]+[2]!Table323[[#This Row],[2-4 Units]]+[2]!Table323[[#This Row],[&gt;4 Units]]</f>
        <v>0</v>
      </c>
      <c r="G158" s="153"/>
      <c r="H158" s="153"/>
      <c r="I158" s="153"/>
      <c r="J158" s="154">
        <v>0</v>
      </c>
      <c r="K158" s="153">
        <f>SUM([2]!Table323[[#This Row],[Single Family ]:[&gt;4 Units ]])</f>
        <v>0</v>
      </c>
      <c r="L158" s="155"/>
      <c r="M158" s="155"/>
      <c r="N158" s="155"/>
      <c r="O158" s="156"/>
      <c r="P158" s="100">
        <f>VLOOKUP(Table3236[[#This Row],[Census Tract]],'Population and Diversity Data'!$B$2:$K$823,10,FALSE)</f>
        <v>3</v>
      </c>
      <c r="Q158" s="101" t="str">
        <f>VLOOKUP(Table3236[[#This Row],[Census Tract]],'UI EnergyBurden'!$A$2:$B$184,2,FALSE)</f>
        <v>No</v>
      </c>
    </row>
    <row r="159" spans="1:17" x14ac:dyDescent="0.2">
      <c r="A159" s="121">
        <v>9001081300</v>
      </c>
      <c r="B159" s="121" t="s">
        <v>956</v>
      </c>
      <c r="C159" s="128" t="s">
        <v>3886</v>
      </c>
      <c r="D159" s="152">
        <v>75183.973472087775</v>
      </c>
      <c r="E159" s="152">
        <v>41153.170000000006</v>
      </c>
      <c r="F159" s="153">
        <f>[2]!Table323[[#This Row],[Single Family]]+[2]!Table323[[#This Row],[2-4 Units]]+[2]!Table323[[#This Row],[&gt;4 Units]]</f>
        <v>26</v>
      </c>
      <c r="G159" s="153">
        <v>24</v>
      </c>
      <c r="H159" s="153">
        <v>2</v>
      </c>
      <c r="I159" s="153">
        <v>0</v>
      </c>
      <c r="J159" s="154">
        <v>37205.039999999994</v>
      </c>
      <c r="K159" s="153">
        <f>SUM([2]!Table323[[#This Row],[Single Family ]:[&gt;4 Units ]])</f>
        <v>5</v>
      </c>
      <c r="L159" s="155">
        <v>4</v>
      </c>
      <c r="M159" s="155">
        <v>1</v>
      </c>
      <c r="N159" s="155">
        <v>0</v>
      </c>
      <c r="O159" s="156">
        <v>3948.13</v>
      </c>
      <c r="P159" s="100">
        <f>VLOOKUP(Table3236[[#This Row],[Census Tract]],'Population and Diversity Data'!$B$2:$K$823,10,FALSE)</f>
        <v>4</v>
      </c>
      <c r="Q159" s="101" t="str">
        <f>VLOOKUP(Table3236[[#This Row],[Census Tract]],'UI EnergyBurden'!$A$2:$B$184,2,FALSE)</f>
        <v>No</v>
      </c>
    </row>
    <row r="160" spans="1:17" x14ac:dyDescent="0.2">
      <c r="A160" s="121">
        <v>9001081300</v>
      </c>
      <c r="B160" s="121" t="s">
        <v>956</v>
      </c>
      <c r="C160" s="128" t="s">
        <v>3886</v>
      </c>
      <c r="D160" s="152">
        <v>0</v>
      </c>
      <c r="E160" s="152">
        <v>0</v>
      </c>
      <c r="F160" s="153">
        <f>[2]!Table323[[#This Row],[Single Family]]+[2]!Table323[[#This Row],[2-4 Units]]+[2]!Table323[[#This Row],[&gt;4 Units]]</f>
        <v>0</v>
      </c>
      <c r="G160" s="153"/>
      <c r="H160" s="153"/>
      <c r="I160" s="153"/>
      <c r="J160" s="154">
        <v>0</v>
      </c>
      <c r="K160" s="153">
        <f>SUM([2]!Table323[[#This Row],[Single Family ]:[&gt;4 Units ]])</f>
        <v>0</v>
      </c>
      <c r="L160" s="155"/>
      <c r="M160" s="155"/>
      <c r="N160" s="155"/>
      <c r="O160" s="156">
        <v>0</v>
      </c>
      <c r="P160" s="100">
        <f>VLOOKUP(Table3236[[#This Row],[Census Tract]],'Population and Diversity Data'!$B$2:$K$823,10,FALSE)</f>
        <v>4</v>
      </c>
      <c r="Q160" s="101" t="str">
        <f>VLOOKUP(Table3236[[#This Row],[Census Tract]],'UI EnergyBurden'!$A$2:$B$184,2,FALSE)</f>
        <v>No</v>
      </c>
    </row>
    <row r="161" spans="1:17" x14ac:dyDescent="0.2">
      <c r="A161" s="121">
        <v>9001090100</v>
      </c>
      <c r="B161" s="121" t="s">
        <v>2983</v>
      </c>
      <c r="C161" s="128" t="s">
        <v>3886</v>
      </c>
      <c r="D161" s="152">
        <v>308.19060146592813</v>
      </c>
      <c r="E161" s="152">
        <v>0</v>
      </c>
      <c r="F161" s="153">
        <f>[2]!Table323[[#This Row],[Single Family]]+[2]!Table323[[#This Row],[2-4 Units]]+[2]!Table323[[#This Row],[&gt;4 Units]]</f>
        <v>0</v>
      </c>
      <c r="G161" s="153"/>
      <c r="H161" s="153"/>
      <c r="I161" s="153"/>
      <c r="J161" s="154">
        <v>0</v>
      </c>
      <c r="K161" s="153">
        <f>SUM([2]!Table323[[#This Row],[Single Family ]:[&gt;4 Units ]])</f>
        <v>0</v>
      </c>
      <c r="L161" s="155"/>
      <c r="M161" s="155"/>
      <c r="N161" s="155"/>
      <c r="O161" s="156"/>
      <c r="P161" s="100">
        <f>VLOOKUP(Table3236[[#This Row],[Census Tract]],'Population and Diversity Data'!$B$2:$K$823,10,FALSE)</f>
        <v>1</v>
      </c>
      <c r="Q161" s="101" t="str">
        <f>VLOOKUP(Table3236[[#This Row],[Census Tract]],'UI EnergyBurden'!$A$2:$B$184,2,FALSE)</f>
        <v>No</v>
      </c>
    </row>
    <row r="162" spans="1:17" x14ac:dyDescent="0.2">
      <c r="A162" s="121">
        <v>9001090100</v>
      </c>
      <c r="B162" s="121" t="s">
        <v>2984</v>
      </c>
      <c r="C162" s="128" t="s">
        <v>3886</v>
      </c>
      <c r="D162" s="152">
        <v>67347.882564367508</v>
      </c>
      <c r="E162" s="152">
        <v>76745.219999999987</v>
      </c>
      <c r="F162" s="153">
        <f>[2]!Table323[[#This Row],[Single Family]]+[2]!Table323[[#This Row],[2-4 Units]]+[2]!Table323[[#This Row],[&gt;4 Units]]</f>
        <v>40</v>
      </c>
      <c r="G162" s="153">
        <v>40</v>
      </c>
      <c r="H162" s="153">
        <v>0</v>
      </c>
      <c r="I162" s="153">
        <v>0</v>
      </c>
      <c r="J162" s="154">
        <v>71712.339999999982</v>
      </c>
      <c r="K162" s="153">
        <f>SUM([2]!Table323[[#This Row],[Single Family ]:[&gt;4 Units ]])</f>
        <v>2</v>
      </c>
      <c r="L162" s="155">
        <v>2</v>
      </c>
      <c r="M162" s="155">
        <v>0</v>
      </c>
      <c r="N162" s="155">
        <v>0</v>
      </c>
      <c r="O162" s="156">
        <v>5032.880000000001</v>
      </c>
      <c r="P162" s="100">
        <f>VLOOKUP(Table3236[[#This Row],[Census Tract]],'Population and Diversity Data'!$B$2:$K$823,10,FALSE)</f>
        <v>1</v>
      </c>
      <c r="Q162" s="101" t="str">
        <f>VLOOKUP(Table3236[[#This Row],[Census Tract]],'UI EnergyBurden'!$A$2:$B$184,2,FALSE)</f>
        <v>No</v>
      </c>
    </row>
    <row r="163" spans="1:17" x14ac:dyDescent="0.2">
      <c r="A163" s="121">
        <v>9001090100</v>
      </c>
      <c r="B163" s="121" t="s">
        <v>2984</v>
      </c>
      <c r="C163" s="128" t="s">
        <v>3886</v>
      </c>
      <c r="D163" s="152">
        <v>0</v>
      </c>
      <c r="E163" s="152">
        <v>0</v>
      </c>
      <c r="F163" s="153">
        <f>[2]!Table323[[#This Row],[Single Family]]+[2]!Table323[[#This Row],[2-4 Units]]+[2]!Table323[[#This Row],[&gt;4 Units]]</f>
        <v>0</v>
      </c>
      <c r="G163" s="153"/>
      <c r="H163" s="153"/>
      <c r="I163" s="153"/>
      <c r="J163" s="154">
        <v>0</v>
      </c>
      <c r="K163" s="153">
        <f>SUM([2]!Table323[[#This Row],[Single Family ]:[&gt;4 Units ]])</f>
        <v>0</v>
      </c>
      <c r="L163" s="155"/>
      <c r="M163" s="155"/>
      <c r="N163" s="155"/>
      <c r="O163" s="156">
        <v>0</v>
      </c>
      <c r="P163" s="100">
        <f>VLOOKUP(Table3236[[#This Row],[Census Tract]],'Population and Diversity Data'!$B$2:$K$823,10,FALSE)</f>
        <v>1</v>
      </c>
      <c r="Q163" s="101" t="str">
        <f>VLOOKUP(Table3236[[#This Row],[Census Tract]],'UI EnergyBurden'!$A$2:$B$184,2,FALSE)</f>
        <v>No</v>
      </c>
    </row>
    <row r="164" spans="1:17" x14ac:dyDescent="0.2">
      <c r="A164" s="121">
        <v>9001090200</v>
      </c>
      <c r="B164" s="121" t="s">
        <v>934</v>
      </c>
      <c r="C164" s="128" t="s">
        <v>3886</v>
      </c>
      <c r="D164" s="152">
        <v>0</v>
      </c>
      <c r="E164" s="152">
        <v>0</v>
      </c>
      <c r="F164" s="153">
        <f>[2]!Table323[[#This Row],[Single Family]]+[2]!Table323[[#This Row],[2-4 Units]]+[2]!Table323[[#This Row],[&gt;4 Units]]</f>
        <v>0</v>
      </c>
      <c r="G164" s="153"/>
      <c r="H164" s="153"/>
      <c r="I164" s="153"/>
      <c r="J164" s="154">
        <v>0</v>
      </c>
      <c r="K164" s="153">
        <f>SUM([2]!Table323[[#This Row],[Single Family ]:[&gt;4 Units ]])</f>
        <v>0</v>
      </c>
      <c r="L164" s="155"/>
      <c r="M164" s="155"/>
      <c r="N164" s="155"/>
      <c r="O164" s="156"/>
      <c r="P164" s="100">
        <f>VLOOKUP(Table3236[[#This Row],[Census Tract]],'Population and Diversity Data'!$B$2:$K$823,10,FALSE)</f>
        <v>3</v>
      </c>
      <c r="Q164" s="101" t="str">
        <f>VLOOKUP(Table3236[[#This Row],[Census Tract]],'UI EnergyBurden'!$A$2:$B$184,2,FALSE)</f>
        <v>No</v>
      </c>
    </row>
    <row r="165" spans="1:17" x14ac:dyDescent="0.2">
      <c r="A165" s="121">
        <v>9001090200</v>
      </c>
      <c r="B165" s="121" t="s">
        <v>2984</v>
      </c>
      <c r="C165" s="128" t="s">
        <v>3886</v>
      </c>
      <c r="D165" s="152">
        <v>119838.83692528818</v>
      </c>
      <c r="E165" s="152">
        <v>125336.9</v>
      </c>
      <c r="F165" s="153">
        <f>[2]!Table323[[#This Row],[Single Family]]+[2]!Table323[[#This Row],[2-4 Units]]+[2]!Table323[[#This Row],[&gt;4 Units]]</f>
        <v>78</v>
      </c>
      <c r="G165" s="153">
        <v>78</v>
      </c>
      <c r="H165" s="153">
        <v>0</v>
      </c>
      <c r="I165" s="153">
        <v>0</v>
      </c>
      <c r="J165" s="154">
        <v>117537.77</v>
      </c>
      <c r="K165" s="153">
        <f>SUM([2]!Table323[[#This Row],[Single Family ]:[&gt;4 Units ]])</f>
        <v>7</v>
      </c>
      <c r="L165" s="155">
        <v>7</v>
      </c>
      <c r="M165" s="155">
        <v>0</v>
      </c>
      <c r="N165" s="155">
        <v>0</v>
      </c>
      <c r="O165" s="156">
        <v>7799.13</v>
      </c>
      <c r="P165" s="100">
        <f>VLOOKUP(Table3236[[#This Row],[Census Tract]],'Population and Diversity Data'!$B$2:$K$823,10,FALSE)</f>
        <v>3</v>
      </c>
      <c r="Q165" s="101" t="str">
        <f>VLOOKUP(Table3236[[#This Row],[Census Tract]],'UI EnergyBurden'!$A$2:$B$184,2,FALSE)</f>
        <v>No</v>
      </c>
    </row>
    <row r="166" spans="1:17" x14ac:dyDescent="0.2">
      <c r="A166" s="121">
        <v>9001090200</v>
      </c>
      <c r="B166" s="121" t="s">
        <v>2984</v>
      </c>
      <c r="C166" s="128" t="s">
        <v>3886</v>
      </c>
      <c r="D166" s="152">
        <v>0</v>
      </c>
      <c r="E166" s="152">
        <v>0</v>
      </c>
      <c r="F166" s="153">
        <f>[2]!Table323[[#This Row],[Single Family]]+[2]!Table323[[#This Row],[2-4 Units]]+[2]!Table323[[#This Row],[&gt;4 Units]]</f>
        <v>0</v>
      </c>
      <c r="G166" s="153"/>
      <c r="H166" s="153"/>
      <c r="I166" s="153"/>
      <c r="J166" s="154">
        <v>0</v>
      </c>
      <c r="K166" s="153">
        <f>SUM([2]!Table323[[#This Row],[Single Family ]:[&gt;4 Units ]])</f>
        <v>0</v>
      </c>
      <c r="L166" s="155"/>
      <c r="M166" s="155"/>
      <c r="N166" s="155"/>
      <c r="O166" s="156"/>
      <c r="P166" s="100">
        <f>VLOOKUP(Table3236[[#This Row],[Census Tract]],'Population and Diversity Data'!$B$2:$K$823,10,FALSE)</f>
        <v>3</v>
      </c>
      <c r="Q166" s="101" t="str">
        <f>VLOOKUP(Table3236[[#This Row],[Census Tract]],'UI EnergyBurden'!$A$2:$B$184,2,FALSE)</f>
        <v>No</v>
      </c>
    </row>
    <row r="167" spans="1:17" x14ac:dyDescent="0.2">
      <c r="A167" s="121">
        <v>9001090300</v>
      </c>
      <c r="B167" s="121" t="s">
        <v>934</v>
      </c>
      <c r="C167" s="128" t="s">
        <v>3886</v>
      </c>
      <c r="D167" s="152">
        <v>139.73283202362703</v>
      </c>
      <c r="E167" s="152">
        <v>0</v>
      </c>
      <c r="F167" s="153">
        <f>[2]!Table323[[#This Row],[Single Family]]+[2]!Table323[[#This Row],[2-4 Units]]+[2]!Table323[[#This Row],[&gt;4 Units]]</f>
        <v>0</v>
      </c>
      <c r="G167" s="153"/>
      <c r="H167" s="153"/>
      <c r="I167" s="153"/>
      <c r="J167" s="154">
        <v>0</v>
      </c>
      <c r="K167" s="153">
        <f>SUM([2]!Table323[[#This Row],[Single Family ]:[&gt;4 Units ]])</f>
        <v>0</v>
      </c>
      <c r="L167" s="155"/>
      <c r="M167" s="155"/>
      <c r="N167" s="155"/>
      <c r="O167" s="156"/>
      <c r="P167" s="100">
        <f>VLOOKUP(Table3236[[#This Row],[Census Tract]],'Population and Diversity Data'!$B$2:$K$823,10,FALSE)</f>
        <v>3</v>
      </c>
      <c r="Q167" s="101" t="str">
        <f>VLOOKUP(Table3236[[#This Row],[Census Tract]],'UI EnergyBurden'!$A$2:$B$184,2,FALSE)</f>
        <v>No</v>
      </c>
    </row>
    <row r="168" spans="1:17" x14ac:dyDescent="0.2">
      <c r="A168" s="121">
        <v>9001090300</v>
      </c>
      <c r="B168" s="121" t="s">
        <v>2984</v>
      </c>
      <c r="C168" s="128" t="s">
        <v>3886</v>
      </c>
      <c r="D168" s="152">
        <v>74756.275681612169</v>
      </c>
      <c r="E168" s="152">
        <v>106738.91999999997</v>
      </c>
      <c r="F168" s="153">
        <f>[2]!Table323[[#This Row],[Single Family]]+[2]!Table323[[#This Row],[2-4 Units]]+[2]!Table323[[#This Row],[&gt;4 Units]]</f>
        <v>59</v>
      </c>
      <c r="G168" s="153">
        <v>59</v>
      </c>
      <c r="H168" s="153">
        <v>0</v>
      </c>
      <c r="I168" s="153">
        <v>0</v>
      </c>
      <c r="J168" s="154">
        <v>86798.239999999976</v>
      </c>
      <c r="K168" s="153">
        <f>SUM([2]!Table323[[#This Row],[Single Family ]:[&gt;4 Units ]])</f>
        <v>10</v>
      </c>
      <c r="L168" s="155">
        <v>10</v>
      </c>
      <c r="M168" s="155">
        <v>0</v>
      </c>
      <c r="N168" s="155">
        <v>0</v>
      </c>
      <c r="O168" s="156">
        <v>19940.68</v>
      </c>
      <c r="P168" s="100">
        <f>VLOOKUP(Table3236[[#This Row],[Census Tract]],'Population and Diversity Data'!$B$2:$K$823,10,FALSE)</f>
        <v>3</v>
      </c>
      <c r="Q168" s="101" t="str">
        <f>VLOOKUP(Table3236[[#This Row],[Census Tract]],'UI EnergyBurden'!$A$2:$B$184,2,FALSE)</f>
        <v>No</v>
      </c>
    </row>
    <row r="169" spans="1:17" x14ac:dyDescent="0.2">
      <c r="A169" s="121">
        <v>9001090300</v>
      </c>
      <c r="B169" s="121" t="s">
        <v>2984</v>
      </c>
      <c r="C169" s="128" t="s">
        <v>3886</v>
      </c>
      <c r="D169" s="152">
        <v>1285.6510080926309</v>
      </c>
      <c r="E169" s="152">
        <v>0</v>
      </c>
      <c r="F169" s="153">
        <f>[2]!Table323[[#This Row],[Single Family]]+[2]!Table323[[#This Row],[2-4 Units]]+[2]!Table323[[#This Row],[&gt;4 Units]]</f>
        <v>0</v>
      </c>
      <c r="G169" s="153"/>
      <c r="H169" s="153"/>
      <c r="I169" s="153"/>
      <c r="J169" s="154">
        <v>0</v>
      </c>
      <c r="K169" s="153">
        <f>SUM([2]!Table323[[#This Row],[Single Family ]:[&gt;4 Units ]])</f>
        <v>0</v>
      </c>
      <c r="L169" s="155"/>
      <c r="M169" s="155"/>
      <c r="N169" s="155"/>
      <c r="O169" s="156"/>
      <c r="P169" s="100">
        <f>VLOOKUP(Table3236[[#This Row],[Census Tract]],'Population and Diversity Data'!$B$2:$K$823,10,FALSE)</f>
        <v>3</v>
      </c>
      <c r="Q169" s="101" t="str">
        <f>VLOOKUP(Table3236[[#This Row],[Census Tract]],'UI EnergyBurden'!$A$2:$B$184,2,FALSE)</f>
        <v>No</v>
      </c>
    </row>
    <row r="170" spans="1:17" x14ac:dyDescent="0.2">
      <c r="A170" s="121">
        <v>9001090400</v>
      </c>
      <c r="B170" s="121" t="s">
        <v>934</v>
      </c>
      <c r="C170" s="128" t="s">
        <v>3886</v>
      </c>
      <c r="D170" s="152">
        <v>0</v>
      </c>
      <c r="E170" s="152">
        <v>0</v>
      </c>
      <c r="F170" s="153">
        <f>[2]!Table323[[#This Row],[Single Family]]+[2]!Table323[[#This Row],[2-4 Units]]+[2]!Table323[[#This Row],[&gt;4 Units]]</f>
        <v>0</v>
      </c>
      <c r="G170" s="153"/>
      <c r="H170" s="153"/>
      <c r="I170" s="153"/>
      <c r="J170" s="154">
        <v>0</v>
      </c>
      <c r="K170" s="153">
        <f>SUM([2]!Table323[[#This Row],[Single Family ]:[&gt;4 Units ]])</f>
        <v>0</v>
      </c>
      <c r="L170" s="155"/>
      <c r="M170" s="155"/>
      <c r="N170" s="155"/>
      <c r="O170" s="156"/>
      <c r="P170" s="100">
        <f>VLOOKUP(Table3236[[#This Row],[Census Tract]],'Population and Diversity Data'!$B$2:$K$823,10,FALSE)</f>
        <v>4</v>
      </c>
      <c r="Q170" s="101" t="str">
        <f>VLOOKUP(Table3236[[#This Row],[Census Tract]],'UI EnergyBurden'!$A$2:$B$184,2,FALSE)</f>
        <v>No</v>
      </c>
    </row>
    <row r="171" spans="1:17" x14ac:dyDescent="0.2">
      <c r="A171" s="121">
        <v>9001090400</v>
      </c>
      <c r="B171" s="121" t="s">
        <v>2984</v>
      </c>
      <c r="C171" s="128" t="s">
        <v>3886</v>
      </c>
      <c r="D171" s="152">
        <v>93212.389606888406</v>
      </c>
      <c r="E171" s="152">
        <v>114029.45</v>
      </c>
      <c r="F171" s="153">
        <f>[2]!Table323[[#This Row],[Single Family]]+[2]!Table323[[#This Row],[2-4 Units]]+[2]!Table323[[#This Row],[&gt;4 Units]]</f>
        <v>50</v>
      </c>
      <c r="G171" s="153">
        <v>50</v>
      </c>
      <c r="H171" s="153">
        <v>0</v>
      </c>
      <c r="I171" s="153">
        <v>0</v>
      </c>
      <c r="J171" s="154">
        <v>72431.37999999999</v>
      </c>
      <c r="K171" s="153">
        <f>SUM([2]!Table323[[#This Row],[Single Family ]:[&gt;4 Units ]])</f>
        <v>5</v>
      </c>
      <c r="L171" s="155">
        <v>5</v>
      </c>
      <c r="M171" s="155">
        <v>0</v>
      </c>
      <c r="N171" s="155">
        <v>0</v>
      </c>
      <c r="O171" s="156">
        <v>41598.07</v>
      </c>
      <c r="P171" s="100">
        <f>VLOOKUP(Table3236[[#This Row],[Census Tract]],'Population and Diversity Data'!$B$2:$K$823,10,FALSE)</f>
        <v>4</v>
      </c>
      <c r="Q171" s="101" t="str">
        <f>VLOOKUP(Table3236[[#This Row],[Census Tract]],'UI EnergyBurden'!$A$2:$B$184,2,FALSE)</f>
        <v>No</v>
      </c>
    </row>
    <row r="172" spans="1:17" x14ac:dyDescent="0.2">
      <c r="A172" s="121">
        <v>9001090400</v>
      </c>
      <c r="B172" s="121" t="s">
        <v>2984</v>
      </c>
      <c r="C172" s="128" t="s">
        <v>3886</v>
      </c>
      <c r="D172" s="152">
        <v>0</v>
      </c>
      <c r="E172" s="152">
        <v>0</v>
      </c>
      <c r="F172" s="153">
        <f>[2]!Table323[[#This Row],[Single Family]]+[2]!Table323[[#This Row],[2-4 Units]]+[2]!Table323[[#This Row],[&gt;4 Units]]</f>
        <v>0</v>
      </c>
      <c r="G172" s="153"/>
      <c r="H172" s="153"/>
      <c r="I172" s="153"/>
      <c r="J172" s="154">
        <v>0</v>
      </c>
      <c r="K172" s="153">
        <f>SUM([2]!Table323[[#This Row],[Single Family ]:[&gt;4 Units ]])</f>
        <v>0</v>
      </c>
      <c r="L172" s="155"/>
      <c r="M172" s="155"/>
      <c r="N172" s="155"/>
      <c r="O172" s="156">
        <v>0</v>
      </c>
      <c r="P172" s="100">
        <f>VLOOKUP(Table3236[[#This Row],[Census Tract]],'Population and Diversity Data'!$B$2:$K$823,10,FALSE)</f>
        <v>4</v>
      </c>
      <c r="Q172" s="101" t="str">
        <f>VLOOKUP(Table3236[[#This Row],[Census Tract]],'UI EnergyBurden'!$A$2:$B$184,2,FALSE)</f>
        <v>No</v>
      </c>
    </row>
    <row r="173" spans="1:17" x14ac:dyDescent="0.2">
      <c r="A173" s="121">
        <v>9001090500</v>
      </c>
      <c r="B173" s="121" t="s">
        <v>934</v>
      </c>
      <c r="C173" s="128" t="s">
        <v>3886</v>
      </c>
      <c r="D173" s="152">
        <v>335.04116977627984</v>
      </c>
      <c r="E173" s="152">
        <v>0</v>
      </c>
      <c r="F173" s="153">
        <f>[2]!Table323[[#This Row],[Single Family]]+[2]!Table323[[#This Row],[2-4 Units]]+[2]!Table323[[#This Row],[&gt;4 Units]]</f>
        <v>0</v>
      </c>
      <c r="G173" s="153"/>
      <c r="H173" s="153"/>
      <c r="I173" s="153"/>
      <c r="J173" s="154">
        <v>0</v>
      </c>
      <c r="K173" s="153">
        <f>SUM([2]!Table323[[#This Row],[Single Family ]:[&gt;4 Units ]])</f>
        <v>0</v>
      </c>
      <c r="L173" s="155"/>
      <c r="M173" s="155"/>
      <c r="N173" s="155"/>
      <c r="O173" s="156"/>
      <c r="P173" s="100">
        <f>VLOOKUP(Table3236[[#This Row],[Census Tract]],'Population and Diversity Data'!$B$2:$K$823,10,FALSE)</f>
        <v>3</v>
      </c>
      <c r="Q173" s="101" t="str">
        <f>VLOOKUP(Table3236[[#This Row],[Census Tract]],'UI EnergyBurden'!$A$2:$B$184,2,FALSE)</f>
        <v>No</v>
      </c>
    </row>
    <row r="174" spans="1:17" x14ac:dyDescent="0.2">
      <c r="A174" s="121">
        <v>9001090500</v>
      </c>
      <c r="B174" s="121" t="s">
        <v>3005</v>
      </c>
      <c r="C174" s="128" t="s">
        <v>944</v>
      </c>
      <c r="D174" s="152">
        <v>0</v>
      </c>
      <c r="E174" s="152">
        <v>605</v>
      </c>
      <c r="F174" s="153">
        <f>[2]!Table323[[#This Row],[Single Family]]+[2]!Table323[[#This Row],[2-4 Units]]+[2]!Table323[[#This Row],[&gt;4 Units]]</f>
        <v>0</v>
      </c>
      <c r="G174" s="153"/>
      <c r="H174" s="153"/>
      <c r="I174" s="153"/>
      <c r="J174" s="154">
        <v>605</v>
      </c>
      <c r="K174" s="153">
        <f>SUM([2]!Table323[[#This Row],[Single Family ]:[&gt;4 Units ]])</f>
        <v>0</v>
      </c>
      <c r="L174" s="155"/>
      <c r="M174" s="155"/>
      <c r="N174" s="155"/>
      <c r="O174" s="156">
        <v>0</v>
      </c>
      <c r="P174" s="100">
        <f>VLOOKUP(Table3236[[#This Row],[Census Tract]],'Population and Diversity Data'!$B$2:$K$823,10,FALSE)</f>
        <v>3</v>
      </c>
      <c r="Q174" s="101" t="str">
        <f>VLOOKUP(Table3236[[#This Row],[Census Tract]],'UI EnergyBurden'!$A$2:$B$184,2,FALSE)</f>
        <v>No</v>
      </c>
    </row>
    <row r="175" spans="1:17" x14ac:dyDescent="0.2">
      <c r="A175" s="121">
        <v>9001090500</v>
      </c>
      <c r="B175" s="121" t="s">
        <v>2989</v>
      </c>
      <c r="C175" s="128" t="s">
        <v>3886</v>
      </c>
      <c r="D175" s="152">
        <v>0</v>
      </c>
      <c r="E175" s="152">
        <v>0</v>
      </c>
      <c r="F175" s="153">
        <f>[2]!Table323[[#This Row],[Single Family]]+[2]!Table323[[#This Row],[2-4 Units]]+[2]!Table323[[#This Row],[&gt;4 Units]]</f>
        <v>0</v>
      </c>
      <c r="G175" s="153"/>
      <c r="H175" s="153"/>
      <c r="I175" s="153"/>
      <c r="J175" s="154">
        <v>0</v>
      </c>
      <c r="K175" s="153">
        <f>SUM([2]!Table323[[#This Row],[Single Family ]:[&gt;4 Units ]])</f>
        <v>0</v>
      </c>
      <c r="L175" s="155"/>
      <c r="M175" s="155"/>
      <c r="N175" s="155"/>
      <c r="O175" s="156"/>
      <c r="P175" s="100">
        <f>VLOOKUP(Table3236[[#This Row],[Census Tract]],'Population and Diversity Data'!$B$2:$K$823,10,FALSE)</f>
        <v>3</v>
      </c>
      <c r="Q175" s="101" t="str">
        <f>VLOOKUP(Table3236[[#This Row],[Census Tract]],'UI EnergyBurden'!$A$2:$B$184,2,FALSE)</f>
        <v>No</v>
      </c>
    </row>
    <row r="176" spans="1:17" x14ac:dyDescent="0.2">
      <c r="A176" s="121">
        <v>9001090500</v>
      </c>
      <c r="B176" s="121" t="s">
        <v>956</v>
      </c>
      <c r="C176" s="128" t="s">
        <v>3886</v>
      </c>
      <c r="D176" s="152">
        <v>116.30321816959766</v>
      </c>
      <c r="E176" s="152">
        <v>0</v>
      </c>
      <c r="F176" s="153">
        <f>[2]!Table323[[#This Row],[Single Family]]+[2]!Table323[[#This Row],[2-4 Units]]+[2]!Table323[[#This Row],[&gt;4 Units]]</f>
        <v>0</v>
      </c>
      <c r="G176" s="153"/>
      <c r="H176" s="153"/>
      <c r="I176" s="153"/>
      <c r="J176" s="154">
        <v>0</v>
      </c>
      <c r="K176" s="153">
        <f>SUM([2]!Table323[[#This Row],[Single Family ]:[&gt;4 Units ]])</f>
        <v>0</v>
      </c>
      <c r="L176" s="155"/>
      <c r="M176" s="155"/>
      <c r="N176" s="155"/>
      <c r="O176" s="156"/>
      <c r="P176" s="100">
        <f>VLOOKUP(Table3236[[#This Row],[Census Tract]],'Population and Diversity Data'!$B$2:$K$823,10,FALSE)</f>
        <v>3</v>
      </c>
      <c r="Q176" s="101" t="str">
        <f>VLOOKUP(Table3236[[#This Row],[Census Tract]],'UI EnergyBurden'!$A$2:$B$184,2,FALSE)</f>
        <v>No</v>
      </c>
    </row>
    <row r="177" spans="1:17" x14ac:dyDescent="0.2">
      <c r="A177" s="121">
        <v>9001090500</v>
      </c>
      <c r="B177" s="121" t="s">
        <v>2984</v>
      </c>
      <c r="C177" s="128" t="s">
        <v>3886</v>
      </c>
      <c r="D177" s="152">
        <v>73956.746456768247</v>
      </c>
      <c r="E177" s="152">
        <v>136646.46</v>
      </c>
      <c r="F177" s="153">
        <f>[2]!Table323[[#This Row],[Single Family]]+[2]!Table323[[#This Row],[2-4 Units]]+[2]!Table323[[#This Row],[&gt;4 Units]]</f>
        <v>44</v>
      </c>
      <c r="G177" s="153">
        <v>44</v>
      </c>
      <c r="H177" s="153">
        <v>0</v>
      </c>
      <c r="I177" s="153">
        <v>0</v>
      </c>
      <c r="J177" s="154">
        <v>68836.319999999992</v>
      </c>
      <c r="K177" s="153">
        <f>SUM([2]!Table323[[#This Row],[Single Family ]:[&gt;4 Units ]])</f>
        <v>6</v>
      </c>
      <c r="L177" s="155">
        <v>6</v>
      </c>
      <c r="M177" s="155">
        <v>0</v>
      </c>
      <c r="N177" s="155">
        <v>0</v>
      </c>
      <c r="O177" s="156">
        <v>67810.14</v>
      </c>
      <c r="P177" s="100">
        <f>VLOOKUP(Table3236[[#This Row],[Census Tract]],'Population and Diversity Data'!$B$2:$K$823,10,FALSE)</f>
        <v>3</v>
      </c>
      <c r="Q177" s="101" t="str">
        <f>VLOOKUP(Table3236[[#This Row],[Census Tract]],'UI EnergyBurden'!$A$2:$B$184,2,FALSE)</f>
        <v>No</v>
      </c>
    </row>
    <row r="178" spans="1:17" x14ac:dyDescent="0.2">
      <c r="A178" s="121">
        <v>9001090500</v>
      </c>
      <c r="B178" s="121" t="s">
        <v>2984</v>
      </c>
      <c r="C178" s="128" t="s">
        <v>3886</v>
      </c>
      <c r="D178" s="152">
        <v>0</v>
      </c>
      <c r="E178" s="152">
        <v>0</v>
      </c>
      <c r="F178" s="153">
        <f>[2]!Table323[[#This Row],[Single Family]]+[2]!Table323[[#This Row],[2-4 Units]]+[2]!Table323[[#This Row],[&gt;4 Units]]</f>
        <v>0</v>
      </c>
      <c r="G178" s="153"/>
      <c r="H178" s="153"/>
      <c r="I178" s="153"/>
      <c r="J178" s="154">
        <v>0</v>
      </c>
      <c r="K178" s="153">
        <f>SUM([2]!Table323[[#This Row],[Single Family ]:[&gt;4 Units ]])</f>
        <v>0</v>
      </c>
      <c r="L178" s="155"/>
      <c r="M178" s="155"/>
      <c r="N178" s="155"/>
      <c r="O178" s="156">
        <v>0</v>
      </c>
      <c r="P178" s="100">
        <f>VLOOKUP(Table3236[[#This Row],[Census Tract]],'Population and Diversity Data'!$B$2:$K$823,10,FALSE)</f>
        <v>3</v>
      </c>
      <c r="Q178" s="101" t="str">
        <f>VLOOKUP(Table3236[[#This Row],[Census Tract]],'UI EnergyBurden'!$A$2:$B$184,2,FALSE)</f>
        <v>No</v>
      </c>
    </row>
    <row r="179" spans="1:17" x14ac:dyDescent="0.2">
      <c r="A179" s="121">
        <v>9001090600</v>
      </c>
      <c r="B179" s="121" t="s">
        <v>2989</v>
      </c>
      <c r="C179" s="128" t="s">
        <v>3886</v>
      </c>
      <c r="D179" s="152">
        <v>39.186317712906671</v>
      </c>
      <c r="E179" s="152">
        <v>0</v>
      </c>
      <c r="F179" s="153">
        <f>[2]!Table323[[#This Row],[Single Family]]+[2]!Table323[[#This Row],[2-4 Units]]+[2]!Table323[[#This Row],[&gt;4 Units]]</f>
        <v>0</v>
      </c>
      <c r="G179" s="153"/>
      <c r="H179" s="153"/>
      <c r="I179" s="153"/>
      <c r="J179" s="154">
        <v>0</v>
      </c>
      <c r="K179" s="153">
        <f>SUM([2]!Table323[[#This Row],[Single Family ]:[&gt;4 Units ]])</f>
        <v>0</v>
      </c>
      <c r="L179" s="155"/>
      <c r="M179" s="155"/>
      <c r="N179" s="155"/>
      <c r="O179" s="156"/>
      <c r="P179" s="100">
        <f>VLOOKUP(Table3236[[#This Row],[Census Tract]],'Population and Diversity Data'!$B$2:$K$823,10,FALSE)</f>
        <v>2</v>
      </c>
      <c r="Q179" s="101" t="str">
        <f>VLOOKUP(Table3236[[#This Row],[Census Tract]],'UI EnergyBurden'!$A$2:$B$184,2,FALSE)</f>
        <v>No</v>
      </c>
    </row>
    <row r="180" spans="1:17" x14ac:dyDescent="0.2">
      <c r="A180" s="121">
        <v>9001090600</v>
      </c>
      <c r="B180" s="121" t="s">
        <v>2984</v>
      </c>
      <c r="C180" s="128" t="s">
        <v>3886</v>
      </c>
      <c r="D180" s="152">
        <v>63026.302984841648</v>
      </c>
      <c r="E180" s="152">
        <v>149705.74000000002</v>
      </c>
      <c r="F180" s="153">
        <f>[2]!Table323[[#This Row],[Single Family]]+[2]!Table323[[#This Row],[2-4 Units]]+[2]!Table323[[#This Row],[&gt;4 Units]]</f>
        <v>32</v>
      </c>
      <c r="G180" s="153">
        <v>31</v>
      </c>
      <c r="H180" s="153">
        <v>0</v>
      </c>
      <c r="I180" s="153">
        <v>1</v>
      </c>
      <c r="J180" s="154">
        <v>57975.579999999994</v>
      </c>
      <c r="K180" s="153">
        <f>SUM([2]!Table323[[#This Row],[Single Family ]:[&gt;4 Units ]])</f>
        <v>5</v>
      </c>
      <c r="L180" s="155">
        <v>4</v>
      </c>
      <c r="M180" s="155">
        <v>0</v>
      </c>
      <c r="N180" s="155">
        <v>1</v>
      </c>
      <c r="O180" s="156">
        <v>91730.16</v>
      </c>
      <c r="P180" s="100">
        <f>VLOOKUP(Table3236[[#This Row],[Census Tract]],'Population and Diversity Data'!$B$2:$K$823,10,FALSE)</f>
        <v>2</v>
      </c>
      <c r="Q180" s="101" t="str">
        <f>VLOOKUP(Table3236[[#This Row],[Census Tract]],'UI EnergyBurden'!$A$2:$B$184,2,FALSE)</f>
        <v>No</v>
      </c>
    </row>
    <row r="181" spans="1:17" x14ac:dyDescent="0.2">
      <c r="A181" s="121">
        <v>9001090600</v>
      </c>
      <c r="B181" s="121" t="s">
        <v>2984</v>
      </c>
      <c r="C181" s="128" t="s">
        <v>3886</v>
      </c>
      <c r="D181" s="152">
        <v>0</v>
      </c>
      <c r="E181" s="152">
        <v>0</v>
      </c>
      <c r="F181" s="153">
        <f>[2]!Table323[[#This Row],[Single Family]]+[2]!Table323[[#This Row],[2-4 Units]]+[2]!Table323[[#This Row],[&gt;4 Units]]</f>
        <v>0</v>
      </c>
      <c r="G181" s="153"/>
      <c r="H181" s="153"/>
      <c r="I181" s="153"/>
      <c r="J181" s="154">
        <v>0</v>
      </c>
      <c r="K181" s="153">
        <f>SUM([2]!Table323[[#This Row],[Single Family ]:[&gt;4 Units ]])</f>
        <v>0</v>
      </c>
      <c r="L181" s="155"/>
      <c r="M181" s="155"/>
      <c r="N181" s="155"/>
      <c r="O181" s="156">
        <v>0</v>
      </c>
      <c r="P181" s="100">
        <f>VLOOKUP(Table3236[[#This Row],[Census Tract]],'Population and Diversity Data'!$B$2:$K$823,10,FALSE)</f>
        <v>2</v>
      </c>
      <c r="Q181" s="101" t="str">
        <f>VLOOKUP(Table3236[[#This Row],[Census Tract]],'UI EnergyBurden'!$A$2:$B$184,2,FALSE)</f>
        <v>No</v>
      </c>
    </row>
    <row r="182" spans="1:17" x14ac:dyDescent="0.2">
      <c r="A182" s="121">
        <v>9001090700</v>
      </c>
      <c r="B182" s="121" t="s">
        <v>934</v>
      </c>
      <c r="C182" s="128" t="s">
        <v>3886</v>
      </c>
      <c r="D182" s="152">
        <v>0</v>
      </c>
      <c r="E182" s="152">
        <v>0</v>
      </c>
      <c r="F182" s="153">
        <f>[2]!Table323[[#This Row],[Single Family]]+[2]!Table323[[#This Row],[2-4 Units]]+[2]!Table323[[#This Row],[&gt;4 Units]]</f>
        <v>0</v>
      </c>
      <c r="G182" s="153"/>
      <c r="H182" s="153"/>
      <c r="I182" s="153"/>
      <c r="J182" s="154">
        <v>0</v>
      </c>
      <c r="K182" s="153">
        <f>SUM([2]!Table323[[#This Row],[Single Family ]:[&gt;4 Units ]])</f>
        <v>0</v>
      </c>
      <c r="L182" s="155"/>
      <c r="M182" s="155"/>
      <c r="N182" s="155"/>
      <c r="O182" s="156"/>
      <c r="P182" s="100">
        <f>VLOOKUP(Table3236[[#This Row],[Census Tract]],'Population and Diversity Data'!$B$2:$K$823,10,FALSE)</f>
        <v>3</v>
      </c>
      <c r="Q182" s="101" t="str">
        <f>VLOOKUP(Table3236[[#This Row],[Census Tract]],'UI EnergyBurden'!$A$2:$B$184,2,FALSE)</f>
        <v>No</v>
      </c>
    </row>
    <row r="183" spans="1:17" x14ac:dyDescent="0.2">
      <c r="A183" s="121">
        <v>9001090700</v>
      </c>
      <c r="B183" s="121" t="s">
        <v>2989</v>
      </c>
      <c r="C183" s="128" t="s">
        <v>3886</v>
      </c>
      <c r="D183" s="152">
        <v>326.23255830170086</v>
      </c>
      <c r="E183" s="152">
        <v>0</v>
      </c>
      <c r="F183" s="153">
        <f>[2]!Table323[[#This Row],[Single Family]]+[2]!Table323[[#This Row],[2-4 Units]]+[2]!Table323[[#This Row],[&gt;4 Units]]</f>
        <v>0</v>
      </c>
      <c r="G183" s="153"/>
      <c r="H183" s="153"/>
      <c r="I183" s="153"/>
      <c r="J183" s="154">
        <v>0</v>
      </c>
      <c r="K183" s="153">
        <f>SUM([2]!Table323[[#This Row],[Single Family ]:[&gt;4 Units ]])</f>
        <v>0</v>
      </c>
      <c r="L183" s="155"/>
      <c r="M183" s="155"/>
      <c r="N183" s="155"/>
      <c r="O183" s="156"/>
      <c r="P183" s="100">
        <f>VLOOKUP(Table3236[[#This Row],[Census Tract]],'Population and Diversity Data'!$B$2:$K$823,10,FALSE)</f>
        <v>3</v>
      </c>
      <c r="Q183" s="101" t="str">
        <f>VLOOKUP(Table3236[[#This Row],[Census Tract]],'UI EnergyBurden'!$A$2:$B$184,2,FALSE)</f>
        <v>No</v>
      </c>
    </row>
    <row r="184" spans="1:17" x14ac:dyDescent="0.2">
      <c r="A184" s="121">
        <v>9001090700</v>
      </c>
      <c r="B184" s="121" t="s">
        <v>2984</v>
      </c>
      <c r="C184" s="128" t="s">
        <v>3886</v>
      </c>
      <c r="D184" s="152">
        <v>92919.858759155235</v>
      </c>
      <c r="E184" s="152">
        <v>164257.07999999999</v>
      </c>
      <c r="F184" s="153">
        <f>[2]!Table323[[#This Row],[Single Family]]+[2]!Table323[[#This Row],[2-4 Units]]+[2]!Table323[[#This Row],[&gt;4 Units]]</f>
        <v>72</v>
      </c>
      <c r="G184" s="153">
        <v>72</v>
      </c>
      <c r="H184" s="153">
        <v>0</v>
      </c>
      <c r="I184" s="153">
        <v>0</v>
      </c>
      <c r="J184" s="154">
        <v>139801.38</v>
      </c>
      <c r="K184" s="153">
        <f>SUM([2]!Table323[[#This Row],[Single Family ]:[&gt;4 Units ]])</f>
        <v>2</v>
      </c>
      <c r="L184" s="155">
        <v>2</v>
      </c>
      <c r="M184" s="155">
        <v>0</v>
      </c>
      <c r="N184" s="155">
        <v>0</v>
      </c>
      <c r="O184" s="156">
        <v>24455.7</v>
      </c>
      <c r="P184" s="100">
        <f>VLOOKUP(Table3236[[#This Row],[Census Tract]],'Population and Diversity Data'!$B$2:$K$823,10,FALSE)</f>
        <v>3</v>
      </c>
      <c r="Q184" s="101" t="str">
        <f>VLOOKUP(Table3236[[#This Row],[Census Tract]],'UI EnergyBurden'!$A$2:$B$184,2,FALSE)</f>
        <v>No</v>
      </c>
    </row>
    <row r="185" spans="1:17" x14ac:dyDescent="0.2">
      <c r="A185" s="121">
        <v>9001090700</v>
      </c>
      <c r="B185" s="121" t="s">
        <v>2984</v>
      </c>
      <c r="C185" s="128" t="s">
        <v>3886</v>
      </c>
      <c r="D185" s="152">
        <v>1507.9899643901786</v>
      </c>
      <c r="E185" s="152">
        <v>4500</v>
      </c>
      <c r="F185" s="153">
        <f>[2]!Table323[[#This Row],[Single Family]]+[2]!Table323[[#This Row],[2-4 Units]]+[2]!Table323[[#This Row],[&gt;4 Units]]</f>
        <v>0</v>
      </c>
      <c r="G185" s="153"/>
      <c r="H185" s="153"/>
      <c r="I185" s="153"/>
      <c r="J185" s="154">
        <v>4500</v>
      </c>
      <c r="K185" s="153">
        <f>SUM([2]!Table323[[#This Row],[Single Family ]:[&gt;4 Units ]])</f>
        <v>0</v>
      </c>
      <c r="L185" s="155"/>
      <c r="M185" s="155"/>
      <c r="N185" s="155"/>
      <c r="O185" s="156">
        <v>0</v>
      </c>
      <c r="P185" s="100">
        <f>VLOOKUP(Table3236[[#This Row],[Census Tract]],'Population and Diversity Data'!$B$2:$K$823,10,FALSE)</f>
        <v>3</v>
      </c>
      <c r="Q185" s="101" t="str">
        <f>VLOOKUP(Table3236[[#This Row],[Census Tract]],'UI EnergyBurden'!$A$2:$B$184,2,FALSE)</f>
        <v>No</v>
      </c>
    </row>
    <row r="186" spans="1:17" x14ac:dyDescent="0.2">
      <c r="A186" s="121">
        <v>9001100100</v>
      </c>
      <c r="B186" s="121" t="s">
        <v>2989</v>
      </c>
      <c r="C186" s="128" t="s">
        <v>944</v>
      </c>
      <c r="D186" s="152">
        <v>233.10503698869979</v>
      </c>
      <c r="E186" s="152">
        <v>0</v>
      </c>
      <c r="F186" s="153">
        <f>[2]!Table323[[#This Row],[Single Family]]+[2]!Table323[[#This Row],[2-4 Units]]+[2]!Table323[[#This Row],[&gt;4 Units]]</f>
        <v>0</v>
      </c>
      <c r="G186" s="153"/>
      <c r="H186" s="153"/>
      <c r="I186" s="153"/>
      <c r="J186" s="154">
        <v>0</v>
      </c>
      <c r="K186" s="153">
        <f>SUM([2]!Table323[[#This Row],[Single Family ]:[&gt;4 Units ]])</f>
        <v>0</v>
      </c>
      <c r="L186" s="155"/>
      <c r="M186" s="155"/>
      <c r="N186" s="155"/>
      <c r="O186" s="156"/>
      <c r="P186" s="100">
        <f>VLOOKUP(Table3236[[#This Row],[Census Tract]],'Population and Diversity Data'!$B$2:$K$823,10,FALSE)</f>
        <v>3</v>
      </c>
      <c r="Q186" s="101" t="str">
        <f>VLOOKUP(Table3236[[#This Row],[Census Tract]],'UI EnergyBurden'!$A$2:$B$184,2,FALSE)</f>
        <v>No</v>
      </c>
    </row>
    <row r="187" spans="1:17" x14ac:dyDescent="0.2">
      <c r="A187" s="121">
        <v>9001100100</v>
      </c>
      <c r="B187" s="121" t="s">
        <v>2984</v>
      </c>
      <c r="C187" s="128" t="s">
        <v>944</v>
      </c>
      <c r="D187" s="152">
        <v>51.194283355139277</v>
      </c>
      <c r="E187" s="152">
        <v>0</v>
      </c>
      <c r="F187" s="153">
        <f>[2]!Table323[[#This Row],[Single Family]]+[2]!Table323[[#This Row],[2-4 Units]]+[2]!Table323[[#This Row],[&gt;4 Units]]</f>
        <v>0</v>
      </c>
      <c r="G187" s="153"/>
      <c r="H187" s="153"/>
      <c r="I187" s="153"/>
      <c r="J187" s="154">
        <v>0</v>
      </c>
      <c r="K187" s="153">
        <f>SUM([2]!Table323[[#This Row],[Single Family ]:[&gt;4 Units ]])</f>
        <v>0</v>
      </c>
      <c r="L187" s="155"/>
      <c r="M187" s="155"/>
      <c r="N187" s="155"/>
      <c r="O187" s="156"/>
      <c r="P187" s="100">
        <f>VLOOKUP(Table3236[[#This Row],[Census Tract]],'Population and Diversity Data'!$B$2:$K$823,10,FALSE)</f>
        <v>3</v>
      </c>
      <c r="Q187" s="101" t="str">
        <f>VLOOKUP(Table3236[[#This Row],[Census Tract]],'UI EnergyBurden'!$A$2:$B$184,2,FALSE)</f>
        <v>No</v>
      </c>
    </row>
    <row r="188" spans="1:17" x14ac:dyDescent="0.2">
      <c r="A188" s="121">
        <v>9001100200</v>
      </c>
      <c r="B188" s="121" t="s">
        <v>2989</v>
      </c>
      <c r="C188" s="128" t="s">
        <v>944</v>
      </c>
      <c r="D188" s="152">
        <v>463.14921999016377</v>
      </c>
      <c r="E188" s="152">
        <v>0</v>
      </c>
      <c r="F188" s="153">
        <f>[2]!Table323[[#This Row],[Single Family]]+[2]!Table323[[#This Row],[2-4 Units]]+[2]!Table323[[#This Row],[&gt;4 Units]]</f>
        <v>0</v>
      </c>
      <c r="G188" s="153"/>
      <c r="H188" s="153"/>
      <c r="I188" s="153"/>
      <c r="J188" s="154">
        <v>0</v>
      </c>
      <c r="K188" s="153">
        <f>SUM([2]!Table323[[#This Row],[Single Family ]:[&gt;4 Units ]])</f>
        <v>0</v>
      </c>
      <c r="L188" s="155"/>
      <c r="M188" s="155"/>
      <c r="N188" s="155"/>
      <c r="O188" s="156"/>
      <c r="P188" s="100">
        <f>VLOOKUP(Table3236[[#This Row],[Census Tract]],'Population and Diversity Data'!$B$2:$K$823,10,FALSE)</f>
        <v>4</v>
      </c>
      <c r="Q188" s="101" t="str">
        <f>VLOOKUP(Table3236[[#This Row],[Census Tract]],'UI EnergyBurden'!$A$2:$B$184,2,FALSE)</f>
        <v>No</v>
      </c>
    </row>
    <row r="189" spans="1:17" x14ac:dyDescent="0.2">
      <c r="A189" s="121">
        <v>9001105100</v>
      </c>
      <c r="B189" s="121" t="s">
        <v>2982</v>
      </c>
      <c r="C189" s="128" t="s">
        <v>3886</v>
      </c>
      <c r="D189" s="152">
        <v>91277.403586269967</v>
      </c>
      <c r="E189" s="152">
        <v>47999.200000000012</v>
      </c>
      <c r="F189" s="153">
        <f>[2]!Table323[[#This Row],[Single Family]]+[2]!Table323[[#This Row],[2-4 Units]]+[2]!Table323[[#This Row],[&gt;4 Units]]</f>
        <v>32</v>
      </c>
      <c r="G189" s="153">
        <v>32</v>
      </c>
      <c r="H189" s="153">
        <v>0</v>
      </c>
      <c r="I189" s="153">
        <v>0</v>
      </c>
      <c r="J189" s="154">
        <v>47999.200000000012</v>
      </c>
      <c r="K189" s="153">
        <f>SUM([2]!Table323[[#This Row],[Single Family ]:[&gt;4 Units ]])</f>
        <v>0</v>
      </c>
      <c r="L189" s="155"/>
      <c r="M189" s="155"/>
      <c r="N189" s="155"/>
      <c r="O189" s="156">
        <v>0</v>
      </c>
      <c r="P189" s="100">
        <f>VLOOKUP(Table3236[[#This Row],[Census Tract]],'Population and Diversity Data'!$B$2:$K$823,10,FALSE)</f>
        <v>1</v>
      </c>
      <c r="Q189" s="101" t="str">
        <f>VLOOKUP(Table3236[[#This Row],[Census Tract]],'UI EnergyBurden'!$A$2:$B$184,2,FALSE)</f>
        <v>No</v>
      </c>
    </row>
    <row r="190" spans="1:17" x14ac:dyDescent="0.2">
      <c r="A190" s="121">
        <v>9001105100</v>
      </c>
      <c r="B190" s="121" t="s">
        <v>2983</v>
      </c>
      <c r="C190" s="128" t="s">
        <v>3886</v>
      </c>
      <c r="D190" s="152">
        <v>95.842124849192103</v>
      </c>
      <c r="E190" s="152">
        <v>0</v>
      </c>
      <c r="F190" s="153">
        <f>[2]!Table323[[#This Row],[Single Family]]+[2]!Table323[[#This Row],[2-4 Units]]+[2]!Table323[[#This Row],[&gt;4 Units]]</f>
        <v>0</v>
      </c>
      <c r="G190" s="153"/>
      <c r="H190" s="153"/>
      <c r="I190" s="153"/>
      <c r="J190" s="154">
        <v>0</v>
      </c>
      <c r="K190" s="153">
        <f>SUM([2]!Table323[[#This Row],[Single Family ]:[&gt;4 Units ]])</f>
        <v>0</v>
      </c>
      <c r="L190" s="155"/>
      <c r="M190" s="155"/>
      <c r="N190" s="155"/>
      <c r="O190" s="156"/>
      <c r="P190" s="100">
        <f>VLOOKUP(Table3236[[#This Row],[Census Tract]],'Population and Diversity Data'!$B$2:$K$823,10,FALSE)</f>
        <v>1</v>
      </c>
      <c r="Q190" s="101" t="str">
        <f>VLOOKUP(Table3236[[#This Row],[Census Tract]],'UI EnergyBurden'!$A$2:$B$184,2,FALSE)</f>
        <v>No</v>
      </c>
    </row>
    <row r="191" spans="1:17" x14ac:dyDescent="0.2">
      <c r="A191" s="121">
        <v>9001105100</v>
      </c>
      <c r="B191" s="121" t="s">
        <v>2984</v>
      </c>
      <c r="C191" s="128" t="s">
        <v>3886</v>
      </c>
      <c r="D191" s="152">
        <v>340.90896075331852</v>
      </c>
      <c r="E191" s="152">
        <v>0</v>
      </c>
      <c r="F191" s="153">
        <f>[2]!Table323[[#This Row],[Single Family]]+[2]!Table323[[#This Row],[2-4 Units]]+[2]!Table323[[#This Row],[&gt;4 Units]]</f>
        <v>0</v>
      </c>
      <c r="G191" s="153"/>
      <c r="H191" s="153"/>
      <c r="I191" s="153"/>
      <c r="J191" s="154">
        <v>0</v>
      </c>
      <c r="K191" s="153">
        <f>SUM([2]!Table323[[#This Row],[Single Family ]:[&gt;4 Units ]])</f>
        <v>0</v>
      </c>
      <c r="L191" s="155"/>
      <c r="M191" s="155"/>
      <c r="N191" s="155"/>
      <c r="O191" s="156"/>
      <c r="P191" s="100">
        <f>VLOOKUP(Table3236[[#This Row],[Census Tract]],'Population and Diversity Data'!$B$2:$K$823,10,FALSE)</f>
        <v>1</v>
      </c>
      <c r="Q191" s="101" t="str">
        <f>VLOOKUP(Table3236[[#This Row],[Census Tract]],'UI EnergyBurden'!$A$2:$B$184,2,FALSE)</f>
        <v>No</v>
      </c>
    </row>
    <row r="192" spans="1:17" x14ac:dyDescent="0.2">
      <c r="A192" s="121">
        <v>9001105100</v>
      </c>
      <c r="B192" s="121" t="s">
        <v>2982</v>
      </c>
      <c r="C192" s="128" t="s">
        <v>3886</v>
      </c>
      <c r="D192" s="152">
        <v>0</v>
      </c>
      <c r="E192" s="152">
        <v>0</v>
      </c>
      <c r="F192" s="153">
        <f>[2]!Table323[[#This Row],[Single Family]]+[2]!Table323[[#This Row],[2-4 Units]]+[2]!Table323[[#This Row],[&gt;4 Units]]</f>
        <v>0</v>
      </c>
      <c r="G192" s="153"/>
      <c r="H192" s="153"/>
      <c r="I192" s="153"/>
      <c r="J192" s="154">
        <v>0</v>
      </c>
      <c r="K192" s="153">
        <f>SUM([2]!Table323[[#This Row],[Single Family ]:[&gt;4 Units ]])</f>
        <v>0</v>
      </c>
      <c r="L192" s="155"/>
      <c r="M192" s="155"/>
      <c r="N192" s="155"/>
      <c r="O192" s="156">
        <v>0</v>
      </c>
      <c r="P192" s="100">
        <f>VLOOKUP(Table3236[[#This Row],[Census Tract]],'Population and Diversity Data'!$B$2:$K$823,10,FALSE)</f>
        <v>1</v>
      </c>
      <c r="Q192" s="101" t="str">
        <f>VLOOKUP(Table3236[[#This Row],[Census Tract]],'UI EnergyBurden'!$A$2:$B$184,2,FALSE)</f>
        <v>No</v>
      </c>
    </row>
    <row r="193" spans="1:17" x14ac:dyDescent="0.2">
      <c r="A193" s="121">
        <v>9001105200</v>
      </c>
      <c r="B193" s="121" t="s">
        <v>2982</v>
      </c>
      <c r="C193" s="128" t="s">
        <v>3886</v>
      </c>
      <c r="D193" s="152">
        <v>81860.277719006815</v>
      </c>
      <c r="E193" s="152">
        <v>105440.02999999998</v>
      </c>
      <c r="F193" s="153">
        <f>[2]!Table323[[#This Row],[Single Family]]+[2]!Table323[[#This Row],[2-4 Units]]+[2]!Table323[[#This Row],[&gt;4 Units]]</f>
        <v>33</v>
      </c>
      <c r="G193" s="153">
        <v>33</v>
      </c>
      <c r="H193" s="153">
        <v>0</v>
      </c>
      <c r="I193" s="153">
        <v>0</v>
      </c>
      <c r="J193" s="154">
        <v>104108.71</v>
      </c>
      <c r="K193" s="153">
        <f>SUM([2]!Table323[[#This Row],[Single Family ]:[&gt;4 Units ]])</f>
        <v>1</v>
      </c>
      <c r="L193" s="155">
        <v>1</v>
      </c>
      <c r="M193" s="155">
        <v>0</v>
      </c>
      <c r="N193" s="155">
        <v>0</v>
      </c>
      <c r="O193" s="156">
        <v>1331.32</v>
      </c>
      <c r="P193" s="100">
        <f>VLOOKUP(Table3236[[#This Row],[Census Tract]],'Population and Diversity Data'!$B$2:$K$823,10,FALSE)</f>
        <v>3</v>
      </c>
      <c r="Q193" s="101" t="str">
        <f>VLOOKUP(Table3236[[#This Row],[Census Tract]],'UI EnergyBurden'!$A$2:$B$184,2,FALSE)</f>
        <v>No</v>
      </c>
    </row>
    <row r="194" spans="1:17" x14ac:dyDescent="0.2">
      <c r="A194" s="121">
        <v>9001105200</v>
      </c>
      <c r="B194" s="121" t="s">
        <v>2984</v>
      </c>
      <c r="C194" s="128" t="s">
        <v>3886</v>
      </c>
      <c r="D194" s="152">
        <v>62.052697499903232</v>
      </c>
      <c r="E194" s="152">
        <v>0</v>
      </c>
      <c r="F194" s="153">
        <f>[2]!Table323[[#This Row],[Single Family]]+[2]!Table323[[#This Row],[2-4 Units]]+[2]!Table323[[#This Row],[&gt;4 Units]]</f>
        <v>0</v>
      </c>
      <c r="G194" s="153"/>
      <c r="H194" s="153"/>
      <c r="I194" s="153"/>
      <c r="J194" s="154">
        <v>0</v>
      </c>
      <c r="K194" s="153">
        <f>SUM([2]!Table323[[#This Row],[Single Family ]:[&gt;4 Units ]])</f>
        <v>0</v>
      </c>
      <c r="L194" s="155"/>
      <c r="M194" s="155"/>
      <c r="N194" s="155"/>
      <c r="O194" s="156"/>
      <c r="P194" s="100">
        <f>VLOOKUP(Table3236[[#This Row],[Census Tract]],'Population and Diversity Data'!$B$2:$K$823,10,FALSE)</f>
        <v>3</v>
      </c>
      <c r="Q194" s="101" t="str">
        <f>VLOOKUP(Table3236[[#This Row],[Census Tract]],'UI EnergyBurden'!$A$2:$B$184,2,FALSE)</f>
        <v>No</v>
      </c>
    </row>
    <row r="195" spans="1:17" x14ac:dyDescent="0.2">
      <c r="A195" s="121">
        <v>9001105200</v>
      </c>
      <c r="B195" s="121" t="s">
        <v>2982</v>
      </c>
      <c r="C195" s="128" t="s">
        <v>3886</v>
      </c>
      <c r="D195" s="152">
        <v>0</v>
      </c>
      <c r="E195" s="152">
        <v>0</v>
      </c>
      <c r="F195" s="153">
        <f>[2]!Table323[[#This Row],[Single Family]]+[2]!Table323[[#This Row],[2-4 Units]]+[2]!Table323[[#This Row],[&gt;4 Units]]</f>
        <v>0</v>
      </c>
      <c r="G195" s="153"/>
      <c r="H195" s="153"/>
      <c r="I195" s="153"/>
      <c r="J195" s="154">
        <v>0</v>
      </c>
      <c r="K195" s="153">
        <f>SUM([2]!Table323[[#This Row],[Single Family ]:[&gt;4 Units ]])</f>
        <v>0</v>
      </c>
      <c r="L195" s="155"/>
      <c r="M195" s="155"/>
      <c r="N195" s="155"/>
      <c r="O195" s="156">
        <v>0</v>
      </c>
      <c r="P195" s="100">
        <f>VLOOKUP(Table3236[[#This Row],[Census Tract]],'Population and Diversity Data'!$B$2:$K$823,10,FALSE)</f>
        <v>3</v>
      </c>
      <c r="Q195" s="101" t="str">
        <f>VLOOKUP(Table3236[[#This Row],[Census Tract]],'UI EnergyBurden'!$A$2:$B$184,2,FALSE)</f>
        <v>No</v>
      </c>
    </row>
    <row r="196" spans="1:17" x14ac:dyDescent="0.2">
      <c r="A196" s="121">
        <v>9001110100</v>
      </c>
      <c r="B196" s="121" t="s">
        <v>2989</v>
      </c>
      <c r="C196" s="128" t="s">
        <v>3886</v>
      </c>
      <c r="D196" s="152">
        <v>40533.075000599718</v>
      </c>
      <c r="E196" s="152">
        <v>215606.02000000002</v>
      </c>
      <c r="F196" s="153">
        <f>[2]!Table323[[#This Row],[Single Family]]+[2]!Table323[[#This Row],[2-4 Units]]+[2]!Table323[[#This Row],[&gt;4 Units]]</f>
        <v>6</v>
      </c>
      <c r="G196" s="153">
        <v>3</v>
      </c>
      <c r="H196" s="153">
        <v>1</v>
      </c>
      <c r="I196" s="153">
        <v>2</v>
      </c>
      <c r="J196" s="154">
        <v>215606.02000000002</v>
      </c>
      <c r="K196" s="153">
        <f>SUM([2]!Table323[[#This Row],[Single Family ]:[&gt;4 Units ]])</f>
        <v>0</v>
      </c>
      <c r="L196" s="155"/>
      <c r="M196" s="155"/>
      <c r="N196" s="155"/>
      <c r="O196" s="156">
        <v>0</v>
      </c>
      <c r="P196" s="100">
        <f>VLOOKUP(Table3236[[#This Row],[Census Tract]],'Population and Diversity Data'!$B$2:$K$823,10,FALSE)</f>
        <v>3</v>
      </c>
      <c r="Q196" s="101" t="str">
        <f>VLOOKUP(Table3236[[#This Row],[Census Tract]],'UI EnergyBurden'!$A$2:$B$184,2,FALSE)</f>
        <v>No</v>
      </c>
    </row>
    <row r="197" spans="1:17" x14ac:dyDescent="0.2">
      <c r="A197" s="121">
        <v>9001110100</v>
      </c>
      <c r="B197" s="121" t="s">
        <v>2989</v>
      </c>
      <c r="C197" s="128" t="s">
        <v>3886</v>
      </c>
      <c r="D197" s="152">
        <v>0</v>
      </c>
      <c r="E197" s="152">
        <v>0</v>
      </c>
      <c r="F197" s="153">
        <f>[2]!Table323[[#This Row],[Single Family]]+[2]!Table323[[#This Row],[2-4 Units]]+[2]!Table323[[#This Row],[&gt;4 Units]]</f>
        <v>0</v>
      </c>
      <c r="G197" s="153"/>
      <c r="H197" s="153"/>
      <c r="I197" s="153"/>
      <c r="J197" s="154">
        <v>0</v>
      </c>
      <c r="K197" s="153">
        <f>SUM([2]!Table323[[#This Row],[Single Family ]:[&gt;4 Units ]])</f>
        <v>0</v>
      </c>
      <c r="L197" s="155"/>
      <c r="M197" s="155"/>
      <c r="N197" s="155"/>
      <c r="O197" s="156">
        <v>0</v>
      </c>
      <c r="P197" s="100">
        <f>VLOOKUP(Table3236[[#This Row],[Census Tract]],'Population and Diversity Data'!$B$2:$K$823,10,FALSE)</f>
        <v>3</v>
      </c>
      <c r="Q197" s="101" t="str">
        <f>VLOOKUP(Table3236[[#This Row],[Census Tract]],'UI EnergyBurden'!$A$2:$B$184,2,FALSE)</f>
        <v>No</v>
      </c>
    </row>
    <row r="198" spans="1:17" x14ac:dyDescent="0.2">
      <c r="A198" s="121">
        <v>9001110201</v>
      </c>
      <c r="B198" s="121" t="s">
        <v>2989</v>
      </c>
      <c r="C198" s="128" t="s">
        <v>3886</v>
      </c>
      <c r="D198" s="152">
        <v>77778.838985634866</v>
      </c>
      <c r="E198" s="152">
        <v>24135.449999999997</v>
      </c>
      <c r="F198" s="153">
        <f>[2]!Table323[[#This Row],[Single Family]]+[2]!Table323[[#This Row],[2-4 Units]]+[2]!Table323[[#This Row],[&gt;4 Units]]</f>
        <v>17</v>
      </c>
      <c r="G198" s="153">
        <v>17</v>
      </c>
      <c r="H198" s="153">
        <v>0</v>
      </c>
      <c r="I198" s="153">
        <v>0</v>
      </c>
      <c r="J198" s="154">
        <v>14778.480000000001</v>
      </c>
      <c r="K198" s="153">
        <f>SUM([2]!Table323[[#This Row],[Single Family ]:[&gt;4 Units ]])</f>
        <v>4</v>
      </c>
      <c r="L198" s="155">
        <v>3</v>
      </c>
      <c r="M198" s="155">
        <v>1</v>
      </c>
      <c r="N198" s="155">
        <v>0</v>
      </c>
      <c r="O198" s="156">
        <v>9356.9699999999975</v>
      </c>
      <c r="P198" s="100">
        <f>VLOOKUP(Table3236[[#This Row],[Census Tract]],'Population and Diversity Data'!$B$2:$K$823,10,FALSE)</f>
        <v>4</v>
      </c>
      <c r="Q198" s="101" t="str">
        <f>VLOOKUP(Table3236[[#This Row],[Census Tract]],'UI EnergyBurden'!$A$2:$B$184,2,FALSE)</f>
        <v>No</v>
      </c>
    </row>
    <row r="199" spans="1:17" x14ac:dyDescent="0.2">
      <c r="A199" s="121">
        <v>9001110201</v>
      </c>
      <c r="B199" s="121" t="s">
        <v>2989</v>
      </c>
      <c r="C199" s="128" t="s">
        <v>3886</v>
      </c>
      <c r="D199" s="152">
        <v>0</v>
      </c>
      <c r="E199" s="152">
        <v>0</v>
      </c>
      <c r="F199" s="153">
        <f>[2]!Table323[[#This Row],[Single Family]]+[2]!Table323[[#This Row],[2-4 Units]]+[2]!Table323[[#This Row],[&gt;4 Units]]</f>
        <v>0</v>
      </c>
      <c r="G199" s="153"/>
      <c r="H199" s="153"/>
      <c r="I199" s="153"/>
      <c r="J199" s="154">
        <v>0</v>
      </c>
      <c r="K199" s="153">
        <f>SUM([2]!Table323[[#This Row],[Single Family ]:[&gt;4 Units ]])</f>
        <v>0</v>
      </c>
      <c r="L199" s="155"/>
      <c r="M199" s="155"/>
      <c r="N199" s="155"/>
      <c r="O199" s="156">
        <v>0</v>
      </c>
      <c r="P199" s="100">
        <f>VLOOKUP(Table3236[[#This Row],[Census Tract]],'Population and Diversity Data'!$B$2:$K$823,10,FALSE)</f>
        <v>4</v>
      </c>
      <c r="Q199" s="101" t="str">
        <f>VLOOKUP(Table3236[[#This Row],[Census Tract]],'UI EnergyBurden'!$A$2:$B$184,2,FALSE)</f>
        <v>No</v>
      </c>
    </row>
    <row r="200" spans="1:17" x14ac:dyDescent="0.2">
      <c r="A200" s="121">
        <v>9001110202</v>
      </c>
      <c r="B200" s="121" t="s">
        <v>2989</v>
      </c>
      <c r="C200" s="128" t="s">
        <v>3886</v>
      </c>
      <c r="D200" s="152">
        <v>80784.412934193126</v>
      </c>
      <c r="E200" s="152">
        <v>75108.860000000015</v>
      </c>
      <c r="F200" s="153">
        <f>[2]!Table323[[#This Row],[Single Family]]+[2]!Table323[[#This Row],[2-4 Units]]+[2]!Table323[[#This Row],[&gt;4 Units]]</f>
        <v>23</v>
      </c>
      <c r="G200" s="153">
        <v>23</v>
      </c>
      <c r="H200" s="153">
        <v>0</v>
      </c>
      <c r="I200" s="153">
        <v>0</v>
      </c>
      <c r="J200" s="154">
        <v>74412.680000000022</v>
      </c>
      <c r="K200" s="153">
        <f>SUM([2]!Table323[[#This Row],[Single Family ]:[&gt;4 Units ]])</f>
        <v>1</v>
      </c>
      <c r="L200" s="155">
        <v>1</v>
      </c>
      <c r="M200" s="155">
        <v>0</v>
      </c>
      <c r="N200" s="155">
        <v>0</v>
      </c>
      <c r="O200" s="156">
        <v>696.18</v>
      </c>
      <c r="P200" s="100">
        <f>VLOOKUP(Table3236[[#This Row],[Census Tract]],'Population and Diversity Data'!$B$2:$K$823,10,FALSE)</f>
        <v>2</v>
      </c>
      <c r="Q200" s="101" t="str">
        <f>VLOOKUP(Table3236[[#This Row],[Census Tract]],'UI EnergyBurden'!$A$2:$B$184,2,FALSE)</f>
        <v>No</v>
      </c>
    </row>
    <row r="201" spans="1:17" x14ac:dyDescent="0.2">
      <c r="A201" s="121">
        <v>9001110202</v>
      </c>
      <c r="B201" s="121" t="s">
        <v>956</v>
      </c>
      <c r="C201" s="128" t="s">
        <v>3886</v>
      </c>
      <c r="D201" s="152">
        <v>65.409018538697183</v>
      </c>
      <c r="E201" s="152">
        <v>0</v>
      </c>
      <c r="F201" s="153">
        <f>[2]!Table323[[#This Row],[Single Family]]+[2]!Table323[[#This Row],[2-4 Units]]+[2]!Table323[[#This Row],[&gt;4 Units]]</f>
        <v>0</v>
      </c>
      <c r="G201" s="153"/>
      <c r="H201" s="153"/>
      <c r="I201" s="153"/>
      <c r="J201" s="154">
        <v>0</v>
      </c>
      <c r="K201" s="153">
        <f>SUM([2]!Table323[[#This Row],[Single Family ]:[&gt;4 Units ]])</f>
        <v>0</v>
      </c>
      <c r="L201" s="155"/>
      <c r="M201" s="155"/>
      <c r="N201" s="155"/>
      <c r="O201" s="156"/>
      <c r="P201" s="100">
        <f>VLOOKUP(Table3236[[#This Row],[Census Tract]],'Population and Diversity Data'!$B$2:$K$823,10,FALSE)</f>
        <v>2</v>
      </c>
      <c r="Q201" s="101" t="str">
        <f>VLOOKUP(Table3236[[#This Row],[Census Tract]],'UI EnergyBurden'!$A$2:$B$184,2,FALSE)</f>
        <v>No</v>
      </c>
    </row>
    <row r="202" spans="1:17" x14ac:dyDescent="0.2">
      <c r="A202" s="121">
        <v>9001110202</v>
      </c>
      <c r="B202" s="121" t="s">
        <v>2989</v>
      </c>
      <c r="C202" s="128" t="s">
        <v>3886</v>
      </c>
      <c r="D202" s="152">
        <v>4640.3100447215784</v>
      </c>
      <c r="E202" s="152">
        <v>0</v>
      </c>
      <c r="F202" s="153">
        <f>[2]!Table323[[#This Row],[Single Family]]+[2]!Table323[[#This Row],[2-4 Units]]+[2]!Table323[[#This Row],[&gt;4 Units]]</f>
        <v>0</v>
      </c>
      <c r="G202" s="153"/>
      <c r="H202" s="153"/>
      <c r="I202" s="153"/>
      <c r="J202" s="154">
        <v>0</v>
      </c>
      <c r="K202" s="153">
        <f>SUM([2]!Table323[[#This Row],[Single Family ]:[&gt;4 Units ]])</f>
        <v>0</v>
      </c>
      <c r="L202" s="155"/>
      <c r="M202" s="155"/>
      <c r="N202" s="155"/>
      <c r="O202" s="156">
        <v>0</v>
      </c>
      <c r="P202" s="100">
        <f>VLOOKUP(Table3236[[#This Row],[Census Tract]],'Population and Diversity Data'!$B$2:$K$823,10,FALSE)</f>
        <v>2</v>
      </c>
      <c r="Q202" s="101" t="str">
        <f>VLOOKUP(Table3236[[#This Row],[Census Tract]],'UI EnergyBurden'!$A$2:$B$184,2,FALSE)</f>
        <v>No</v>
      </c>
    </row>
    <row r="203" spans="1:17" x14ac:dyDescent="0.2">
      <c r="A203" s="121">
        <v>9001110301</v>
      </c>
      <c r="B203" s="121" t="s">
        <v>2989</v>
      </c>
      <c r="C203" s="128" t="s">
        <v>3886</v>
      </c>
      <c r="D203" s="152">
        <v>98318.591175172507</v>
      </c>
      <c r="E203" s="152">
        <v>50390.939999999995</v>
      </c>
      <c r="F203" s="153">
        <f>[2]!Table323[[#This Row],[Single Family]]+[2]!Table323[[#This Row],[2-4 Units]]+[2]!Table323[[#This Row],[&gt;4 Units]]</f>
        <v>34</v>
      </c>
      <c r="G203" s="153">
        <v>33</v>
      </c>
      <c r="H203" s="153">
        <v>1</v>
      </c>
      <c r="I203" s="153">
        <v>0</v>
      </c>
      <c r="J203" s="154">
        <v>48411.159999999996</v>
      </c>
      <c r="K203" s="153">
        <f>SUM([2]!Table323[[#This Row],[Single Family ]:[&gt;4 Units ]])</f>
        <v>4</v>
      </c>
      <c r="L203" s="155">
        <v>4</v>
      </c>
      <c r="M203" s="155">
        <v>0</v>
      </c>
      <c r="N203" s="155">
        <v>0</v>
      </c>
      <c r="O203" s="156">
        <v>1979.7800000000002</v>
      </c>
      <c r="P203" s="100">
        <f>VLOOKUP(Table3236[[#This Row],[Census Tract]],'Population and Diversity Data'!$B$2:$K$823,10,FALSE)</f>
        <v>3</v>
      </c>
      <c r="Q203" s="101" t="str">
        <f>VLOOKUP(Table3236[[#This Row],[Census Tract]],'UI EnergyBurden'!$A$2:$B$184,2,FALSE)</f>
        <v>No</v>
      </c>
    </row>
    <row r="204" spans="1:17" x14ac:dyDescent="0.2">
      <c r="A204" s="121">
        <v>9001110301</v>
      </c>
      <c r="B204" s="121" t="s">
        <v>2989</v>
      </c>
      <c r="C204" s="128" t="s">
        <v>3886</v>
      </c>
      <c r="D204" s="152">
        <v>351.97512516870933</v>
      </c>
      <c r="E204" s="152">
        <v>0</v>
      </c>
      <c r="F204" s="153">
        <f>[2]!Table323[[#This Row],[Single Family]]+[2]!Table323[[#This Row],[2-4 Units]]+[2]!Table323[[#This Row],[&gt;4 Units]]</f>
        <v>0</v>
      </c>
      <c r="G204" s="153"/>
      <c r="H204" s="153"/>
      <c r="I204" s="153"/>
      <c r="J204" s="154">
        <v>0</v>
      </c>
      <c r="K204" s="153">
        <f>SUM([2]!Table323[[#This Row],[Single Family ]:[&gt;4 Units ]])</f>
        <v>0</v>
      </c>
      <c r="L204" s="155"/>
      <c r="M204" s="155"/>
      <c r="N204" s="155"/>
      <c r="O204" s="156">
        <v>0</v>
      </c>
      <c r="P204" s="100">
        <f>VLOOKUP(Table3236[[#This Row],[Census Tract]],'Population and Diversity Data'!$B$2:$K$823,10,FALSE)</f>
        <v>3</v>
      </c>
      <c r="Q204" s="101" t="str">
        <f>VLOOKUP(Table3236[[#This Row],[Census Tract]],'UI EnergyBurden'!$A$2:$B$184,2,FALSE)</f>
        <v>No</v>
      </c>
    </row>
    <row r="205" spans="1:17" x14ac:dyDescent="0.2">
      <c r="A205" s="121">
        <v>9001110302</v>
      </c>
      <c r="B205" s="121" t="s">
        <v>2989</v>
      </c>
      <c r="C205" s="128" t="s">
        <v>3886</v>
      </c>
      <c r="D205" s="152">
        <v>54515.513064888044</v>
      </c>
      <c r="E205" s="152">
        <v>64532.740000000005</v>
      </c>
      <c r="F205" s="153">
        <f>[2]!Table323[[#This Row],[Single Family]]+[2]!Table323[[#This Row],[2-4 Units]]+[2]!Table323[[#This Row],[&gt;4 Units]]</f>
        <v>17</v>
      </c>
      <c r="G205" s="153">
        <v>16</v>
      </c>
      <c r="H205" s="153">
        <v>1</v>
      </c>
      <c r="I205" s="153">
        <v>0</v>
      </c>
      <c r="J205" s="154">
        <v>55180.640000000007</v>
      </c>
      <c r="K205" s="153">
        <f>SUM([2]!Table323[[#This Row],[Single Family ]:[&gt;4 Units ]])</f>
        <v>4</v>
      </c>
      <c r="L205" s="155">
        <v>4</v>
      </c>
      <c r="M205" s="155">
        <v>0</v>
      </c>
      <c r="N205" s="155">
        <v>0</v>
      </c>
      <c r="O205" s="156">
        <v>9352.1</v>
      </c>
      <c r="P205" s="100">
        <f>VLOOKUP(Table3236[[#This Row],[Census Tract]],'Population and Diversity Data'!$B$2:$K$823,10,FALSE)</f>
        <v>3</v>
      </c>
      <c r="Q205" s="101" t="str">
        <f>VLOOKUP(Table3236[[#This Row],[Census Tract]],'UI EnergyBurden'!$A$2:$B$184,2,FALSE)</f>
        <v>No</v>
      </c>
    </row>
    <row r="206" spans="1:17" x14ac:dyDescent="0.2">
      <c r="A206" s="121">
        <v>9001110302</v>
      </c>
      <c r="B206" s="121" t="s">
        <v>956</v>
      </c>
      <c r="C206" s="128" t="s">
        <v>3886</v>
      </c>
      <c r="D206" s="152">
        <v>74.74854737154476</v>
      </c>
      <c r="E206" s="152">
        <v>0</v>
      </c>
      <c r="F206" s="153">
        <f>[2]!Table323[[#This Row],[Single Family]]+[2]!Table323[[#This Row],[2-4 Units]]+[2]!Table323[[#This Row],[&gt;4 Units]]</f>
        <v>0</v>
      </c>
      <c r="G206" s="153"/>
      <c r="H206" s="153"/>
      <c r="I206" s="153"/>
      <c r="J206" s="154">
        <v>0</v>
      </c>
      <c r="K206" s="153">
        <f>SUM([2]!Table323[[#This Row],[Single Family ]:[&gt;4 Units ]])</f>
        <v>0</v>
      </c>
      <c r="L206" s="155"/>
      <c r="M206" s="155"/>
      <c r="N206" s="155"/>
      <c r="O206" s="156"/>
      <c r="P206" s="100">
        <f>VLOOKUP(Table3236[[#This Row],[Census Tract]],'Population and Diversity Data'!$B$2:$K$823,10,FALSE)</f>
        <v>3</v>
      </c>
      <c r="Q206" s="101" t="str">
        <f>VLOOKUP(Table3236[[#This Row],[Census Tract]],'UI EnergyBurden'!$A$2:$B$184,2,FALSE)</f>
        <v>No</v>
      </c>
    </row>
    <row r="207" spans="1:17" x14ac:dyDescent="0.2">
      <c r="A207" s="121">
        <v>9001110302</v>
      </c>
      <c r="B207" s="121" t="s">
        <v>2984</v>
      </c>
      <c r="C207" s="128" t="s">
        <v>3886</v>
      </c>
      <c r="D207" s="152">
        <v>115.66150066699467</v>
      </c>
      <c r="E207" s="152">
        <v>0</v>
      </c>
      <c r="F207" s="153">
        <f>[2]!Table323[[#This Row],[Single Family]]+[2]!Table323[[#This Row],[2-4 Units]]+[2]!Table323[[#This Row],[&gt;4 Units]]</f>
        <v>0</v>
      </c>
      <c r="G207" s="153"/>
      <c r="H207" s="153"/>
      <c r="I207" s="153"/>
      <c r="J207" s="154">
        <v>0</v>
      </c>
      <c r="K207" s="153">
        <f>SUM([2]!Table323[[#This Row],[Single Family ]:[&gt;4 Units ]])</f>
        <v>0</v>
      </c>
      <c r="L207" s="155"/>
      <c r="M207" s="155"/>
      <c r="N207" s="155"/>
      <c r="O207" s="156"/>
      <c r="P207" s="100">
        <f>VLOOKUP(Table3236[[#This Row],[Census Tract]],'Population and Diversity Data'!$B$2:$K$823,10,FALSE)</f>
        <v>3</v>
      </c>
      <c r="Q207" s="101" t="str">
        <f>VLOOKUP(Table3236[[#This Row],[Census Tract]],'UI EnergyBurden'!$A$2:$B$184,2,FALSE)</f>
        <v>No</v>
      </c>
    </row>
    <row r="208" spans="1:17" x14ac:dyDescent="0.2">
      <c r="A208" s="121">
        <v>9001110302</v>
      </c>
      <c r="B208" s="121" t="s">
        <v>2989</v>
      </c>
      <c r="C208" s="128" t="s">
        <v>3886</v>
      </c>
      <c r="D208" s="152">
        <v>0</v>
      </c>
      <c r="E208" s="152">
        <v>0</v>
      </c>
      <c r="F208" s="153">
        <f>[2]!Table323[[#This Row],[Single Family]]+[2]!Table323[[#This Row],[2-4 Units]]+[2]!Table323[[#This Row],[&gt;4 Units]]</f>
        <v>0</v>
      </c>
      <c r="G208" s="153"/>
      <c r="H208" s="153"/>
      <c r="I208" s="153"/>
      <c r="J208" s="154">
        <v>0</v>
      </c>
      <c r="K208" s="153">
        <f>SUM([2]!Table323[[#This Row],[Single Family ]:[&gt;4 Units ]])</f>
        <v>0</v>
      </c>
      <c r="L208" s="155"/>
      <c r="M208" s="155"/>
      <c r="N208" s="155"/>
      <c r="O208" s="156">
        <v>0</v>
      </c>
      <c r="P208" s="100">
        <f>VLOOKUP(Table3236[[#This Row],[Census Tract]],'Population and Diversity Data'!$B$2:$K$823,10,FALSE)</f>
        <v>3</v>
      </c>
      <c r="Q208" s="101" t="str">
        <f>VLOOKUP(Table3236[[#This Row],[Census Tract]],'UI EnergyBurden'!$A$2:$B$184,2,FALSE)</f>
        <v>No</v>
      </c>
    </row>
    <row r="209" spans="1:17" x14ac:dyDescent="0.2">
      <c r="A209" s="121">
        <v>9001110400</v>
      </c>
      <c r="B209" s="121" t="s">
        <v>2989</v>
      </c>
      <c r="C209" s="128" t="s">
        <v>3886</v>
      </c>
      <c r="D209" s="152">
        <v>80588.232045303899</v>
      </c>
      <c r="E209" s="152">
        <v>145776.72000000003</v>
      </c>
      <c r="F209" s="153">
        <f>[2]!Table323[[#This Row],[Single Family]]+[2]!Table323[[#This Row],[2-4 Units]]+[2]!Table323[[#This Row],[&gt;4 Units]]</f>
        <v>39</v>
      </c>
      <c r="G209" s="153">
        <v>39</v>
      </c>
      <c r="H209" s="153">
        <v>0</v>
      </c>
      <c r="I209" s="153">
        <v>0</v>
      </c>
      <c r="J209" s="154">
        <v>93210.719999999987</v>
      </c>
      <c r="K209" s="153">
        <f>SUM([2]!Table323[[#This Row],[Single Family ]:[&gt;4 Units ]])</f>
        <v>7</v>
      </c>
      <c r="L209" s="155">
        <v>7</v>
      </c>
      <c r="M209" s="155">
        <v>0</v>
      </c>
      <c r="N209" s="155">
        <v>0</v>
      </c>
      <c r="O209" s="156">
        <v>52566</v>
      </c>
      <c r="P209" s="100">
        <f>VLOOKUP(Table3236[[#This Row],[Census Tract]],'Population and Diversity Data'!$B$2:$K$823,10,FALSE)</f>
        <v>2</v>
      </c>
      <c r="Q209" s="101" t="str">
        <f>VLOOKUP(Table3236[[#This Row],[Census Tract]],'UI EnergyBurden'!$A$2:$B$184,2,FALSE)</f>
        <v>No</v>
      </c>
    </row>
    <row r="210" spans="1:17" x14ac:dyDescent="0.2">
      <c r="A210" s="121">
        <v>9001110500</v>
      </c>
      <c r="B210" s="121" t="s">
        <v>2989</v>
      </c>
      <c r="C210" s="128" t="s">
        <v>3886</v>
      </c>
      <c r="D210" s="152">
        <v>98781.001727533891</v>
      </c>
      <c r="E210" s="152">
        <v>82446.599999999991</v>
      </c>
      <c r="F210" s="153">
        <f>[2]!Table323[[#This Row],[Single Family]]+[2]!Table323[[#This Row],[2-4 Units]]+[2]!Table323[[#This Row],[&gt;4 Units]]</f>
        <v>32</v>
      </c>
      <c r="G210" s="153">
        <v>32</v>
      </c>
      <c r="H210" s="153">
        <v>0</v>
      </c>
      <c r="I210" s="153">
        <v>0</v>
      </c>
      <c r="J210" s="154">
        <v>77899.569999999978</v>
      </c>
      <c r="K210" s="153">
        <f>SUM([2]!Table323[[#This Row],[Single Family ]:[&gt;4 Units ]])</f>
        <v>2</v>
      </c>
      <c r="L210" s="155">
        <v>2</v>
      </c>
      <c r="M210" s="155">
        <v>0</v>
      </c>
      <c r="N210" s="155">
        <v>0</v>
      </c>
      <c r="O210" s="156">
        <v>4547.03</v>
      </c>
      <c r="P210" s="100">
        <f>VLOOKUP(Table3236[[#This Row],[Census Tract]],'Population and Diversity Data'!$B$2:$K$823,10,FALSE)</f>
        <v>1</v>
      </c>
      <c r="Q210" s="101" t="str">
        <f>VLOOKUP(Table3236[[#This Row],[Census Tract]],'UI EnergyBurden'!$A$2:$B$184,2,FALSE)</f>
        <v>No</v>
      </c>
    </row>
    <row r="211" spans="1:17" x14ac:dyDescent="0.2">
      <c r="A211" s="121">
        <v>9001110500</v>
      </c>
      <c r="B211" s="121" t="s">
        <v>2984</v>
      </c>
      <c r="C211" s="128" t="s">
        <v>3886</v>
      </c>
      <c r="D211" s="152">
        <v>53.317952788213852</v>
      </c>
      <c r="E211" s="152">
        <v>0</v>
      </c>
      <c r="F211" s="153">
        <f>[2]!Table323[[#This Row],[Single Family]]+[2]!Table323[[#This Row],[2-4 Units]]+[2]!Table323[[#This Row],[&gt;4 Units]]</f>
        <v>0</v>
      </c>
      <c r="G211" s="153"/>
      <c r="H211" s="153"/>
      <c r="I211" s="153"/>
      <c r="J211" s="154">
        <v>0</v>
      </c>
      <c r="K211" s="153">
        <f>SUM([2]!Table323[[#This Row],[Single Family ]:[&gt;4 Units ]])</f>
        <v>0</v>
      </c>
      <c r="L211" s="155"/>
      <c r="M211" s="155"/>
      <c r="N211" s="155"/>
      <c r="O211" s="156"/>
      <c r="P211" s="100">
        <f>VLOOKUP(Table3236[[#This Row],[Census Tract]],'Population and Diversity Data'!$B$2:$K$823,10,FALSE)</f>
        <v>1</v>
      </c>
      <c r="Q211" s="101" t="str">
        <f>VLOOKUP(Table3236[[#This Row],[Census Tract]],'UI EnergyBurden'!$A$2:$B$184,2,FALSE)</f>
        <v>No</v>
      </c>
    </row>
    <row r="212" spans="1:17" x14ac:dyDescent="0.2">
      <c r="A212" s="121">
        <v>9001110500</v>
      </c>
      <c r="B212" s="121" t="s">
        <v>2989</v>
      </c>
      <c r="C212" s="128" t="s">
        <v>3886</v>
      </c>
      <c r="D212" s="152">
        <v>0</v>
      </c>
      <c r="E212" s="152">
        <v>0</v>
      </c>
      <c r="F212" s="153">
        <f>[2]!Table323[[#This Row],[Single Family]]+[2]!Table323[[#This Row],[2-4 Units]]+[2]!Table323[[#This Row],[&gt;4 Units]]</f>
        <v>0</v>
      </c>
      <c r="G212" s="153"/>
      <c r="H212" s="153"/>
      <c r="I212" s="153"/>
      <c r="J212" s="154">
        <v>0</v>
      </c>
      <c r="K212" s="153">
        <f>SUM([2]!Table323[[#This Row],[Single Family ]:[&gt;4 Units ]])</f>
        <v>0</v>
      </c>
      <c r="L212" s="155"/>
      <c r="M212" s="155"/>
      <c r="N212" s="155"/>
      <c r="O212" s="156"/>
      <c r="P212" s="100">
        <f>VLOOKUP(Table3236[[#This Row],[Census Tract]],'Population and Diversity Data'!$B$2:$K$823,10,FALSE)</f>
        <v>1</v>
      </c>
      <c r="Q212" s="101" t="str">
        <f>VLOOKUP(Table3236[[#This Row],[Census Tract]],'UI EnergyBurden'!$A$2:$B$184,2,FALSE)</f>
        <v>No</v>
      </c>
    </row>
    <row r="213" spans="1:17" x14ac:dyDescent="0.2">
      <c r="A213" s="121">
        <v>9001110600</v>
      </c>
      <c r="B213" s="121" t="s">
        <v>2983</v>
      </c>
      <c r="C213" s="128" t="s">
        <v>3886</v>
      </c>
      <c r="D213" s="152">
        <v>613.8835830116534</v>
      </c>
      <c r="E213" s="152">
        <v>0</v>
      </c>
      <c r="F213" s="153">
        <f>[2]!Table323[[#This Row],[Single Family]]+[2]!Table323[[#This Row],[2-4 Units]]+[2]!Table323[[#This Row],[&gt;4 Units]]</f>
        <v>0</v>
      </c>
      <c r="G213" s="153"/>
      <c r="H213" s="153"/>
      <c r="I213" s="153"/>
      <c r="J213" s="154">
        <v>0</v>
      </c>
      <c r="K213" s="153">
        <f>SUM([2]!Table323[[#This Row],[Single Family ]:[&gt;4 Units ]])</f>
        <v>0</v>
      </c>
      <c r="L213" s="155"/>
      <c r="M213" s="155"/>
      <c r="N213" s="155"/>
      <c r="O213" s="156"/>
      <c r="P213" s="100">
        <f>VLOOKUP(Table3236[[#This Row],[Census Tract]],'Population and Diversity Data'!$B$2:$K$823,10,FALSE)</f>
        <v>2</v>
      </c>
      <c r="Q213" s="101" t="str">
        <f>VLOOKUP(Table3236[[#This Row],[Census Tract]],'UI EnergyBurden'!$A$2:$B$184,2,FALSE)</f>
        <v>No</v>
      </c>
    </row>
    <row r="214" spans="1:17" x14ac:dyDescent="0.2">
      <c r="A214" s="121">
        <v>9001110600</v>
      </c>
      <c r="B214" s="121" t="s">
        <v>2989</v>
      </c>
      <c r="C214" s="128" t="s">
        <v>3886</v>
      </c>
      <c r="D214" s="152">
        <v>126960.47926899514</v>
      </c>
      <c r="E214" s="152">
        <v>83346.320000000022</v>
      </c>
      <c r="F214" s="153">
        <f>[2]!Table323[[#This Row],[Single Family]]+[2]!Table323[[#This Row],[2-4 Units]]+[2]!Table323[[#This Row],[&gt;4 Units]]</f>
        <v>44</v>
      </c>
      <c r="G214" s="153">
        <v>44</v>
      </c>
      <c r="H214" s="153">
        <v>0</v>
      </c>
      <c r="I214" s="153">
        <v>0</v>
      </c>
      <c r="J214" s="154">
        <v>81699.37000000001</v>
      </c>
      <c r="K214" s="153">
        <f>SUM([2]!Table323[[#This Row],[Single Family ]:[&gt;4 Units ]])</f>
        <v>3</v>
      </c>
      <c r="L214" s="155">
        <v>3</v>
      </c>
      <c r="M214" s="155">
        <v>0</v>
      </c>
      <c r="N214" s="155">
        <v>0</v>
      </c>
      <c r="O214" s="156">
        <v>1646.95</v>
      </c>
      <c r="P214" s="100">
        <f>VLOOKUP(Table3236[[#This Row],[Census Tract]],'Population and Diversity Data'!$B$2:$K$823,10,FALSE)</f>
        <v>2</v>
      </c>
      <c r="Q214" s="101" t="str">
        <f>VLOOKUP(Table3236[[#This Row],[Census Tract]],'UI EnergyBurden'!$A$2:$B$184,2,FALSE)</f>
        <v>No</v>
      </c>
    </row>
    <row r="215" spans="1:17" x14ac:dyDescent="0.2">
      <c r="A215" s="121">
        <v>9001110600</v>
      </c>
      <c r="B215" s="121" t="s">
        <v>2989</v>
      </c>
      <c r="C215" s="128" t="s">
        <v>3886</v>
      </c>
      <c r="D215" s="152">
        <v>0</v>
      </c>
      <c r="E215" s="152">
        <v>0</v>
      </c>
      <c r="F215" s="153">
        <f>[2]!Table323[[#This Row],[Single Family]]+[2]!Table323[[#This Row],[2-4 Units]]+[2]!Table323[[#This Row],[&gt;4 Units]]</f>
        <v>0</v>
      </c>
      <c r="G215" s="153"/>
      <c r="H215" s="153"/>
      <c r="I215" s="153"/>
      <c r="J215" s="154">
        <v>0</v>
      </c>
      <c r="K215" s="153">
        <f>SUM([2]!Table323[[#This Row],[Single Family ]:[&gt;4 Units ]])</f>
        <v>0</v>
      </c>
      <c r="L215" s="155"/>
      <c r="M215" s="155"/>
      <c r="N215" s="155"/>
      <c r="O215" s="156"/>
      <c r="P215" s="100">
        <f>VLOOKUP(Table3236[[#This Row],[Census Tract]],'Population and Diversity Data'!$B$2:$K$823,10,FALSE)</f>
        <v>2</v>
      </c>
      <c r="Q215" s="101" t="str">
        <f>VLOOKUP(Table3236[[#This Row],[Census Tract]],'UI EnergyBurden'!$A$2:$B$184,2,FALSE)</f>
        <v>No</v>
      </c>
    </row>
    <row r="216" spans="1:17" x14ac:dyDescent="0.2">
      <c r="A216" s="121">
        <v>9001240200</v>
      </c>
      <c r="B216" s="121" t="s">
        <v>2982</v>
      </c>
      <c r="C216" s="128" t="s">
        <v>944</v>
      </c>
      <c r="D216" s="152">
        <v>1285.660241437992</v>
      </c>
      <c r="E216" s="152">
        <v>2461.4</v>
      </c>
      <c r="F216" s="153">
        <f>[2]!Table323[[#This Row],[Single Family]]+[2]!Table323[[#This Row],[2-4 Units]]+[2]!Table323[[#This Row],[&gt;4 Units]]</f>
        <v>1</v>
      </c>
      <c r="G216" s="153">
        <v>1</v>
      </c>
      <c r="H216" s="153">
        <v>0</v>
      </c>
      <c r="I216" s="153">
        <v>0</v>
      </c>
      <c r="J216" s="154">
        <v>2461.4</v>
      </c>
      <c r="K216" s="153">
        <f>SUM([2]!Table323[[#This Row],[Single Family ]:[&gt;4 Units ]])</f>
        <v>0</v>
      </c>
      <c r="L216" s="155"/>
      <c r="M216" s="155"/>
      <c r="N216" s="155"/>
      <c r="O216" s="156">
        <v>0</v>
      </c>
      <c r="P216" s="100">
        <f>VLOOKUP(Table3236[[#This Row],[Census Tract]],'Population and Diversity Data'!$B$2:$K$823,10,FALSE)</f>
        <v>2</v>
      </c>
      <c r="Q216" s="101" t="str">
        <f>VLOOKUP(Table3236[[#This Row],[Census Tract]],'UI EnergyBurden'!$A$2:$B$184,2,FALSE)</f>
        <v>No</v>
      </c>
    </row>
    <row r="217" spans="1:17" x14ac:dyDescent="0.2">
      <c r="A217" s="121">
        <v>9001257200</v>
      </c>
      <c r="B217" s="121" t="s">
        <v>934</v>
      </c>
      <c r="C217" s="128" t="s">
        <v>3886</v>
      </c>
      <c r="D217" s="152">
        <v>39915.964363384264</v>
      </c>
      <c r="E217" s="152">
        <v>5003.92</v>
      </c>
      <c r="F217" s="153">
        <f>[2]!Table323[[#This Row],[Single Family]]+[2]!Table323[[#This Row],[2-4 Units]]+[2]!Table323[[#This Row],[&gt;4 Units]]</f>
        <v>9</v>
      </c>
      <c r="G217" s="153">
        <v>2</v>
      </c>
      <c r="H217" s="153">
        <v>7</v>
      </c>
      <c r="I217" s="153">
        <v>0</v>
      </c>
      <c r="J217" s="154">
        <v>2267.35</v>
      </c>
      <c r="K217" s="153">
        <f>SUM([2]!Table323[[#This Row],[Single Family ]:[&gt;4 Units ]])</f>
        <v>15</v>
      </c>
      <c r="L217" s="155">
        <v>2</v>
      </c>
      <c r="M217" s="155">
        <v>12</v>
      </c>
      <c r="N217" s="155">
        <v>1</v>
      </c>
      <c r="O217" s="156">
        <v>2736.57</v>
      </c>
      <c r="P217" s="100">
        <f>VLOOKUP(Table3236[[#This Row],[Census Tract]],'Population and Diversity Data'!$B$2:$K$823,10,FALSE)</f>
        <v>4</v>
      </c>
      <c r="Q217" s="101" t="str">
        <f>VLOOKUP(Table3236[[#This Row],[Census Tract]],'UI EnergyBurden'!$A$2:$B$184,2,FALSE)</f>
        <v>Yes</v>
      </c>
    </row>
    <row r="218" spans="1:17" x14ac:dyDescent="0.2">
      <c r="A218" s="121">
        <v>9001257200</v>
      </c>
      <c r="B218" s="121" t="s">
        <v>934</v>
      </c>
      <c r="C218" s="128" t="s">
        <v>3886</v>
      </c>
      <c r="D218" s="152">
        <v>0</v>
      </c>
      <c r="E218" s="152">
        <v>0</v>
      </c>
      <c r="F218" s="153">
        <f>[2]!Table323[[#This Row],[Single Family]]+[2]!Table323[[#This Row],[2-4 Units]]+[2]!Table323[[#This Row],[&gt;4 Units]]</f>
        <v>0</v>
      </c>
      <c r="G218" s="153"/>
      <c r="H218" s="153"/>
      <c r="I218" s="153"/>
      <c r="J218" s="154">
        <v>0</v>
      </c>
      <c r="K218" s="153">
        <f>SUM([2]!Table323[[#This Row],[Single Family ]:[&gt;4 Units ]])</f>
        <v>0</v>
      </c>
      <c r="L218" s="155"/>
      <c r="M218" s="155"/>
      <c r="N218" s="155"/>
      <c r="O218" s="156">
        <v>0</v>
      </c>
      <c r="P218" s="100">
        <f>VLOOKUP(Table3236[[#This Row],[Census Tract]],'Population and Diversity Data'!$B$2:$K$823,10,FALSE)</f>
        <v>4</v>
      </c>
      <c r="Q218" s="101" t="str">
        <f>VLOOKUP(Table3236[[#This Row],[Census Tract]],'UI EnergyBurden'!$A$2:$B$184,2,FALSE)</f>
        <v>Yes</v>
      </c>
    </row>
    <row r="219" spans="1:17" x14ac:dyDescent="0.2">
      <c r="A219" s="121">
        <v>9009120100</v>
      </c>
      <c r="B219" s="121" t="s">
        <v>2990</v>
      </c>
      <c r="C219" s="128" t="s">
        <v>3886</v>
      </c>
      <c r="D219" s="152">
        <v>131.01193732997945</v>
      </c>
      <c r="E219" s="152">
        <v>0</v>
      </c>
      <c r="F219" s="153">
        <f>[2]!Table323[[#This Row],[Single Family]]+[2]!Table323[[#This Row],[2-4 Units]]+[2]!Table323[[#This Row],[&gt;4 Units]]</f>
        <v>0</v>
      </c>
      <c r="G219" s="153"/>
      <c r="H219" s="153"/>
      <c r="I219" s="153"/>
      <c r="J219" s="154">
        <v>0</v>
      </c>
      <c r="K219" s="153">
        <f>SUM([2]!Table323[[#This Row],[Single Family ]:[&gt;4 Units ]])</f>
        <v>0</v>
      </c>
      <c r="L219" s="155"/>
      <c r="M219" s="155"/>
      <c r="N219" s="155"/>
      <c r="O219" s="156"/>
      <c r="P219" s="100">
        <f>VLOOKUP(Table3236[[#This Row],[Census Tract]],'Population and Diversity Data'!$B$2:$K$823,10,FALSE)</f>
        <v>2</v>
      </c>
      <c r="Q219" s="101" t="str">
        <f>VLOOKUP(Table3236[[#This Row],[Census Tract]],'UI EnergyBurden'!$A$2:$B$184,2,FALSE)</f>
        <v>No</v>
      </c>
    </row>
    <row r="220" spans="1:17" x14ac:dyDescent="0.2">
      <c r="A220" s="121">
        <v>9009120100</v>
      </c>
      <c r="B220" s="121" t="s">
        <v>2991</v>
      </c>
      <c r="C220" s="128" t="s">
        <v>3886</v>
      </c>
      <c r="D220" s="152">
        <v>95492.725827379196</v>
      </c>
      <c r="E220" s="152">
        <v>92687.08</v>
      </c>
      <c r="F220" s="153">
        <f>[2]!Table323[[#This Row],[Single Family]]+[2]!Table323[[#This Row],[2-4 Units]]+[2]!Table323[[#This Row],[&gt;4 Units]]</f>
        <v>26</v>
      </c>
      <c r="G220" s="153">
        <v>26</v>
      </c>
      <c r="H220" s="153">
        <v>0</v>
      </c>
      <c r="I220" s="153">
        <v>0</v>
      </c>
      <c r="J220" s="154">
        <v>35444.11</v>
      </c>
      <c r="K220" s="153">
        <f>SUM([2]!Table323[[#This Row],[Single Family ]:[&gt;4 Units ]])</f>
        <v>18</v>
      </c>
      <c r="L220" s="155">
        <v>12</v>
      </c>
      <c r="M220" s="155">
        <v>6</v>
      </c>
      <c r="N220" s="155">
        <v>0</v>
      </c>
      <c r="O220" s="156">
        <v>57242.97</v>
      </c>
      <c r="P220" s="100">
        <f>VLOOKUP(Table3236[[#This Row],[Census Tract]],'Population and Diversity Data'!$B$2:$K$823,10,FALSE)</f>
        <v>2</v>
      </c>
      <c r="Q220" s="101" t="str">
        <f>VLOOKUP(Table3236[[#This Row],[Census Tract]],'UI EnergyBurden'!$A$2:$B$184,2,FALSE)</f>
        <v>No</v>
      </c>
    </row>
    <row r="221" spans="1:17" x14ac:dyDescent="0.2">
      <c r="A221" s="121">
        <v>9009120100</v>
      </c>
      <c r="B221" s="121" t="s">
        <v>2992</v>
      </c>
      <c r="C221" s="128" t="s">
        <v>3886</v>
      </c>
      <c r="D221" s="152">
        <v>71.244492806971707</v>
      </c>
      <c r="E221" s="152">
        <v>0</v>
      </c>
      <c r="F221" s="153">
        <f>[2]!Table323[[#This Row],[Single Family]]+[2]!Table323[[#This Row],[2-4 Units]]+[2]!Table323[[#This Row],[&gt;4 Units]]</f>
        <v>0</v>
      </c>
      <c r="G221" s="153"/>
      <c r="H221" s="153"/>
      <c r="I221" s="153"/>
      <c r="J221" s="154">
        <v>0</v>
      </c>
      <c r="K221" s="153">
        <f>SUM([2]!Table323[[#This Row],[Single Family ]:[&gt;4 Units ]])</f>
        <v>0</v>
      </c>
      <c r="L221" s="155"/>
      <c r="M221" s="155"/>
      <c r="N221" s="155"/>
      <c r="O221" s="156"/>
      <c r="P221" s="100">
        <f>VLOOKUP(Table3236[[#This Row],[Census Tract]],'Population and Diversity Data'!$B$2:$K$823,10,FALSE)</f>
        <v>2</v>
      </c>
      <c r="Q221" s="101" t="str">
        <f>VLOOKUP(Table3236[[#This Row],[Census Tract]],'UI EnergyBurden'!$A$2:$B$184,2,FALSE)</f>
        <v>No</v>
      </c>
    </row>
    <row r="222" spans="1:17" x14ac:dyDescent="0.2">
      <c r="A222" s="121">
        <v>9009120100</v>
      </c>
      <c r="B222" s="121" t="s">
        <v>2991</v>
      </c>
      <c r="C222" s="128" t="s">
        <v>3886</v>
      </c>
      <c r="D222" s="152">
        <v>0</v>
      </c>
      <c r="E222" s="152">
        <v>3000</v>
      </c>
      <c r="F222" s="153">
        <f>[2]!Table323[[#This Row],[Single Family]]+[2]!Table323[[#This Row],[2-4 Units]]+[2]!Table323[[#This Row],[&gt;4 Units]]</f>
        <v>0</v>
      </c>
      <c r="G222" s="153"/>
      <c r="H222" s="153"/>
      <c r="I222" s="153"/>
      <c r="J222" s="154">
        <v>3000</v>
      </c>
      <c r="K222" s="153">
        <f>SUM([2]!Table323[[#This Row],[Single Family ]:[&gt;4 Units ]])</f>
        <v>0</v>
      </c>
      <c r="L222" s="155"/>
      <c r="M222" s="155"/>
      <c r="N222" s="155"/>
      <c r="O222" s="156">
        <v>0</v>
      </c>
      <c r="P222" s="100">
        <f>VLOOKUP(Table3236[[#This Row],[Census Tract]],'Population and Diversity Data'!$B$2:$K$823,10,FALSE)</f>
        <v>2</v>
      </c>
      <c r="Q222" s="101" t="str">
        <f>VLOOKUP(Table3236[[#This Row],[Census Tract]],'UI EnergyBurden'!$A$2:$B$184,2,FALSE)</f>
        <v>No</v>
      </c>
    </row>
    <row r="223" spans="1:17" x14ac:dyDescent="0.2">
      <c r="A223" s="121">
        <v>9009120200</v>
      </c>
      <c r="B223" s="121" t="s">
        <v>2990</v>
      </c>
      <c r="C223" s="128" t="s">
        <v>3886</v>
      </c>
      <c r="D223" s="152">
        <v>36.351680687020163</v>
      </c>
      <c r="E223" s="152">
        <v>0</v>
      </c>
      <c r="F223" s="153">
        <f>[2]!Table323[[#This Row],[Single Family]]+[2]!Table323[[#This Row],[2-4 Units]]+[2]!Table323[[#This Row],[&gt;4 Units]]</f>
        <v>0</v>
      </c>
      <c r="G223" s="153"/>
      <c r="H223" s="153"/>
      <c r="I223" s="153"/>
      <c r="J223" s="154">
        <v>0</v>
      </c>
      <c r="K223" s="153">
        <f>SUM([2]!Table323[[#This Row],[Single Family ]:[&gt;4 Units ]])</f>
        <v>0</v>
      </c>
      <c r="L223" s="155"/>
      <c r="M223" s="155"/>
      <c r="N223" s="155"/>
      <c r="O223" s="156"/>
      <c r="P223" s="100">
        <f>VLOOKUP(Table3236[[#This Row],[Census Tract]],'Population and Diversity Data'!$B$2:$K$823,10,FALSE)</f>
        <v>4</v>
      </c>
      <c r="Q223" s="101" t="str">
        <f>VLOOKUP(Table3236[[#This Row],[Census Tract]],'UI EnergyBurden'!$A$2:$B$184,2,FALSE)</f>
        <v>Yes</v>
      </c>
    </row>
    <row r="224" spans="1:17" x14ac:dyDescent="0.2">
      <c r="A224" s="121">
        <v>9009120200</v>
      </c>
      <c r="B224" s="121" t="s">
        <v>2991</v>
      </c>
      <c r="C224" s="128" t="s">
        <v>3886</v>
      </c>
      <c r="D224" s="152">
        <v>83654.921506808081</v>
      </c>
      <c r="E224" s="152">
        <v>29716.130000000005</v>
      </c>
      <c r="F224" s="153">
        <f>[2]!Table323[[#This Row],[Single Family]]+[2]!Table323[[#This Row],[2-4 Units]]+[2]!Table323[[#This Row],[&gt;4 Units]]</f>
        <v>14</v>
      </c>
      <c r="G224" s="153">
        <v>10</v>
      </c>
      <c r="H224" s="153">
        <v>4</v>
      </c>
      <c r="I224" s="153">
        <v>0</v>
      </c>
      <c r="J224" s="154">
        <v>6475.9</v>
      </c>
      <c r="K224" s="153">
        <f>SUM([2]!Table323[[#This Row],[Single Family ]:[&gt;4 Units ]])</f>
        <v>17</v>
      </c>
      <c r="L224" s="155">
        <v>11</v>
      </c>
      <c r="M224" s="155">
        <v>6</v>
      </c>
      <c r="N224" s="155">
        <v>0</v>
      </c>
      <c r="O224" s="156">
        <v>23240.23</v>
      </c>
      <c r="P224" s="100">
        <f>VLOOKUP(Table3236[[#This Row],[Census Tract]],'Population and Diversity Data'!$B$2:$K$823,10,FALSE)</f>
        <v>4</v>
      </c>
      <c r="Q224" s="101" t="str">
        <f>VLOOKUP(Table3236[[#This Row],[Census Tract]],'UI EnergyBurden'!$A$2:$B$184,2,FALSE)</f>
        <v>Yes</v>
      </c>
    </row>
    <row r="225" spans="1:17" x14ac:dyDescent="0.2">
      <c r="A225" s="121">
        <v>9009120200</v>
      </c>
      <c r="B225" s="121" t="s">
        <v>2989</v>
      </c>
      <c r="C225" s="128" t="s">
        <v>3886</v>
      </c>
      <c r="D225" s="152">
        <v>0</v>
      </c>
      <c r="E225" s="152">
        <v>0</v>
      </c>
      <c r="F225" s="153">
        <f>[2]!Table323[[#This Row],[Single Family]]+[2]!Table323[[#This Row],[2-4 Units]]+[2]!Table323[[#This Row],[&gt;4 Units]]</f>
        <v>0</v>
      </c>
      <c r="G225" s="153"/>
      <c r="H225" s="153"/>
      <c r="I225" s="153"/>
      <c r="J225" s="154">
        <v>0</v>
      </c>
      <c r="K225" s="153">
        <f>SUM([2]!Table323[[#This Row],[Single Family ]:[&gt;4 Units ]])</f>
        <v>0</v>
      </c>
      <c r="L225" s="155"/>
      <c r="M225" s="155"/>
      <c r="N225" s="155"/>
      <c r="O225" s="156"/>
      <c r="P225" s="100">
        <f>VLOOKUP(Table3236[[#This Row],[Census Tract]],'Population and Diversity Data'!$B$2:$K$823,10,FALSE)</f>
        <v>4</v>
      </c>
      <c r="Q225" s="101" t="str">
        <f>VLOOKUP(Table3236[[#This Row],[Census Tract]],'UI EnergyBurden'!$A$2:$B$184,2,FALSE)</f>
        <v>Yes</v>
      </c>
    </row>
    <row r="226" spans="1:17" x14ac:dyDescent="0.2">
      <c r="A226" s="121">
        <v>9009120200</v>
      </c>
      <c r="B226" s="121" t="s">
        <v>2991</v>
      </c>
      <c r="C226" s="128" t="s">
        <v>3886</v>
      </c>
      <c r="D226" s="152">
        <v>0</v>
      </c>
      <c r="E226" s="152">
        <v>4500</v>
      </c>
      <c r="F226" s="153">
        <f>[2]!Table323[[#This Row],[Single Family]]+[2]!Table323[[#This Row],[2-4 Units]]+[2]!Table323[[#This Row],[&gt;4 Units]]</f>
        <v>0</v>
      </c>
      <c r="G226" s="153"/>
      <c r="H226" s="153"/>
      <c r="I226" s="153"/>
      <c r="J226" s="154">
        <v>4500</v>
      </c>
      <c r="K226" s="153">
        <f>SUM([2]!Table323[[#This Row],[Single Family ]:[&gt;4 Units ]])</f>
        <v>0</v>
      </c>
      <c r="L226" s="155"/>
      <c r="M226" s="155"/>
      <c r="N226" s="155"/>
      <c r="O226" s="156">
        <v>0</v>
      </c>
      <c r="P226" s="100">
        <f>VLOOKUP(Table3236[[#This Row],[Census Tract]],'Population and Diversity Data'!$B$2:$K$823,10,FALSE)</f>
        <v>4</v>
      </c>
      <c r="Q226" s="101" t="str">
        <f>VLOOKUP(Table3236[[#This Row],[Census Tract]],'UI EnergyBurden'!$A$2:$B$184,2,FALSE)</f>
        <v>Yes</v>
      </c>
    </row>
    <row r="227" spans="1:17" x14ac:dyDescent="0.2">
      <c r="A227" s="121">
        <v>9009125100</v>
      </c>
      <c r="B227" s="121" t="s">
        <v>2990</v>
      </c>
      <c r="C227" s="128" t="s">
        <v>3886</v>
      </c>
      <c r="D227" s="152">
        <v>62366.298841750802</v>
      </c>
      <c r="E227" s="152">
        <v>42217.49</v>
      </c>
      <c r="F227" s="153">
        <f>[2]!Table323[[#This Row],[Single Family]]+[2]!Table323[[#This Row],[2-4 Units]]+[2]!Table323[[#This Row],[&gt;4 Units]]</f>
        <v>24</v>
      </c>
      <c r="G227" s="153">
        <v>24</v>
      </c>
      <c r="H227" s="153">
        <v>0</v>
      </c>
      <c r="I227" s="153">
        <v>0</v>
      </c>
      <c r="J227" s="154">
        <v>29209.699999999997</v>
      </c>
      <c r="K227" s="153">
        <f>SUM([2]!Table323[[#This Row],[Single Family ]:[&gt;4 Units ]])</f>
        <v>9</v>
      </c>
      <c r="L227" s="155">
        <v>9</v>
      </c>
      <c r="M227" s="155">
        <v>0</v>
      </c>
      <c r="N227" s="155">
        <v>0</v>
      </c>
      <c r="O227" s="156">
        <v>13007.789999999999</v>
      </c>
      <c r="P227" s="100">
        <f>VLOOKUP(Table3236[[#This Row],[Census Tract]],'Population and Diversity Data'!$B$2:$K$823,10,FALSE)</f>
        <v>1</v>
      </c>
      <c r="Q227" s="101" t="str">
        <f>VLOOKUP(Table3236[[#This Row],[Census Tract]],'UI EnergyBurden'!$A$2:$B$184,2,FALSE)</f>
        <v>No</v>
      </c>
    </row>
    <row r="228" spans="1:17" x14ac:dyDescent="0.2">
      <c r="A228" s="121">
        <v>9009125100</v>
      </c>
      <c r="B228" s="121" t="s">
        <v>2991</v>
      </c>
      <c r="C228" s="128" t="s">
        <v>3886</v>
      </c>
      <c r="D228" s="152">
        <v>570.21909279856754</v>
      </c>
      <c r="E228" s="152">
        <v>0</v>
      </c>
      <c r="F228" s="153">
        <f>[2]!Table323[[#This Row],[Single Family]]+[2]!Table323[[#This Row],[2-4 Units]]+[2]!Table323[[#This Row],[&gt;4 Units]]</f>
        <v>0</v>
      </c>
      <c r="G228" s="153"/>
      <c r="H228" s="153"/>
      <c r="I228" s="153"/>
      <c r="J228" s="154">
        <v>0</v>
      </c>
      <c r="K228" s="153">
        <f>SUM([2]!Table323[[#This Row],[Single Family ]:[&gt;4 Units ]])</f>
        <v>0</v>
      </c>
      <c r="L228" s="155"/>
      <c r="M228" s="155"/>
      <c r="N228" s="155"/>
      <c r="O228" s="156"/>
      <c r="P228" s="100">
        <f>VLOOKUP(Table3236[[#This Row],[Census Tract]],'Population and Diversity Data'!$B$2:$K$823,10,FALSE)</f>
        <v>1</v>
      </c>
      <c r="Q228" s="101" t="str">
        <f>VLOOKUP(Table3236[[#This Row],[Census Tract]],'UI EnergyBurden'!$A$2:$B$184,2,FALSE)</f>
        <v>No</v>
      </c>
    </row>
    <row r="229" spans="1:17" x14ac:dyDescent="0.2">
      <c r="A229" s="121">
        <v>9009125100</v>
      </c>
      <c r="B229" s="121" t="s">
        <v>2990</v>
      </c>
      <c r="C229" s="128" t="s">
        <v>3886</v>
      </c>
      <c r="D229" s="152">
        <v>0</v>
      </c>
      <c r="E229" s="152">
        <v>0</v>
      </c>
      <c r="F229" s="153">
        <f>[2]!Table323[[#This Row],[Single Family]]+[2]!Table323[[#This Row],[2-4 Units]]+[2]!Table323[[#This Row],[&gt;4 Units]]</f>
        <v>0</v>
      </c>
      <c r="G229" s="153"/>
      <c r="H229" s="153"/>
      <c r="I229" s="153"/>
      <c r="J229" s="154">
        <v>0</v>
      </c>
      <c r="K229" s="153">
        <f>SUM([2]!Table323[[#This Row],[Single Family ]:[&gt;4 Units ]])</f>
        <v>0</v>
      </c>
      <c r="L229" s="155"/>
      <c r="M229" s="155"/>
      <c r="N229" s="155"/>
      <c r="O229" s="156"/>
      <c r="P229" s="100">
        <f>VLOOKUP(Table3236[[#This Row],[Census Tract]],'Population and Diversity Data'!$B$2:$K$823,10,FALSE)</f>
        <v>1</v>
      </c>
      <c r="Q229" s="101" t="str">
        <f>VLOOKUP(Table3236[[#This Row],[Census Tract]],'UI EnergyBurden'!$A$2:$B$184,2,FALSE)</f>
        <v>No</v>
      </c>
    </row>
    <row r="230" spans="1:17" x14ac:dyDescent="0.2">
      <c r="A230" s="121">
        <v>9009125200</v>
      </c>
      <c r="B230" s="121" t="s">
        <v>2990</v>
      </c>
      <c r="C230" s="128" t="s">
        <v>3886</v>
      </c>
      <c r="D230" s="152">
        <v>72990.430697992502</v>
      </c>
      <c r="E230" s="152">
        <v>16644.32</v>
      </c>
      <c r="F230" s="153">
        <f>[2]!Table323[[#This Row],[Single Family]]+[2]!Table323[[#This Row],[2-4 Units]]+[2]!Table323[[#This Row],[&gt;4 Units]]</f>
        <v>13</v>
      </c>
      <c r="G230" s="153">
        <v>10</v>
      </c>
      <c r="H230" s="153">
        <v>3</v>
      </c>
      <c r="I230" s="153">
        <v>0</v>
      </c>
      <c r="J230" s="154">
        <v>11186.88</v>
      </c>
      <c r="K230" s="153">
        <f>SUM([2]!Table323[[#This Row],[Single Family ]:[&gt;4 Units ]])</f>
        <v>11</v>
      </c>
      <c r="L230" s="155">
        <v>3</v>
      </c>
      <c r="M230" s="155">
        <v>8</v>
      </c>
      <c r="N230" s="155">
        <v>0</v>
      </c>
      <c r="O230" s="156">
        <v>5457.4400000000005</v>
      </c>
      <c r="P230" s="100">
        <f>VLOOKUP(Table3236[[#This Row],[Census Tract]],'Population and Diversity Data'!$B$2:$K$823,10,FALSE)</f>
        <v>3</v>
      </c>
      <c r="Q230" s="101" t="str">
        <f>VLOOKUP(Table3236[[#This Row],[Census Tract]],'UI EnergyBurden'!$A$2:$B$184,2,FALSE)</f>
        <v>No</v>
      </c>
    </row>
    <row r="231" spans="1:17" x14ac:dyDescent="0.2">
      <c r="A231" s="121">
        <v>9009125200</v>
      </c>
      <c r="B231" s="121" t="s">
        <v>2990</v>
      </c>
      <c r="C231" s="128" t="s">
        <v>3886</v>
      </c>
      <c r="D231" s="152">
        <v>0</v>
      </c>
      <c r="E231" s="152">
        <v>0</v>
      </c>
      <c r="F231" s="153">
        <f>[2]!Table323[[#This Row],[Single Family]]+[2]!Table323[[#This Row],[2-4 Units]]+[2]!Table323[[#This Row],[&gt;4 Units]]</f>
        <v>0</v>
      </c>
      <c r="G231" s="153"/>
      <c r="H231" s="153"/>
      <c r="I231" s="153"/>
      <c r="J231" s="154">
        <v>0</v>
      </c>
      <c r="K231" s="153">
        <f>SUM([2]!Table323[[#This Row],[Single Family ]:[&gt;4 Units ]])</f>
        <v>0</v>
      </c>
      <c r="L231" s="155"/>
      <c r="M231" s="155"/>
      <c r="N231" s="155"/>
      <c r="O231" s="156">
        <v>0</v>
      </c>
      <c r="P231" s="100">
        <f>VLOOKUP(Table3236[[#This Row],[Census Tract]],'Population and Diversity Data'!$B$2:$K$823,10,FALSE)</f>
        <v>3</v>
      </c>
      <c r="Q231" s="101" t="str">
        <f>VLOOKUP(Table3236[[#This Row],[Census Tract]],'UI EnergyBurden'!$A$2:$B$184,2,FALSE)</f>
        <v>No</v>
      </c>
    </row>
    <row r="232" spans="1:17" x14ac:dyDescent="0.2">
      <c r="A232" s="121">
        <v>9009125300</v>
      </c>
      <c r="B232" s="121" t="s">
        <v>2990</v>
      </c>
      <c r="C232" s="128" t="s">
        <v>3887</v>
      </c>
      <c r="D232" s="152">
        <v>62628.38273315558</v>
      </c>
      <c r="E232" s="152">
        <v>30193.84</v>
      </c>
      <c r="F232" s="153">
        <f>[2]!Table323[[#This Row],[Single Family]]+[2]!Table323[[#This Row],[2-4 Units]]+[2]!Table323[[#This Row],[&gt;4 Units]]</f>
        <v>19</v>
      </c>
      <c r="G232" s="153">
        <v>15</v>
      </c>
      <c r="H232" s="153">
        <v>4</v>
      </c>
      <c r="I232" s="153">
        <v>0</v>
      </c>
      <c r="J232" s="154">
        <v>20100.520000000004</v>
      </c>
      <c r="K232" s="153">
        <f>SUM([2]!Table323[[#This Row],[Single Family ]:[&gt;4 Units ]])</f>
        <v>13</v>
      </c>
      <c r="L232" s="155">
        <v>1</v>
      </c>
      <c r="M232" s="155">
        <v>12</v>
      </c>
      <c r="N232" s="155">
        <v>0</v>
      </c>
      <c r="O232" s="156">
        <v>10093.319999999998</v>
      </c>
      <c r="P232" s="100">
        <f>VLOOKUP(Table3236[[#This Row],[Census Tract]],'Population and Diversity Data'!$B$2:$K$823,10,FALSE)</f>
        <v>5</v>
      </c>
      <c r="Q232" s="101" t="str">
        <f>VLOOKUP(Table3236[[#This Row],[Census Tract]],'UI EnergyBurden'!$A$2:$B$184,2,FALSE)</f>
        <v>No</v>
      </c>
    </row>
    <row r="233" spans="1:17" x14ac:dyDescent="0.2">
      <c r="A233" s="121">
        <v>9009125300</v>
      </c>
      <c r="B233" s="121" t="s">
        <v>2990</v>
      </c>
      <c r="C233" s="128" t="s">
        <v>3887</v>
      </c>
      <c r="D233" s="152">
        <v>0</v>
      </c>
      <c r="E233" s="152">
        <v>0</v>
      </c>
      <c r="F233" s="153">
        <f>[2]!Table323[[#This Row],[Single Family]]+[2]!Table323[[#This Row],[2-4 Units]]+[2]!Table323[[#This Row],[&gt;4 Units]]</f>
        <v>0</v>
      </c>
      <c r="G233" s="153"/>
      <c r="H233" s="153"/>
      <c r="I233" s="153"/>
      <c r="J233" s="154">
        <v>0</v>
      </c>
      <c r="K233" s="153">
        <f>SUM([2]!Table323[[#This Row],[Single Family ]:[&gt;4 Units ]])</f>
        <v>0</v>
      </c>
      <c r="L233" s="155"/>
      <c r="M233" s="155"/>
      <c r="N233" s="155"/>
      <c r="O233" s="156">
        <v>0</v>
      </c>
      <c r="P233" s="100">
        <f>VLOOKUP(Table3236[[#This Row],[Census Tract]],'Population and Diversity Data'!$B$2:$K$823,10,FALSE)</f>
        <v>5</v>
      </c>
      <c r="Q233" s="101" t="str">
        <f>VLOOKUP(Table3236[[#This Row],[Census Tract]],'UI EnergyBurden'!$A$2:$B$184,2,FALSE)</f>
        <v>No</v>
      </c>
    </row>
    <row r="234" spans="1:17" x14ac:dyDescent="0.2">
      <c r="A234" s="121">
        <v>9009125400</v>
      </c>
      <c r="B234" s="121" t="s">
        <v>2990</v>
      </c>
      <c r="C234" s="128" t="s">
        <v>3886</v>
      </c>
      <c r="D234" s="152">
        <v>43723.814457031258</v>
      </c>
      <c r="E234" s="152">
        <v>39063.44999999999</v>
      </c>
      <c r="F234" s="153">
        <f>[2]!Table323[[#This Row],[Single Family]]+[2]!Table323[[#This Row],[2-4 Units]]+[2]!Table323[[#This Row],[&gt;4 Units]]</f>
        <v>20</v>
      </c>
      <c r="G234" s="153">
        <v>19</v>
      </c>
      <c r="H234" s="153">
        <v>1</v>
      </c>
      <c r="I234" s="153">
        <v>0</v>
      </c>
      <c r="J234" s="154">
        <v>26995.239999999994</v>
      </c>
      <c r="K234" s="153">
        <f>SUM([2]!Table323[[#This Row],[Single Family ]:[&gt;4 Units ]])</f>
        <v>15</v>
      </c>
      <c r="L234" s="155">
        <v>10</v>
      </c>
      <c r="M234" s="155">
        <v>5</v>
      </c>
      <c r="N234" s="155">
        <v>0</v>
      </c>
      <c r="O234" s="156">
        <v>12068.21</v>
      </c>
      <c r="P234" s="100">
        <f>VLOOKUP(Table3236[[#This Row],[Census Tract]],'Population and Diversity Data'!$B$2:$K$823,10,FALSE)</f>
        <v>3</v>
      </c>
      <c r="Q234" s="101" t="str">
        <f>VLOOKUP(Table3236[[#This Row],[Census Tract]],'UI EnergyBurden'!$A$2:$B$184,2,FALSE)</f>
        <v>No</v>
      </c>
    </row>
    <row r="235" spans="1:17" x14ac:dyDescent="0.2">
      <c r="A235" s="121">
        <v>9009125400</v>
      </c>
      <c r="B235" s="121" t="s">
        <v>2990</v>
      </c>
      <c r="C235" s="128" t="s">
        <v>3886</v>
      </c>
      <c r="D235" s="152">
        <v>0</v>
      </c>
      <c r="E235" s="152">
        <v>0</v>
      </c>
      <c r="F235" s="153">
        <f>[2]!Table323[[#This Row],[Single Family]]+[2]!Table323[[#This Row],[2-4 Units]]+[2]!Table323[[#This Row],[&gt;4 Units]]</f>
        <v>0</v>
      </c>
      <c r="G235" s="153"/>
      <c r="H235" s="153"/>
      <c r="I235" s="153"/>
      <c r="J235" s="154">
        <v>0</v>
      </c>
      <c r="K235" s="153">
        <f>SUM([2]!Table323[[#This Row],[Single Family ]:[&gt;4 Units ]])</f>
        <v>0</v>
      </c>
      <c r="L235" s="155"/>
      <c r="M235" s="155"/>
      <c r="N235" s="155"/>
      <c r="O235" s="156">
        <v>0</v>
      </c>
      <c r="P235" s="100">
        <f>VLOOKUP(Table3236[[#This Row],[Census Tract]],'Population and Diversity Data'!$B$2:$K$823,10,FALSE)</f>
        <v>3</v>
      </c>
      <c r="Q235" s="101" t="str">
        <f>VLOOKUP(Table3236[[#This Row],[Census Tract]],'UI EnergyBurden'!$A$2:$B$184,2,FALSE)</f>
        <v>No</v>
      </c>
    </row>
    <row r="236" spans="1:17" x14ac:dyDescent="0.2">
      <c r="A236" s="121">
        <v>9009130101</v>
      </c>
      <c r="B236" s="121" t="s">
        <v>2994</v>
      </c>
      <c r="C236" s="128" t="s">
        <v>944</v>
      </c>
      <c r="D236" s="152">
        <v>222.77292352952387</v>
      </c>
      <c r="E236" s="152">
        <v>0</v>
      </c>
      <c r="F236" s="153">
        <f>[2]!Table323[[#This Row],[Single Family]]+[2]!Table323[[#This Row],[2-4 Units]]+[2]!Table323[[#This Row],[&gt;4 Units]]</f>
        <v>0</v>
      </c>
      <c r="G236" s="153"/>
      <c r="H236" s="153"/>
      <c r="I236" s="153"/>
      <c r="J236" s="154">
        <v>0</v>
      </c>
      <c r="K236" s="153">
        <f>SUM([2]!Table323[[#This Row],[Single Family ]:[&gt;4 Units ]])</f>
        <v>0</v>
      </c>
      <c r="L236" s="155"/>
      <c r="M236" s="155"/>
      <c r="N236" s="155"/>
      <c r="O236" s="156"/>
      <c r="P236" s="100">
        <f>VLOOKUP(Table3236[[#This Row],[Census Tract]],'Population and Diversity Data'!$B$2:$K$823,10,FALSE)</f>
        <v>2</v>
      </c>
      <c r="Q236" s="101" t="str">
        <f>VLOOKUP(Table3236[[#This Row],[Census Tract]],'UI EnergyBurden'!$A$2:$B$184,2,FALSE)</f>
        <v>No</v>
      </c>
    </row>
    <row r="237" spans="1:17" x14ac:dyDescent="0.2">
      <c r="A237" s="121">
        <v>9009130102</v>
      </c>
      <c r="B237" s="121" t="s">
        <v>2990</v>
      </c>
      <c r="C237" s="128" t="s">
        <v>944</v>
      </c>
      <c r="D237" s="152">
        <v>162.66384522815196</v>
      </c>
      <c r="E237" s="152">
        <v>0</v>
      </c>
      <c r="F237" s="153">
        <f>[2]!Table323[[#This Row],[Single Family]]+[2]!Table323[[#This Row],[2-4 Units]]+[2]!Table323[[#This Row],[&gt;4 Units]]</f>
        <v>0</v>
      </c>
      <c r="G237" s="153"/>
      <c r="H237" s="153"/>
      <c r="I237" s="153"/>
      <c r="J237" s="154">
        <v>0</v>
      </c>
      <c r="K237" s="153">
        <f>SUM([2]!Table323[[#This Row],[Single Family ]:[&gt;4 Units ]])</f>
        <v>0</v>
      </c>
      <c r="L237" s="155"/>
      <c r="M237" s="155"/>
      <c r="N237" s="155"/>
      <c r="O237" s="156"/>
      <c r="P237" s="100">
        <f>VLOOKUP(Table3236[[#This Row],[Census Tract]],'Population and Diversity Data'!$B$2:$K$823,10,FALSE)</f>
        <v>2</v>
      </c>
      <c r="Q237" s="101" t="str">
        <f>VLOOKUP(Table3236[[#This Row],[Census Tract]],'UI EnergyBurden'!$A$2:$B$184,2,FALSE)</f>
        <v>No</v>
      </c>
    </row>
    <row r="238" spans="1:17" x14ac:dyDescent="0.2">
      <c r="A238" s="121">
        <v>9009130200</v>
      </c>
      <c r="B238" s="121" t="s">
        <v>2990</v>
      </c>
      <c r="C238" s="128" t="s">
        <v>944</v>
      </c>
      <c r="D238" s="152">
        <v>42.958139292954357</v>
      </c>
      <c r="E238" s="152">
        <v>0</v>
      </c>
      <c r="F238" s="153">
        <f>[2]!Table323[[#This Row],[Single Family]]+[2]!Table323[[#This Row],[2-4 Units]]+[2]!Table323[[#This Row],[&gt;4 Units]]</f>
        <v>0</v>
      </c>
      <c r="G238" s="153"/>
      <c r="H238" s="153"/>
      <c r="I238" s="153"/>
      <c r="J238" s="154">
        <v>0</v>
      </c>
      <c r="K238" s="153">
        <f>SUM([2]!Table323[[#This Row],[Single Family ]:[&gt;4 Units ]])</f>
        <v>0</v>
      </c>
      <c r="L238" s="155"/>
      <c r="M238" s="155"/>
      <c r="N238" s="155"/>
      <c r="O238" s="156"/>
      <c r="P238" s="100">
        <f>VLOOKUP(Table3236[[#This Row],[Census Tract]],'Population and Diversity Data'!$B$2:$K$823,10,FALSE)</f>
        <v>3</v>
      </c>
      <c r="Q238" s="101" t="str">
        <f>VLOOKUP(Table3236[[#This Row],[Census Tract]],'UI EnergyBurden'!$A$2:$B$184,2,FALSE)</f>
        <v>No</v>
      </c>
    </row>
    <row r="239" spans="1:17" x14ac:dyDescent="0.2">
      <c r="A239" s="121">
        <v>9009130200</v>
      </c>
      <c r="B239" s="121" t="s">
        <v>2991</v>
      </c>
      <c r="C239" s="128" t="s">
        <v>944</v>
      </c>
      <c r="D239" s="152">
        <v>137.62762928127486</v>
      </c>
      <c r="E239" s="152">
        <v>0</v>
      </c>
      <c r="F239" s="153">
        <f>[2]!Table323[[#This Row],[Single Family]]+[2]!Table323[[#This Row],[2-4 Units]]+[2]!Table323[[#This Row],[&gt;4 Units]]</f>
        <v>0</v>
      </c>
      <c r="G239" s="153"/>
      <c r="H239" s="153"/>
      <c r="I239" s="153"/>
      <c r="J239" s="154">
        <v>0</v>
      </c>
      <c r="K239" s="153">
        <f>SUM([2]!Table323[[#This Row],[Single Family ]:[&gt;4 Units ]])</f>
        <v>0</v>
      </c>
      <c r="L239" s="155"/>
      <c r="M239" s="155"/>
      <c r="N239" s="155"/>
      <c r="O239" s="156"/>
      <c r="P239" s="100">
        <f>VLOOKUP(Table3236[[#This Row],[Census Tract]],'Population and Diversity Data'!$B$2:$K$823,10,FALSE)</f>
        <v>3</v>
      </c>
      <c r="Q239" s="101" t="str">
        <f>VLOOKUP(Table3236[[#This Row],[Census Tract]],'UI EnergyBurden'!$A$2:$B$184,2,FALSE)</f>
        <v>No</v>
      </c>
    </row>
    <row r="240" spans="1:17" x14ac:dyDescent="0.2">
      <c r="A240" s="121">
        <v>9009140100</v>
      </c>
      <c r="B240" s="121" t="s">
        <v>943</v>
      </c>
      <c r="C240" s="128" t="s">
        <v>3887</v>
      </c>
      <c r="D240" s="152">
        <v>46531.457797754374</v>
      </c>
      <c r="E240" s="152">
        <v>94655.95</v>
      </c>
      <c r="F240" s="153">
        <f>[2]!Table323[[#This Row],[Single Family]]+[2]!Table323[[#This Row],[2-4 Units]]+[2]!Table323[[#This Row],[&gt;4 Units]]</f>
        <v>6</v>
      </c>
      <c r="G240" s="153">
        <v>6</v>
      </c>
      <c r="H240" s="153">
        <v>0</v>
      </c>
      <c r="I240" s="153">
        <v>0</v>
      </c>
      <c r="J240" s="154">
        <v>14387.95</v>
      </c>
      <c r="K240" s="153">
        <f>SUM([2]!Table323[[#This Row],[Single Family ]:[&gt;4 Units ]])</f>
        <v>1</v>
      </c>
      <c r="L240" s="155">
        <v>0</v>
      </c>
      <c r="M240" s="155">
        <v>0</v>
      </c>
      <c r="N240" s="155">
        <v>1</v>
      </c>
      <c r="O240" s="156">
        <v>80268</v>
      </c>
      <c r="P240" s="100">
        <f>VLOOKUP(Table3236[[#This Row],[Census Tract]],'Population and Diversity Data'!$B$2:$K$823,10,FALSE)</f>
        <v>5</v>
      </c>
      <c r="Q240" s="101" t="str">
        <f>VLOOKUP(Table3236[[#This Row],[Census Tract]],'UI EnergyBurden'!$A$2:$B$184,2,FALSE)</f>
        <v>No</v>
      </c>
    </row>
    <row r="241" spans="1:17" x14ac:dyDescent="0.2">
      <c r="A241" s="121">
        <v>9009140100</v>
      </c>
      <c r="B241" s="121" t="s">
        <v>3004</v>
      </c>
      <c r="C241" s="128" t="s">
        <v>3887</v>
      </c>
      <c r="D241" s="152">
        <v>0</v>
      </c>
      <c r="E241" s="152">
        <v>0</v>
      </c>
      <c r="F241" s="153">
        <f>[2]!Table323[[#This Row],[Single Family]]+[2]!Table323[[#This Row],[2-4 Units]]+[2]!Table323[[#This Row],[&gt;4 Units]]</f>
        <v>0</v>
      </c>
      <c r="G241" s="153"/>
      <c r="H241" s="153"/>
      <c r="I241" s="153"/>
      <c r="J241" s="154">
        <v>0</v>
      </c>
      <c r="K241" s="153">
        <f>SUM([2]!Table323[[#This Row],[Single Family ]:[&gt;4 Units ]])</f>
        <v>0</v>
      </c>
      <c r="L241" s="155"/>
      <c r="M241" s="155"/>
      <c r="N241" s="155"/>
      <c r="O241" s="156"/>
      <c r="P241" s="100">
        <f>VLOOKUP(Table3236[[#This Row],[Census Tract]],'Population and Diversity Data'!$B$2:$K$823,10,FALSE)</f>
        <v>5</v>
      </c>
      <c r="Q241" s="101" t="str">
        <f>VLOOKUP(Table3236[[#This Row],[Census Tract]],'UI EnergyBurden'!$A$2:$B$184,2,FALSE)</f>
        <v>No</v>
      </c>
    </row>
    <row r="242" spans="1:17" x14ac:dyDescent="0.2">
      <c r="A242" s="121">
        <v>9009140100</v>
      </c>
      <c r="B242" s="121" t="s">
        <v>943</v>
      </c>
      <c r="C242" s="128" t="s">
        <v>3887</v>
      </c>
      <c r="D242" s="152">
        <v>0</v>
      </c>
      <c r="E242" s="152">
        <v>0</v>
      </c>
      <c r="F242" s="153">
        <f>[2]!Table323[[#This Row],[Single Family]]+[2]!Table323[[#This Row],[2-4 Units]]+[2]!Table323[[#This Row],[&gt;4 Units]]</f>
        <v>0</v>
      </c>
      <c r="G242" s="153"/>
      <c r="H242" s="153"/>
      <c r="I242" s="153"/>
      <c r="J242" s="154">
        <v>0</v>
      </c>
      <c r="K242" s="153">
        <f>SUM([2]!Table323[[#This Row],[Single Family ]:[&gt;4 Units ]])</f>
        <v>0</v>
      </c>
      <c r="L242" s="155"/>
      <c r="M242" s="155"/>
      <c r="N242" s="155"/>
      <c r="O242" s="156">
        <v>0</v>
      </c>
      <c r="P242" s="100">
        <f>VLOOKUP(Table3236[[#This Row],[Census Tract]],'Population and Diversity Data'!$B$2:$K$823,10,FALSE)</f>
        <v>5</v>
      </c>
      <c r="Q242" s="101" t="str">
        <f>VLOOKUP(Table3236[[#This Row],[Census Tract]],'UI EnergyBurden'!$A$2:$B$184,2,FALSE)</f>
        <v>No</v>
      </c>
    </row>
    <row r="243" spans="1:17" x14ac:dyDescent="0.2">
      <c r="A243" s="121">
        <v>9009140200</v>
      </c>
      <c r="B243" s="121" t="s">
        <v>943</v>
      </c>
      <c r="C243" s="128" t="s">
        <v>3887</v>
      </c>
      <c r="D243" s="152">
        <v>8099.6844510918227</v>
      </c>
      <c r="E243" s="152">
        <v>214.68</v>
      </c>
      <c r="F243" s="153">
        <f>[2]!Table323[[#This Row],[Single Family]]+[2]!Table323[[#This Row],[2-4 Units]]+[2]!Table323[[#This Row],[&gt;4 Units]]</f>
        <v>1</v>
      </c>
      <c r="G243" s="153">
        <v>1</v>
      </c>
      <c r="H243" s="153">
        <v>0</v>
      </c>
      <c r="I243" s="153">
        <v>0</v>
      </c>
      <c r="J243" s="154">
        <v>172.25</v>
      </c>
      <c r="K243" s="153">
        <f>SUM([2]!Table323[[#This Row],[Single Family ]:[&gt;4 Units ]])</f>
        <v>1</v>
      </c>
      <c r="L243" s="155">
        <v>1</v>
      </c>
      <c r="M243" s="155">
        <v>0</v>
      </c>
      <c r="N243" s="155">
        <v>0</v>
      </c>
      <c r="O243" s="156">
        <v>42.429999999999993</v>
      </c>
      <c r="P243" s="100">
        <f>VLOOKUP(Table3236[[#This Row],[Census Tract]],'Population and Diversity Data'!$B$2:$K$823,10,FALSE)</f>
        <v>3</v>
      </c>
      <c r="Q243" s="101" t="str">
        <f>VLOOKUP(Table3236[[#This Row],[Census Tract]],'UI EnergyBurden'!$A$2:$B$184,2,FALSE)</f>
        <v>Yes</v>
      </c>
    </row>
    <row r="244" spans="1:17" x14ac:dyDescent="0.2">
      <c r="A244" s="121">
        <v>9009140200</v>
      </c>
      <c r="B244" s="121" t="s">
        <v>943</v>
      </c>
      <c r="C244" s="128" t="s">
        <v>3887</v>
      </c>
      <c r="D244" s="152">
        <v>13178.384500217526</v>
      </c>
      <c r="E244" s="152">
        <v>0</v>
      </c>
      <c r="F244" s="153">
        <f>[2]!Table323[[#This Row],[Single Family]]+[2]!Table323[[#This Row],[2-4 Units]]+[2]!Table323[[#This Row],[&gt;4 Units]]</f>
        <v>0</v>
      </c>
      <c r="G244" s="153"/>
      <c r="H244" s="153"/>
      <c r="I244" s="153"/>
      <c r="J244" s="154">
        <v>0</v>
      </c>
      <c r="K244" s="153">
        <f>SUM([2]!Table323[[#This Row],[Single Family ]:[&gt;4 Units ]])</f>
        <v>0</v>
      </c>
      <c r="L244" s="155"/>
      <c r="M244" s="155"/>
      <c r="N244" s="155"/>
      <c r="O244" s="156">
        <v>0</v>
      </c>
      <c r="P244" s="100">
        <f>VLOOKUP(Table3236[[#This Row],[Census Tract]],'Population and Diversity Data'!$B$2:$K$823,10,FALSE)</f>
        <v>3</v>
      </c>
      <c r="Q244" s="101" t="str">
        <f>VLOOKUP(Table3236[[#This Row],[Census Tract]],'UI EnergyBurden'!$A$2:$B$184,2,FALSE)</f>
        <v>Yes</v>
      </c>
    </row>
    <row r="245" spans="1:17" x14ac:dyDescent="0.2">
      <c r="A245" s="121">
        <v>9009140300</v>
      </c>
      <c r="B245" s="121" t="s">
        <v>943</v>
      </c>
      <c r="C245" s="128" t="s">
        <v>3887</v>
      </c>
      <c r="D245" s="152">
        <v>25373.607003047826</v>
      </c>
      <c r="E245" s="152">
        <v>61389.36</v>
      </c>
      <c r="F245" s="153">
        <f>[2]!Table323[[#This Row],[Single Family]]+[2]!Table323[[#This Row],[2-4 Units]]+[2]!Table323[[#This Row],[&gt;4 Units]]</f>
        <v>5</v>
      </c>
      <c r="G245" s="153">
        <v>2</v>
      </c>
      <c r="H245" s="153">
        <v>2</v>
      </c>
      <c r="I245" s="153">
        <v>1</v>
      </c>
      <c r="J245" s="154">
        <v>57654.46</v>
      </c>
      <c r="K245" s="153">
        <f>SUM([2]!Table323[[#This Row],[Single Family ]:[&gt;4 Units ]])</f>
        <v>5</v>
      </c>
      <c r="L245" s="155">
        <v>3</v>
      </c>
      <c r="M245" s="155">
        <v>1</v>
      </c>
      <c r="N245" s="155">
        <v>1</v>
      </c>
      <c r="O245" s="156">
        <v>3734.9</v>
      </c>
      <c r="P245" s="100">
        <f>VLOOKUP(Table3236[[#This Row],[Census Tract]],'Population and Diversity Data'!$B$2:$K$823,10,FALSE)</f>
        <v>5</v>
      </c>
      <c r="Q245" s="101" t="str">
        <f>VLOOKUP(Table3236[[#This Row],[Census Tract]],'UI EnergyBurden'!$A$2:$B$184,2,FALSE)</f>
        <v>Yes</v>
      </c>
    </row>
    <row r="246" spans="1:17" x14ac:dyDescent="0.2">
      <c r="A246" s="121">
        <v>9009140300</v>
      </c>
      <c r="B246" s="121" t="s">
        <v>943</v>
      </c>
      <c r="C246" s="128" t="s">
        <v>3887</v>
      </c>
      <c r="D246" s="152">
        <v>0</v>
      </c>
      <c r="E246" s="152">
        <v>0</v>
      </c>
      <c r="F246" s="153">
        <f>[2]!Table323[[#This Row],[Single Family]]+[2]!Table323[[#This Row],[2-4 Units]]+[2]!Table323[[#This Row],[&gt;4 Units]]</f>
        <v>0</v>
      </c>
      <c r="G246" s="153"/>
      <c r="H246" s="153"/>
      <c r="I246" s="153"/>
      <c r="J246" s="154">
        <v>0</v>
      </c>
      <c r="K246" s="153">
        <f>SUM([2]!Table323[[#This Row],[Single Family ]:[&gt;4 Units ]])</f>
        <v>0</v>
      </c>
      <c r="L246" s="155"/>
      <c r="M246" s="155"/>
      <c r="N246" s="155"/>
      <c r="O246" s="156">
        <v>0</v>
      </c>
      <c r="P246" s="100">
        <f>VLOOKUP(Table3236[[#This Row],[Census Tract]],'Population and Diversity Data'!$B$2:$K$823,10,FALSE)</f>
        <v>5</v>
      </c>
      <c r="Q246" s="101" t="str">
        <f>VLOOKUP(Table3236[[#This Row],[Census Tract]],'UI EnergyBurden'!$A$2:$B$184,2,FALSE)</f>
        <v>Yes</v>
      </c>
    </row>
    <row r="247" spans="1:17" x14ac:dyDescent="0.2">
      <c r="A247" s="121">
        <v>9009140400</v>
      </c>
      <c r="B247" s="121" t="s">
        <v>943</v>
      </c>
      <c r="C247" s="128" t="s">
        <v>3887</v>
      </c>
      <c r="D247" s="152">
        <v>35035.03795522271</v>
      </c>
      <c r="E247" s="152">
        <v>5144.1399999999994</v>
      </c>
      <c r="F247" s="153">
        <f>[2]!Table323[[#This Row],[Single Family]]+[2]!Table323[[#This Row],[2-4 Units]]+[2]!Table323[[#This Row],[&gt;4 Units]]</f>
        <v>4</v>
      </c>
      <c r="G247" s="153">
        <v>3</v>
      </c>
      <c r="H247" s="153">
        <v>1</v>
      </c>
      <c r="I247" s="153">
        <v>0</v>
      </c>
      <c r="J247" s="154">
        <v>2539.92</v>
      </c>
      <c r="K247" s="153">
        <f>SUM([2]!Table323[[#This Row],[Single Family ]:[&gt;4 Units ]])</f>
        <v>10</v>
      </c>
      <c r="L247" s="155">
        <v>1</v>
      </c>
      <c r="M247" s="155">
        <v>9</v>
      </c>
      <c r="N247" s="155">
        <v>0</v>
      </c>
      <c r="O247" s="156">
        <v>2604.2200000000003</v>
      </c>
      <c r="P247" s="100">
        <f>VLOOKUP(Table3236[[#This Row],[Census Tract]],'Population and Diversity Data'!$B$2:$K$823,10,FALSE)</f>
        <v>5</v>
      </c>
      <c r="Q247" s="101" t="str">
        <f>VLOOKUP(Table3236[[#This Row],[Census Tract]],'UI EnergyBurden'!$A$2:$B$184,2,FALSE)</f>
        <v>No</v>
      </c>
    </row>
    <row r="248" spans="1:17" x14ac:dyDescent="0.2">
      <c r="A248" s="121">
        <v>9009140400</v>
      </c>
      <c r="B248" s="121" t="s">
        <v>943</v>
      </c>
      <c r="C248" s="128" t="s">
        <v>3887</v>
      </c>
      <c r="D248" s="152">
        <v>0</v>
      </c>
      <c r="E248" s="152">
        <v>0</v>
      </c>
      <c r="F248" s="153">
        <f>[2]!Table323[[#This Row],[Single Family]]+[2]!Table323[[#This Row],[2-4 Units]]+[2]!Table323[[#This Row],[&gt;4 Units]]</f>
        <v>0</v>
      </c>
      <c r="G248" s="153"/>
      <c r="H248" s="153"/>
      <c r="I248" s="153"/>
      <c r="J248" s="154">
        <v>0</v>
      </c>
      <c r="K248" s="153">
        <f>SUM([2]!Table323[[#This Row],[Single Family ]:[&gt;4 Units ]])</f>
        <v>0</v>
      </c>
      <c r="L248" s="155"/>
      <c r="M248" s="155"/>
      <c r="N248" s="155"/>
      <c r="O248" s="156">
        <v>0</v>
      </c>
      <c r="P248" s="100">
        <f>VLOOKUP(Table3236[[#This Row],[Census Tract]],'Population and Diversity Data'!$B$2:$K$823,10,FALSE)</f>
        <v>5</v>
      </c>
      <c r="Q248" s="101" t="str">
        <f>VLOOKUP(Table3236[[#This Row],[Census Tract]],'UI EnergyBurden'!$A$2:$B$184,2,FALSE)</f>
        <v>No</v>
      </c>
    </row>
    <row r="249" spans="1:17" x14ac:dyDescent="0.2">
      <c r="A249" s="121">
        <v>9009140500</v>
      </c>
      <c r="B249" s="121" t="s">
        <v>943</v>
      </c>
      <c r="C249" s="128" t="s">
        <v>3887</v>
      </c>
      <c r="D249" s="152">
        <v>35292.837574379926</v>
      </c>
      <c r="E249" s="152">
        <v>12947.480000000001</v>
      </c>
      <c r="F249" s="153">
        <f>[2]!Table323[[#This Row],[Single Family]]+[2]!Table323[[#This Row],[2-4 Units]]+[2]!Table323[[#This Row],[&gt;4 Units]]</f>
        <v>7</v>
      </c>
      <c r="G249" s="153">
        <v>6</v>
      </c>
      <c r="H249" s="153">
        <v>1</v>
      </c>
      <c r="I249" s="153">
        <v>0</v>
      </c>
      <c r="J249" s="154">
        <v>8623.01</v>
      </c>
      <c r="K249" s="153">
        <f>SUM([2]!Table323[[#This Row],[Single Family ]:[&gt;4 Units ]])</f>
        <v>5</v>
      </c>
      <c r="L249" s="155">
        <v>2</v>
      </c>
      <c r="M249" s="155">
        <v>3</v>
      </c>
      <c r="N249" s="155">
        <v>0</v>
      </c>
      <c r="O249" s="156">
        <v>4324.47</v>
      </c>
      <c r="P249" s="100">
        <f>VLOOKUP(Table3236[[#This Row],[Census Tract]],'Population and Diversity Data'!$B$2:$K$823,10,FALSE)</f>
        <v>5</v>
      </c>
      <c r="Q249" s="101" t="str">
        <f>VLOOKUP(Table3236[[#This Row],[Census Tract]],'UI EnergyBurden'!$A$2:$B$184,2,FALSE)</f>
        <v>Yes</v>
      </c>
    </row>
    <row r="250" spans="1:17" x14ac:dyDescent="0.2">
      <c r="A250" s="121">
        <v>9009140500</v>
      </c>
      <c r="B250" s="121" t="s">
        <v>943</v>
      </c>
      <c r="C250" s="128" t="s">
        <v>3887</v>
      </c>
      <c r="D250" s="152">
        <v>0</v>
      </c>
      <c r="E250" s="152">
        <v>0</v>
      </c>
      <c r="F250" s="153">
        <f>[2]!Table323[[#This Row],[Single Family]]+[2]!Table323[[#This Row],[2-4 Units]]+[2]!Table323[[#This Row],[&gt;4 Units]]</f>
        <v>0</v>
      </c>
      <c r="G250" s="153"/>
      <c r="H250" s="153"/>
      <c r="I250" s="153"/>
      <c r="J250" s="154">
        <v>0</v>
      </c>
      <c r="K250" s="153">
        <f>SUM([2]!Table323[[#This Row],[Single Family ]:[&gt;4 Units ]])</f>
        <v>0</v>
      </c>
      <c r="L250" s="155"/>
      <c r="M250" s="155"/>
      <c r="N250" s="155"/>
      <c r="O250" s="156">
        <v>0</v>
      </c>
      <c r="P250" s="100">
        <f>VLOOKUP(Table3236[[#This Row],[Census Tract]],'Population and Diversity Data'!$B$2:$K$823,10,FALSE)</f>
        <v>5</v>
      </c>
      <c r="Q250" s="101" t="str">
        <f>VLOOKUP(Table3236[[#This Row],[Census Tract]],'UI EnergyBurden'!$A$2:$B$184,2,FALSE)</f>
        <v>Yes</v>
      </c>
    </row>
    <row r="251" spans="1:17" x14ac:dyDescent="0.2">
      <c r="A251" s="121">
        <v>9009140600</v>
      </c>
      <c r="B251" s="121" t="s">
        <v>943</v>
      </c>
      <c r="C251" s="128" t="s">
        <v>3887</v>
      </c>
      <c r="D251" s="152">
        <v>43737.512124874716</v>
      </c>
      <c r="E251" s="152">
        <v>625.41</v>
      </c>
      <c r="F251" s="153">
        <f>[2]!Table323[[#This Row],[Single Family]]+[2]!Table323[[#This Row],[2-4 Units]]+[2]!Table323[[#This Row],[&gt;4 Units]]</f>
        <v>1</v>
      </c>
      <c r="G251" s="153">
        <v>1</v>
      </c>
      <c r="H251" s="153">
        <v>0</v>
      </c>
      <c r="I251" s="153">
        <v>0</v>
      </c>
      <c r="J251" s="154">
        <v>210.02999999999997</v>
      </c>
      <c r="K251" s="153">
        <f>SUM([2]!Table323[[#This Row],[Single Family ]:[&gt;4 Units ]])</f>
        <v>4</v>
      </c>
      <c r="L251" s="155">
        <v>0</v>
      </c>
      <c r="M251" s="155">
        <v>4</v>
      </c>
      <c r="N251" s="155">
        <v>0</v>
      </c>
      <c r="O251" s="156">
        <v>415.38</v>
      </c>
      <c r="P251" s="100">
        <f>VLOOKUP(Table3236[[#This Row],[Census Tract]],'Population and Diversity Data'!$B$2:$K$823,10,FALSE)</f>
        <v>5</v>
      </c>
      <c r="Q251" s="101" t="str">
        <f>VLOOKUP(Table3236[[#This Row],[Census Tract]],'UI EnergyBurden'!$A$2:$B$184,2,FALSE)</f>
        <v>Yes</v>
      </c>
    </row>
    <row r="252" spans="1:17" x14ac:dyDescent="0.2">
      <c r="A252" s="121">
        <v>9009140600</v>
      </c>
      <c r="B252" s="121" t="s">
        <v>943</v>
      </c>
      <c r="C252" s="128" t="s">
        <v>3887</v>
      </c>
      <c r="D252" s="152">
        <v>0</v>
      </c>
      <c r="E252" s="152">
        <v>0</v>
      </c>
      <c r="F252" s="153">
        <f>[2]!Table323[[#This Row],[Single Family]]+[2]!Table323[[#This Row],[2-4 Units]]+[2]!Table323[[#This Row],[&gt;4 Units]]</f>
        <v>0</v>
      </c>
      <c r="G252" s="153"/>
      <c r="H252" s="153"/>
      <c r="I252" s="153"/>
      <c r="J252" s="154">
        <v>0</v>
      </c>
      <c r="K252" s="153">
        <f>SUM([2]!Table323[[#This Row],[Single Family ]:[&gt;4 Units ]])</f>
        <v>0</v>
      </c>
      <c r="L252" s="155"/>
      <c r="M252" s="155"/>
      <c r="N252" s="155"/>
      <c r="O252" s="156"/>
      <c r="P252" s="100">
        <f>VLOOKUP(Table3236[[#This Row],[Census Tract]],'Population and Diversity Data'!$B$2:$K$823,10,FALSE)</f>
        <v>5</v>
      </c>
      <c r="Q252" s="101" t="str">
        <f>VLOOKUP(Table3236[[#This Row],[Census Tract]],'UI EnergyBurden'!$A$2:$B$184,2,FALSE)</f>
        <v>Yes</v>
      </c>
    </row>
    <row r="253" spans="1:17" x14ac:dyDescent="0.2">
      <c r="A253" s="121">
        <v>9009140700</v>
      </c>
      <c r="B253" s="121" t="s">
        <v>943</v>
      </c>
      <c r="C253" s="128" t="s">
        <v>3887</v>
      </c>
      <c r="D253" s="152">
        <v>39184.120176710734</v>
      </c>
      <c r="E253" s="152">
        <v>8071.130000000001</v>
      </c>
      <c r="F253" s="153">
        <f>[2]!Table323[[#This Row],[Single Family]]+[2]!Table323[[#This Row],[2-4 Units]]+[2]!Table323[[#This Row],[&gt;4 Units]]</f>
        <v>3</v>
      </c>
      <c r="G253" s="153">
        <v>1</v>
      </c>
      <c r="H253" s="153">
        <v>2</v>
      </c>
      <c r="I253" s="153">
        <v>0</v>
      </c>
      <c r="J253" s="154">
        <v>3302.0099999999998</v>
      </c>
      <c r="K253" s="153">
        <f>SUM([2]!Table323[[#This Row],[Single Family ]:[&gt;4 Units ]])</f>
        <v>12</v>
      </c>
      <c r="L253" s="155">
        <v>0</v>
      </c>
      <c r="M253" s="155">
        <v>12</v>
      </c>
      <c r="N253" s="155">
        <v>0</v>
      </c>
      <c r="O253" s="156">
        <v>4769.1200000000008</v>
      </c>
      <c r="P253" s="100">
        <f>VLOOKUP(Table3236[[#This Row],[Census Tract]],'Population and Diversity Data'!$B$2:$K$823,10,FALSE)</f>
        <v>5</v>
      </c>
      <c r="Q253" s="101" t="str">
        <f>VLOOKUP(Table3236[[#This Row],[Census Tract]],'UI EnergyBurden'!$A$2:$B$184,2,FALSE)</f>
        <v>No</v>
      </c>
    </row>
    <row r="254" spans="1:17" x14ac:dyDescent="0.2">
      <c r="A254" s="121">
        <v>9009140700</v>
      </c>
      <c r="B254" s="121" t="s">
        <v>943</v>
      </c>
      <c r="C254" s="128" t="s">
        <v>3887</v>
      </c>
      <c r="D254" s="152">
        <v>0</v>
      </c>
      <c r="E254" s="152">
        <v>0</v>
      </c>
      <c r="F254" s="153">
        <f>[2]!Table323[[#This Row],[Single Family]]+[2]!Table323[[#This Row],[2-4 Units]]+[2]!Table323[[#This Row],[&gt;4 Units]]</f>
        <v>0</v>
      </c>
      <c r="G254" s="153"/>
      <c r="H254" s="153"/>
      <c r="I254" s="153"/>
      <c r="J254" s="154">
        <v>0</v>
      </c>
      <c r="K254" s="153">
        <f>SUM([2]!Table323[[#This Row],[Single Family ]:[&gt;4 Units ]])</f>
        <v>0</v>
      </c>
      <c r="L254" s="155"/>
      <c r="M254" s="155"/>
      <c r="N254" s="155"/>
      <c r="O254" s="156">
        <v>0</v>
      </c>
      <c r="P254" s="100">
        <f>VLOOKUP(Table3236[[#This Row],[Census Tract]],'Population and Diversity Data'!$B$2:$K$823,10,FALSE)</f>
        <v>5</v>
      </c>
      <c r="Q254" s="101" t="str">
        <f>VLOOKUP(Table3236[[#This Row],[Census Tract]],'UI EnergyBurden'!$A$2:$B$184,2,FALSE)</f>
        <v>No</v>
      </c>
    </row>
    <row r="255" spans="1:17" x14ac:dyDescent="0.2">
      <c r="A255" s="121">
        <v>9009140800</v>
      </c>
      <c r="B255" s="121" t="s">
        <v>943</v>
      </c>
      <c r="C255" s="128" t="s">
        <v>3887</v>
      </c>
      <c r="D255" s="152">
        <v>42340.433104963202</v>
      </c>
      <c r="E255" s="152">
        <v>4095.2599999999993</v>
      </c>
      <c r="F255" s="153">
        <f>[2]!Table323[[#This Row],[Single Family]]+[2]!Table323[[#This Row],[2-4 Units]]+[2]!Table323[[#This Row],[&gt;4 Units]]</f>
        <v>2</v>
      </c>
      <c r="G255" s="153">
        <v>1</v>
      </c>
      <c r="H255" s="153">
        <v>0</v>
      </c>
      <c r="I255" s="153">
        <v>1</v>
      </c>
      <c r="J255" s="154">
        <v>83.389999999999986</v>
      </c>
      <c r="K255" s="153">
        <f>SUM([2]!Table323[[#This Row],[Single Family ]:[&gt;4 Units ]])</f>
        <v>13</v>
      </c>
      <c r="L255" s="155">
        <v>1</v>
      </c>
      <c r="M255" s="155">
        <v>12</v>
      </c>
      <c r="N255" s="155">
        <v>0</v>
      </c>
      <c r="O255" s="156">
        <v>4011.8699999999994</v>
      </c>
      <c r="P255" s="100">
        <f>VLOOKUP(Table3236[[#This Row],[Census Tract]],'Population and Diversity Data'!$B$2:$K$823,10,FALSE)</f>
        <v>4</v>
      </c>
      <c r="Q255" s="101" t="str">
        <f>VLOOKUP(Table3236[[#This Row],[Census Tract]],'UI EnergyBurden'!$A$2:$B$184,2,FALSE)</f>
        <v>No</v>
      </c>
    </row>
    <row r="256" spans="1:17" x14ac:dyDescent="0.2">
      <c r="A256" s="121">
        <v>9009140800</v>
      </c>
      <c r="B256" s="121" t="s">
        <v>950</v>
      </c>
      <c r="C256" s="128" t="s">
        <v>3887</v>
      </c>
      <c r="D256" s="152">
        <v>43.290539725957338</v>
      </c>
      <c r="E256" s="152">
        <v>0</v>
      </c>
      <c r="F256" s="153">
        <f>[2]!Table323[[#This Row],[Single Family]]+[2]!Table323[[#This Row],[2-4 Units]]+[2]!Table323[[#This Row],[&gt;4 Units]]</f>
        <v>0</v>
      </c>
      <c r="G256" s="153"/>
      <c r="H256" s="153"/>
      <c r="I256" s="153"/>
      <c r="J256" s="154">
        <v>0</v>
      </c>
      <c r="K256" s="153">
        <f>SUM([2]!Table323[[#This Row],[Single Family ]:[&gt;4 Units ]])</f>
        <v>0</v>
      </c>
      <c r="L256" s="155"/>
      <c r="M256" s="155"/>
      <c r="N256" s="155"/>
      <c r="O256" s="156"/>
      <c r="P256" s="100">
        <f>VLOOKUP(Table3236[[#This Row],[Census Tract]],'Population and Diversity Data'!$B$2:$K$823,10,FALSE)</f>
        <v>4</v>
      </c>
      <c r="Q256" s="101" t="str">
        <f>VLOOKUP(Table3236[[#This Row],[Census Tract]],'UI EnergyBurden'!$A$2:$B$184,2,FALSE)</f>
        <v>No</v>
      </c>
    </row>
    <row r="257" spans="1:17" x14ac:dyDescent="0.2">
      <c r="A257" s="121">
        <v>9009140800</v>
      </c>
      <c r="B257" s="121" t="s">
        <v>943</v>
      </c>
      <c r="C257" s="128" t="s">
        <v>3887</v>
      </c>
      <c r="D257" s="152">
        <v>1811.5823598662323</v>
      </c>
      <c r="E257" s="152">
        <v>0</v>
      </c>
      <c r="F257" s="153">
        <f>[2]!Table323[[#This Row],[Single Family]]+[2]!Table323[[#This Row],[2-4 Units]]+[2]!Table323[[#This Row],[&gt;4 Units]]</f>
        <v>0</v>
      </c>
      <c r="G257" s="153"/>
      <c r="H257" s="153"/>
      <c r="I257" s="153"/>
      <c r="J257" s="154">
        <v>0</v>
      </c>
      <c r="K257" s="153">
        <f>SUM([2]!Table323[[#This Row],[Single Family ]:[&gt;4 Units ]])</f>
        <v>0</v>
      </c>
      <c r="L257" s="155"/>
      <c r="M257" s="155"/>
      <c r="N257" s="155"/>
      <c r="O257" s="156">
        <v>0</v>
      </c>
      <c r="P257" s="100">
        <f>VLOOKUP(Table3236[[#This Row],[Census Tract]],'Population and Diversity Data'!$B$2:$K$823,10,FALSE)</f>
        <v>4</v>
      </c>
      <c r="Q257" s="101" t="str">
        <f>VLOOKUP(Table3236[[#This Row],[Census Tract]],'UI EnergyBurden'!$A$2:$B$184,2,FALSE)</f>
        <v>No</v>
      </c>
    </row>
    <row r="258" spans="1:17" x14ac:dyDescent="0.2">
      <c r="A258" s="121">
        <v>9009140900</v>
      </c>
      <c r="B258" s="121" t="s">
        <v>943</v>
      </c>
      <c r="C258" s="128" t="s">
        <v>3887</v>
      </c>
      <c r="D258" s="152">
        <v>48936.578064128909</v>
      </c>
      <c r="E258" s="152">
        <v>54961.520000000004</v>
      </c>
      <c r="F258" s="153">
        <f>[2]!Table323[[#This Row],[Single Family]]+[2]!Table323[[#This Row],[2-4 Units]]+[2]!Table323[[#This Row],[&gt;4 Units]]</f>
        <v>10</v>
      </c>
      <c r="G258" s="153">
        <v>4</v>
      </c>
      <c r="H258" s="153">
        <v>6</v>
      </c>
      <c r="I258" s="153">
        <v>0</v>
      </c>
      <c r="J258" s="154">
        <v>4133.82</v>
      </c>
      <c r="K258" s="153">
        <f>SUM([2]!Table323[[#This Row],[Single Family ]:[&gt;4 Units ]])</f>
        <v>17</v>
      </c>
      <c r="L258" s="155">
        <v>4</v>
      </c>
      <c r="M258" s="155">
        <v>12</v>
      </c>
      <c r="N258" s="155">
        <v>1</v>
      </c>
      <c r="O258" s="156">
        <v>50827.700000000004</v>
      </c>
      <c r="P258" s="100">
        <f>VLOOKUP(Table3236[[#This Row],[Census Tract]],'Population and Diversity Data'!$B$2:$K$823,10,FALSE)</f>
        <v>3</v>
      </c>
      <c r="Q258" s="101" t="str">
        <f>VLOOKUP(Table3236[[#This Row],[Census Tract]],'UI EnergyBurden'!$A$2:$B$184,2,FALSE)</f>
        <v>No</v>
      </c>
    </row>
    <row r="259" spans="1:17" x14ac:dyDescent="0.2">
      <c r="A259" s="121">
        <v>9009140900</v>
      </c>
      <c r="B259" s="121" t="s">
        <v>943</v>
      </c>
      <c r="C259" s="128" t="s">
        <v>3887</v>
      </c>
      <c r="D259" s="152">
        <v>0</v>
      </c>
      <c r="E259" s="152">
        <v>0</v>
      </c>
      <c r="F259" s="153">
        <f>[2]!Table323[[#This Row],[Single Family]]+[2]!Table323[[#This Row],[2-4 Units]]+[2]!Table323[[#This Row],[&gt;4 Units]]</f>
        <v>0</v>
      </c>
      <c r="G259" s="153"/>
      <c r="H259" s="153"/>
      <c r="I259" s="153"/>
      <c r="J259" s="154">
        <v>0</v>
      </c>
      <c r="K259" s="153">
        <f>SUM([2]!Table323[[#This Row],[Single Family ]:[&gt;4 Units ]])</f>
        <v>0</v>
      </c>
      <c r="L259" s="155"/>
      <c r="M259" s="155"/>
      <c r="N259" s="155"/>
      <c r="O259" s="156"/>
      <c r="P259" s="100">
        <f>VLOOKUP(Table3236[[#This Row],[Census Tract]],'Population and Diversity Data'!$B$2:$K$823,10,FALSE)</f>
        <v>3</v>
      </c>
      <c r="Q259" s="101" t="str">
        <f>VLOOKUP(Table3236[[#This Row],[Census Tract]],'UI EnergyBurden'!$A$2:$B$184,2,FALSE)</f>
        <v>No</v>
      </c>
    </row>
    <row r="260" spans="1:17" x14ac:dyDescent="0.2">
      <c r="A260" s="121">
        <v>9009141000</v>
      </c>
      <c r="B260" s="121" t="s">
        <v>943</v>
      </c>
      <c r="C260" s="128" t="s">
        <v>3886</v>
      </c>
      <c r="D260" s="152">
        <v>46361.264159384191</v>
      </c>
      <c r="E260" s="152">
        <v>88211.510000000009</v>
      </c>
      <c r="F260" s="153">
        <f>[2]!Table323[[#This Row],[Single Family]]+[2]!Table323[[#This Row],[2-4 Units]]+[2]!Table323[[#This Row],[&gt;4 Units]]</f>
        <v>40</v>
      </c>
      <c r="G260" s="153">
        <v>38</v>
      </c>
      <c r="H260" s="153">
        <v>1</v>
      </c>
      <c r="I260" s="153">
        <v>1</v>
      </c>
      <c r="J260" s="154">
        <v>76959.310000000012</v>
      </c>
      <c r="K260" s="153">
        <f>SUM([2]!Table323[[#This Row],[Single Family ]:[&gt;4 Units ]])</f>
        <v>11</v>
      </c>
      <c r="L260" s="155">
        <v>4</v>
      </c>
      <c r="M260" s="155">
        <v>7</v>
      </c>
      <c r="N260" s="155">
        <v>0</v>
      </c>
      <c r="O260" s="156">
        <v>11252.199999999999</v>
      </c>
      <c r="P260" s="100">
        <f>VLOOKUP(Table3236[[#This Row],[Census Tract]],'Population and Diversity Data'!$B$2:$K$823,10,FALSE)</f>
        <v>4</v>
      </c>
      <c r="Q260" s="101" t="str">
        <f>VLOOKUP(Table3236[[#This Row],[Census Tract]],'UI EnergyBurden'!$A$2:$B$184,2,FALSE)</f>
        <v>No</v>
      </c>
    </row>
    <row r="261" spans="1:17" x14ac:dyDescent="0.2">
      <c r="A261" s="121">
        <v>9009141000</v>
      </c>
      <c r="B261" s="121" t="s">
        <v>943</v>
      </c>
      <c r="C261" s="128" t="s">
        <v>3886</v>
      </c>
      <c r="D261" s="152">
        <v>0</v>
      </c>
      <c r="E261" s="152">
        <v>0</v>
      </c>
      <c r="F261" s="153">
        <f>[2]!Table323[[#This Row],[Single Family]]+[2]!Table323[[#This Row],[2-4 Units]]+[2]!Table323[[#This Row],[&gt;4 Units]]</f>
        <v>0</v>
      </c>
      <c r="G261" s="153"/>
      <c r="H261" s="153"/>
      <c r="I261" s="153"/>
      <c r="J261" s="154">
        <v>0</v>
      </c>
      <c r="K261" s="153">
        <f>SUM([2]!Table323[[#This Row],[Single Family ]:[&gt;4 Units ]])</f>
        <v>0</v>
      </c>
      <c r="L261" s="155"/>
      <c r="M261" s="155"/>
      <c r="N261" s="155"/>
      <c r="O261" s="156">
        <v>0</v>
      </c>
      <c r="P261" s="100">
        <f>VLOOKUP(Table3236[[#This Row],[Census Tract]],'Population and Diversity Data'!$B$2:$K$823,10,FALSE)</f>
        <v>4</v>
      </c>
      <c r="Q261" s="101" t="str">
        <f>VLOOKUP(Table3236[[#This Row],[Census Tract]],'UI EnergyBurden'!$A$2:$B$184,2,FALSE)</f>
        <v>No</v>
      </c>
    </row>
    <row r="262" spans="1:17" x14ac:dyDescent="0.2">
      <c r="A262" s="121">
        <v>9009141100</v>
      </c>
      <c r="B262" s="121" t="s">
        <v>943</v>
      </c>
      <c r="C262" s="128" t="s">
        <v>3886</v>
      </c>
      <c r="D262" s="152">
        <v>38589.257285143176</v>
      </c>
      <c r="E262" s="152">
        <v>121501.10999999999</v>
      </c>
      <c r="F262" s="153">
        <f>[2]!Table323[[#This Row],[Single Family]]+[2]!Table323[[#This Row],[2-4 Units]]+[2]!Table323[[#This Row],[&gt;4 Units]]</f>
        <v>38</v>
      </c>
      <c r="G262" s="153">
        <v>38</v>
      </c>
      <c r="H262" s="153">
        <v>0</v>
      </c>
      <c r="I262" s="153">
        <v>0</v>
      </c>
      <c r="J262" s="154">
        <v>64148.250000000007</v>
      </c>
      <c r="K262" s="153">
        <f>SUM([2]!Table323[[#This Row],[Single Family ]:[&gt;4 Units ]])</f>
        <v>10</v>
      </c>
      <c r="L262" s="155">
        <v>7</v>
      </c>
      <c r="M262" s="155">
        <v>3</v>
      </c>
      <c r="N262" s="155">
        <v>0</v>
      </c>
      <c r="O262" s="156">
        <v>57352.86</v>
      </c>
      <c r="P262" s="100">
        <f>VLOOKUP(Table3236[[#This Row],[Census Tract]],'Population and Diversity Data'!$B$2:$K$823,10,FALSE)</f>
        <v>4</v>
      </c>
      <c r="Q262" s="101" t="str">
        <f>VLOOKUP(Table3236[[#This Row],[Census Tract]],'UI EnergyBurden'!$A$2:$B$184,2,FALSE)</f>
        <v>No</v>
      </c>
    </row>
    <row r="263" spans="1:17" x14ac:dyDescent="0.2">
      <c r="A263" s="121">
        <v>9009141100</v>
      </c>
      <c r="B263" s="121" t="s">
        <v>950</v>
      </c>
      <c r="C263" s="128" t="s">
        <v>3886</v>
      </c>
      <c r="D263" s="152">
        <v>0</v>
      </c>
      <c r="E263" s="152">
        <v>0</v>
      </c>
      <c r="F263" s="153">
        <f>[2]!Table323[[#This Row],[Single Family]]+[2]!Table323[[#This Row],[2-4 Units]]+[2]!Table323[[#This Row],[&gt;4 Units]]</f>
        <v>0</v>
      </c>
      <c r="G263" s="153"/>
      <c r="H263" s="153"/>
      <c r="I263" s="153"/>
      <c r="J263" s="154">
        <v>0</v>
      </c>
      <c r="K263" s="153">
        <f>SUM([2]!Table323[[#This Row],[Single Family ]:[&gt;4 Units ]])</f>
        <v>0</v>
      </c>
      <c r="L263" s="155"/>
      <c r="M263" s="155"/>
      <c r="N263" s="155"/>
      <c r="O263" s="156"/>
      <c r="P263" s="100">
        <f>VLOOKUP(Table3236[[#This Row],[Census Tract]],'Population and Diversity Data'!$B$2:$K$823,10,FALSE)</f>
        <v>4</v>
      </c>
      <c r="Q263" s="101" t="str">
        <f>VLOOKUP(Table3236[[#This Row],[Census Tract]],'UI EnergyBurden'!$A$2:$B$184,2,FALSE)</f>
        <v>No</v>
      </c>
    </row>
    <row r="264" spans="1:17" x14ac:dyDescent="0.2">
      <c r="A264" s="121">
        <v>9009141100</v>
      </c>
      <c r="B264" s="121" t="s">
        <v>943</v>
      </c>
      <c r="C264" s="128" t="s">
        <v>3886</v>
      </c>
      <c r="D264" s="152">
        <v>0</v>
      </c>
      <c r="E264" s="152">
        <v>0</v>
      </c>
      <c r="F264" s="153">
        <f>[2]!Table323[[#This Row],[Single Family]]+[2]!Table323[[#This Row],[2-4 Units]]+[2]!Table323[[#This Row],[&gt;4 Units]]</f>
        <v>0</v>
      </c>
      <c r="G264" s="153"/>
      <c r="H264" s="153"/>
      <c r="I264" s="153"/>
      <c r="J264" s="154">
        <v>0</v>
      </c>
      <c r="K264" s="153">
        <f>SUM([2]!Table323[[#This Row],[Single Family ]:[&gt;4 Units ]])</f>
        <v>0</v>
      </c>
      <c r="L264" s="155"/>
      <c r="M264" s="155"/>
      <c r="N264" s="155"/>
      <c r="O264" s="156">
        <v>0</v>
      </c>
      <c r="P264" s="100">
        <f>VLOOKUP(Table3236[[#This Row],[Census Tract]],'Population and Diversity Data'!$B$2:$K$823,10,FALSE)</f>
        <v>4</v>
      </c>
      <c r="Q264" s="101" t="str">
        <f>VLOOKUP(Table3236[[#This Row],[Census Tract]],'UI EnergyBurden'!$A$2:$B$184,2,FALSE)</f>
        <v>No</v>
      </c>
    </row>
    <row r="265" spans="1:17" x14ac:dyDescent="0.2">
      <c r="A265" s="121">
        <v>9009141200</v>
      </c>
      <c r="B265" s="121" t="s">
        <v>943</v>
      </c>
      <c r="C265" s="128" t="s">
        <v>3886</v>
      </c>
      <c r="D265" s="152">
        <v>52887.572710910528</v>
      </c>
      <c r="E265" s="152">
        <v>156693.26999999996</v>
      </c>
      <c r="F265" s="153">
        <f>[2]!Table323[[#This Row],[Single Family]]+[2]!Table323[[#This Row],[2-4 Units]]+[2]!Table323[[#This Row],[&gt;4 Units]]</f>
        <v>10</v>
      </c>
      <c r="G265" s="153">
        <v>7</v>
      </c>
      <c r="H265" s="153">
        <v>2</v>
      </c>
      <c r="I265" s="153">
        <v>1</v>
      </c>
      <c r="J265" s="154">
        <v>125444.76</v>
      </c>
      <c r="K265" s="153">
        <f>SUM([2]!Table323[[#This Row],[Single Family ]:[&gt;4 Units ]])</f>
        <v>21</v>
      </c>
      <c r="L265" s="155">
        <v>12</v>
      </c>
      <c r="M265" s="155">
        <v>9</v>
      </c>
      <c r="N265" s="155">
        <v>0</v>
      </c>
      <c r="O265" s="156">
        <v>31248.510000000002</v>
      </c>
      <c r="P265" s="100">
        <f>VLOOKUP(Table3236[[#This Row],[Census Tract]],'Population and Diversity Data'!$B$2:$K$823,10,FALSE)</f>
        <v>5</v>
      </c>
      <c r="Q265" s="101" t="str">
        <f>VLOOKUP(Table3236[[#This Row],[Census Tract]],'UI EnergyBurden'!$A$2:$B$184,2,FALSE)</f>
        <v>No</v>
      </c>
    </row>
    <row r="266" spans="1:17" x14ac:dyDescent="0.2">
      <c r="A266" s="121">
        <v>9009141200</v>
      </c>
      <c r="B266" s="121" t="s">
        <v>956</v>
      </c>
      <c r="C266" s="128" t="s">
        <v>3886</v>
      </c>
      <c r="D266" s="152">
        <v>386.36933663915642</v>
      </c>
      <c r="E266" s="152">
        <v>0</v>
      </c>
      <c r="F266" s="153">
        <f>[2]!Table323[[#This Row],[Single Family]]+[2]!Table323[[#This Row],[2-4 Units]]+[2]!Table323[[#This Row],[&gt;4 Units]]</f>
        <v>0</v>
      </c>
      <c r="G266" s="153"/>
      <c r="H266" s="153"/>
      <c r="I266" s="153"/>
      <c r="J266" s="154">
        <v>0</v>
      </c>
      <c r="K266" s="153">
        <f>SUM([2]!Table323[[#This Row],[Single Family ]:[&gt;4 Units ]])</f>
        <v>0</v>
      </c>
      <c r="L266" s="155"/>
      <c r="M266" s="155"/>
      <c r="N266" s="155"/>
      <c r="O266" s="156"/>
      <c r="P266" s="100">
        <f>VLOOKUP(Table3236[[#This Row],[Census Tract]],'Population and Diversity Data'!$B$2:$K$823,10,FALSE)</f>
        <v>5</v>
      </c>
      <c r="Q266" s="101" t="str">
        <f>VLOOKUP(Table3236[[#This Row],[Census Tract]],'UI EnergyBurden'!$A$2:$B$184,2,FALSE)</f>
        <v>No</v>
      </c>
    </row>
    <row r="267" spans="1:17" x14ac:dyDescent="0.2">
      <c r="A267" s="121">
        <v>9009141200</v>
      </c>
      <c r="B267" s="121" t="s">
        <v>2994</v>
      </c>
      <c r="C267" s="128" t="s">
        <v>3886</v>
      </c>
      <c r="D267" s="152">
        <v>0</v>
      </c>
      <c r="E267" s="152">
        <v>0</v>
      </c>
      <c r="F267" s="153">
        <f>[2]!Table323[[#This Row],[Single Family]]+[2]!Table323[[#This Row],[2-4 Units]]+[2]!Table323[[#This Row],[&gt;4 Units]]</f>
        <v>0</v>
      </c>
      <c r="G267" s="153"/>
      <c r="H267" s="153"/>
      <c r="I267" s="153"/>
      <c r="J267" s="154">
        <v>0</v>
      </c>
      <c r="K267" s="153">
        <f>SUM([2]!Table323[[#This Row],[Single Family ]:[&gt;4 Units ]])</f>
        <v>0</v>
      </c>
      <c r="L267" s="155"/>
      <c r="M267" s="155"/>
      <c r="N267" s="155"/>
      <c r="O267" s="156">
        <v>0</v>
      </c>
      <c r="P267" s="100">
        <f>VLOOKUP(Table3236[[#This Row],[Census Tract]],'Population and Diversity Data'!$B$2:$K$823,10,FALSE)</f>
        <v>5</v>
      </c>
      <c r="Q267" s="101" t="str">
        <f>VLOOKUP(Table3236[[#This Row],[Census Tract]],'UI EnergyBurden'!$A$2:$B$184,2,FALSE)</f>
        <v>No</v>
      </c>
    </row>
    <row r="268" spans="1:17" x14ac:dyDescent="0.2">
      <c r="A268" s="121">
        <v>9009141200</v>
      </c>
      <c r="B268" s="121" t="s">
        <v>943</v>
      </c>
      <c r="C268" s="128" t="s">
        <v>3886</v>
      </c>
      <c r="D268" s="152">
        <v>0</v>
      </c>
      <c r="E268" s="152">
        <v>0</v>
      </c>
      <c r="F268" s="153">
        <f>[2]!Table323[[#This Row],[Single Family]]+[2]!Table323[[#This Row],[2-4 Units]]+[2]!Table323[[#This Row],[&gt;4 Units]]</f>
        <v>0</v>
      </c>
      <c r="G268" s="153"/>
      <c r="H268" s="153"/>
      <c r="I268" s="153"/>
      <c r="J268" s="154">
        <v>0</v>
      </c>
      <c r="K268" s="153">
        <f>SUM([2]!Table323[[#This Row],[Single Family ]:[&gt;4 Units ]])</f>
        <v>0</v>
      </c>
      <c r="L268" s="155"/>
      <c r="M268" s="155"/>
      <c r="N268" s="155"/>
      <c r="O268" s="156">
        <v>0</v>
      </c>
      <c r="P268" s="100">
        <f>VLOOKUP(Table3236[[#This Row],[Census Tract]],'Population and Diversity Data'!$B$2:$K$823,10,FALSE)</f>
        <v>5</v>
      </c>
      <c r="Q268" s="101" t="str">
        <f>VLOOKUP(Table3236[[#This Row],[Census Tract]],'UI EnergyBurden'!$A$2:$B$184,2,FALSE)</f>
        <v>No</v>
      </c>
    </row>
    <row r="269" spans="1:17" x14ac:dyDescent="0.2">
      <c r="A269" s="121">
        <v>9009141300</v>
      </c>
      <c r="B269" s="121" t="s">
        <v>953</v>
      </c>
      <c r="C269" s="128" t="s">
        <v>3887</v>
      </c>
      <c r="D269" s="152">
        <v>137.23521210342409</v>
      </c>
      <c r="E269" s="152">
        <v>0</v>
      </c>
      <c r="F269" s="153">
        <f>[2]!Table323[[#This Row],[Single Family]]+[2]!Table323[[#This Row],[2-4 Units]]+[2]!Table323[[#This Row],[&gt;4 Units]]</f>
        <v>0</v>
      </c>
      <c r="G269" s="153"/>
      <c r="H269" s="153"/>
      <c r="I269" s="153"/>
      <c r="J269" s="154">
        <v>0</v>
      </c>
      <c r="K269" s="153">
        <f>SUM([2]!Table323[[#This Row],[Single Family ]:[&gt;4 Units ]])</f>
        <v>0</v>
      </c>
      <c r="L269" s="155"/>
      <c r="M269" s="155"/>
      <c r="N269" s="155"/>
      <c r="O269" s="156"/>
      <c r="P269" s="100">
        <f>VLOOKUP(Table3236[[#This Row],[Census Tract]],'Population and Diversity Data'!$B$2:$K$823,10,FALSE)</f>
        <v>3</v>
      </c>
      <c r="Q269" s="101" t="str">
        <f>VLOOKUP(Table3236[[#This Row],[Census Tract]],'UI EnergyBurden'!$A$2:$B$184,2,FALSE)</f>
        <v>No</v>
      </c>
    </row>
    <row r="270" spans="1:17" x14ac:dyDescent="0.2">
      <c r="A270" s="121">
        <v>9009141300</v>
      </c>
      <c r="B270" s="121" t="s">
        <v>943</v>
      </c>
      <c r="C270" s="128" t="s">
        <v>3887</v>
      </c>
      <c r="D270" s="152">
        <v>58797.592392958701</v>
      </c>
      <c r="E270" s="152">
        <v>13128.220000000001</v>
      </c>
      <c r="F270" s="153">
        <f>[2]!Table323[[#This Row],[Single Family]]+[2]!Table323[[#This Row],[2-4 Units]]+[2]!Table323[[#This Row],[&gt;4 Units]]</f>
        <v>6</v>
      </c>
      <c r="G270" s="153">
        <v>4</v>
      </c>
      <c r="H270" s="153">
        <v>2</v>
      </c>
      <c r="I270" s="153">
        <v>0</v>
      </c>
      <c r="J270" s="154">
        <v>8552.2500000000018</v>
      </c>
      <c r="K270" s="153">
        <f>SUM([2]!Table323[[#This Row],[Single Family ]:[&gt;4 Units ]])</f>
        <v>8</v>
      </c>
      <c r="L270" s="155">
        <v>3</v>
      </c>
      <c r="M270" s="155">
        <v>5</v>
      </c>
      <c r="N270" s="155">
        <v>0</v>
      </c>
      <c r="O270" s="156">
        <v>4575.9699999999993</v>
      </c>
      <c r="P270" s="100">
        <f>VLOOKUP(Table3236[[#This Row],[Census Tract]],'Population and Diversity Data'!$B$2:$K$823,10,FALSE)</f>
        <v>3</v>
      </c>
      <c r="Q270" s="101" t="str">
        <f>VLOOKUP(Table3236[[#This Row],[Census Tract]],'UI EnergyBurden'!$A$2:$B$184,2,FALSE)</f>
        <v>No</v>
      </c>
    </row>
    <row r="271" spans="1:17" x14ac:dyDescent="0.2">
      <c r="A271" s="121">
        <v>9009141300</v>
      </c>
      <c r="B271" s="121" t="s">
        <v>943</v>
      </c>
      <c r="C271" s="128" t="s">
        <v>3887</v>
      </c>
      <c r="D271" s="152">
        <v>0</v>
      </c>
      <c r="E271" s="152">
        <v>53353.8</v>
      </c>
      <c r="F271" s="153">
        <f>[2]!Table323[[#This Row],[Single Family]]+[2]!Table323[[#This Row],[2-4 Units]]+[2]!Table323[[#This Row],[&gt;4 Units]]</f>
        <v>0</v>
      </c>
      <c r="G271" s="153"/>
      <c r="H271" s="153"/>
      <c r="I271" s="153"/>
      <c r="J271" s="154">
        <v>0</v>
      </c>
      <c r="K271" s="153">
        <f>SUM([2]!Table323[[#This Row],[Single Family ]:[&gt;4 Units ]])</f>
        <v>1</v>
      </c>
      <c r="L271" s="155">
        <v>0</v>
      </c>
      <c r="M271" s="155">
        <v>0</v>
      </c>
      <c r="N271" s="155">
        <v>1</v>
      </c>
      <c r="O271" s="156">
        <v>53353.8</v>
      </c>
      <c r="P271" s="100">
        <f>VLOOKUP(Table3236[[#This Row],[Census Tract]],'Population and Diversity Data'!$B$2:$K$823,10,FALSE)</f>
        <v>3</v>
      </c>
      <c r="Q271" s="101" t="str">
        <f>VLOOKUP(Table3236[[#This Row],[Census Tract]],'UI EnergyBurden'!$A$2:$B$184,2,FALSE)</f>
        <v>No</v>
      </c>
    </row>
    <row r="272" spans="1:17" x14ac:dyDescent="0.2">
      <c r="A272" s="121">
        <v>9009141400</v>
      </c>
      <c r="B272" s="121" t="s">
        <v>953</v>
      </c>
      <c r="C272" s="128" t="s">
        <v>3886</v>
      </c>
      <c r="D272" s="152">
        <v>106.86212253777698</v>
      </c>
      <c r="E272" s="152">
        <v>0</v>
      </c>
      <c r="F272" s="153">
        <f>[2]!Table323[[#This Row],[Single Family]]+[2]!Table323[[#This Row],[2-4 Units]]+[2]!Table323[[#This Row],[&gt;4 Units]]</f>
        <v>0</v>
      </c>
      <c r="G272" s="153"/>
      <c r="H272" s="153"/>
      <c r="I272" s="153"/>
      <c r="J272" s="154">
        <v>0</v>
      </c>
      <c r="K272" s="153">
        <f>SUM([2]!Table323[[#This Row],[Single Family ]:[&gt;4 Units ]])</f>
        <v>0</v>
      </c>
      <c r="L272" s="155"/>
      <c r="M272" s="155"/>
      <c r="N272" s="155"/>
      <c r="O272" s="156"/>
      <c r="P272" s="100">
        <f>VLOOKUP(Table3236[[#This Row],[Census Tract]],'Population and Diversity Data'!$B$2:$K$823,10,FALSE)</f>
        <v>5</v>
      </c>
      <c r="Q272" s="101" t="str">
        <f>VLOOKUP(Table3236[[#This Row],[Census Tract]],'UI EnergyBurden'!$A$2:$B$184,2,FALSE)</f>
        <v>No</v>
      </c>
    </row>
    <row r="273" spans="1:17" x14ac:dyDescent="0.2">
      <c r="A273" s="121">
        <v>9009141400</v>
      </c>
      <c r="B273" s="121" t="s">
        <v>943</v>
      </c>
      <c r="C273" s="128" t="s">
        <v>3886</v>
      </c>
      <c r="D273" s="152">
        <v>57643.95052349499</v>
      </c>
      <c r="E273" s="152">
        <v>21939.71</v>
      </c>
      <c r="F273" s="153">
        <f>[2]!Table323[[#This Row],[Single Family]]+[2]!Table323[[#This Row],[2-4 Units]]+[2]!Table323[[#This Row],[&gt;4 Units]]</f>
        <v>23</v>
      </c>
      <c r="G273" s="153">
        <v>20</v>
      </c>
      <c r="H273" s="153">
        <v>3</v>
      </c>
      <c r="I273" s="153">
        <v>0</v>
      </c>
      <c r="J273" s="154">
        <v>9696.7400000000016</v>
      </c>
      <c r="K273" s="153">
        <f>SUM([2]!Table323[[#This Row],[Single Family ]:[&gt;4 Units ]])</f>
        <v>36</v>
      </c>
      <c r="L273" s="155">
        <v>18</v>
      </c>
      <c r="M273" s="155">
        <v>18</v>
      </c>
      <c r="N273" s="155">
        <v>0</v>
      </c>
      <c r="O273" s="156">
        <v>12242.970000000001</v>
      </c>
      <c r="P273" s="100">
        <f>VLOOKUP(Table3236[[#This Row],[Census Tract]],'Population and Diversity Data'!$B$2:$K$823,10,FALSE)</f>
        <v>5</v>
      </c>
      <c r="Q273" s="101" t="str">
        <f>VLOOKUP(Table3236[[#This Row],[Census Tract]],'UI EnergyBurden'!$A$2:$B$184,2,FALSE)</f>
        <v>No</v>
      </c>
    </row>
    <row r="274" spans="1:17" x14ac:dyDescent="0.2">
      <c r="A274" s="121">
        <v>9009141400</v>
      </c>
      <c r="B274" s="121" t="s">
        <v>943</v>
      </c>
      <c r="C274" s="128" t="s">
        <v>3886</v>
      </c>
      <c r="D274" s="152">
        <v>0</v>
      </c>
      <c r="E274" s="152">
        <v>0</v>
      </c>
      <c r="F274" s="153">
        <f>[2]!Table323[[#This Row],[Single Family]]+[2]!Table323[[#This Row],[2-4 Units]]+[2]!Table323[[#This Row],[&gt;4 Units]]</f>
        <v>0</v>
      </c>
      <c r="G274" s="153"/>
      <c r="H274" s="153"/>
      <c r="I274" s="153"/>
      <c r="J274" s="154">
        <v>0</v>
      </c>
      <c r="K274" s="153">
        <f>SUM([2]!Table323[[#This Row],[Single Family ]:[&gt;4 Units ]])</f>
        <v>0</v>
      </c>
      <c r="L274" s="155"/>
      <c r="M274" s="155"/>
      <c r="N274" s="155"/>
      <c r="O274" s="156">
        <v>0</v>
      </c>
      <c r="P274" s="100">
        <f>VLOOKUP(Table3236[[#This Row],[Census Tract]],'Population and Diversity Data'!$B$2:$K$823,10,FALSE)</f>
        <v>5</v>
      </c>
      <c r="Q274" s="101" t="str">
        <f>VLOOKUP(Table3236[[#This Row],[Census Tract]],'UI EnergyBurden'!$A$2:$B$184,2,FALSE)</f>
        <v>No</v>
      </c>
    </row>
    <row r="275" spans="1:17" x14ac:dyDescent="0.2">
      <c r="A275" s="121">
        <v>9009141500</v>
      </c>
      <c r="B275" s="121" t="s">
        <v>953</v>
      </c>
      <c r="C275" s="128" t="s">
        <v>3887</v>
      </c>
      <c r="D275" s="152">
        <v>72.546394502900029</v>
      </c>
      <c r="E275" s="152">
        <v>0</v>
      </c>
      <c r="F275" s="153">
        <f>[2]!Table323[[#This Row],[Single Family]]+[2]!Table323[[#This Row],[2-4 Units]]+[2]!Table323[[#This Row],[&gt;4 Units]]</f>
        <v>0</v>
      </c>
      <c r="G275" s="153"/>
      <c r="H275" s="153"/>
      <c r="I275" s="153"/>
      <c r="J275" s="154">
        <v>0</v>
      </c>
      <c r="K275" s="153">
        <f>SUM([2]!Table323[[#This Row],[Single Family ]:[&gt;4 Units ]])</f>
        <v>0</v>
      </c>
      <c r="L275" s="155"/>
      <c r="M275" s="155"/>
      <c r="N275" s="155"/>
      <c r="O275" s="156"/>
      <c r="P275" s="100">
        <f>VLOOKUP(Table3236[[#This Row],[Census Tract]],'Population and Diversity Data'!$B$2:$K$823,10,FALSE)</f>
        <v>3</v>
      </c>
      <c r="Q275" s="101" t="str">
        <f>VLOOKUP(Table3236[[#This Row],[Census Tract]],'UI EnergyBurden'!$A$2:$B$184,2,FALSE)</f>
        <v>Yes</v>
      </c>
    </row>
    <row r="276" spans="1:17" x14ac:dyDescent="0.2">
      <c r="A276" s="121">
        <v>9009141500</v>
      </c>
      <c r="B276" s="121" t="s">
        <v>943</v>
      </c>
      <c r="C276" s="128" t="s">
        <v>3887</v>
      </c>
      <c r="D276" s="152">
        <v>76444.735997759417</v>
      </c>
      <c r="E276" s="152">
        <v>387080.04</v>
      </c>
      <c r="F276" s="153">
        <f>[2]!Table323[[#This Row],[Single Family]]+[2]!Table323[[#This Row],[2-4 Units]]+[2]!Table323[[#This Row],[&gt;4 Units]]</f>
        <v>12</v>
      </c>
      <c r="G276" s="153">
        <v>10</v>
      </c>
      <c r="H276" s="153">
        <v>2</v>
      </c>
      <c r="I276" s="153">
        <v>0</v>
      </c>
      <c r="J276" s="154">
        <v>2191.04</v>
      </c>
      <c r="K276" s="153">
        <f>SUM([2]!Table323[[#This Row],[Single Family ]:[&gt;4 Units ]])</f>
        <v>27</v>
      </c>
      <c r="L276" s="155">
        <v>9</v>
      </c>
      <c r="M276" s="155">
        <v>15</v>
      </c>
      <c r="N276" s="155">
        <v>3</v>
      </c>
      <c r="O276" s="156">
        <v>384889</v>
      </c>
      <c r="P276" s="100">
        <f>VLOOKUP(Table3236[[#This Row],[Census Tract]],'Population and Diversity Data'!$B$2:$K$823,10,FALSE)</f>
        <v>3</v>
      </c>
      <c r="Q276" s="101" t="str">
        <f>VLOOKUP(Table3236[[#This Row],[Census Tract]],'UI EnergyBurden'!$A$2:$B$184,2,FALSE)</f>
        <v>Yes</v>
      </c>
    </row>
    <row r="277" spans="1:17" x14ac:dyDescent="0.2">
      <c r="A277" s="121">
        <v>9009141500</v>
      </c>
      <c r="B277" s="121" t="s">
        <v>943</v>
      </c>
      <c r="C277" s="128" t="s">
        <v>3887</v>
      </c>
      <c r="D277" s="152">
        <v>0</v>
      </c>
      <c r="E277" s="152">
        <v>0</v>
      </c>
      <c r="F277" s="153">
        <f>[2]!Table323[[#This Row],[Single Family]]+[2]!Table323[[#This Row],[2-4 Units]]+[2]!Table323[[#This Row],[&gt;4 Units]]</f>
        <v>0</v>
      </c>
      <c r="G277" s="153"/>
      <c r="H277" s="153"/>
      <c r="I277" s="153"/>
      <c r="J277" s="154">
        <v>0</v>
      </c>
      <c r="K277" s="153">
        <f>SUM([2]!Table323[[#This Row],[Single Family ]:[&gt;4 Units ]])</f>
        <v>0</v>
      </c>
      <c r="L277" s="155"/>
      <c r="M277" s="155"/>
      <c r="N277" s="155"/>
      <c r="O277" s="156">
        <v>0</v>
      </c>
      <c r="P277" s="100">
        <f>VLOOKUP(Table3236[[#This Row],[Census Tract]],'Population and Diversity Data'!$B$2:$K$823,10,FALSE)</f>
        <v>3</v>
      </c>
      <c r="Q277" s="101" t="str">
        <f>VLOOKUP(Table3236[[#This Row],[Census Tract]],'UI EnergyBurden'!$A$2:$B$184,2,FALSE)</f>
        <v>Yes</v>
      </c>
    </row>
    <row r="278" spans="1:17" x14ac:dyDescent="0.2">
      <c r="A278" s="121">
        <v>9009141600</v>
      </c>
      <c r="B278" s="121" t="s">
        <v>943</v>
      </c>
      <c r="C278" s="128" t="s">
        <v>3887</v>
      </c>
      <c r="D278" s="152">
        <v>49034.474608321027</v>
      </c>
      <c r="E278" s="152">
        <v>147072.87000000002</v>
      </c>
      <c r="F278" s="153">
        <f>[2]!Table323[[#This Row],[Single Family]]+[2]!Table323[[#This Row],[2-4 Units]]+[2]!Table323[[#This Row],[&gt;4 Units]]</f>
        <v>6</v>
      </c>
      <c r="G278" s="153">
        <v>5</v>
      </c>
      <c r="H278" s="153">
        <v>1</v>
      </c>
      <c r="I278" s="153">
        <v>0</v>
      </c>
      <c r="J278" s="154">
        <v>2053.5699999999997</v>
      </c>
      <c r="K278" s="153">
        <f>SUM([2]!Table323[[#This Row],[Single Family ]:[&gt;4 Units ]])</f>
        <v>18</v>
      </c>
      <c r="L278" s="155">
        <v>2</v>
      </c>
      <c r="M278" s="155">
        <v>14</v>
      </c>
      <c r="N278" s="155">
        <v>2</v>
      </c>
      <c r="O278" s="156">
        <v>145019.30000000002</v>
      </c>
      <c r="P278" s="100">
        <f>VLOOKUP(Table3236[[#This Row],[Census Tract]],'Population and Diversity Data'!$B$2:$K$823,10,FALSE)</f>
        <v>4</v>
      </c>
      <c r="Q278" s="101" t="str">
        <f>VLOOKUP(Table3236[[#This Row],[Census Tract]],'UI EnergyBurden'!$A$2:$B$184,2,FALSE)</f>
        <v>Yes</v>
      </c>
    </row>
    <row r="279" spans="1:17" x14ac:dyDescent="0.2">
      <c r="A279" s="121">
        <v>9009141600</v>
      </c>
      <c r="B279" s="121" t="s">
        <v>943</v>
      </c>
      <c r="C279" s="128" t="s">
        <v>3887</v>
      </c>
      <c r="D279" s="152">
        <v>4627.291027762295</v>
      </c>
      <c r="E279" s="152">
        <v>38465.69</v>
      </c>
      <c r="F279" s="153">
        <f>[2]!Table323[[#This Row],[Single Family]]+[2]!Table323[[#This Row],[2-4 Units]]+[2]!Table323[[#This Row],[&gt;4 Units]]</f>
        <v>0</v>
      </c>
      <c r="G279" s="153"/>
      <c r="H279" s="153"/>
      <c r="I279" s="153"/>
      <c r="J279" s="154">
        <v>0</v>
      </c>
      <c r="K279" s="153">
        <f>SUM([2]!Table323[[#This Row],[Single Family ]:[&gt;4 Units ]])</f>
        <v>1</v>
      </c>
      <c r="L279" s="155">
        <v>0</v>
      </c>
      <c r="M279" s="155">
        <v>0</v>
      </c>
      <c r="N279" s="155">
        <v>1</v>
      </c>
      <c r="O279" s="156">
        <v>38465.69</v>
      </c>
      <c r="P279" s="100">
        <f>VLOOKUP(Table3236[[#This Row],[Census Tract]],'Population and Diversity Data'!$B$2:$K$823,10,FALSE)</f>
        <v>4</v>
      </c>
      <c r="Q279" s="101" t="str">
        <f>VLOOKUP(Table3236[[#This Row],[Census Tract]],'UI EnergyBurden'!$A$2:$B$184,2,FALSE)</f>
        <v>Yes</v>
      </c>
    </row>
    <row r="280" spans="1:17" x14ac:dyDescent="0.2">
      <c r="A280" s="30">
        <v>9009141800</v>
      </c>
      <c r="B280" s="30" t="s">
        <v>953</v>
      </c>
      <c r="C280" s="128" t="s">
        <v>3886</v>
      </c>
      <c r="D280" s="152">
        <v>199.04322595125566</v>
      </c>
      <c r="E280" s="152">
        <v>0</v>
      </c>
      <c r="F280" s="30">
        <f>[2]!Table323[[#This Row],[Single Family]]+[2]!Table323[[#This Row],[2-4 Units]]+[2]!Table323[[#This Row],[&gt;4 Units]]</f>
        <v>0</v>
      </c>
      <c r="G280" s="30"/>
      <c r="H280" s="30"/>
      <c r="I280" s="30"/>
      <c r="J280" s="157">
        <v>0</v>
      </c>
      <c r="K280" s="30">
        <f>SUM([2]!Table323[[#This Row],[Single Family ]:[&gt;4 Units ]])</f>
        <v>0</v>
      </c>
      <c r="L280" s="212"/>
      <c r="M280" s="212"/>
      <c r="N280" s="212"/>
      <c r="O280" s="156"/>
      <c r="P280" s="100">
        <f>VLOOKUP(Table3236[[#This Row],[Census Tract]],'Population and Diversity Data'!$B$2:$K$823,10,FALSE)</f>
        <v>5</v>
      </c>
      <c r="Q280" s="101" t="str">
        <f>VLOOKUP(Table3236[[#This Row],[Census Tract]],'UI EnergyBurden'!$A$2:$B$184,2,FALSE)</f>
        <v>No</v>
      </c>
    </row>
    <row r="281" spans="1:17" x14ac:dyDescent="0.2">
      <c r="A281" s="30">
        <v>9009141800</v>
      </c>
      <c r="B281" s="30" t="s">
        <v>943</v>
      </c>
      <c r="C281" s="128" t="s">
        <v>3886</v>
      </c>
      <c r="D281" s="152">
        <v>45653.154286961653</v>
      </c>
      <c r="E281" s="152">
        <v>6789.7499999999991</v>
      </c>
      <c r="F281" s="30">
        <f>[2]!Table323[[#This Row],[Single Family]]+[2]!Table323[[#This Row],[2-4 Units]]+[2]!Table323[[#This Row],[&gt;4 Units]]</f>
        <v>6</v>
      </c>
      <c r="G281" s="30">
        <v>6</v>
      </c>
      <c r="H281" s="30">
        <v>0</v>
      </c>
      <c r="I281" s="30">
        <v>0</v>
      </c>
      <c r="J281" s="157">
        <v>4923.5399999999991</v>
      </c>
      <c r="K281" s="30">
        <f>SUM([2]!Table323[[#This Row],[Single Family ]:[&gt;4 Units ]])</f>
        <v>4</v>
      </c>
      <c r="L281" s="212">
        <v>0</v>
      </c>
      <c r="M281" s="212">
        <v>4</v>
      </c>
      <c r="N281" s="212">
        <v>0</v>
      </c>
      <c r="O281" s="156">
        <v>1866.2100000000003</v>
      </c>
      <c r="P281" s="100">
        <f>VLOOKUP(Table3236[[#This Row],[Census Tract]],'Population and Diversity Data'!$B$2:$K$823,10,FALSE)</f>
        <v>5</v>
      </c>
      <c r="Q281" s="101" t="str">
        <f>VLOOKUP(Table3236[[#This Row],[Census Tract]],'UI EnergyBurden'!$A$2:$B$184,2,FALSE)</f>
        <v>No</v>
      </c>
    </row>
    <row r="282" spans="1:17" x14ac:dyDescent="0.2">
      <c r="A282" s="30">
        <v>9009141800</v>
      </c>
      <c r="B282" s="30" t="s">
        <v>943</v>
      </c>
      <c r="C282" s="128" t="s">
        <v>3886</v>
      </c>
      <c r="D282" s="152">
        <v>0</v>
      </c>
      <c r="E282" s="152">
        <v>0</v>
      </c>
      <c r="F282" s="30">
        <f>[2]!Table323[[#This Row],[Single Family]]+[2]!Table323[[#This Row],[2-4 Units]]+[2]!Table323[[#This Row],[&gt;4 Units]]</f>
        <v>0</v>
      </c>
      <c r="G282" s="30"/>
      <c r="H282" s="30"/>
      <c r="I282" s="30"/>
      <c r="J282" s="157">
        <v>0</v>
      </c>
      <c r="K282" s="30">
        <f>SUM([2]!Table323[[#This Row],[Single Family ]:[&gt;4 Units ]])</f>
        <v>0</v>
      </c>
      <c r="L282" s="212"/>
      <c r="M282" s="212"/>
      <c r="N282" s="212"/>
      <c r="O282" s="156">
        <v>0</v>
      </c>
      <c r="P282" s="100">
        <f>VLOOKUP(Table3236[[#This Row],[Census Tract]],'Population and Diversity Data'!$B$2:$K$823,10,FALSE)</f>
        <v>5</v>
      </c>
      <c r="Q282" s="101" t="str">
        <f>VLOOKUP(Table3236[[#This Row],[Census Tract]],'UI EnergyBurden'!$A$2:$B$184,2,FALSE)</f>
        <v>No</v>
      </c>
    </row>
    <row r="283" spans="1:17" x14ac:dyDescent="0.2">
      <c r="A283" s="30">
        <v>9009141900</v>
      </c>
      <c r="B283" s="30" t="s">
        <v>953</v>
      </c>
      <c r="C283" s="128" t="s">
        <v>3886</v>
      </c>
      <c r="D283" s="152">
        <v>35.820763328751518</v>
      </c>
      <c r="E283" s="152">
        <v>0</v>
      </c>
      <c r="F283" s="30">
        <f>[2]!Table323[[#This Row],[Single Family]]+[2]!Table323[[#This Row],[2-4 Units]]+[2]!Table323[[#This Row],[&gt;4 Units]]</f>
        <v>0</v>
      </c>
      <c r="G283" s="30"/>
      <c r="H283" s="30"/>
      <c r="I283" s="30"/>
      <c r="J283" s="157">
        <v>0</v>
      </c>
      <c r="K283" s="30">
        <f>SUM([2]!Table323[[#This Row],[Single Family ]:[&gt;4 Units ]])</f>
        <v>0</v>
      </c>
      <c r="L283" s="212"/>
      <c r="M283" s="212"/>
      <c r="N283" s="212"/>
      <c r="O283" s="156"/>
      <c r="P283" s="100">
        <f>VLOOKUP(Table3236[[#This Row],[Census Tract]],'Population and Diversity Data'!$B$2:$K$823,10,FALSE)</f>
        <v>5</v>
      </c>
      <c r="Q283" s="101" t="str">
        <f>VLOOKUP(Table3236[[#This Row],[Census Tract]],'UI EnergyBurden'!$A$2:$B$184,2,FALSE)</f>
        <v>No</v>
      </c>
    </row>
    <row r="284" spans="1:17" x14ac:dyDescent="0.2">
      <c r="A284" s="30">
        <v>9009141900</v>
      </c>
      <c r="B284" s="30" t="s">
        <v>943</v>
      </c>
      <c r="C284" s="128" t="s">
        <v>3886</v>
      </c>
      <c r="D284" s="152">
        <v>62574.88011346032</v>
      </c>
      <c r="E284" s="152">
        <v>42454.439999999995</v>
      </c>
      <c r="F284" s="30">
        <f>[2]!Table323[[#This Row],[Single Family]]+[2]!Table323[[#This Row],[2-4 Units]]+[2]!Table323[[#This Row],[&gt;4 Units]]</f>
        <v>17</v>
      </c>
      <c r="G284" s="30">
        <v>10</v>
      </c>
      <c r="H284" s="30">
        <v>6</v>
      </c>
      <c r="I284" s="30">
        <v>1</v>
      </c>
      <c r="J284" s="157">
        <v>41386.36</v>
      </c>
      <c r="K284" s="30">
        <f>SUM([2]!Table323[[#This Row],[Single Family ]:[&gt;4 Units ]])</f>
        <v>3</v>
      </c>
      <c r="L284" s="212">
        <v>0</v>
      </c>
      <c r="M284" s="212">
        <v>3</v>
      </c>
      <c r="N284" s="212">
        <v>0</v>
      </c>
      <c r="O284" s="156">
        <v>1068.08</v>
      </c>
      <c r="P284" s="100">
        <f>VLOOKUP(Table3236[[#This Row],[Census Tract]],'Population and Diversity Data'!$B$2:$K$823,10,FALSE)</f>
        <v>5</v>
      </c>
      <c r="Q284" s="101" t="str">
        <f>VLOOKUP(Table3236[[#This Row],[Census Tract]],'UI EnergyBurden'!$A$2:$B$184,2,FALSE)</f>
        <v>No</v>
      </c>
    </row>
    <row r="285" spans="1:17" x14ac:dyDescent="0.2">
      <c r="A285" s="30">
        <v>9009141900</v>
      </c>
      <c r="B285" s="30" t="s">
        <v>943</v>
      </c>
      <c r="C285" s="128" t="s">
        <v>3886</v>
      </c>
      <c r="D285" s="152">
        <v>0</v>
      </c>
      <c r="E285" s="152">
        <v>0</v>
      </c>
      <c r="F285" s="30">
        <f>[2]!Table323[[#This Row],[Single Family]]+[2]!Table323[[#This Row],[2-4 Units]]+[2]!Table323[[#This Row],[&gt;4 Units]]</f>
        <v>0</v>
      </c>
      <c r="G285" s="30"/>
      <c r="H285" s="30"/>
      <c r="I285" s="30"/>
      <c r="J285" s="157">
        <v>0</v>
      </c>
      <c r="K285" s="30">
        <f>SUM([2]!Table323[[#This Row],[Single Family ]:[&gt;4 Units ]])</f>
        <v>0</v>
      </c>
      <c r="L285" s="212"/>
      <c r="M285" s="212"/>
      <c r="N285" s="212"/>
      <c r="O285" s="156">
        <v>0</v>
      </c>
      <c r="P285" s="100">
        <f>VLOOKUP(Table3236[[#This Row],[Census Tract]],'Population and Diversity Data'!$B$2:$K$823,10,FALSE)</f>
        <v>5</v>
      </c>
      <c r="Q285" s="101" t="str">
        <f>VLOOKUP(Table3236[[#This Row],[Census Tract]],'UI EnergyBurden'!$A$2:$B$184,2,FALSE)</f>
        <v>No</v>
      </c>
    </row>
    <row r="286" spans="1:17" x14ac:dyDescent="0.2">
      <c r="A286" s="30">
        <v>9009142000</v>
      </c>
      <c r="B286" s="30" t="s">
        <v>943</v>
      </c>
      <c r="C286" s="128" t="s">
        <v>3886</v>
      </c>
      <c r="D286" s="152">
        <v>44277.376594798137</v>
      </c>
      <c r="E286" s="152">
        <v>6260.79</v>
      </c>
      <c r="F286" s="30">
        <f>[2]!Table323[[#This Row],[Single Family]]+[2]!Table323[[#This Row],[2-4 Units]]+[2]!Table323[[#This Row],[&gt;4 Units]]</f>
        <v>9</v>
      </c>
      <c r="G286" s="30">
        <v>6</v>
      </c>
      <c r="H286" s="30">
        <v>3</v>
      </c>
      <c r="I286" s="30">
        <v>0</v>
      </c>
      <c r="J286" s="157">
        <v>5716.3600000000006</v>
      </c>
      <c r="K286" s="30">
        <f>SUM([2]!Table323[[#This Row],[Single Family ]:[&gt;4 Units ]])</f>
        <v>5</v>
      </c>
      <c r="L286" s="212">
        <v>1</v>
      </c>
      <c r="M286" s="212">
        <v>4</v>
      </c>
      <c r="N286" s="212">
        <v>0</v>
      </c>
      <c r="O286" s="156">
        <v>544.42999999999995</v>
      </c>
      <c r="P286" s="100">
        <f>VLOOKUP(Table3236[[#This Row],[Census Tract]],'Population and Diversity Data'!$B$2:$K$823,10,FALSE)</f>
        <v>5</v>
      </c>
      <c r="Q286" s="101" t="str">
        <f>VLOOKUP(Table3236[[#This Row],[Census Tract]],'UI EnergyBurden'!$A$2:$B$184,2,FALSE)</f>
        <v>No</v>
      </c>
    </row>
    <row r="287" spans="1:17" x14ac:dyDescent="0.2">
      <c r="A287" s="30">
        <v>9009142000</v>
      </c>
      <c r="B287" s="30" t="s">
        <v>943</v>
      </c>
      <c r="C287" s="128" t="s">
        <v>3886</v>
      </c>
      <c r="D287" s="152">
        <v>5994.749475755103</v>
      </c>
      <c r="E287" s="152">
        <v>0</v>
      </c>
      <c r="F287" s="30">
        <f>[2]!Table323[[#This Row],[Single Family]]+[2]!Table323[[#This Row],[2-4 Units]]+[2]!Table323[[#This Row],[&gt;4 Units]]</f>
        <v>0</v>
      </c>
      <c r="G287" s="30"/>
      <c r="H287" s="30"/>
      <c r="I287" s="30"/>
      <c r="J287" s="157">
        <v>0</v>
      </c>
      <c r="K287" s="30">
        <f>SUM([2]!Table323[[#This Row],[Single Family ]:[&gt;4 Units ]])</f>
        <v>0</v>
      </c>
      <c r="L287" s="212"/>
      <c r="M287" s="212"/>
      <c r="N287" s="212"/>
      <c r="O287" s="156">
        <v>0</v>
      </c>
      <c r="P287" s="100">
        <f>VLOOKUP(Table3236[[#This Row],[Census Tract]],'Population and Diversity Data'!$B$2:$K$823,10,FALSE)</f>
        <v>5</v>
      </c>
      <c r="Q287" s="101" t="str">
        <f>VLOOKUP(Table3236[[#This Row],[Census Tract]],'UI EnergyBurden'!$A$2:$B$184,2,FALSE)</f>
        <v>No</v>
      </c>
    </row>
    <row r="288" spans="1:17" x14ac:dyDescent="0.2">
      <c r="A288" s="30">
        <v>9009142100</v>
      </c>
      <c r="B288" s="30" t="s">
        <v>943</v>
      </c>
      <c r="C288" s="128" t="s">
        <v>3887</v>
      </c>
      <c r="D288" s="152">
        <v>13446.054565565873</v>
      </c>
      <c r="E288" s="152">
        <v>6610.13</v>
      </c>
      <c r="F288" s="30">
        <f>[2]!Table323[[#This Row],[Single Family]]+[2]!Table323[[#This Row],[2-4 Units]]+[2]!Table323[[#This Row],[&gt;4 Units]]</f>
        <v>1</v>
      </c>
      <c r="G288" s="30">
        <v>1</v>
      </c>
      <c r="H288" s="30">
        <v>0</v>
      </c>
      <c r="I288" s="30">
        <v>0</v>
      </c>
      <c r="J288" s="157">
        <v>6445.59</v>
      </c>
      <c r="K288" s="30">
        <f>SUM([2]!Table323[[#This Row],[Single Family ]:[&gt;4 Units ]])</f>
        <v>1</v>
      </c>
      <c r="L288" s="212">
        <v>1</v>
      </c>
      <c r="M288" s="212">
        <v>0</v>
      </c>
      <c r="N288" s="212">
        <v>0</v>
      </c>
      <c r="O288" s="156">
        <v>164.54</v>
      </c>
      <c r="P288" s="100">
        <f>VLOOKUP(Table3236[[#This Row],[Census Tract]],'Population and Diversity Data'!$B$2:$K$823,10,FALSE)</f>
        <v>5</v>
      </c>
      <c r="Q288" s="101" t="str">
        <f>VLOOKUP(Table3236[[#This Row],[Census Tract]],'UI EnergyBurden'!$A$2:$B$184,2,FALSE)</f>
        <v>No</v>
      </c>
    </row>
    <row r="289" spans="1:17" x14ac:dyDescent="0.2">
      <c r="A289" s="30">
        <v>9009142100</v>
      </c>
      <c r="B289" s="30" t="s">
        <v>943</v>
      </c>
      <c r="C289" s="128" t="s">
        <v>3887</v>
      </c>
      <c r="D289" s="152">
        <v>0</v>
      </c>
      <c r="E289" s="152">
        <v>0</v>
      </c>
      <c r="F289" s="30">
        <f>[2]!Table323[[#This Row],[Single Family]]+[2]!Table323[[#This Row],[2-4 Units]]+[2]!Table323[[#This Row],[&gt;4 Units]]</f>
        <v>0</v>
      </c>
      <c r="G289" s="30"/>
      <c r="H289" s="30"/>
      <c r="I289" s="30"/>
      <c r="J289" s="157">
        <v>0</v>
      </c>
      <c r="K289" s="30">
        <f>SUM([2]!Table323[[#This Row],[Single Family ]:[&gt;4 Units ]])</f>
        <v>0</v>
      </c>
      <c r="L289" s="212"/>
      <c r="M289" s="212"/>
      <c r="N289" s="212"/>
      <c r="O289" s="156"/>
      <c r="P289" s="100">
        <f>VLOOKUP(Table3236[[#This Row],[Census Tract]],'Population and Diversity Data'!$B$2:$K$823,10,FALSE)</f>
        <v>5</v>
      </c>
      <c r="Q289" s="101" t="str">
        <f>VLOOKUP(Table3236[[#This Row],[Census Tract]],'UI EnergyBurden'!$A$2:$B$184,2,FALSE)</f>
        <v>No</v>
      </c>
    </row>
    <row r="290" spans="1:17" x14ac:dyDescent="0.2">
      <c r="A290" s="30">
        <v>9009142200</v>
      </c>
      <c r="B290" s="30" t="s">
        <v>943</v>
      </c>
      <c r="C290" s="128" t="s">
        <v>3886</v>
      </c>
      <c r="D290" s="152">
        <v>24301.232422780711</v>
      </c>
      <c r="E290" s="152">
        <v>16554.62</v>
      </c>
      <c r="F290" s="30">
        <f>[2]!Table323[[#This Row],[Single Family]]+[2]!Table323[[#This Row],[2-4 Units]]+[2]!Table323[[#This Row],[&gt;4 Units]]</f>
        <v>5</v>
      </c>
      <c r="G290" s="30">
        <v>4</v>
      </c>
      <c r="H290" s="30">
        <v>1</v>
      </c>
      <c r="I290" s="30">
        <v>0</v>
      </c>
      <c r="J290" s="157">
        <v>12468.61</v>
      </c>
      <c r="K290" s="30">
        <f>SUM([2]!Table323[[#This Row],[Single Family ]:[&gt;4 Units ]])</f>
        <v>1</v>
      </c>
      <c r="L290" s="212">
        <v>0</v>
      </c>
      <c r="M290" s="212">
        <v>0</v>
      </c>
      <c r="N290" s="212">
        <v>1</v>
      </c>
      <c r="O290" s="156">
        <v>4086.01</v>
      </c>
      <c r="P290" s="100">
        <f>VLOOKUP(Table3236[[#This Row],[Census Tract]],'Population and Diversity Data'!$B$2:$K$823,10,FALSE)</f>
        <v>4</v>
      </c>
      <c r="Q290" s="101" t="str">
        <f>VLOOKUP(Table3236[[#This Row],[Census Tract]],'UI EnergyBurden'!$A$2:$B$184,2,FALSE)</f>
        <v>No</v>
      </c>
    </row>
    <row r="291" spans="1:17" x14ac:dyDescent="0.2">
      <c r="A291" s="30">
        <v>9009142200</v>
      </c>
      <c r="B291" s="30" t="s">
        <v>943</v>
      </c>
      <c r="C291" s="128" t="s">
        <v>3886</v>
      </c>
      <c r="D291" s="152">
        <v>0</v>
      </c>
      <c r="E291" s="152">
        <v>0</v>
      </c>
      <c r="F291" s="30">
        <f>[2]!Table323[[#This Row],[Single Family]]+[2]!Table323[[#This Row],[2-4 Units]]+[2]!Table323[[#This Row],[&gt;4 Units]]</f>
        <v>0</v>
      </c>
      <c r="G291" s="30"/>
      <c r="H291" s="30"/>
      <c r="I291" s="30"/>
      <c r="J291" s="157">
        <v>0</v>
      </c>
      <c r="K291" s="30">
        <f>SUM([2]!Table323[[#This Row],[Single Family ]:[&gt;4 Units ]])</f>
        <v>0</v>
      </c>
      <c r="L291" s="212"/>
      <c r="M291" s="212"/>
      <c r="N291" s="212"/>
      <c r="O291" s="156">
        <v>0</v>
      </c>
      <c r="P291" s="100">
        <f>VLOOKUP(Table3236[[#This Row],[Census Tract]],'Population and Diversity Data'!$B$2:$K$823,10,FALSE)</f>
        <v>4</v>
      </c>
      <c r="Q291" s="101" t="str">
        <f>VLOOKUP(Table3236[[#This Row],[Census Tract]],'UI EnergyBurden'!$A$2:$B$184,2,FALSE)</f>
        <v>No</v>
      </c>
    </row>
    <row r="292" spans="1:17" x14ac:dyDescent="0.2">
      <c r="A292" s="30">
        <v>9009142300</v>
      </c>
      <c r="B292" s="30" t="s">
        <v>3880</v>
      </c>
      <c r="C292" s="128" t="s">
        <v>3887</v>
      </c>
      <c r="D292" s="152">
        <v>0</v>
      </c>
      <c r="E292" s="152">
        <v>0</v>
      </c>
      <c r="F292" s="30">
        <f>[2]!Table323[[#This Row],[Single Family]]+[2]!Table323[[#This Row],[2-4 Units]]+[2]!Table323[[#This Row],[&gt;4 Units]]</f>
        <v>0</v>
      </c>
      <c r="G292" s="30"/>
      <c r="H292" s="30"/>
      <c r="I292" s="30"/>
      <c r="J292" s="157">
        <v>0</v>
      </c>
      <c r="K292" s="30">
        <f>SUM([2]!Table323[[#This Row],[Single Family ]:[&gt;4 Units ]])</f>
        <v>0</v>
      </c>
      <c r="L292" s="212"/>
      <c r="M292" s="212"/>
      <c r="N292" s="212"/>
      <c r="O292" s="156"/>
      <c r="P292" s="100">
        <f>VLOOKUP(Table3236[[#This Row],[Census Tract]],'Population and Diversity Data'!$B$2:$K$823,10,FALSE)</f>
        <v>5</v>
      </c>
      <c r="Q292" s="101" t="str">
        <f>VLOOKUP(Table3236[[#This Row],[Census Tract]],'UI EnergyBurden'!$A$2:$B$184,2,FALSE)</f>
        <v>Yes</v>
      </c>
    </row>
    <row r="293" spans="1:17" x14ac:dyDescent="0.2">
      <c r="A293" s="30">
        <v>9009142300</v>
      </c>
      <c r="B293" s="30" t="s">
        <v>943</v>
      </c>
      <c r="C293" s="128" t="s">
        <v>3887</v>
      </c>
      <c r="D293" s="152">
        <v>45610.385431248556</v>
      </c>
      <c r="E293" s="152">
        <v>3306.3100000000004</v>
      </c>
      <c r="F293" s="30">
        <f>[2]!Table323[[#This Row],[Single Family]]+[2]!Table323[[#This Row],[2-4 Units]]+[2]!Table323[[#This Row],[&gt;4 Units]]</f>
        <v>3</v>
      </c>
      <c r="G293" s="30">
        <v>2</v>
      </c>
      <c r="H293" s="30">
        <v>1</v>
      </c>
      <c r="I293" s="30">
        <v>0</v>
      </c>
      <c r="J293" s="157">
        <v>379.03</v>
      </c>
      <c r="K293" s="30">
        <f>SUM([2]!Table323[[#This Row],[Single Family ]:[&gt;4 Units ]])</f>
        <v>8</v>
      </c>
      <c r="L293" s="212">
        <v>2</v>
      </c>
      <c r="M293" s="212">
        <v>6</v>
      </c>
      <c r="N293" s="212">
        <v>0</v>
      </c>
      <c r="O293" s="156">
        <v>2927.28</v>
      </c>
      <c r="P293" s="100">
        <f>VLOOKUP(Table3236[[#This Row],[Census Tract]],'Population and Diversity Data'!$B$2:$K$823,10,FALSE)</f>
        <v>5</v>
      </c>
      <c r="Q293" s="101" t="str">
        <f>VLOOKUP(Table3236[[#This Row],[Census Tract]],'UI EnergyBurden'!$A$2:$B$184,2,FALSE)</f>
        <v>Yes</v>
      </c>
    </row>
    <row r="294" spans="1:17" x14ac:dyDescent="0.2">
      <c r="A294" s="30">
        <v>9009142300</v>
      </c>
      <c r="B294" s="30" t="s">
        <v>943</v>
      </c>
      <c r="C294" s="128" t="s">
        <v>3887</v>
      </c>
      <c r="D294" s="152">
        <v>0</v>
      </c>
      <c r="E294" s="152">
        <v>0</v>
      </c>
      <c r="F294" s="30">
        <f>[2]!Table323[[#This Row],[Single Family]]+[2]!Table323[[#This Row],[2-4 Units]]+[2]!Table323[[#This Row],[&gt;4 Units]]</f>
        <v>0</v>
      </c>
      <c r="G294" s="30"/>
      <c r="H294" s="30"/>
      <c r="I294" s="30"/>
      <c r="J294" s="157">
        <v>0</v>
      </c>
      <c r="K294" s="30">
        <f>SUM([2]!Table323[[#This Row],[Single Family ]:[&gt;4 Units ]])</f>
        <v>0</v>
      </c>
      <c r="L294" s="212"/>
      <c r="M294" s="212"/>
      <c r="N294" s="212"/>
      <c r="O294" s="156">
        <v>0</v>
      </c>
      <c r="P294" s="100">
        <f>VLOOKUP(Table3236[[#This Row],[Census Tract]],'Population and Diversity Data'!$B$2:$K$823,10,FALSE)</f>
        <v>5</v>
      </c>
      <c r="Q294" s="101" t="str">
        <f>VLOOKUP(Table3236[[#This Row],[Census Tract]],'UI EnergyBurden'!$A$2:$B$184,2,FALSE)</f>
        <v>Yes</v>
      </c>
    </row>
    <row r="295" spans="1:17" x14ac:dyDescent="0.2">
      <c r="A295" s="30">
        <v>9009142400</v>
      </c>
      <c r="B295" s="30" t="s">
        <v>943</v>
      </c>
      <c r="C295" s="128" t="s">
        <v>3887</v>
      </c>
      <c r="D295" s="152">
        <v>46443.265499536996</v>
      </c>
      <c r="E295" s="152">
        <v>7860.9100000000035</v>
      </c>
      <c r="F295" s="30">
        <f>[2]!Table323[[#This Row],[Single Family]]+[2]!Table323[[#This Row],[2-4 Units]]+[2]!Table323[[#This Row],[&gt;4 Units]]</f>
        <v>5</v>
      </c>
      <c r="G295" s="30">
        <v>3</v>
      </c>
      <c r="H295" s="30">
        <v>2</v>
      </c>
      <c r="I295" s="30">
        <v>0</v>
      </c>
      <c r="J295" s="157">
        <v>5055.5900000000011</v>
      </c>
      <c r="K295" s="30">
        <f>SUM([2]!Table323[[#This Row],[Single Family ]:[&gt;4 Units ]])</f>
        <v>22</v>
      </c>
      <c r="L295" s="212">
        <v>6</v>
      </c>
      <c r="M295" s="212">
        <v>15</v>
      </c>
      <c r="N295" s="212">
        <v>1</v>
      </c>
      <c r="O295" s="156">
        <v>2805.3199999999993</v>
      </c>
      <c r="P295" s="100">
        <f>VLOOKUP(Table3236[[#This Row],[Census Tract]],'Population and Diversity Data'!$B$2:$K$823,10,FALSE)</f>
        <v>5</v>
      </c>
      <c r="Q295" s="101" t="str">
        <f>VLOOKUP(Table3236[[#This Row],[Census Tract]],'UI EnergyBurden'!$A$2:$B$184,2,FALSE)</f>
        <v>Yes</v>
      </c>
    </row>
    <row r="296" spans="1:17" x14ac:dyDescent="0.2">
      <c r="A296" s="30">
        <v>9009142400</v>
      </c>
      <c r="B296" s="30" t="s">
        <v>943</v>
      </c>
      <c r="C296" s="128" t="s">
        <v>3887</v>
      </c>
      <c r="D296" s="152">
        <v>1628.0234540856986</v>
      </c>
      <c r="E296" s="152">
        <v>0</v>
      </c>
      <c r="F296" s="30">
        <f>[2]!Table323[[#This Row],[Single Family]]+[2]!Table323[[#This Row],[2-4 Units]]+[2]!Table323[[#This Row],[&gt;4 Units]]</f>
        <v>0</v>
      </c>
      <c r="G296" s="30"/>
      <c r="H296" s="30"/>
      <c r="I296" s="30"/>
      <c r="J296" s="157">
        <v>0</v>
      </c>
      <c r="K296" s="30">
        <f>SUM([2]!Table323[[#This Row],[Single Family ]:[&gt;4 Units ]])</f>
        <v>0</v>
      </c>
      <c r="L296" s="212"/>
      <c r="M296" s="212"/>
      <c r="N296" s="212"/>
      <c r="O296" s="156">
        <v>0</v>
      </c>
      <c r="P296" s="100">
        <f>VLOOKUP(Table3236[[#This Row],[Census Tract]],'Population and Diversity Data'!$B$2:$K$823,10,FALSE)</f>
        <v>5</v>
      </c>
      <c r="Q296" s="101" t="str">
        <f>VLOOKUP(Table3236[[#This Row],[Census Tract]],'UI EnergyBurden'!$A$2:$B$184,2,FALSE)</f>
        <v>Yes</v>
      </c>
    </row>
    <row r="297" spans="1:17" x14ac:dyDescent="0.2">
      <c r="A297" s="30">
        <v>9009142500</v>
      </c>
      <c r="B297" s="30" t="s">
        <v>3880</v>
      </c>
      <c r="C297" s="128" t="s">
        <v>3887</v>
      </c>
      <c r="D297" s="152">
        <v>293.88814950143893</v>
      </c>
      <c r="E297" s="152">
        <v>0</v>
      </c>
      <c r="F297" s="30">
        <f>[2]!Table323[[#This Row],[Single Family]]+[2]!Table323[[#This Row],[2-4 Units]]+[2]!Table323[[#This Row],[&gt;4 Units]]</f>
        <v>0</v>
      </c>
      <c r="G297" s="30"/>
      <c r="H297" s="30"/>
      <c r="I297" s="30"/>
      <c r="J297" s="157">
        <v>0</v>
      </c>
      <c r="K297" s="30">
        <f>SUM([2]!Table323[[#This Row],[Single Family ]:[&gt;4 Units ]])</f>
        <v>0</v>
      </c>
      <c r="L297" s="212"/>
      <c r="M297" s="212"/>
      <c r="N297" s="212"/>
      <c r="O297" s="156"/>
      <c r="P297" s="100">
        <f>VLOOKUP(Table3236[[#This Row],[Census Tract]],'Population and Diversity Data'!$B$2:$K$823,10,FALSE)</f>
        <v>5</v>
      </c>
      <c r="Q297" s="101" t="str">
        <f>VLOOKUP(Table3236[[#This Row],[Census Tract]],'UI EnergyBurden'!$A$2:$B$184,2,FALSE)</f>
        <v>Yes</v>
      </c>
    </row>
    <row r="298" spans="1:17" x14ac:dyDescent="0.2">
      <c r="A298" s="30">
        <v>9009142500</v>
      </c>
      <c r="B298" s="30" t="s">
        <v>953</v>
      </c>
      <c r="C298" s="128" t="s">
        <v>3887</v>
      </c>
      <c r="D298" s="152">
        <v>167.34053465359665</v>
      </c>
      <c r="E298" s="152">
        <v>0</v>
      </c>
      <c r="F298" s="30">
        <f>[2]!Table323[[#This Row],[Single Family]]+[2]!Table323[[#This Row],[2-4 Units]]+[2]!Table323[[#This Row],[&gt;4 Units]]</f>
        <v>0</v>
      </c>
      <c r="G298" s="30"/>
      <c r="H298" s="30"/>
      <c r="I298" s="30"/>
      <c r="J298" s="157">
        <v>0</v>
      </c>
      <c r="K298" s="30">
        <f>SUM([2]!Table323[[#This Row],[Single Family ]:[&gt;4 Units ]])</f>
        <v>0</v>
      </c>
      <c r="L298" s="212"/>
      <c r="M298" s="212"/>
      <c r="N298" s="212"/>
      <c r="O298" s="156"/>
      <c r="P298" s="100">
        <f>VLOOKUP(Table3236[[#This Row],[Census Tract]],'Population and Diversity Data'!$B$2:$K$823,10,FALSE)</f>
        <v>5</v>
      </c>
      <c r="Q298" s="101" t="str">
        <f>VLOOKUP(Table3236[[#This Row],[Census Tract]],'UI EnergyBurden'!$A$2:$B$184,2,FALSE)</f>
        <v>Yes</v>
      </c>
    </row>
    <row r="299" spans="1:17" x14ac:dyDescent="0.2">
      <c r="A299" s="30">
        <v>9009142500</v>
      </c>
      <c r="B299" s="30" t="s">
        <v>943</v>
      </c>
      <c r="C299" s="128" t="s">
        <v>3887</v>
      </c>
      <c r="D299" s="152">
        <v>55140.481279005719</v>
      </c>
      <c r="E299" s="152">
        <v>4573.8099999999995</v>
      </c>
      <c r="F299" s="30">
        <f>[2]!Table323[[#This Row],[Single Family]]+[2]!Table323[[#This Row],[2-4 Units]]+[2]!Table323[[#This Row],[&gt;4 Units]]</f>
        <v>10</v>
      </c>
      <c r="G299" s="30">
        <v>5</v>
      </c>
      <c r="H299" s="30">
        <v>5</v>
      </c>
      <c r="I299" s="30">
        <v>0</v>
      </c>
      <c r="J299" s="157">
        <v>2903.46</v>
      </c>
      <c r="K299" s="30">
        <f>SUM([2]!Table323[[#This Row],[Single Family ]:[&gt;4 Units ]])</f>
        <v>10</v>
      </c>
      <c r="L299" s="212">
        <v>1</v>
      </c>
      <c r="M299" s="212">
        <v>9</v>
      </c>
      <c r="N299" s="212">
        <v>0</v>
      </c>
      <c r="O299" s="156">
        <v>1670.3500000000001</v>
      </c>
      <c r="P299" s="100">
        <f>VLOOKUP(Table3236[[#This Row],[Census Tract]],'Population and Diversity Data'!$B$2:$K$823,10,FALSE)</f>
        <v>5</v>
      </c>
      <c r="Q299" s="101" t="str">
        <f>VLOOKUP(Table3236[[#This Row],[Census Tract]],'UI EnergyBurden'!$A$2:$B$184,2,FALSE)</f>
        <v>Yes</v>
      </c>
    </row>
    <row r="300" spans="1:17" x14ac:dyDescent="0.2">
      <c r="A300" s="30">
        <v>9009142500</v>
      </c>
      <c r="B300" s="30" t="s">
        <v>943</v>
      </c>
      <c r="C300" s="128" t="s">
        <v>3887</v>
      </c>
      <c r="D300" s="152">
        <v>0</v>
      </c>
      <c r="E300" s="152">
        <v>0</v>
      </c>
      <c r="F300" s="30">
        <f>[2]!Table323[[#This Row],[Single Family]]+[2]!Table323[[#This Row],[2-4 Units]]+[2]!Table323[[#This Row],[&gt;4 Units]]</f>
        <v>0</v>
      </c>
      <c r="G300" s="30"/>
      <c r="H300" s="30"/>
      <c r="I300" s="30"/>
      <c r="J300" s="157">
        <v>0</v>
      </c>
      <c r="K300" s="30">
        <f>SUM([2]!Table323[[#This Row],[Single Family ]:[&gt;4 Units ]])</f>
        <v>0</v>
      </c>
      <c r="L300" s="212"/>
      <c r="M300" s="212"/>
      <c r="N300" s="212"/>
      <c r="O300" s="156">
        <v>0</v>
      </c>
      <c r="P300" s="100">
        <f>VLOOKUP(Table3236[[#This Row],[Census Tract]],'Population and Diversity Data'!$B$2:$K$823,10,FALSE)</f>
        <v>5</v>
      </c>
      <c r="Q300" s="101" t="str">
        <f>VLOOKUP(Table3236[[#This Row],[Census Tract]],'UI EnergyBurden'!$A$2:$B$184,2,FALSE)</f>
        <v>Yes</v>
      </c>
    </row>
    <row r="301" spans="1:17" x14ac:dyDescent="0.2">
      <c r="A301" s="30">
        <v>9009142601</v>
      </c>
      <c r="B301" s="30" t="s">
        <v>3880</v>
      </c>
      <c r="C301" s="128" t="s">
        <v>3886</v>
      </c>
      <c r="D301" s="152">
        <v>45.626576102339378</v>
      </c>
      <c r="E301" s="152">
        <v>0</v>
      </c>
      <c r="F301" s="30">
        <f>[2]!Table323[[#This Row],[Single Family]]+[2]!Table323[[#This Row],[2-4 Units]]+[2]!Table323[[#This Row],[&gt;4 Units]]</f>
        <v>0</v>
      </c>
      <c r="G301" s="30"/>
      <c r="H301" s="30"/>
      <c r="I301" s="30"/>
      <c r="J301" s="157">
        <v>0</v>
      </c>
      <c r="K301" s="30">
        <f>SUM([2]!Table323[[#This Row],[Single Family ]:[&gt;4 Units ]])</f>
        <v>0</v>
      </c>
      <c r="L301" s="212"/>
      <c r="M301" s="212"/>
      <c r="N301" s="212"/>
      <c r="O301" s="156"/>
      <c r="P301" s="100">
        <f>VLOOKUP(Table3236[[#This Row],[Census Tract]],'Population and Diversity Data'!$B$2:$K$823,10,FALSE)</f>
        <v>5</v>
      </c>
      <c r="Q301" s="101" t="str">
        <f>VLOOKUP(Table3236[[#This Row],[Census Tract]],'UI EnergyBurden'!$A$2:$B$184,2,FALSE)</f>
        <v>No</v>
      </c>
    </row>
    <row r="302" spans="1:17" x14ac:dyDescent="0.2">
      <c r="A302" s="30">
        <v>9009142601</v>
      </c>
      <c r="B302" s="30" t="s">
        <v>943</v>
      </c>
      <c r="C302" s="128" t="s">
        <v>3886</v>
      </c>
      <c r="D302" s="152">
        <v>69196.726089438787</v>
      </c>
      <c r="E302" s="152">
        <v>78996.540000000023</v>
      </c>
      <c r="F302" s="30">
        <f>[2]!Table323[[#This Row],[Single Family]]+[2]!Table323[[#This Row],[2-4 Units]]+[2]!Table323[[#This Row],[&gt;4 Units]]</f>
        <v>23</v>
      </c>
      <c r="G302" s="30">
        <v>19</v>
      </c>
      <c r="H302" s="30">
        <v>4</v>
      </c>
      <c r="I302" s="30">
        <v>0</v>
      </c>
      <c r="J302" s="157">
        <v>27415.959999999995</v>
      </c>
      <c r="K302" s="30">
        <f>SUM([2]!Table323[[#This Row],[Single Family ]:[&gt;4 Units ]])</f>
        <v>24</v>
      </c>
      <c r="L302" s="212">
        <v>15</v>
      </c>
      <c r="M302" s="212">
        <v>9</v>
      </c>
      <c r="N302" s="212">
        <v>0</v>
      </c>
      <c r="O302" s="156">
        <v>51580.58</v>
      </c>
      <c r="P302" s="100">
        <f>VLOOKUP(Table3236[[#This Row],[Census Tract]],'Population and Diversity Data'!$B$2:$K$823,10,FALSE)</f>
        <v>5</v>
      </c>
      <c r="Q302" s="101" t="str">
        <f>VLOOKUP(Table3236[[#This Row],[Census Tract]],'UI EnergyBurden'!$A$2:$B$184,2,FALSE)</f>
        <v>No</v>
      </c>
    </row>
    <row r="303" spans="1:17" x14ac:dyDescent="0.2">
      <c r="A303" s="30">
        <v>9009142601</v>
      </c>
      <c r="B303" s="30" t="s">
        <v>3004</v>
      </c>
      <c r="C303" s="128" t="s">
        <v>3886</v>
      </c>
      <c r="D303" s="152">
        <v>460.22686618334592</v>
      </c>
      <c r="E303" s="152">
        <v>0</v>
      </c>
      <c r="F303" s="30">
        <f>[2]!Table323[[#This Row],[Single Family]]+[2]!Table323[[#This Row],[2-4 Units]]+[2]!Table323[[#This Row],[&gt;4 Units]]</f>
        <v>0</v>
      </c>
      <c r="G303" s="30"/>
      <c r="H303" s="30"/>
      <c r="I303" s="30"/>
      <c r="J303" s="157">
        <v>0</v>
      </c>
      <c r="K303" s="30">
        <f>SUM([2]!Table323[[#This Row],[Single Family ]:[&gt;4 Units ]])</f>
        <v>0</v>
      </c>
      <c r="L303" s="212"/>
      <c r="M303" s="212"/>
      <c r="N303" s="212"/>
      <c r="O303" s="156"/>
      <c r="P303" s="100">
        <f>VLOOKUP(Table3236[[#This Row],[Census Tract]],'Population and Diversity Data'!$B$2:$K$823,10,FALSE)</f>
        <v>5</v>
      </c>
      <c r="Q303" s="101" t="str">
        <f>VLOOKUP(Table3236[[#This Row],[Census Tract]],'UI EnergyBurden'!$A$2:$B$184,2,FALSE)</f>
        <v>No</v>
      </c>
    </row>
    <row r="304" spans="1:17" x14ac:dyDescent="0.2">
      <c r="A304" s="30">
        <v>9009142601</v>
      </c>
      <c r="B304" s="30" t="s">
        <v>943</v>
      </c>
      <c r="C304" s="128" t="s">
        <v>3886</v>
      </c>
      <c r="D304" s="152">
        <v>0</v>
      </c>
      <c r="E304" s="152">
        <v>38125</v>
      </c>
      <c r="F304" s="30">
        <f>[2]!Table323[[#This Row],[Single Family]]+[2]!Table323[[#This Row],[2-4 Units]]+[2]!Table323[[#This Row],[&gt;4 Units]]</f>
        <v>0</v>
      </c>
      <c r="G304" s="30"/>
      <c r="H304" s="30"/>
      <c r="I304" s="30"/>
      <c r="J304" s="157">
        <v>38125</v>
      </c>
      <c r="K304" s="30">
        <f>SUM([2]!Table323[[#This Row],[Single Family ]:[&gt;4 Units ]])</f>
        <v>0</v>
      </c>
      <c r="L304" s="212"/>
      <c r="M304" s="212"/>
      <c r="N304" s="212"/>
      <c r="O304" s="156">
        <v>0</v>
      </c>
      <c r="P304" s="100">
        <f>VLOOKUP(Table3236[[#This Row],[Census Tract]],'Population and Diversity Data'!$B$2:$K$823,10,FALSE)</f>
        <v>5</v>
      </c>
      <c r="Q304" s="101" t="str">
        <f>VLOOKUP(Table3236[[#This Row],[Census Tract]],'UI EnergyBurden'!$A$2:$B$184,2,FALSE)</f>
        <v>No</v>
      </c>
    </row>
    <row r="305" spans="1:17" x14ac:dyDescent="0.2">
      <c r="A305" s="30">
        <v>9009142603</v>
      </c>
      <c r="B305" s="30" t="s">
        <v>3880</v>
      </c>
      <c r="C305" s="128" t="s">
        <v>3887</v>
      </c>
      <c r="D305" s="152">
        <v>0</v>
      </c>
      <c r="E305" s="152">
        <v>0</v>
      </c>
      <c r="F305" s="30">
        <f>[2]!Table323[[#This Row],[Single Family]]+[2]!Table323[[#This Row],[2-4 Units]]+[2]!Table323[[#This Row],[&gt;4 Units]]</f>
        <v>0</v>
      </c>
      <c r="G305" s="30"/>
      <c r="H305" s="30"/>
      <c r="I305" s="30"/>
      <c r="J305" s="157">
        <v>0</v>
      </c>
      <c r="K305" s="30">
        <f>SUM([2]!Table323[[#This Row],[Single Family ]:[&gt;4 Units ]])</f>
        <v>0</v>
      </c>
      <c r="L305" s="212"/>
      <c r="M305" s="212"/>
      <c r="N305" s="212"/>
      <c r="O305" s="156"/>
      <c r="P305" s="100">
        <f>VLOOKUP(Table3236[[#This Row],[Census Tract]],'Population and Diversity Data'!$B$2:$K$823,10,FALSE)</f>
        <v>5</v>
      </c>
      <c r="Q305" s="101" t="str">
        <f>VLOOKUP(Table3236[[#This Row],[Census Tract]],'UI EnergyBurden'!$A$2:$B$184,2,FALSE)</f>
        <v>No</v>
      </c>
    </row>
    <row r="306" spans="1:17" x14ac:dyDescent="0.2">
      <c r="A306" s="30">
        <v>9009142603</v>
      </c>
      <c r="B306" s="30" t="s">
        <v>943</v>
      </c>
      <c r="C306" s="128" t="s">
        <v>3887</v>
      </c>
      <c r="D306" s="152">
        <v>33054.554625336808</v>
      </c>
      <c r="E306" s="152">
        <v>20282.580000000002</v>
      </c>
      <c r="F306" s="30">
        <f>[2]!Table323[[#This Row],[Single Family]]+[2]!Table323[[#This Row],[2-4 Units]]+[2]!Table323[[#This Row],[&gt;4 Units]]</f>
        <v>7</v>
      </c>
      <c r="G306" s="30">
        <v>7</v>
      </c>
      <c r="H306" s="30">
        <v>0</v>
      </c>
      <c r="I306" s="30">
        <v>0</v>
      </c>
      <c r="J306" s="157">
        <v>9068.3499999999985</v>
      </c>
      <c r="K306" s="30">
        <f>SUM([2]!Table323[[#This Row],[Single Family ]:[&gt;4 Units ]])</f>
        <v>7</v>
      </c>
      <c r="L306" s="212">
        <v>5</v>
      </c>
      <c r="M306" s="212">
        <v>1</v>
      </c>
      <c r="N306" s="212">
        <v>1</v>
      </c>
      <c r="O306" s="156">
        <v>11214.23</v>
      </c>
      <c r="P306" s="100">
        <f>VLOOKUP(Table3236[[#This Row],[Census Tract]],'Population and Diversity Data'!$B$2:$K$823,10,FALSE)</f>
        <v>5</v>
      </c>
      <c r="Q306" s="101" t="str">
        <f>VLOOKUP(Table3236[[#This Row],[Census Tract]],'UI EnergyBurden'!$A$2:$B$184,2,FALSE)</f>
        <v>No</v>
      </c>
    </row>
    <row r="307" spans="1:17" x14ac:dyDescent="0.2">
      <c r="A307" s="30">
        <v>9009142603</v>
      </c>
      <c r="B307" s="30" t="s">
        <v>943</v>
      </c>
      <c r="C307" s="128" t="s">
        <v>3887</v>
      </c>
      <c r="D307" s="152">
        <v>35119.952415836902</v>
      </c>
      <c r="E307" s="152">
        <v>0</v>
      </c>
      <c r="F307" s="30">
        <f>[2]!Table323[[#This Row],[Single Family]]+[2]!Table323[[#This Row],[2-4 Units]]+[2]!Table323[[#This Row],[&gt;4 Units]]</f>
        <v>0</v>
      </c>
      <c r="G307" s="30"/>
      <c r="H307" s="30"/>
      <c r="I307" s="30"/>
      <c r="J307" s="157">
        <v>0</v>
      </c>
      <c r="K307" s="30">
        <f>SUM([2]!Table323[[#This Row],[Single Family ]:[&gt;4 Units ]])</f>
        <v>0</v>
      </c>
      <c r="L307" s="212"/>
      <c r="M307" s="212"/>
      <c r="N307" s="212"/>
      <c r="O307" s="156"/>
      <c r="P307" s="100">
        <f>VLOOKUP(Table3236[[#This Row],[Census Tract]],'Population and Diversity Data'!$B$2:$K$823,10,FALSE)</f>
        <v>5</v>
      </c>
      <c r="Q307" s="101" t="str">
        <f>VLOOKUP(Table3236[[#This Row],[Census Tract]],'UI EnergyBurden'!$A$2:$B$184,2,FALSE)</f>
        <v>No</v>
      </c>
    </row>
    <row r="308" spans="1:17" x14ac:dyDescent="0.2">
      <c r="A308" s="30">
        <v>9009142604</v>
      </c>
      <c r="B308" s="30" t="s">
        <v>3880</v>
      </c>
      <c r="C308" s="128" t="s">
        <v>3886</v>
      </c>
      <c r="D308" s="152">
        <v>534.13056245434154</v>
      </c>
      <c r="E308" s="152">
        <v>0</v>
      </c>
      <c r="F308" s="30">
        <f>[2]!Table323[[#This Row],[Single Family]]+[2]!Table323[[#This Row],[2-4 Units]]+[2]!Table323[[#This Row],[&gt;4 Units]]</f>
        <v>0</v>
      </c>
      <c r="G308" s="30"/>
      <c r="H308" s="30"/>
      <c r="I308" s="30"/>
      <c r="J308" s="157">
        <v>0</v>
      </c>
      <c r="K308" s="30">
        <f>SUM([2]!Table323[[#This Row],[Single Family ]:[&gt;4 Units ]])</f>
        <v>0</v>
      </c>
      <c r="L308" s="212"/>
      <c r="M308" s="212"/>
      <c r="N308" s="212"/>
      <c r="O308" s="156"/>
      <c r="P308" s="100">
        <f>VLOOKUP(Table3236[[#This Row],[Census Tract]],'Population and Diversity Data'!$B$2:$K$823,10,FALSE)</f>
        <v>4</v>
      </c>
      <c r="Q308" s="101" t="str">
        <f>VLOOKUP(Table3236[[#This Row],[Census Tract]],'UI EnergyBurden'!$A$2:$B$184,2,FALSE)</f>
        <v>No</v>
      </c>
    </row>
    <row r="309" spans="1:17" x14ac:dyDescent="0.2">
      <c r="A309" s="30">
        <v>9009142604</v>
      </c>
      <c r="B309" s="30" t="s">
        <v>943</v>
      </c>
      <c r="C309" s="128" t="s">
        <v>3886</v>
      </c>
      <c r="D309" s="152">
        <v>30290.344941192827</v>
      </c>
      <c r="E309" s="152">
        <v>26558.58</v>
      </c>
      <c r="F309" s="30">
        <f>[2]!Table323[[#This Row],[Single Family]]+[2]!Table323[[#This Row],[2-4 Units]]+[2]!Table323[[#This Row],[&gt;4 Units]]</f>
        <v>13</v>
      </c>
      <c r="G309" s="30">
        <v>13</v>
      </c>
      <c r="H309" s="30">
        <v>0</v>
      </c>
      <c r="I309" s="30">
        <v>0</v>
      </c>
      <c r="J309" s="157">
        <v>11075.789999999999</v>
      </c>
      <c r="K309" s="30">
        <f>SUM([2]!Table323[[#This Row],[Single Family ]:[&gt;4 Units ]])</f>
        <v>10</v>
      </c>
      <c r="L309" s="212">
        <v>4</v>
      </c>
      <c r="M309" s="212">
        <v>6</v>
      </c>
      <c r="N309" s="212">
        <v>0</v>
      </c>
      <c r="O309" s="156">
        <v>15482.79</v>
      </c>
      <c r="P309" s="100">
        <f>VLOOKUP(Table3236[[#This Row],[Census Tract]],'Population and Diversity Data'!$B$2:$K$823,10,FALSE)</f>
        <v>4</v>
      </c>
      <c r="Q309" s="101" t="str">
        <f>VLOOKUP(Table3236[[#This Row],[Census Tract]],'UI EnergyBurden'!$A$2:$B$184,2,FALSE)</f>
        <v>No</v>
      </c>
    </row>
    <row r="310" spans="1:17" x14ac:dyDescent="0.2">
      <c r="A310" s="30">
        <v>9009142604</v>
      </c>
      <c r="B310" s="30" t="s">
        <v>3004</v>
      </c>
      <c r="C310" s="128" t="s">
        <v>3886</v>
      </c>
      <c r="D310" s="152">
        <v>26.596651312918869</v>
      </c>
      <c r="E310" s="152">
        <v>0</v>
      </c>
      <c r="F310" s="30">
        <f>[2]!Table323[[#This Row],[Single Family]]+[2]!Table323[[#This Row],[2-4 Units]]+[2]!Table323[[#This Row],[&gt;4 Units]]</f>
        <v>0</v>
      </c>
      <c r="G310" s="30"/>
      <c r="H310" s="30"/>
      <c r="I310" s="30"/>
      <c r="J310" s="157">
        <v>0</v>
      </c>
      <c r="K310" s="30">
        <f>SUM([2]!Table323[[#This Row],[Single Family ]:[&gt;4 Units ]])</f>
        <v>0</v>
      </c>
      <c r="L310" s="212"/>
      <c r="M310" s="212"/>
      <c r="N310" s="212"/>
      <c r="O310" s="156"/>
      <c r="P310" s="100">
        <f>VLOOKUP(Table3236[[#This Row],[Census Tract]],'Population and Diversity Data'!$B$2:$K$823,10,FALSE)</f>
        <v>4</v>
      </c>
      <c r="Q310" s="101" t="str">
        <f>VLOOKUP(Table3236[[#This Row],[Census Tract]],'UI EnergyBurden'!$A$2:$B$184,2,FALSE)</f>
        <v>No</v>
      </c>
    </row>
    <row r="311" spans="1:17" x14ac:dyDescent="0.2">
      <c r="A311" s="30">
        <v>9009142604</v>
      </c>
      <c r="B311" s="30" t="s">
        <v>943</v>
      </c>
      <c r="C311" s="128" t="s">
        <v>3886</v>
      </c>
      <c r="D311" s="152">
        <v>0</v>
      </c>
      <c r="E311" s="152">
        <v>0</v>
      </c>
      <c r="F311" s="30">
        <f>[2]!Table323[[#This Row],[Single Family]]+[2]!Table323[[#This Row],[2-4 Units]]+[2]!Table323[[#This Row],[&gt;4 Units]]</f>
        <v>0</v>
      </c>
      <c r="G311" s="30"/>
      <c r="H311" s="30"/>
      <c r="I311" s="30"/>
      <c r="J311" s="157">
        <v>0</v>
      </c>
      <c r="K311" s="30">
        <f>SUM([2]!Table323[[#This Row],[Single Family ]:[&gt;4 Units ]])</f>
        <v>0</v>
      </c>
      <c r="L311" s="212"/>
      <c r="M311" s="212"/>
      <c r="N311" s="212"/>
      <c r="O311" s="156">
        <v>0</v>
      </c>
      <c r="P311" s="100">
        <f>VLOOKUP(Table3236[[#This Row],[Census Tract]],'Population and Diversity Data'!$B$2:$K$823,10,FALSE)</f>
        <v>4</v>
      </c>
      <c r="Q311" s="101" t="str">
        <f>VLOOKUP(Table3236[[#This Row],[Census Tract]],'UI EnergyBurden'!$A$2:$B$184,2,FALSE)</f>
        <v>No</v>
      </c>
    </row>
    <row r="312" spans="1:17" x14ac:dyDescent="0.2">
      <c r="A312" s="30">
        <v>9009142700</v>
      </c>
      <c r="B312" s="30" t="s">
        <v>3880</v>
      </c>
      <c r="C312" s="128" t="s">
        <v>3886</v>
      </c>
      <c r="D312" s="152">
        <v>3012.7436412312591</v>
      </c>
      <c r="E312" s="152">
        <v>0</v>
      </c>
      <c r="F312" s="30">
        <f>[2]!Table323[[#This Row],[Single Family]]+[2]!Table323[[#This Row],[2-4 Units]]+[2]!Table323[[#This Row],[&gt;4 Units]]</f>
        <v>0</v>
      </c>
      <c r="G312" s="30"/>
      <c r="H312" s="30"/>
      <c r="I312" s="30"/>
      <c r="J312" s="157">
        <v>0</v>
      </c>
      <c r="K312" s="30">
        <f>SUM([2]!Table323[[#This Row],[Single Family ]:[&gt;4 Units ]])</f>
        <v>0</v>
      </c>
      <c r="L312" s="212"/>
      <c r="M312" s="212"/>
      <c r="N312" s="212"/>
      <c r="O312" s="156"/>
      <c r="P312" s="100">
        <f>VLOOKUP(Table3236[[#This Row],[Census Tract]],'Population and Diversity Data'!$B$2:$K$823,10,FALSE)</f>
        <v>5</v>
      </c>
      <c r="Q312" s="101" t="str">
        <f>VLOOKUP(Table3236[[#This Row],[Census Tract]],'UI EnergyBurden'!$A$2:$B$184,2,FALSE)</f>
        <v>Yes</v>
      </c>
    </row>
    <row r="313" spans="1:17" x14ac:dyDescent="0.2">
      <c r="A313" s="30">
        <v>9009142700</v>
      </c>
      <c r="B313" s="30" t="s">
        <v>943</v>
      </c>
      <c r="C313" s="128" t="s">
        <v>3886</v>
      </c>
      <c r="D313" s="152">
        <v>63338.011490890116</v>
      </c>
      <c r="E313" s="152">
        <v>24201.769999999997</v>
      </c>
      <c r="F313" s="30">
        <f>[2]!Table323[[#This Row],[Single Family]]+[2]!Table323[[#This Row],[2-4 Units]]+[2]!Table323[[#This Row],[&gt;4 Units]]</f>
        <v>21</v>
      </c>
      <c r="G313" s="30">
        <v>17</v>
      </c>
      <c r="H313" s="30">
        <v>4</v>
      </c>
      <c r="I313" s="30">
        <v>0</v>
      </c>
      <c r="J313" s="157">
        <v>14058.579999999998</v>
      </c>
      <c r="K313" s="30">
        <f>SUM([2]!Table323[[#This Row],[Single Family ]:[&gt;4 Units ]])</f>
        <v>26</v>
      </c>
      <c r="L313" s="212">
        <v>7</v>
      </c>
      <c r="M313" s="212">
        <v>19</v>
      </c>
      <c r="N313" s="212">
        <v>0</v>
      </c>
      <c r="O313" s="156">
        <v>10143.190000000002</v>
      </c>
      <c r="P313" s="100">
        <f>VLOOKUP(Table3236[[#This Row],[Census Tract]],'Population and Diversity Data'!$B$2:$K$823,10,FALSE)</f>
        <v>5</v>
      </c>
      <c r="Q313" s="101" t="str">
        <f>VLOOKUP(Table3236[[#This Row],[Census Tract]],'UI EnergyBurden'!$A$2:$B$184,2,FALSE)</f>
        <v>Yes</v>
      </c>
    </row>
    <row r="314" spans="1:17" x14ac:dyDescent="0.2">
      <c r="A314" s="30">
        <v>9009142700</v>
      </c>
      <c r="B314" s="30" t="s">
        <v>943</v>
      </c>
      <c r="C314" s="128" t="s">
        <v>3886</v>
      </c>
      <c r="D314" s="152">
        <v>0</v>
      </c>
      <c r="E314" s="152">
        <v>0</v>
      </c>
      <c r="F314" s="30">
        <f>[2]!Table323[[#This Row],[Single Family]]+[2]!Table323[[#This Row],[2-4 Units]]+[2]!Table323[[#This Row],[&gt;4 Units]]</f>
        <v>0</v>
      </c>
      <c r="G314" s="30"/>
      <c r="H314" s="30"/>
      <c r="I314" s="30"/>
      <c r="J314" s="157">
        <v>0</v>
      </c>
      <c r="K314" s="30">
        <f>SUM([2]!Table323[[#This Row],[Single Family ]:[&gt;4 Units ]])</f>
        <v>0</v>
      </c>
      <c r="L314" s="212"/>
      <c r="M314" s="212"/>
      <c r="N314" s="212"/>
      <c r="O314" s="156">
        <v>0</v>
      </c>
      <c r="P314" s="100">
        <f>VLOOKUP(Table3236[[#This Row],[Census Tract]],'Population and Diversity Data'!$B$2:$K$823,10,FALSE)</f>
        <v>5</v>
      </c>
      <c r="Q314" s="101" t="str">
        <f>VLOOKUP(Table3236[[#This Row],[Census Tract]],'UI EnergyBurden'!$A$2:$B$184,2,FALSE)</f>
        <v>Yes</v>
      </c>
    </row>
    <row r="315" spans="1:17" x14ac:dyDescent="0.2">
      <c r="A315" s="30">
        <v>9009142800</v>
      </c>
      <c r="B315" s="30" t="s">
        <v>3880</v>
      </c>
      <c r="C315" s="128" t="s">
        <v>944</v>
      </c>
      <c r="D315" s="152">
        <v>625.78998185491287</v>
      </c>
      <c r="E315" s="152">
        <v>14.780000000000001</v>
      </c>
      <c r="F315" s="30">
        <f>[2]!Table323[[#This Row],[Single Family]]+[2]!Table323[[#This Row],[2-4 Units]]+[2]!Table323[[#This Row],[&gt;4 Units]]</f>
        <v>0</v>
      </c>
      <c r="G315" s="30"/>
      <c r="H315" s="30"/>
      <c r="I315" s="30"/>
      <c r="J315" s="157">
        <v>0</v>
      </c>
      <c r="K315" s="30">
        <f>SUM([2]!Table323[[#This Row],[Single Family ]:[&gt;4 Units ]])</f>
        <v>1</v>
      </c>
      <c r="L315" s="212">
        <v>1</v>
      </c>
      <c r="M315" s="212">
        <v>0</v>
      </c>
      <c r="N315" s="212">
        <v>0</v>
      </c>
      <c r="O315" s="156">
        <v>14.780000000000001</v>
      </c>
      <c r="P315" s="100">
        <f>VLOOKUP(Table3236[[#This Row],[Census Tract]],'Population and Diversity Data'!$B$2:$K$823,10,FALSE)</f>
        <v>3</v>
      </c>
      <c r="Q315" s="101" t="str">
        <f>VLOOKUP(Table3236[[#This Row],[Census Tract]],'UI EnergyBurden'!$A$2:$B$184,2,FALSE)</f>
        <v>No</v>
      </c>
    </row>
    <row r="316" spans="1:17" x14ac:dyDescent="0.2">
      <c r="A316" s="30">
        <v>9009142800</v>
      </c>
      <c r="B316" s="30" t="s">
        <v>943</v>
      </c>
      <c r="C316" s="128" t="s">
        <v>944</v>
      </c>
      <c r="D316" s="152">
        <v>57795.654387779439</v>
      </c>
      <c r="E316" s="152">
        <v>49734.87</v>
      </c>
      <c r="F316" s="30">
        <f>[2]!Table323[[#This Row],[Single Family]]+[2]!Table323[[#This Row],[2-4 Units]]+[2]!Table323[[#This Row],[&gt;4 Units]]</f>
        <v>53</v>
      </c>
      <c r="G316" s="30">
        <v>51</v>
      </c>
      <c r="H316" s="30">
        <v>2</v>
      </c>
      <c r="I316" s="30">
        <v>0</v>
      </c>
      <c r="J316" s="157">
        <v>43231.23000000001</v>
      </c>
      <c r="K316" s="30">
        <f>SUM([2]!Table323[[#This Row],[Single Family ]:[&gt;4 Units ]])</f>
        <v>16</v>
      </c>
      <c r="L316" s="212">
        <v>11</v>
      </c>
      <c r="M316" s="212">
        <v>5</v>
      </c>
      <c r="N316" s="212">
        <v>0</v>
      </c>
      <c r="O316" s="156">
        <v>6503.6399999999994</v>
      </c>
      <c r="P316" s="100">
        <f>VLOOKUP(Table3236[[#This Row],[Census Tract]],'Population and Diversity Data'!$B$2:$K$823,10,FALSE)</f>
        <v>3</v>
      </c>
      <c r="Q316" s="101" t="str">
        <f>VLOOKUP(Table3236[[#This Row],[Census Tract]],'UI EnergyBurden'!$A$2:$B$184,2,FALSE)</f>
        <v>No</v>
      </c>
    </row>
    <row r="317" spans="1:17" x14ac:dyDescent="0.2">
      <c r="A317" s="30">
        <v>9009142800</v>
      </c>
      <c r="B317" s="30" t="s">
        <v>943</v>
      </c>
      <c r="C317" s="128" t="s">
        <v>944</v>
      </c>
      <c r="D317" s="152">
        <v>0</v>
      </c>
      <c r="E317" s="152">
        <v>0</v>
      </c>
      <c r="F317" s="30">
        <f>[2]!Table323[[#This Row],[Single Family]]+[2]!Table323[[#This Row],[2-4 Units]]+[2]!Table323[[#This Row],[&gt;4 Units]]</f>
        <v>0</v>
      </c>
      <c r="G317" s="30"/>
      <c r="H317" s="30"/>
      <c r="I317" s="30"/>
      <c r="J317" s="157">
        <v>0</v>
      </c>
      <c r="K317" s="30">
        <f>SUM([2]!Table323[[#This Row],[Single Family ]:[&gt;4 Units ]])</f>
        <v>0</v>
      </c>
      <c r="L317" s="212"/>
      <c r="M317" s="212"/>
      <c r="N317" s="212"/>
      <c r="O317" s="156">
        <v>0</v>
      </c>
      <c r="P317" s="100">
        <f>VLOOKUP(Table3236[[#This Row],[Census Tract]],'Population and Diversity Data'!$B$2:$K$823,10,FALSE)</f>
        <v>3</v>
      </c>
      <c r="Q317" s="101" t="str">
        <f>VLOOKUP(Table3236[[#This Row],[Census Tract]],'UI EnergyBurden'!$A$2:$B$184,2,FALSE)</f>
        <v>No</v>
      </c>
    </row>
    <row r="318" spans="1:17" x14ac:dyDescent="0.2">
      <c r="A318" s="30">
        <v>9009150100</v>
      </c>
      <c r="B318" s="30" t="s">
        <v>2988</v>
      </c>
      <c r="C318" s="128" t="s">
        <v>3886</v>
      </c>
      <c r="D318" s="152">
        <v>67532.757221861975</v>
      </c>
      <c r="E318" s="152">
        <v>219708.5199999999</v>
      </c>
      <c r="F318" s="30">
        <f>[2]!Table323[[#This Row],[Single Family]]+[2]!Table323[[#This Row],[2-4 Units]]+[2]!Table323[[#This Row],[&gt;4 Units]]</f>
        <v>30</v>
      </c>
      <c r="G318" s="30">
        <v>20</v>
      </c>
      <c r="H318" s="30">
        <v>1</v>
      </c>
      <c r="I318" s="30">
        <v>9</v>
      </c>
      <c r="J318" s="157">
        <v>65246.07</v>
      </c>
      <c r="K318" s="30">
        <f>SUM([2]!Table323[[#This Row],[Single Family ]:[&gt;4 Units ]])</f>
        <v>4</v>
      </c>
      <c r="L318" s="212">
        <v>2</v>
      </c>
      <c r="M318" s="212">
        <v>0</v>
      </c>
      <c r="N318" s="212">
        <v>2</v>
      </c>
      <c r="O318" s="156">
        <v>127462.45000000001</v>
      </c>
      <c r="P318" s="100">
        <f>VLOOKUP(Table3236[[#This Row],[Census Tract]],'Population and Diversity Data'!$B$2:$K$823,10,FALSE)</f>
        <v>3</v>
      </c>
      <c r="Q318" s="101" t="str">
        <f>VLOOKUP(Table3236[[#This Row],[Census Tract]],'UI EnergyBurden'!$A$2:$B$184,2,FALSE)</f>
        <v>No</v>
      </c>
    </row>
    <row r="319" spans="1:17" x14ac:dyDescent="0.2">
      <c r="A319" s="30">
        <v>9009150100</v>
      </c>
      <c r="B319" s="30" t="s">
        <v>2988</v>
      </c>
      <c r="C319" s="128" t="s">
        <v>3886</v>
      </c>
      <c r="D319" s="152">
        <v>0</v>
      </c>
      <c r="E319" s="152">
        <v>0</v>
      </c>
      <c r="F319" s="30">
        <f>[2]!Table323[[#This Row],[Single Family]]+[2]!Table323[[#This Row],[2-4 Units]]+[2]!Table323[[#This Row],[&gt;4 Units]]</f>
        <v>0</v>
      </c>
      <c r="G319" s="30"/>
      <c r="H319" s="30"/>
      <c r="I319" s="30"/>
      <c r="J319" s="157">
        <v>0</v>
      </c>
      <c r="K319" s="30">
        <f>SUM([2]!Table323[[#This Row],[Single Family ]:[&gt;4 Units ]])</f>
        <v>0</v>
      </c>
      <c r="L319" s="212"/>
      <c r="M319" s="212"/>
      <c r="N319" s="212"/>
      <c r="O319" s="156">
        <v>0</v>
      </c>
      <c r="P319" s="100">
        <f>VLOOKUP(Table3236[[#This Row],[Census Tract]],'Population and Diversity Data'!$B$2:$K$823,10,FALSE)</f>
        <v>3</v>
      </c>
      <c r="Q319" s="101" t="str">
        <f>VLOOKUP(Table3236[[#This Row],[Census Tract]],'UI EnergyBurden'!$A$2:$B$184,2,FALSE)</f>
        <v>No</v>
      </c>
    </row>
    <row r="320" spans="1:17" x14ac:dyDescent="0.2">
      <c r="A320" s="30">
        <v>9009150200</v>
      </c>
      <c r="B320" s="30" t="s">
        <v>2988</v>
      </c>
      <c r="C320" s="128" t="s">
        <v>3886</v>
      </c>
      <c r="D320" s="152">
        <v>45094.730792861992</v>
      </c>
      <c r="E320" s="152">
        <v>14604.269999999999</v>
      </c>
      <c r="F320" s="30">
        <f>[2]!Table323[[#This Row],[Single Family]]+[2]!Table323[[#This Row],[2-4 Units]]+[2]!Table323[[#This Row],[&gt;4 Units]]</f>
        <v>11</v>
      </c>
      <c r="G320" s="30">
        <v>11</v>
      </c>
      <c r="H320" s="30">
        <v>0</v>
      </c>
      <c r="I320" s="30">
        <v>0</v>
      </c>
      <c r="J320" s="157">
        <v>14589.489999999998</v>
      </c>
      <c r="K320" s="30">
        <f>SUM([2]!Table323[[#This Row],[Single Family ]:[&gt;4 Units ]])</f>
        <v>1</v>
      </c>
      <c r="L320" s="212">
        <v>1</v>
      </c>
      <c r="M320" s="212">
        <v>0</v>
      </c>
      <c r="N320" s="212">
        <v>0</v>
      </c>
      <c r="O320" s="156">
        <v>14.780000000000001</v>
      </c>
      <c r="P320" s="100">
        <f>VLOOKUP(Table3236[[#This Row],[Census Tract]],'Population and Diversity Data'!$B$2:$K$823,10,FALSE)</f>
        <v>4</v>
      </c>
      <c r="Q320" s="101" t="str">
        <f>VLOOKUP(Table3236[[#This Row],[Census Tract]],'UI EnergyBurden'!$A$2:$B$184,2,FALSE)</f>
        <v>No</v>
      </c>
    </row>
    <row r="321" spans="1:17" x14ac:dyDescent="0.2">
      <c r="A321" s="30">
        <v>9009150200</v>
      </c>
      <c r="B321" s="30" t="s">
        <v>2988</v>
      </c>
      <c r="C321" s="128" t="s">
        <v>3886</v>
      </c>
      <c r="D321" s="152">
        <v>0</v>
      </c>
      <c r="E321" s="152">
        <v>0</v>
      </c>
      <c r="F321" s="30">
        <f>[2]!Table323[[#This Row],[Single Family]]+[2]!Table323[[#This Row],[2-4 Units]]+[2]!Table323[[#This Row],[&gt;4 Units]]</f>
        <v>0</v>
      </c>
      <c r="G321" s="30"/>
      <c r="H321" s="30"/>
      <c r="I321" s="30"/>
      <c r="J321" s="157">
        <v>0</v>
      </c>
      <c r="K321" s="30">
        <f>SUM([2]!Table323[[#This Row],[Single Family ]:[&gt;4 Units ]])</f>
        <v>0</v>
      </c>
      <c r="L321" s="212"/>
      <c r="M321" s="212"/>
      <c r="N321" s="212"/>
      <c r="O321" s="156">
        <v>0</v>
      </c>
      <c r="P321" s="100">
        <f>VLOOKUP(Table3236[[#This Row],[Census Tract]],'Population and Diversity Data'!$B$2:$K$823,10,FALSE)</f>
        <v>4</v>
      </c>
      <c r="Q321" s="101" t="str">
        <f>VLOOKUP(Table3236[[#This Row],[Census Tract]],'UI EnergyBurden'!$A$2:$B$184,2,FALSE)</f>
        <v>No</v>
      </c>
    </row>
    <row r="322" spans="1:17" x14ac:dyDescent="0.2">
      <c r="A322" s="30">
        <v>9009150300</v>
      </c>
      <c r="B322" s="30" t="s">
        <v>2988</v>
      </c>
      <c r="C322" s="128" t="s">
        <v>3886</v>
      </c>
      <c r="D322" s="152">
        <v>53024.655572815544</v>
      </c>
      <c r="E322" s="152">
        <v>187241.23999999996</v>
      </c>
      <c r="F322" s="30">
        <f>[2]!Table323[[#This Row],[Single Family]]+[2]!Table323[[#This Row],[2-4 Units]]+[2]!Table323[[#This Row],[&gt;4 Units]]</f>
        <v>28</v>
      </c>
      <c r="G322" s="30">
        <v>28</v>
      </c>
      <c r="H322" s="30">
        <v>0</v>
      </c>
      <c r="I322" s="30">
        <v>0</v>
      </c>
      <c r="J322" s="157">
        <v>46780.759999999995</v>
      </c>
      <c r="K322" s="30">
        <f>SUM([2]!Table323[[#This Row],[Single Family ]:[&gt;4 Units ]])</f>
        <v>11</v>
      </c>
      <c r="L322" s="212">
        <v>8</v>
      </c>
      <c r="M322" s="212">
        <v>0</v>
      </c>
      <c r="N322" s="212">
        <v>3</v>
      </c>
      <c r="O322" s="156">
        <v>131260.47999999998</v>
      </c>
      <c r="P322" s="100">
        <f>VLOOKUP(Table3236[[#This Row],[Census Tract]],'Population and Diversity Data'!$B$2:$K$823,10,FALSE)</f>
        <v>3</v>
      </c>
      <c r="Q322" s="101" t="str">
        <f>VLOOKUP(Table3236[[#This Row],[Census Tract]],'UI EnergyBurden'!$A$2:$B$184,2,FALSE)</f>
        <v>No</v>
      </c>
    </row>
    <row r="323" spans="1:17" x14ac:dyDescent="0.2">
      <c r="A323" s="30">
        <v>9009150300</v>
      </c>
      <c r="B323" s="30" t="s">
        <v>2988</v>
      </c>
      <c r="C323" s="128" t="s">
        <v>3886</v>
      </c>
      <c r="D323" s="152">
        <v>0</v>
      </c>
      <c r="E323" s="152">
        <v>0</v>
      </c>
      <c r="F323" s="30">
        <f>[2]!Table323[[#This Row],[Single Family]]+[2]!Table323[[#This Row],[2-4 Units]]+[2]!Table323[[#This Row],[&gt;4 Units]]</f>
        <v>0</v>
      </c>
      <c r="G323" s="30"/>
      <c r="H323" s="30"/>
      <c r="I323" s="30"/>
      <c r="J323" s="157">
        <v>0</v>
      </c>
      <c r="K323" s="30">
        <f>SUM([2]!Table323[[#This Row],[Single Family ]:[&gt;4 Units ]])</f>
        <v>0</v>
      </c>
      <c r="L323" s="212"/>
      <c r="M323" s="212"/>
      <c r="N323" s="212"/>
      <c r="O323" s="156">
        <v>0</v>
      </c>
      <c r="P323" s="100">
        <f>VLOOKUP(Table3236[[#This Row],[Census Tract]],'Population and Diversity Data'!$B$2:$K$823,10,FALSE)</f>
        <v>3</v>
      </c>
      <c r="Q323" s="101" t="str">
        <f>VLOOKUP(Table3236[[#This Row],[Census Tract]],'UI EnergyBurden'!$A$2:$B$184,2,FALSE)</f>
        <v>No</v>
      </c>
    </row>
    <row r="324" spans="1:17" x14ac:dyDescent="0.2">
      <c r="A324" s="30">
        <v>9009150400</v>
      </c>
      <c r="B324" s="30" t="s">
        <v>2988</v>
      </c>
      <c r="C324" s="128" t="s">
        <v>3886</v>
      </c>
      <c r="D324" s="152">
        <v>53579.741212567016</v>
      </c>
      <c r="E324" s="152">
        <v>38278.28</v>
      </c>
      <c r="F324" s="30">
        <f>[2]!Table323[[#This Row],[Single Family]]+[2]!Table323[[#This Row],[2-4 Units]]+[2]!Table323[[#This Row],[&gt;4 Units]]</f>
        <v>15</v>
      </c>
      <c r="G324" s="30">
        <v>15</v>
      </c>
      <c r="H324" s="30">
        <v>0</v>
      </c>
      <c r="I324" s="30">
        <v>0</v>
      </c>
      <c r="J324" s="157">
        <v>24048.67</v>
      </c>
      <c r="K324" s="30">
        <f>SUM([2]!Table323[[#This Row],[Single Family ]:[&gt;4 Units ]])</f>
        <v>5</v>
      </c>
      <c r="L324" s="212">
        <v>3</v>
      </c>
      <c r="M324" s="212">
        <v>0</v>
      </c>
      <c r="N324" s="212">
        <v>2</v>
      </c>
      <c r="O324" s="156">
        <v>14229.609999999999</v>
      </c>
      <c r="P324" s="100">
        <f>VLOOKUP(Table3236[[#This Row],[Census Tract]],'Population and Diversity Data'!$B$2:$K$823,10,FALSE)</f>
        <v>4</v>
      </c>
      <c r="Q324" s="101" t="str">
        <f>VLOOKUP(Table3236[[#This Row],[Census Tract]],'UI EnergyBurden'!$A$2:$B$184,2,FALSE)</f>
        <v>No</v>
      </c>
    </row>
    <row r="325" spans="1:17" x14ac:dyDescent="0.2">
      <c r="A325" s="30">
        <v>9009150500</v>
      </c>
      <c r="B325" s="30" t="s">
        <v>2988</v>
      </c>
      <c r="C325" s="128" t="s">
        <v>3886</v>
      </c>
      <c r="D325" s="152">
        <v>65162.322017336817</v>
      </c>
      <c r="E325" s="152">
        <v>11661.15</v>
      </c>
      <c r="F325" s="30">
        <f>[2]!Table323[[#This Row],[Single Family]]+[2]!Table323[[#This Row],[2-4 Units]]+[2]!Table323[[#This Row],[&gt;4 Units]]</f>
        <v>17</v>
      </c>
      <c r="G325" s="30">
        <v>17</v>
      </c>
      <c r="H325" s="30">
        <v>0</v>
      </c>
      <c r="I325" s="30">
        <v>0</v>
      </c>
      <c r="J325" s="157">
        <v>8912.0200000000023</v>
      </c>
      <c r="K325" s="30">
        <f>SUM([2]!Table323[[#This Row],[Single Family ]:[&gt;4 Units ]])</f>
        <v>4</v>
      </c>
      <c r="L325" s="212">
        <v>3</v>
      </c>
      <c r="M325" s="212">
        <v>1</v>
      </c>
      <c r="N325" s="212">
        <v>0</v>
      </c>
      <c r="O325" s="156">
        <v>2749.13</v>
      </c>
      <c r="P325" s="100">
        <f>VLOOKUP(Table3236[[#This Row],[Census Tract]],'Population and Diversity Data'!$B$2:$K$823,10,FALSE)</f>
        <v>2</v>
      </c>
      <c r="Q325" s="101" t="str">
        <f>VLOOKUP(Table3236[[#This Row],[Census Tract]],'UI EnergyBurden'!$A$2:$B$184,2,FALSE)</f>
        <v>No</v>
      </c>
    </row>
    <row r="326" spans="1:17" x14ac:dyDescent="0.2">
      <c r="A326" s="30">
        <v>9009150500</v>
      </c>
      <c r="B326" s="30" t="s">
        <v>2988</v>
      </c>
      <c r="C326" s="128" t="s">
        <v>3886</v>
      </c>
      <c r="D326" s="152">
        <v>0</v>
      </c>
      <c r="E326" s="152">
        <v>0</v>
      </c>
      <c r="F326" s="30">
        <f>[2]!Table323[[#This Row],[Single Family]]+[2]!Table323[[#This Row],[2-4 Units]]+[2]!Table323[[#This Row],[&gt;4 Units]]</f>
        <v>0</v>
      </c>
      <c r="G326" s="30"/>
      <c r="H326" s="30"/>
      <c r="I326" s="30"/>
      <c r="J326" s="157">
        <v>0</v>
      </c>
      <c r="K326" s="30">
        <f>SUM([2]!Table323[[#This Row],[Single Family ]:[&gt;4 Units ]])</f>
        <v>0</v>
      </c>
      <c r="L326" s="212"/>
      <c r="M326" s="212"/>
      <c r="N326" s="212"/>
      <c r="O326" s="156"/>
      <c r="P326" s="100">
        <f>VLOOKUP(Table3236[[#This Row],[Census Tract]],'Population and Diversity Data'!$B$2:$K$823,10,FALSE)</f>
        <v>2</v>
      </c>
      <c r="Q326" s="101" t="str">
        <f>VLOOKUP(Table3236[[#This Row],[Census Tract]],'UI EnergyBurden'!$A$2:$B$184,2,FALSE)</f>
        <v>No</v>
      </c>
    </row>
    <row r="327" spans="1:17" x14ac:dyDescent="0.2">
      <c r="A327" s="30">
        <v>9009150600</v>
      </c>
      <c r="B327" s="30" t="s">
        <v>2988</v>
      </c>
      <c r="C327" s="128" t="s">
        <v>3886</v>
      </c>
      <c r="D327" s="152">
        <v>91063.947108209948</v>
      </c>
      <c r="E327" s="152">
        <v>77311.02</v>
      </c>
      <c r="F327" s="30">
        <f>[2]!Table323[[#This Row],[Single Family]]+[2]!Table323[[#This Row],[2-4 Units]]+[2]!Table323[[#This Row],[&gt;4 Units]]</f>
        <v>39</v>
      </c>
      <c r="G327" s="30">
        <v>39</v>
      </c>
      <c r="H327" s="30">
        <v>0</v>
      </c>
      <c r="I327" s="30">
        <v>0</v>
      </c>
      <c r="J327" s="157">
        <v>30734.239999999994</v>
      </c>
      <c r="K327" s="30">
        <f>SUM([2]!Table323[[#This Row],[Single Family ]:[&gt;4 Units ]])</f>
        <v>6</v>
      </c>
      <c r="L327" s="212">
        <v>6</v>
      </c>
      <c r="M327" s="212">
        <v>0</v>
      </c>
      <c r="N327" s="212">
        <v>0</v>
      </c>
      <c r="O327" s="156">
        <v>46576.78</v>
      </c>
      <c r="P327" s="100">
        <f>VLOOKUP(Table3236[[#This Row],[Census Tract]],'Population and Diversity Data'!$B$2:$K$823,10,FALSE)</f>
        <v>3</v>
      </c>
      <c r="Q327" s="101" t="str">
        <f>VLOOKUP(Table3236[[#This Row],[Census Tract]],'UI EnergyBurden'!$A$2:$B$184,2,FALSE)</f>
        <v>No</v>
      </c>
    </row>
    <row r="328" spans="1:17" x14ac:dyDescent="0.2">
      <c r="A328" s="30">
        <v>9009150600</v>
      </c>
      <c r="B328" s="30" t="s">
        <v>2988</v>
      </c>
      <c r="C328" s="128" t="s">
        <v>3886</v>
      </c>
      <c r="D328" s="152">
        <v>0</v>
      </c>
      <c r="E328" s="152">
        <v>0</v>
      </c>
      <c r="F328" s="30">
        <f>[2]!Table323[[#This Row],[Single Family]]+[2]!Table323[[#This Row],[2-4 Units]]+[2]!Table323[[#This Row],[&gt;4 Units]]</f>
        <v>0</v>
      </c>
      <c r="G328" s="30"/>
      <c r="H328" s="30"/>
      <c r="I328" s="30"/>
      <c r="J328" s="157">
        <v>0</v>
      </c>
      <c r="K328" s="30">
        <f>SUM([2]!Table323[[#This Row],[Single Family ]:[&gt;4 Units ]])</f>
        <v>0</v>
      </c>
      <c r="L328" s="212"/>
      <c r="M328" s="212"/>
      <c r="N328" s="212"/>
      <c r="O328" s="156">
        <v>0</v>
      </c>
      <c r="P328" s="100">
        <f>VLOOKUP(Table3236[[#This Row],[Census Tract]],'Population and Diversity Data'!$B$2:$K$823,10,FALSE)</f>
        <v>3</v>
      </c>
      <c r="Q328" s="101" t="str">
        <f>VLOOKUP(Table3236[[#This Row],[Census Tract]],'UI EnergyBurden'!$A$2:$B$184,2,FALSE)</f>
        <v>No</v>
      </c>
    </row>
    <row r="329" spans="1:17" x14ac:dyDescent="0.2">
      <c r="A329" s="30">
        <v>9009150700</v>
      </c>
      <c r="B329" s="30" t="s">
        <v>2983</v>
      </c>
      <c r="C329" s="128" t="s">
        <v>3886</v>
      </c>
      <c r="D329" s="152">
        <v>385.81533591748473</v>
      </c>
      <c r="E329" s="152">
        <v>0</v>
      </c>
      <c r="F329" s="30">
        <f>[2]!Table323[[#This Row],[Single Family]]+[2]!Table323[[#This Row],[2-4 Units]]+[2]!Table323[[#This Row],[&gt;4 Units]]</f>
        <v>0</v>
      </c>
      <c r="G329" s="30"/>
      <c r="H329" s="30"/>
      <c r="I329" s="30"/>
      <c r="J329" s="157">
        <v>0</v>
      </c>
      <c r="K329" s="30">
        <f>SUM([2]!Table323[[#This Row],[Single Family ]:[&gt;4 Units ]])</f>
        <v>0</v>
      </c>
      <c r="L329" s="212"/>
      <c r="M329" s="212"/>
      <c r="N329" s="212"/>
      <c r="O329" s="156"/>
      <c r="P329" s="100">
        <f>VLOOKUP(Table3236[[#This Row],[Census Tract]],'Population and Diversity Data'!$B$2:$K$823,10,FALSE)</f>
        <v>3</v>
      </c>
      <c r="Q329" s="101" t="str">
        <f>VLOOKUP(Table3236[[#This Row],[Census Tract]],'UI EnergyBurden'!$A$2:$B$184,2,FALSE)</f>
        <v>No</v>
      </c>
    </row>
    <row r="330" spans="1:17" x14ac:dyDescent="0.2">
      <c r="A330" s="30">
        <v>9009150700</v>
      </c>
      <c r="B330" s="30" t="s">
        <v>2988</v>
      </c>
      <c r="C330" s="128" t="s">
        <v>3886</v>
      </c>
      <c r="D330" s="152">
        <v>62468.253441229128</v>
      </c>
      <c r="E330" s="152">
        <v>30235.819999999996</v>
      </c>
      <c r="F330" s="30">
        <f>[2]!Table323[[#This Row],[Single Family]]+[2]!Table323[[#This Row],[2-4 Units]]+[2]!Table323[[#This Row],[&gt;4 Units]]</f>
        <v>20</v>
      </c>
      <c r="G330" s="30">
        <v>20</v>
      </c>
      <c r="H330" s="30">
        <v>0</v>
      </c>
      <c r="I330" s="30">
        <v>0</v>
      </c>
      <c r="J330" s="157">
        <v>30235.819999999996</v>
      </c>
      <c r="K330" s="30">
        <f>SUM([2]!Table323[[#This Row],[Single Family ]:[&gt;4 Units ]])</f>
        <v>0</v>
      </c>
      <c r="L330" s="212"/>
      <c r="M330" s="212"/>
      <c r="N330" s="212"/>
      <c r="O330" s="156">
        <v>0</v>
      </c>
      <c r="P330" s="100">
        <f>VLOOKUP(Table3236[[#This Row],[Census Tract]],'Population and Diversity Data'!$B$2:$K$823,10,FALSE)</f>
        <v>3</v>
      </c>
      <c r="Q330" s="101" t="str">
        <f>VLOOKUP(Table3236[[#This Row],[Census Tract]],'UI EnergyBurden'!$A$2:$B$184,2,FALSE)</f>
        <v>No</v>
      </c>
    </row>
    <row r="331" spans="1:17" x14ac:dyDescent="0.2">
      <c r="A331" s="30">
        <v>9009150700</v>
      </c>
      <c r="B331" s="30" t="s">
        <v>2992</v>
      </c>
      <c r="C331" s="128" t="s">
        <v>3886</v>
      </c>
      <c r="D331" s="152">
        <v>561.35046457914098</v>
      </c>
      <c r="E331" s="152">
        <v>2057.25</v>
      </c>
      <c r="F331" s="30">
        <f>[2]!Table323[[#This Row],[Single Family]]+[2]!Table323[[#This Row],[2-4 Units]]+[2]!Table323[[#This Row],[&gt;4 Units]]</f>
        <v>0</v>
      </c>
      <c r="G331" s="30"/>
      <c r="H331" s="30"/>
      <c r="I331" s="30"/>
      <c r="J331" s="157">
        <v>0</v>
      </c>
      <c r="K331" s="30">
        <f>SUM([2]!Table323[[#This Row],[Single Family ]:[&gt;4 Units ]])</f>
        <v>1</v>
      </c>
      <c r="L331" s="212">
        <v>1</v>
      </c>
      <c r="M331" s="212">
        <v>0</v>
      </c>
      <c r="N331" s="212">
        <v>0</v>
      </c>
      <c r="O331" s="156">
        <v>2057.25</v>
      </c>
      <c r="P331" s="100">
        <f>VLOOKUP(Table3236[[#This Row],[Census Tract]],'Population and Diversity Data'!$B$2:$K$823,10,FALSE)</f>
        <v>3</v>
      </c>
      <c r="Q331" s="101" t="str">
        <f>VLOOKUP(Table3236[[#This Row],[Census Tract]],'UI EnergyBurden'!$A$2:$B$184,2,FALSE)</f>
        <v>No</v>
      </c>
    </row>
    <row r="332" spans="1:17" x14ac:dyDescent="0.2">
      <c r="A332" s="30">
        <v>9009150700</v>
      </c>
      <c r="B332" s="30" t="s">
        <v>2988</v>
      </c>
      <c r="C332" s="128" t="s">
        <v>3886</v>
      </c>
      <c r="D332" s="152">
        <v>0</v>
      </c>
      <c r="E332" s="152">
        <v>0</v>
      </c>
      <c r="F332" s="30">
        <f>[2]!Table323[[#This Row],[Single Family]]+[2]!Table323[[#This Row],[2-4 Units]]+[2]!Table323[[#This Row],[&gt;4 Units]]</f>
        <v>0</v>
      </c>
      <c r="G332" s="30"/>
      <c r="H332" s="30"/>
      <c r="I332" s="30"/>
      <c r="J332" s="157">
        <v>0</v>
      </c>
      <c r="K332" s="30">
        <f>SUM([2]!Table323[[#This Row],[Single Family ]:[&gt;4 Units ]])</f>
        <v>0</v>
      </c>
      <c r="L332" s="212"/>
      <c r="M332" s="212"/>
      <c r="N332" s="212"/>
      <c r="O332" s="156">
        <v>0</v>
      </c>
      <c r="P332" s="100">
        <f>VLOOKUP(Table3236[[#This Row],[Census Tract]],'Population and Diversity Data'!$B$2:$K$823,10,FALSE)</f>
        <v>3</v>
      </c>
      <c r="Q332" s="101" t="str">
        <f>VLOOKUP(Table3236[[#This Row],[Census Tract]],'UI EnergyBurden'!$A$2:$B$184,2,FALSE)</f>
        <v>No</v>
      </c>
    </row>
    <row r="333" spans="1:17" x14ac:dyDescent="0.2">
      <c r="A333" s="30">
        <v>9009150800</v>
      </c>
      <c r="B333" s="30" t="s">
        <v>2988</v>
      </c>
      <c r="C333" s="128" t="s">
        <v>3886</v>
      </c>
      <c r="D333" s="152">
        <v>54894.597292037193</v>
      </c>
      <c r="E333" s="152">
        <v>18256.769999999997</v>
      </c>
      <c r="F333" s="30">
        <f>[2]!Table323[[#This Row],[Single Family]]+[2]!Table323[[#This Row],[2-4 Units]]+[2]!Table323[[#This Row],[&gt;4 Units]]</f>
        <v>18</v>
      </c>
      <c r="G333" s="30">
        <v>18</v>
      </c>
      <c r="H333" s="30">
        <v>0</v>
      </c>
      <c r="I333" s="30">
        <v>0</v>
      </c>
      <c r="J333" s="157">
        <v>18256.769999999997</v>
      </c>
      <c r="K333" s="30">
        <f>SUM([2]!Table323[[#This Row],[Single Family ]:[&gt;4 Units ]])</f>
        <v>0</v>
      </c>
      <c r="L333" s="212"/>
      <c r="M333" s="212"/>
      <c r="N333" s="212"/>
      <c r="O333" s="156">
        <v>0</v>
      </c>
      <c r="P333" s="100">
        <f>VLOOKUP(Table3236[[#This Row],[Census Tract]],'Population and Diversity Data'!$B$2:$K$823,10,FALSE)</f>
        <v>4</v>
      </c>
      <c r="Q333" s="101" t="str">
        <f>VLOOKUP(Table3236[[#This Row],[Census Tract]],'UI EnergyBurden'!$A$2:$B$184,2,FALSE)</f>
        <v>No</v>
      </c>
    </row>
    <row r="334" spans="1:17" x14ac:dyDescent="0.2">
      <c r="A334" s="30">
        <v>9009150800</v>
      </c>
      <c r="B334" s="30" t="s">
        <v>2988</v>
      </c>
      <c r="C334" s="128" t="s">
        <v>3886</v>
      </c>
      <c r="D334" s="152">
        <v>0</v>
      </c>
      <c r="E334" s="152">
        <v>0</v>
      </c>
      <c r="F334" s="30">
        <f>[2]!Table323[[#This Row],[Single Family]]+[2]!Table323[[#This Row],[2-4 Units]]+[2]!Table323[[#This Row],[&gt;4 Units]]</f>
        <v>0</v>
      </c>
      <c r="G334" s="30"/>
      <c r="H334" s="30"/>
      <c r="I334" s="30"/>
      <c r="J334" s="157">
        <v>0</v>
      </c>
      <c r="K334" s="30">
        <f>SUM([2]!Table323[[#This Row],[Single Family ]:[&gt;4 Units ]])</f>
        <v>0</v>
      </c>
      <c r="L334" s="212"/>
      <c r="M334" s="212"/>
      <c r="N334" s="212"/>
      <c r="O334" s="156">
        <v>0</v>
      </c>
      <c r="P334" s="100">
        <f>VLOOKUP(Table3236[[#This Row],[Census Tract]],'Population and Diversity Data'!$B$2:$K$823,10,FALSE)</f>
        <v>4</v>
      </c>
      <c r="Q334" s="101" t="str">
        <f>VLOOKUP(Table3236[[#This Row],[Census Tract]],'UI EnergyBurden'!$A$2:$B$184,2,FALSE)</f>
        <v>No</v>
      </c>
    </row>
    <row r="335" spans="1:17" x14ac:dyDescent="0.2">
      <c r="A335" s="30">
        <v>9009150900</v>
      </c>
      <c r="B335" s="30" t="s">
        <v>2988</v>
      </c>
      <c r="C335" s="128" t="s">
        <v>3886</v>
      </c>
      <c r="D335" s="152">
        <v>61135.179971361416</v>
      </c>
      <c r="E335" s="152">
        <v>33587.730000000003</v>
      </c>
      <c r="F335" s="30">
        <f>[2]!Table323[[#This Row],[Single Family]]+[2]!Table323[[#This Row],[2-4 Units]]+[2]!Table323[[#This Row],[&gt;4 Units]]</f>
        <v>26</v>
      </c>
      <c r="G335" s="30">
        <v>26</v>
      </c>
      <c r="H335" s="30">
        <v>0</v>
      </c>
      <c r="I335" s="30">
        <v>0</v>
      </c>
      <c r="J335" s="157">
        <v>33103.720000000008</v>
      </c>
      <c r="K335" s="30">
        <f>SUM([2]!Table323[[#This Row],[Single Family ]:[&gt;4 Units ]])</f>
        <v>2</v>
      </c>
      <c r="L335" s="212">
        <v>2</v>
      </c>
      <c r="M335" s="212">
        <v>0</v>
      </c>
      <c r="N335" s="212">
        <v>0</v>
      </c>
      <c r="O335" s="156">
        <v>484.01</v>
      </c>
      <c r="P335" s="100">
        <f>VLOOKUP(Table3236[[#This Row],[Census Tract]],'Population and Diversity Data'!$B$2:$K$823,10,FALSE)</f>
        <v>1</v>
      </c>
      <c r="Q335" s="101" t="str">
        <f>VLOOKUP(Table3236[[#This Row],[Census Tract]],'UI EnergyBurden'!$A$2:$B$184,2,FALSE)</f>
        <v>No</v>
      </c>
    </row>
    <row r="336" spans="1:17" x14ac:dyDescent="0.2">
      <c r="A336" s="30">
        <v>9009150900</v>
      </c>
      <c r="B336" s="30" t="s">
        <v>2988</v>
      </c>
      <c r="C336" s="128" t="s">
        <v>3886</v>
      </c>
      <c r="D336" s="152">
        <v>0</v>
      </c>
      <c r="E336" s="152">
        <v>0</v>
      </c>
      <c r="F336" s="30">
        <f>[2]!Table323[[#This Row],[Single Family]]+[2]!Table323[[#This Row],[2-4 Units]]+[2]!Table323[[#This Row],[&gt;4 Units]]</f>
        <v>0</v>
      </c>
      <c r="G336" s="30"/>
      <c r="H336" s="30"/>
      <c r="I336" s="30"/>
      <c r="J336" s="157">
        <v>0</v>
      </c>
      <c r="K336" s="30">
        <f>SUM([2]!Table323[[#This Row],[Single Family ]:[&gt;4 Units ]])</f>
        <v>0</v>
      </c>
      <c r="L336" s="212"/>
      <c r="M336" s="212"/>
      <c r="N336" s="212"/>
      <c r="O336" s="156">
        <v>0</v>
      </c>
      <c r="P336" s="100">
        <f>VLOOKUP(Table3236[[#This Row],[Census Tract]],'Population and Diversity Data'!$B$2:$K$823,10,FALSE)</f>
        <v>1</v>
      </c>
      <c r="Q336" s="101" t="str">
        <f>VLOOKUP(Table3236[[#This Row],[Census Tract]],'UI EnergyBurden'!$A$2:$B$184,2,FALSE)</f>
        <v>No</v>
      </c>
    </row>
    <row r="337" spans="1:17" x14ac:dyDescent="0.2">
      <c r="A337" s="30">
        <v>9009151000</v>
      </c>
      <c r="B337" s="30" t="s">
        <v>2988</v>
      </c>
      <c r="C337" s="128" t="s">
        <v>3886</v>
      </c>
      <c r="D337" s="152">
        <v>59346.214690957459</v>
      </c>
      <c r="E337" s="152">
        <v>28143.5</v>
      </c>
      <c r="F337" s="30">
        <f>[2]!Table323[[#This Row],[Single Family]]+[2]!Table323[[#This Row],[2-4 Units]]+[2]!Table323[[#This Row],[&gt;4 Units]]</f>
        <v>29</v>
      </c>
      <c r="G337" s="30">
        <v>29</v>
      </c>
      <c r="H337" s="30">
        <v>0</v>
      </c>
      <c r="I337" s="30">
        <v>0</v>
      </c>
      <c r="J337" s="157">
        <v>27911.419999999995</v>
      </c>
      <c r="K337" s="30">
        <f>SUM([2]!Table323[[#This Row],[Single Family ]:[&gt;4 Units ]])</f>
        <v>3</v>
      </c>
      <c r="L337" s="212">
        <v>3</v>
      </c>
      <c r="M337" s="212">
        <v>0</v>
      </c>
      <c r="N337" s="212">
        <v>0</v>
      </c>
      <c r="O337" s="156">
        <v>232.08</v>
      </c>
      <c r="P337" s="100">
        <f>VLOOKUP(Table3236[[#This Row],[Census Tract]],'Population and Diversity Data'!$B$2:$K$823,10,FALSE)</f>
        <v>3</v>
      </c>
      <c r="Q337" s="101" t="str">
        <f>VLOOKUP(Table3236[[#This Row],[Census Tract]],'UI EnergyBurden'!$A$2:$B$184,2,FALSE)</f>
        <v>No</v>
      </c>
    </row>
    <row r="338" spans="1:17" x14ac:dyDescent="0.2">
      <c r="A338" s="30">
        <v>9009151000</v>
      </c>
      <c r="B338" s="30" t="s">
        <v>2988</v>
      </c>
      <c r="C338" s="128" t="s">
        <v>3886</v>
      </c>
      <c r="D338" s="152">
        <v>0</v>
      </c>
      <c r="E338" s="152">
        <v>0</v>
      </c>
      <c r="F338" s="30">
        <f>[2]!Table323[[#This Row],[Single Family]]+[2]!Table323[[#This Row],[2-4 Units]]+[2]!Table323[[#This Row],[&gt;4 Units]]</f>
        <v>0</v>
      </c>
      <c r="G338" s="30"/>
      <c r="H338" s="30"/>
      <c r="I338" s="30"/>
      <c r="J338" s="157">
        <v>0</v>
      </c>
      <c r="K338" s="30">
        <f>SUM([2]!Table323[[#This Row],[Single Family ]:[&gt;4 Units ]])</f>
        <v>0</v>
      </c>
      <c r="L338" s="212"/>
      <c r="M338" s="212"/>
      <c r="N338" s="212"/>
      <c r="O338" s="156"/>
      <c r="P338" s="100">
        <f>VLOOKUP(Table3236[[#This Row],[Census Tract]],'Population and Diversity Data'!$B$2:$K$823,10,FALSE)</f>
        <v>3</v>
      </c>
      <c r="Q338" s="101" t="str">
        <f>VLOOKUP(Table3236[[#This Row],[Census Tract]],'UI EnergyBurden'!$A$2:$B$184,2,FALSE)</f>
        <v>No</v>
      </c>
    </row>
    <row r="339" spans="1:17" x14ac:dyDescent="0.2">
      <c r="A339" s="30">
        <v>9009151100</v>
      </c>
      <c r="B339" s="30" t="s">
        <v>2988</v>
      </c>
      <c r="C339" s="128" t="s">
        <v>3886</v>
      </c>
      <c r="D339" s="152">
        <v>88091.75170313238</v>
      </c>
      <c r="E339" s="152">
        <v>31956.399999999998</v>
      </c>
      <c r="F339" s="30">
        <f>[2]!Table323[[#This Row],[Single Family]]+[2]!Table323[[#This Row],[2-4 Units]]+[2]!Table323[[#This Row],[&gt;4 Units]]</f>
        <v>38</v>
      </c>
      <c r="G339" s="30">
        <v>37</v>
      </c>
      <c r="H339" s="30">
        <v>0</v>
      </c>
      <c r="I339" s="30">
        <v>1</v>
      </c>
      <c r="J339" s="157">
        <v>25098.03</v>
      </c>
      <c r="K339" s="30">
        <f>SUM([2]!Table323[[#This Row],[Single Family ]:[&gt;4 Units ]])</f>
        <v>7</v>
      </c>
      <c r="L339" s="212">
        <v>6</v>
      </c>
      <c r="M339" s="212">
        <v>1</v>
      </c>
      <c r="N339" s="212">
        <v>0</v>
      </c>
      <c r="O339" s="156">
        <v>6858.369999999999</v>
      </c>
      <c r="P339" s="100">
        <f>VLOOKUP(Table3236[[#This Row],[Census Tract]],'Population and Diversity Data'!$B$2:$K$823,10,FALSE)</f>
        <v>3</v>
      </c>
      <c r="Q339" s="101" t="str">
        <f>VLOOKUP(Table3236[[#This Row],[Census Tract]],'UI EnergyBurden'!$A$2:$B$184,2,FALSE)</f>
        <v>No</v>
      </c>
    </row>
    <row r="340" spans="1:17" x14ac:dyDescent="0.2">
      <c r="A340" s="30">
        <v>9009151100</v>
      </c>
      <c r="B340" s="30" t="s">
        <v>2988</v>
      </c>
      <c r="C340" s="128" t="s">
        <v>3886</v>
      </c>
      <c r="D340" s="152">
        <v>0</v>
      </c>
      <c r="E340" s="152">
        <v>750</v>
      </c>
      <c r="F340" s="30">
        <f>[2]!Table323[[#This Row],[Single Family]]+[2]!Table323[[#This Row],[2-4 Units]]+[2]!Table323[[#This Row],[&gt;4 Units]]</f>
        <v>0</v>
      </c>
      <c r="G340" s="30"/>
      <c r="H340" s="30"/>
      <c r="I340" s="30"/>
      <c r="J340" s="157">
        <v>750</v>
      </c>
      <c r="K340" s="30">
        <f>SUM([2]!Table323[[#This Row],[Single Family ]:[&gt;4 Units ]])</f>
        <v>0</v>
      </c>
      <c r="L340" s="212"/>
      <c r="M340" s="212"/>
      <c r="N340" s="212"/>
      <c r="O340" s="156">
        <v>0</v>
      </c>
      <c r="P340" s="100">
        <f>VLOOKUP(Table3236[[#This Row],[Census Tract]],'Population and Diversity Data'!$B$2:$K$823,10,FALSE)</f>
        <v>3</v>
      </c>
      <c r="Q340" s="101" t="str">
        <f>VLOOKUP(Table3236[[#This Row],[Census Tract]],'UI EnergyBurden'!$A$2:$B$184,2,FALSE)</f>
        <v>No</v>
      </c>
    </row>
    <row r="341" spans="1:17" x14ac:dyDescent="0.2">
      <c r="A341" s="30">
        <v>9009151200</v>
      </c>
      <c r="B341" s="30" t="s">
        <v>2983</v>
      </c>
      <c r="C341" s="128" t="s">
        <v>3886</v>
      </c>
      <c r="D341" s="152">
        <v>0</v>
      </c>
      <c r="E341" s="152">
        <v>0</v>
      </c>
      <c r="F341" s="30">
        <f>[2]!Table323[[#This Row],[Single Family]]+[2]!Table323[[#This Row],[2-4 Units]]+[2]!Table323[[#This Row],[&gt;4 Units]]</f>
        <v>0</v>
      </c>
      <c r="G341" s="30"/>
      <c r="H341" s="30"/>
      <c r="I341" s="30"/>
      <c r="J341" s="157">
        <v>0</v>
      </c>
      <c r="K341" s="30">
        <f>SUM([2]!Table323[[#This Row],[Single Family ]:[&gt;4 Units ]])</f>
        <v>0</v>
      </c>
      <c r="L341" s="212"/>
      <c r="M341" s="212"/>
      <c r="N341" s="212"/>
      <c r="O341" s="156"/>
      <c r="P341" s="100">
        <f>VLOOKUP(Table3236[[#This Row],[Census Tract]],'Population and Diversity Data'!$B$2:$K$823,10,FALSE)</f>
        <v>2</v>
      </c>
      <c r="Q341" s="101" t="str">
        <f>VLOOKUP(Table3236[[#This Row],[Census Tract]],'UI EnergyBurden'!$A$2:$B$184,2,FALSE)</f>
        <v>No</v>
      </c>
    </row>
    <row r="342" spans="1:17" x14ac:dyDescent="0.2">
      <c r="A342" s="30">
        <v>9009151200</v>
      </c>
      <c r="B342" s="30" t="s">
        <v>2988</v>
      </c>
      <c r="C342" s="128" t="s">
        <v>3886</v>
      </c>
      <c r="D342" s="152">
        <v>41802.382987403063</v>
      </c>
      <c r="E342" s="152">
        <v>19954.059999999998</v>
      </c>
      <c r="F342" s="30">
        <f>[2]!Table323[[#This Row],[Single Family]]+[2]!Table323[[#This Row],[2-4 Units]]+[2]!Table323[[#This Row],[&gt;4 Units]]</f>
        <v>16</v>
      </c>
      <c r="G342" s="30">
        <v>16</v>
      </c>
      <c r="H342" s="30">
        <v>0</v>
      </c>
      <c r="I342" s="30">
        <v>0</v>
      </c>
      <c r="J342" s="157">
        <v>18922.799999999996</v>
      </c>
      <c r="K342" s="30">
        <f>SUM([2]!Table323[[#This Row],[Single Family ]:[&gt;4 Units ]])</f>
        <v>2</v>
      </c>
      <c r="L342" s="212">
        <v>2</v>
      </c>
      <c r="M342" s="212">
        <v>0</v>
      </c>
      <c r="N342" s="212">
        <v>0</v>
      </c>
      <c r="O342" s="156">
        <v>1031.26</v>
      </c>
      <c r="P342" s="100">
        <f>VLOOKUP(Table3236[[#This Row],[Census Tract]],'Population and Diversity Data'!$B$2:$K$823,10,FALSE)</f>
        <v>2</v>
      </c>
      <c r="Q342" s="101" t="str">
        <f>VLOOKUP(Table3236[[#This Row],[Census Tract]],'UI EnergyBurden'!$A$2:$B$184,2,FALSE)</f>
        <v>No</v>
      </c>
    </row>
    <row r="343" spans="1:17" x14ac:dyDescent="0.2">
      <c r="A343" s="30">
        <v>9009151200</v>
      </c>
      <c r="B343" s="30" t="s">
        <v>2992</v>
      </c>
      <c r="C343" s="128" t="s">
        <v>3886</v>
      </c>
      <c r="D343" s="152">
        <v>0</v>
      </c>
      <c r="E343" s="152">
        <v>0</v>
      </c>
      <c r="F343" s="30">
        <f>[2]!Table323[[#This Row],[Single Family]]+[2]!Table323[[#This Row],[2-4 Units]]+[2]!Table323[[#This Row],[&gt;4 Units]]</f>
        <v>0</v>
      </c>
      <c r="G343" s="30"/>
      <c r="H343" s="30"/>
      <c r="I343" s="30"/>
      <c r="J343" s="157">
        <v>0</v>
      </c>
      <c r="K343" s="30">
        <f>SUM([2]!Table323[[#This Row],[Single Family ]:[&gt;4 Units ]])</f>
        <v>0</v>
      </c>
      <c r="L343" s="212"/>
      <c r="M343" s="212"/>
      <c r="N343" s="212"/>
      <c r="O343" s="156"/>
      <c r="P343" s="100">
        <f>VLOOKUP(Table3236[[#This Row],[Census Tract]],'Population and Diversity Data'!$B$2:$K$823,10,FALSE)</f>
        <v>2</v>
      </c>
      <c r="Q343" s="101" t="str">
        <f>VLOOKUP(Table3236[[#This Row],[Census Tract]],'UI EnergyBurden'!$A$2:$B$184,2,FALSE)</f>
        <v>No</v>
      </c>
    </row>
    <row r="344" spans="1:17" x14ac:dyDescent="0.2">
      <c r="A344" s="30">
        <v>9009151200</v>
      </c>
      <c r="B344" s="30" t="s">
        <v>950</v>
      </c>
      <c r="C344" s="128" t="s">
        <v>3886</v>
      </c>
      <c r="D344" s="152">
        <v>24.468365207163686</v>
      </c>
      <c r="E344" s="152">
        <v>0</v>
      </c>
      <c r="F344" s="30">
        <f>[2]!Table323[[#This Row],[Single Family]]+[2]!Table323[[#This Row],[2-4 Units]]+[2]!Table323[[#This Row],[&gt;4 Units]]</f>
        <v>0</v>
      </c>
      <c r="G344" s="30"/>
      <c r="H344" s="30"/>
      <c r="I344" s="30"/>
      <c r="J344" s="157">
        <v>0</v>
      </c>
      <c r="K344" s="30">
        <f>SUM([2]!Table323[[#This Row],[Single Family ]:[&gt;4 Units ]])</f>
        <v>0</v>
      </c>
      <c r="L344" s="212"/>
      <c r="M344" s="212"/>
      <c r="N344" s="212"/>
      <c r="O344" s="156"/>
      <c r="P344" s="100">
        <f>VLOOKUP(Table3236[[#This Row],[Census Tract]],'Population and Diversity Data'!$B$2:$K$823,10,FALSE)</f>
        <v>2</v>
      </c>
      <c r="Q344" s="101" t="str">
        <f>VLOOKUP(Table3236[[#This Row],[Census Tract]],'UI EnergyBurden'!$A$2:$B$184,2,FALSE)</f>
        <v>No</v>
      </c>
    </row>
    <row r="345" spans="1:17" x14ac:dyDescent="0.2">
      <c r="A345" s="30">
        <v>9009151200</v>
      </c>
      <c r="B345" s="30" t="s">
        <v>2988</v>
      </c>
      <c r="C345" s="128" t="s">
        <v>3886</v>
      </c>
      <c r="D345" s="152">
        <v>0</v>
      </c>
      <c r="E345" s="152">
        <v>0</v>
      </c>
      <c r="F345" s="30">
        <f>[2]!Table323[[#This Row],[Single Family]]+[2]!Table323[[#This Row],[2-4 Units]]+[2]!Table323[[#This Row],[&gt;4 Units]]</f>
        <v>0</v>
      </c>
      <c r="G345" s="30"/>
      <c r="H345" s="30"/>
      <c r="I345" s="30"/>
      <c r="J345" s="157">
        <v>0</v>
      </c>
      <c r="K345" s="30">
        <f>SUM([2]!Table323[[#This Row],[Single Family ]:[&gt;4 Units ]])</f>
        <v>0</v>
      </c>
      <c r="L345" s="212"/>
      <c r="M345" s="212"/>
      <c r="N345" s="212"/>
      <c r="O345" s="156">
        <v>0</v>
      </c>
      <c r="P345" s="100">
        <f>VLOOKUP(Table3236[[#This Row],[Census Tract]],'Population and Diversity Data'!$B$2:$K$823,10,FALSE)</f>
        <v>2</v>
      </c>
      <c r="Q345" s="101" t="str">
        <f>VLOOKUP(Table3236[[#This Row],[Census Tract]],'UI EnergyBurden'!$A$2:$B$184,2,FALSE)</f>
        <v>No</v>
      </c>
    </row>
    <row r="346" spans="1:17" x14ac:dyDescent="0.2">
      <c r="A346" s="30">
        <v>9009154100</v>
      </c>
      <c r="B346" s="30" t="s">
        <v>3880</v>
      </c>
      <c r="C346" s="128" t="s">
        <v>3886</v>
      </c>
      <c r="D346" s="152">
        <v>78.658869132010366</v>
      </c>
      <c r="E346" s="152">
        <v>0</v>
      </c>
      <c r="F346" s="30">
        <f>[2]!Table323[[#This Row],[Single Family]]+[2]!Table323[[#This Row],[2-4 Units]]+[2]!Table323[[#This Row],[&gt;4 Units]]</f>
        <v>0</v>
      </c>
      <c r="G346" s="30"/>
      <c r="H346" s="30"/>
      <c r="I346" s="30"/>
      <c r="J346" s="157">
        <v>0</v>
      </c>
      <c r="K346" s="30">
        <f>SUM([2]!Table323[[#This Row],[Single Family ]:[&gt;4 Units ]])</f>
        <v>0</v>
      </c>
      <c r="L346" s="212"/>
      <c r="M346" s="212"/>
      <c r="N346" s="212"/>
      <c r="O346" s="156"/>
      <c r="P346" s="100">
        <f>VLOOKUP(Table3236[[#This Row],[Census Tract]],'Population and Diversity Data'!$B$2:$K$823,10,FALSE)</f>
        <v>4</v>
      </c>
      <c r="Q346" s="101" t="str">
        <f>VLOOKUP(Table3236[[#This Row],[Census Tract]],'UI EnergyBurden'!$A$2:$B$184,2,FALSE)</f>
        <v>No</v>
      </c>
    </row>
    <row r="347" spans="1:17" x14ac:dyDescent="0.2">
      <c r="A347" s="30">
        <v>9009154100</v>
      </c>
      <c r="B347" s="30" t="s">
        <v>943</v>
      </c>
      <c r="C347" s="128" t="s">
        <v>3886</v>
      </c>
      <c r="D347" s="152">
        <v>93.676905361992155</v>
      </c>
      <c r="E347" s="152">
        <v>0</v>
      </c>
      <c r="F347" s="30">
        <f>[2]!Table323[[#This Row],[Single Family]]+[2]!Table323[[#This Row],[2-4 Units]]+[2]!Table323[[#This Row],[&gt;4 Units]]</f>
        <v>0</v>
      </c>
      <c r="G347" s="30"/>
      <c r="H347" s="30"/>
      <c r="I347" s="30"/>
      <c r="J347" s="157">
        <v>0</v>
      </c>
      <c r="K347" s="30">
        <f>SUM([2]!Table323[[#This Row],[Single Family ]:[&gt;4 Units ]])</f>
        <v>0</v>
      </c>
      <c r="L347" s="212"/>
      <c r="M347" s="212"/>
      <c r="N347" s="212"/>
      <c r="O347" s="156"/>
      <c r="P347" s="100">
        <f>VLOOKUP(Table3236[[#This Row],[Census Tract]],'Population and Diversity Data'!$B$2:$K$823,10,FALSE)</f>
        <v>4</v>
      </c>
      <c r="Q347" s="101" t="str">
        <f>VLOOKUP(Table3236[[#This Row],[Census Tract]],'UI EnergyBurden'!$A$2:$B$184,2,FALSE)</f>
        <v>No</v>
      </c>
    </row>
    <row r="348" spans="1:17" x14ac:dyDescent="0.2">
      <c r="A348" s="30">
        <v>9009154100</v>
      </c>
      <c r="B348" s="30" t="s">
        <v>950</v>
      </c>
      <c r="C348" s="128" t="s">
        <v>3886</v>
      </c>
      <c r="D348" s="152">
        <v>116670.05436412517</v>
      </c>
      <c r="E348" s="152">
        <v>175384.25999999995</v>
      </c>
      <c r="F348" s="30">
        <f>[2]!Table323[[#This Row],[Single Family]]+[2]!Table323[[#This Row],[2-4 Units]]+[2]!Table323[[#This Row],[&gt;4 Units]]</f>
        <v>41</v>
      </c>
      <c r="G348" s="30">
        <v>38</v>
      </c>
      <c r="H348" s="30">
        <v>3</v>
      </c>
      <c r="I348" s="30">
        <v>0</v>
      </c>
      <c r="J348" s="157">
        <v>69455.63</v>
      </c>
      <c r="K348" s="30">
        <f>SUM([2]!Table323[[#This Row],[Single Family ]:[&gt;4 Units ]])</f>
        <v>25</v>
      </c>
      <c r="L348" s="212">
        <v>19</v>
      </c>
      <c r="M348" s="212">
        <v>6</v>
      </c>
      <c r="N348" s="212">
        <v>0</v>
      </c>
      <c r="O348" s="156">
        <v>105928.62999999999</v>
      </c>
      <c r="P348" s="100">
        <f>VLOOKUP(Table3236[[#This Row],[Census Tract]],'Population and Diversity Data'!$B$2:$K$823,10,FALSE)</f>
        <v>4</v>
      </c>
      <c r="Q348" s="101" t="str">
        <f>VLOOKUP(Table3236[[#This Row],[Census Tract]],'UI EnergyBurden'!$A$2:$B$184,2,FALSE)</f>
        <v>No</v>
      </c>
    </row>
    <row r="349" spans="1:17" x14ac:dyDescent="0.2">
      <c r="A349" s="30">
        <v>9009154100</v>
      </c>
      <c r="B349" s="30" t="s">
        <v>950</v>
      </c>
      <c r="C349" s="128" t="s">
        <v>3886</v>
      </c>
      <c r="D349" s="152">
        <v>444.86257950231936</v>
      </c>
      <c r="E349" s="152">
        <v>0</v>
      </c>
      <c r="F349" s="30">
        <f>[2]!Table323[[#This Row],[Single Family]]+[2]!Table323[[#This Row],[2-4 Units]]+[2]!Table323[[#This Row],[&gt;4 Units]]</f>
        <v>0</v>
      </c>
      <c r="G349" s="30"/>
      <c r="H349" s="30"/>
      <c r="I349" s="30"/>
      <c r="J349" s="157">
        <v>0</v>
      </c>
      <c r="K349" s="30">
        <f>SUM([2]!Table323[[#This Row],[Single Family ]:[&gt;4 Units ]])</f>
        <v>0</v>
      </c>
      <c r="L349" s="212"/>
      <c r="M349" s="212"/>
      <c r="N349" s="212"/>
      <c r="O349" s="156">
        <v>0</v>
      </c>
      <c r="P349" s="100">
        <f>VLOOKUP(Table3236[[#This Row],[Census Tract]],'Population and Diversity Data'!$B$2:$K$823,10,FALSE)</f>
        <v>4</v>
      </c>
      <c r="Q349" s="101" t="str">
        <f>VLOOKUP(Table3236[[#This Row],[Census Tract]],'UI EnergyBurden'!$A$2:$B$184,2,FALSE)</f>
        <v>No</v>
      </c>
    </row>
    <row r="350" spans="1:17" x14ac:dyDescent="0.2">
      <c r="A350" s="30">
        <v>9009154200</v>
      </c>
      <c r="B350" s="30" t="s">
        <v>3880</v>
      </c>
      <c r="C350" s="128" t="s">
        <v>3886</v>
      </c>
      <c r="D350" s="152">
        <v>459.14656477608634</v>
      </c>
      <c r="E350" s="152">
        <v>0</v>
      </c>
      <c r="F350" s="30">
        <f>[2]!Table323[[#This Row],[Single Family]]+[2]!Table323[[#This Row],[2-4 Units]]+[2]!Table323[[#This Row],[&gt;4 Units]]</f>
        <v>0</v>
      </c>
      <c r="G350" s="30"/>
      <c r="H350" s="30"/>
      <c r="I350" s="30"/>
      <c r="J350" s="157">
        <v>0</v>
      </c>
      <c r="K350" s="30">
        <f>SUM([2]!Table323[[#This Row],[Single Family ]:[&gt;4 Units ]])</f>
        <v>0</v>
      </c>
      <c r="L350" s="212"/>
      <c r="M350" s="212"/>
      <c r="N350" s="212"/>
      <c r="O350" s="156"/>
      <c r="P350" s="100">
        <f>VLOOKUP(Table3236[[#This Row],[Census Tract]],'Population and Diversity Data'!$B$2:$K$823,10,FALSE)</f>
        <v>4</v>
      </c>
      <c r="Q350" s="101" t="str">
        <f>VLOOKUP(Table3236[[#This Row],[Census Tract]],'UI EnergyBurden'!$A$2:$B$184,2,FALSE)</f>
        <v>No</v>
      </c>
    </row>
    <row r="351" spans="1:17" x14ac:dyDescent="0.2">
      <c r="A351" s="30">
        <v>9009154200</v>
      </c>
      <c r="B351" s="30" t="s">
        <v>3004</v>
      </c>
      <c r="C351" s="128" t="s">
        <v>3886</v>
      </c>
      <c r="D351" s="152">
        <v>375.14620535262537</v>
      </c>
      <c r="E351" s="152">
        <v>0</v>
      </c>
      <c r="F351" s="30">
        <f>[2]!Table323[[#This Row],[Single Family]]+[2]!Table323[[#This Row],[2-4 Units]]+[2]!Table323[[#This Row],[&gt;4 Units]]</f>
        <v>0</v>
      </c>
      <c r="G351" s="30"/>
      <c r="H351" s="30"/>
      <c r="I351" s="30"/>
      <c r="J351" s="157">
        <v>0</v>
      </c>
      <c r="K351" s="30">
        <f>SUM([2]!Table323[[#This Row],[Single Family ]:[&gt;4 Units ]])</f>
        <v>0</v>
      </c>
      <c r="L351" s="212"/>
      <c r="M351" s="212"/>
      <c r="N351" s="212"/>
      <c r="O351" s="156"/>
      <c r="P351" s="100">
        <f>VLOOKUP(Table3236[[#This Row],[Census Tract]],'Population and Diversity Data'!$B$2:$K$823,10,FALSE)</f>
        <v>4</v>
      </c>
      <c r="Q351" s="101" t="str">
        <f>VLOOKUP(Table3236[[#This Row],[Census Tract]],'UI EnergyBurden'!$A$2:$B$184,2,FALSE)</f>
        <v>No</v>
      </c>
    </row>
    <row r="352" spans="1:17" x14ac:dyDescent="0.2">
      <c r="A352" s="30">
        <v>9009154200</v>
      </c>
      <c r="B352" s="30" t="s">
        <v>950</v>
      </c>
      <c r="C352" s="128" t="s">
        <v>3886</v>
      </c>
      <c r="D352" s="152">
        <v>98403.237868770913</v>
      </c>
      <c r="E352" s="152">
        <v>202180.31000000003</v>
      </c>
      <c r="F352" s="30">
        <f>[2]!Table323[[#This Row],[Single Family]]+[2]!Table323[[#This Row],[2-4 Units]]+[2]!Table323[[#This Row],[&gt;4 Units]]</f>
        <v>26</v>
      </c>
      <c r="G352" s="30">
        <v>26</v>
      </c>
      <c r="H352" s="30">
        <v>0</v>
      </c>
      <c r="I352" s="30">
        <v>0</v>
      </c>
      <c r="J352" s="157">
        <v>37854.720000000008</v>
      </c>
      <c r="K352" s="30">
        <f>SUM([2]!Table323[[#This Row],[Single Family ]:[&gt;4 Units ]])</f>
        <v>16</v>
      </c>
      <c r="L352" s="212">
        <v>13</v>
      </c>
      <c r="M352" s="212">
        <v>1</v>
      </c>
      <c r="N352" s="212">
        <v>2</v>
      </c>
      <c r="O352" s="156">
        <v>164325.59</v>
      </c>
      <c r="P352" s="100">
        <f>VLOOKUP(Table3236[[#This Row],[Census Tract]],'Population and Diversity Data'!$B$2:$K$823,10,FALSE)</f>
        <v>4</v>
      </c>
      <c r="Q352" s="101" t="str">
        <f>VLOOKUP(Table3236[[#This Row],[Census Tract]],'UI EnergyBurden'!$A$2:$B$184,2,FALSE)</f>
        <v>No</v>
      </c>
    </row>
    <row r="353" spans="1:17" x14ac:dyDescent="0.2">
      <c r="A353" s="30">
        <v>9009154200</v>
      </c>
      <c r="B353" s="30" t="s">
        <v>950</v>
      </c>
      <c r="C353" s="128" t="s">
        <v>3886</v>
      </c>
      <c r="D353" s="152">
        <v>0</v>
      </c>
      <c r="E353" s="152">
        <v>0</v>
      </c>
      <c r="F353" s="30">
        <f>[2]!Table323[[#This Row],[Single Family]]+[2]!Table323[[#This Row],[2-4 Units]]+[2]!Table323[[#This Row],[&gt;4 Units]]</f>
        <v>0</v>
      </c>
      <c r="G353" s="30"/>
      <c r="H353" s="30"/>
      <c r="I353" s="30"/>
      <c r="J353" s="157">
        <v>0</v>
      </c>
      <c r="K353" s="30">
        <f>SUM([2]!Table323[[#This Row],[Single Family ]:[&gt;4 Units ]])</f>
        <v>0</v>
      </c>
      <c r="L353" s="212"/>
      <c r="M353" s="212"/>
      <c r="N353" s="212"/>
      <c r="O353" s="156"/>
      <c r="P353" s="100">
        <f>VLOOKUP(Table3236[[#This Row],[Census Tract]],'Population and Diversity Data'!$B$2:$K$823,10,FALSE)</f>
        <v>4</v>
      </c>
      <c r="Q353" s="101" t="str">
        <f>VLOOKUP(Table3236[[#This Row],[Census Tract]],'UI EnergyBurden'!$A$2:$B$184,2,FALSE)</f>
        <v>No</v>
      </c>
    </row>
    <row r="354" spans="1:17" x14ac:dyDescent="0.2">
      <c r="A354" s="30">
        <v>9009154500</v>
      </c>
      <c r="B354" s="30" t="s">
        <v>3880</v>
      </c>
      <c r="C354" s="128" t="s">
        <v>3887</v>
      </c>
      <c r="D354" s="152">
        <v>471.94398144670095</v>
      </c>
      <c r="E354" s="152">
        <v>0</v>
      </c>
      <c r="F354" s="30">
        <f>[2]!Table323[[#This Row],[Single Family]]+[2]!Table323[[#This Row],[2-4 Units]]+[2]!Table323[[#This Row],[&gt;4 Units]]</f>
        <v>0</v>
      </c>
      <c r="G354" s="30"/>
      <c r="H354" s="30"/>
      <c r="I354" s="30"/>
      <c r="J354" s="157">
        <v>0</v>
      </c>
      <c r="K354" s="30">
        <f>SUM([2]!Table323[[#This Row],[Single Family ]:[&gt;4 Units ]])</f>
        <v>0</v>
      </c>
      <c r="L354" s="212"/>
      <c r="M354" s="212"/>
      <c r="N354" s="212"/>
      <c r="O354" s="156"/>
      <c r="P354" s="100">
        <f>VLOOKUP(Table3236[[#This Row],[Census Tract]],'Population and Diversity Data'!$B$2:$K$823,10,FALSE)</f>
        <v>4</v>
      </c>
      <c r="Q354" s="101" t="str">
        <f>VLOOKUP(Table3236[[#This Row],[Census Tract]],'UI EnergyBurden'!$A$2:$B$184,2,FALSE)</f>
        <v>No</v>
      </c>
    </row>
    <row r="355" spans="1:17" x14ac:dyDescent="0.2">
      <c r="A355" s="30">
        <v>9009154500</v>
      </c>
      <c r="B355" s="30" t="s">
        <v>943</v>
      </c>
      <c r="C355" s="128" t="s">
        <v>3887</v>
      </c>
      <c r="D355" s="152">
        <v>0</v>
      </c>
      <c r="E355" s="152">
        <v>0</v>
      </c>
      <c r="F355" s="30">
        <f>[2]!Table323[[#This Row],[Single Family]]+[2]!Table323[[#This Row],[2-4 Units]]+[2]!Table323[[#This Row],[&gt;4 Units]]</f>
        <v>0</v>
      </c>
      <c r="G355" s="30"/>
      <c r="H355" s="30"/>
      <c r="I355" s="30"/>
      <c r="J355" s="157">
        <v>0</v>
      </c>
      <c r="K355" s="30">
        <f>SUM([2]!Table323[[#This Row],[Single Family ]:[&gt;4 Units ]])</f>
        <v>0</v>
      </c>
      <c r="L355" s="212"/>
      <c r="M355" s="212"/>
      <c r="N355" s="212"/>
      <c r="O355" s="156"/>
      <c r="P355" s="100">
        <f>VLOOKUP(Table3236[[#This Row],[Census Tract]],'Population and Diversity Data'!$B$2:$K$823,10,FALSE)</f>
        <v>4</v>
      </c>
      <c r="Q355" s="101" t="str">
        <f>VLOOKUP(Table3236[[#This Row],[Census Tract]],'UI EnergyBurden'!$A$2:$B$184,2,FALSE)</f>
        <v>No</v>
      </c>
    </row>
    <row r="356" spans="1:17" x14ac:dyDescent="0.2">
      <c r="A356" s="30">
        <v>9009154500</v>
      </c>
      <c r="B356" s="30" t="s">
        <v>3004</v>
      </c>
      <c r="C356" s="128" t="s">
        <v>3887</v>
      </c>
      <c r="D356" s="152">
        <v>0</v>
      </c>
      <c r="E356" s="152">
        <v>0</v>
      </c>
      <c r="F356" s="30">
        <f>[2]!Table323[[#This Row],[Single Family]]+[2]!Table323[[#This Row],[2-4 Units]]+[2]!Table323[[#This Row],[&gt;4 Units]]</f>
        <v>0</v>
      </c>
      <c r="G356" s="30"/>
      <c r="H356" s="30"/>
      <c r="I356" s="30"/>
      <c r="J356" s="157">
        <v>0</v>
      </c>
      <c r="K356" s="30">
        <f>SUM([2]!Table323[[#This Row],[Single Family ]:[&gt;4 Units ]])</f>
        <v>0</v>
      </c>
      <c r="L356" s="212"/>
      <c r="M356" s="212"/>
      <c r="N356" s="212"/>
      <c r="O356" s="156"/>
      <c r="P356" s="100">
        <f>VLOOKUP(Table3236[[#This Row],[Census Tract]],'Population and Diversity Data'!$B$2:$K$823,10,FALSE)</f>
        <v>4</v>
      </c>
      <c r="Q356" s="101" t="str">
        <f>VLOOKUP(Table3236[[#This Row],[Census Tract]],'UI EnergyBurden'!$A$2:$B$184,2,FALSE)</f>
        <v>No</v>
      </c>
    </row>
    <row r="357" spans="1:17" x14ac:dyDescent="0.2">
      <c r="A357" s="30">
        <v>9009154500</v>
      </c>
      <c r="B357" s="30" t="s">
        <v>950</v>
      </c>
      <c r="C357" s="128" t="s">
        <v>3887</v>
      </c>
      <c r="D357" s="152">
        <v>50985.665150048444</v>
      </c>
      <c r="E357" s="152">
        <v>241944.37</v>
      </c>
      <c r="F357" s="30">
        <f>[2]!Table323[[#This Row],[Single Family]]+[2]!Table323[[#This Row],[2-4 Units]]+[2]!Table323[[#This Row],[&gt;4 Units]]</f>
        <v>16</v>
      </c>
      <c r="G357" s="30">
        <v>11</v>
      </c>
      <c r="H357" s="30">
        <v>5</v>
      </c>
      <c r="I357" s="30">
        <v>0</v>
      </c>
      <c r="J357" s="157">
        <v>16935.2</v>
      </c>
      <c r="K357" s="30">
        <f>SUM([2]!Table323[[#This Row],[Single Family ]:[&gt;4 Units ]])</f>
        <v>18</v>
      </c>
      <c r="L357" s="212">
        <v>9</v>
      </c>
      <c r="M357" s="212">
        <v>8</v>
      </c>
      <c r="N357" s="212">
        <v>1</v>
      </c>
      <c r="O357" s="156">
        <v>225009.16999999998</v>
      </c>
      <c r="P357" s="100">
        <f>VLOOKUP(Table3236[[#This Row],[Census Tract]],'Population and Diversity Data'!$B$2:$K$823,10,FALSE)</f>
        <v>4</v>
      </c>
      <c r="Q357" s="101" t="str">
        <f>VLOOKUP(Table3236[[#This Row],[Census Tract]],'UI EnergyBurden'!$A$2:$B$184,2,FALSE)</f>
        <v>No</v>
      </c>
    </row>
    <row r="358" spans="1:17" x14ac:dyDescent="0.2">
      <c r="A358" s="30">
        <v>9009154500</v>
      </c>
      <c r="B358" s="30" t="s">
        <v>3004</v>
      </c>
      <c r="C358" s="128" t="s">
        <v>3887</v>
      </c>
      <c r="D358" s="152">
        <v>0</v>
      </c>
      <c r="E358" s="152">
        <v>0</v>
      </c>
      <c r="F358" s="30">
        <f>[2]!Table323[[#This Row],[Single Family]]+[2]!Table323[[#This Row],[2-4 Units]]+[2]!Table323[[#This Row],[&gt;4 Units]]</f>
        <v>0</v>
      </c>
      <c r="G358" s="30"/>
      <c r="H358" s="30"/>
      <c r="I358" s="30"/>
      <c r="J358" s="157">
        <v>0</v>
      </c>
      <c r="K358" s="30">
        <f>SUM([2]!Table323[[#This Row],[Single Family ]:[&gt;4 Units ]])</f>
        <v>0</v>
      </c>
      <c r="L358" s="212"/>
      <c r="M358" s="212"/>
      <c r="N358" s="212"/>
      <c r="O358" s="156">
        <v>0</v>
      </c>
      <c r="P358" s="100">
        <f>VLOOKUP(Table3236[[#This Row],[Census Tract]],'Population and Diversity Data'!$B$2:$K$823,10,FALSE)</f>
        <v>4</v>
      </c>
      <c r="Q358" s="101" t="str">
        <f>VLOOKUP(Table3236[[#This Row],[Census Tract]],'UI EnergyBurden'!$A$2:$B$184,2,FALSE)</f>
        <v>No</v>
      </c>
    </row>
    <row r="359" spans="1:17" x14ac:dyDescent="0.2">
      <c r="A359" s="30">
        <v>9009154500</v>
      </c>
      <c r="B359" s="30" t="s">
        <v>950</v>
      </c>
      <c r="C359" s="128" t="s">
        <v>3887</v>
      </c>
      <c r="D359" s="152">
        <v>0</v>
      </c>
      <c r="E359" s="152">
        <v>0</v>
      </c>
      <c r="F359" s="30">
        <f>[2]!Table323[[#This Row],[Single Family]]+[2]!Table323[[#This Row],[2-4 Units]]+[2]!Table323[[#This Row],[&gt;4 Units]]</f>
        <v>0</v>
      </c>
      <c r="G359" s="30"/>
      <c r="H359" s="30"/>
      <c r="I359" s="30"/>
      <c r="J359" s="157">
        <v>0</v>
      </c>
      <c r="K359" s="30">
        <f>SUM([2]!Table323[[#This Row],[Single Family ]:[&gt;4 Units ]])</f>
        <v>0</v>
      </c>
      <c r="L359" s="212"/>
      <c r="M359" s="212"/>
      <c r="N359" s="212"/>
      <c r="O359" s="156">
        <v>0</v>
      </c>
      <c r="P359" s="100">
        <f>VLOOKUP(Table3236[[#This Row],[Census Tract]],'Population and Diversity Data'!$B$2:$K$823,10,FALSE)</f>
        <v>4</v>
      </c>
      <c r="Q359" s="101" t="str">
        <f>VLOOKUP(Table3236[[#This Row],[Census Tract]],'UI EnergyBurden'!$A$2:$B$184,2,FALSE)</f>
        <v>No</v>
      </c>
    </row>
    <row r="360" spans="1:17" x14ac:dyDescent="0.2">
      <c r="A360" s="30">
        <v>9009154600</v>
      </c>
      <c r="B360" s="30" t="s">
        <v>3880</v>
      </c>
      <c r="C360" s="128" t="s">
        <v>3886</v>
      </c>
      <c r="D360" s="152">
        <v>86.65956288748481</v>
      </c>
      <c r="E360" s="152">
        <v>0</v>
      </c>
      <c r="F360" s="30">
        <f>[2]!Table323[[#This Row],[Single Family]]+[2]!Table323[[#This Row],[2-4 Units]]+[2]!Table323[[#This Row],[&gt;4 Units]]</f>
        <v>0</v>
      </c>
      <c r="G360" s="30"/>
      <c r="H360" s="30"/>
      <c r="I360" s="30"/>
      <c r="J360" s="157">
        <v>0</v>
      </c>
      <c r="K360" s="30">
        <f>SUM([2]!Table323[[#This Row],[Single Family ]:[&gt;4 Units ]])</f>
        <v>0</v>
      </c>
      <c r="L360" s="212"/>
      <c r="M360" s="212"/>
      <c r="N360" s="212"/>
      <c r="O360" s="156"/>
      <c r="P360" s="100">
        <f>VLOOKUP(Table3236[[#This Row],[Census Tract]],'Population and Diversity Data'!$B$2:$K$823,10,FALSE)</f>
        <v>5</v>
      </c>
      <c r="Q360" s="101" t="str">
        <f>VLOOKUP(Table3236[[#This Row],[Census Tract]],'UI EnergyBurden'!$A$2:$B$184,2,FALSE)</f>
        <v>No</v>
      </c>
    </row>
    <row r="361" spans="1:17" x14ac:dyDescent="0.2">
      <c r="A361" s="30">
        <v>9009154600</v>
      </c>
      <c r="B361" s="30" t="s">
        <v>943</v>
      </c>
      <c r="C361" s="128" t="s">
        <v>3886</v>
      </c>
      <c r="D361" s="152">
        <v>13.249850593313166</v>
      </c>
      <c r="E361" s="152">
        <v>0</v>
      </c>
      <c r="F361" s="30">
        <f>[2]!Table323[[#This Row],[Single Family]]+[2]!Table323[[#This Row],[2-4 Units]]+[2]!Table323[[#This Row],[&gt;4 Units]]</f>
        <v>0</v>
      </c>
      <c r="G361" s="30"/>
      <c r="H361" s="30"/>
      <c r="I361" s="30"/>
      <c r="J361" s="157">
        <v>0</v>
      </c>
      <c r="K361" s="30">
        <f>SUM([2]!Table323[[#This Row],[Single Family ]:[&gt;4 Units ]])</f>
        <v>0</v>
      </c>
      <c r="L361" s="212"/>
      <c r="M361" s="212"/>
      <c r="N361" s="212"/>
      <c r="O361" s="156"/>
      <c r="P361" s="100">
        <f>VLOOKUP(Table3236[[#This Row],[Census Tract]],'Population and Diversity Data'!$B$2:$K$823,10,FALSE)</f>
        <v>5</v>
      </c>
      <c r="Q361" s="101" t="str">
        <f>VLOOKUP(Table3236[[#This Row],[Census Tract]],'UI EnergyBurden'!$A$2:$B$184,2,FALSE)</f>
        <v>No</v>
      </c>
    </row>
    <row r="362" spans="1:17" x14ac:dyDescent="0.2">
      <c r="A362" s="30">
        <v>9009154600</v>
      </c>
      <c r="B362" s="30" t="s">
        <v>3004</v>
      </c>
      <c r="C362" s="128" t="s">
        <v>3886</v>
      </c>
      <c r="D362" s="152">
        <v>148.47219340799703</v>
      </c>
      <c r="E362" s="152">
        <v>0</v>
      </c>
      <c r="F362" s="30">
        <f>[2]!Table323[[#This Row],[Single Family]]+[2]!Table323[[#This Row],[2-4 Units]]+[2]!Table323[[#This Row],[&gt;4 Units]]</f>
        <v>0</v>
      </c>
      <c r="G362" s="30"/>
      <c r="H362" s="30"/>
      <c r="I362" s="30"/>
      <c r="J362" s="157">
        <v>0</v>
      </c>
      <c r="K362" s="30">
        <f>SUM([2]!Table323[[#This Row],[Single Family ]:[&gt;4 Units ]])</f>
        <v>0</v>
      </c>
      <c r="L362" s="212"/>
      <c r="M362" s="212"/>
      <c r="N362" s="212"/>
      <c r="O362" s="156"/>
      <c r="P362" s="100">
        <f>VLOOKUP(Table3236[[#This Row],[Census Tract]],'Population and Diversity Data'!$B$2:$K$823,10,FALSE)</f>
        <v>5</v>
      </c>
      <c r="Q362" s="101" t="str">
        <f>VLOOKUP(Table3236[[#This Row],[Census Tract]],'UI EnergyBurden'!$A$2:$B$184,2,FALSE)</f>
        <v>No</v>
      </c>
    </row>
    <row r="363" spans="1:17" x14ac:dyDescent="0.2">
      <c r="A363" s="30">
        <v>9009154600</v>
      </c>
      <c r="B363" s="30" t="s">
        <v>950</v>
      </c>
      <c r="C363" s="128" t="s">
        <v>3886</v>
      </c>
      <c r="D363" s="152">
        <v>56425.384386124257</v>
      </c>
      <c r="E363" s="152">
        <v>45866.709999999977</v>
      </c>
      <c r="F363" s="30">
        <f>[2]!Table323[[#This Row],[Single Family]]+[2]!Table323[[#This Row],[2-4 Units]]+[2]!Table323[[#This Row],[&gt;4 Units]]</f>
        <v>17</v>
      </c>
      <c r="G363" s="30">
        <v>17</v>
      </c>
      <c r="H363" s="30">
        <v>0</v>
      </c>
      <c r="I363" s="30">
        <v>0</v>
      </c>
      <c r="J363" s="157">
        <v>18831.070000000003</v>
      </c>
      <c r="K363" s="30">
        <f>SUM([2]!Table323[[#This Row],[Single Family ]:[&gt;4 Units ]])</f>
        <v>8</v>
      </c>
      <c r="L363" s="212">
        <v>5</v>
      </c>
      <c r="M363" s="212">
        <v>2</v>
      </c>
      <c r="N363" s="212">
        <v>1</v>
      </c>
      <c r="O363" s="156">
        <v>27035.64</v>
      </c>
      <c r="P363" s="100">
        <f>VLOOKUP(Table3236[[#This Row],[Census Tract]],'Population and Diversity Data'!$B$2:$K$823,10,FALSE)</f>
        <v>5</v>
      </c>
      <c r="Q363" s="101" t="str">
        <f>VLOOKUP(Table3236[[#This Row],[Census Tract]],'UI EnergyBurden'!$A$2:$B$184,2,FALSE)</f>
        <v>No</v>
      </c>
    </row>
    <row r="364" spans="1:17" x14ac:dyDescent="0.2">
      <c r="A364" s="30">
        <v>9009154600</v>
      </c>
      <c r="B364" s="30" t="s">
        <v>950</v>
      </c>
      <c r="C364" s="128" t="s">
        <v>3886</v>
      </c>
      <c r="D364" s="152">
        <v>0</v>
      </c>
      <c r="E364" s="152">
        <v>0</v>
      </c>
      <c r="F364" s="30">
        <f>[2]!Table323[[#This Row],[Single Family]]+[2]!Table323[[#This Row],[2-4 Units]]+[2]!Table323[[#This Row],[&gt;4 Units]]</f>
        <v>0</v>
      </c>
      <c r="G364" s="30"/>
      <c r="H364" s="30"/>
      <c r="I364" s="30"/>
      <c r="J364" s="157">
        <v>0</v>
      </c>
      <c r="K364" s="30">
        <f>SUM([2]!Table323[[#This Row],[Single Family ]:[&gt;4 Units ]])</f>
        <v>0</v>
      </c>
      <c r="L364" s="212"/>
      <c r="M364" s="212"/>
      <c r="N364" s="212"/>
      <c r="O364" s="156">
        <v>0</v>
      </c>
      <c r="P364" s="100">
        <f>VLOOKUP(Table3236[[#This Row],[Census Tract]],'Population and Diversity Data'!$B$2:$K$823,10,FALSE)</f>
        <v>5</v>
      </c>
      <c r="Q364" s="101" t="str">
        <f>VLOOKUP(Table3236[[#This Row],[Census Tract]],'UI EnergyBurden'!$A$2:$B$184,2,FALSE)</f>
        <v>No</v>
      </c>
    </row>
    <row r="365" spans="1:17" x14ac:dyDescent="0.2">
      <c r="A365" s="30">
        <v>9009154700</v>
      </c>
      <c r="B365" s="30" t="s">
        <v>3004</v>
      </c>
      <c r="C365" s="128" t="s">
        <v>3886</v>
      </c>
      <c r="D365" s="152">
        <v>259.73862168306346</v>
      </c>
      <c r="E365" s="152">
        <v>0</v>
      </c>
      <c r="F365" s="30">
        <f>[2]!Table323[[#This Row],[Single Family]]+[2]!Table323[[#This Row],[2-4 Units]]+[2]!Table323[[#This Row],[&gt;4 Units]]</f>
        <v>0</v>
      </c>
      <c r="G365" s="30"/>
      <c r="H365" s="30"/>
      <c r="I365" s="30"/>
      <c r="J365" s="157">
        <v>0</v>
      </c>
      <c r="K365" s="30">
        <f>SUM([2]!Table323[[#This Row],[Single Family ]:[&gt;4 Units ]])</f>
        <v>0</v>
      </c>
      <c r="L365" s="212"/>
      <c r="M365" s="212"/>
      <c r="N365" s="212"/>
      <c r="O365" s="156"/>
      <c r="P365" s="100">
        <f>VLOOKUP(Table3236[[#This Row],[Census Tract]],'Population and Diversity Data'!$B$2:$K$823,10,FALSE)</f>
        <v>3</v>
      </c>
      <c r="Q365" s="101" t="str">
        <f>VLOOKUP(Table3236[[#This Row],[Census Tract]],'UI EnergyBurden'!$A$2:$B$184,2,FALSE)</f>
        <v>No</v>
      </c>
    </row>
    <row r="366" spans="1:17" x14ac:dyDescent="0.2">
      <c r="A366" s="30">
        <v>9009154700</v>
      </c>
      <c r="B366" s="30" t="s">
        <v>950</v>
      </c>
      <c r="C366" s="128" t="s">
        <v>3886</v>
      </c>
      <c r="D366" s="152">
        <v>82681.449905377376</v>
      </c>
      <c r="E366" s="152">
        <v>80348.11</v>
      </c>
      <c r="F366" s="30">
        <f>[2]!Table323[[#This Row],[Single Family]]+[2]!Table323[[#This Row],[2-4 Units]]+[2]!Table323[[#This Row],[&gt;4 Units]]</f>
        <v>44</v>
      </c>
      <c r="G366" s="30">
        <v>44</v>
      </c>
      <c r="H366" s="30">
        <v>0</v>
      </c>
      <c r="I366" s="30">
        <v>0</v>
      </c>
      <c r="J366" s="157">
        <v>58114.110000000015</v>
      </c>
      <c r="K366" s="30">
        <f>SUM([2]!Table323[[#This Row],[Single Family ]:[&gt;4 Units ]])</f>
        <v>6</v>
      </c>
      <c r="L366" s="212">
        <v>6</v>
      </c>
      <c r="M366" s="212">
        <v>0</v>
      </c>
      <c r="N366" s="212">
        <v>0</v>
      </c>
      <c r="O366" s="156">
        <v>22234</v>
      </c>
      <c r="P366" s="100">
        <f>VLOOKUP(Table3236[[#This Row],[Census Tract]],'Population and Diversity Data'!$B$2:$K$823,10,FALSE)</f>
        <v>3</v>
      </c>
      <c r="Q366" s="101" t="str">
        <f>VLOOKUP(Table3236[[#This Row],[Census Tract]],'UI EnergyBurden'!$A$2:$B$184,2,FALSE)</f>
        <v>No</v>
      </c>
    </row>
    <row r="367" spans="1:17" x14ac:dyDescent="0.2">
      <c r="A367" s="30">
        <v>9009154700</v>
      </c>
      <c r="B367" s="30" t="s">
        <v>950</v>
      </c>
      <c r="C367" s="128" t="s">
        <v>3886</v>
      </c>
      <c r="D367" s="152">
        <v>0</v>
      </c>
      <c r="E367" s="152">
        <v>0</v>
      </c>
      <c r="F367" s="30">
        <f>[2]!Table323[[#This Row],[Single Family]]+[2]!Table323[[#This Row],[2-4 Units]]+[2]!Table323[[#This Row],[&gt;4 Units]]</f>
        <v>0</v>
      </c>
      <c r="G367" s="30"/>
      <c r="H367" s="30"/>
      <c r="I367" s="30"/>
      <c r="J367" s="157">
        <v>0</v>
      </c>
      <c r="K367" s="30">
        <f>SUM([2]!Table323[[#This Row],[Single Family ]:[&gt;4 Units ]])</f>
        <v>0</v>
      </c>
      <c r="L367" s="212"/>
      <c r="M367" s="212"/>
      <c r="N367" s="212"/>
      <c r="O367" s="156">
        <v>0</v>
      </c>
      <c r="P367" s="100">
        <f>VLOOKUP(Table3236[[#This Row],[Census Tract]],'Population and Diversity Data'!$B$2:$K$823,10,FALSE)</f>
        <v>3</v>
      </c>
      <c r="Q367" s="101" t="str">
        <f>VLOOKUP(Table3236[[#This Row],[Census Tract]],'UI EnergyBurden'!$A$2:$B$184,2,FALSE)</f>
        <v>No</v>
      </c>
    </row>
    <row r="368" spans="1:17" x14ac:dyDescent="0.2">
      <c r="A368" s="30">
        <v>9009154800</v>
      </c>
      <c r="B368" s="30" t="s">
        <v>3880</v>
      </c>
      <c r="C368" s="128" t="s">
        <v>3886</v>
      </c>
      <c r="D368" s="152">
        <v>114.86743296593204</v>
      </c>
      <c r="E368" s="152">
        <v>0</v>
      </c>
      <c r="F368" s="30">
        <f>[2]!Table323[[#This Row],[Single Family]]+[2]!Table323[[#This Row],[2-4 Units]]+[2]!Table323[[#This Row],[&gt;4 Units]]</f>
        <v>0</v>
      </c>
      <c r="G368" s="30"/>
      <c r="H368" s="30"/>
      <c r="I368" s="30"/>
      <c r="J368" s="157">
        <v>0</v>
      </c>
      <c r="K368" s="30">
        <f>SUM([2]!Table323[[#This Row],[Single Family ]:[&gt;4 Units ]])</f>
        <v>0</v>
      </c>
      <c r="L368" s="212"/>
      <c r="M368" s="212"/>
      <c r="N368" s="212"/>
      <c r="O368" s="156"/>
      <c r="P368" s="100">
        <f>VLOOKUP(Table3236[[#This Row],[Census Tract]],'Population and Diversity Data'!$B$2:$K$823,10,FALSE)</f>
        <v>2</v>
      </c>
      <c r="Q368" s="101" t="str">
        <f>VLOOKUP(Table3236[[#This Row],[Census Tract]],'UI EnergyBurden'!$A$2:$B$184,2,FALSE)</f>
        <v>No</v>
      </c>
    </row>
    <row r="369" spans="1:17" x14ac:dyDescent="0.2">
      <c r="A369" s="30">
        <v>9009154800</v>
      </c>
      <c r="B369" s="30" t="s">
        <v>3004</v>
      </c>
      <c r="C369" s="128" t="s">
        <v>3886</v>
      </c>
      <c r="D369" s="152">
        <v>93.030571186708585</v>
      </c>
      <c r="E369" s="152">
        <v>0</v>
      </c>
      <c r="F369" s="30">
        <f>[2]!Table323[[#This Row],[Single Family]]+[2]!Table323[[#This Row],[2-4 Units]]+[2]!Table323[[#This Row],[&gt;4 Units]]</f>
        <v>0</v>
      </c>
      <c r="G369" s="30"/>
      <c r="H369" s="30"/>
      <c r="I369" s="30"/>
      <c r="J369" s="157">
        <v>0</v>
      </c>
      <c r="K369" s="30">
        <f>SUM([2]!Table323[[#This Row],[Single Family ]:[&gt;4 Units ]])</f>
        <v>0</v>
      </c>
      <c r="L369" s="212"/>
      <c r="M369" s="212"/>
      <c r="N369" s="212"/>
      <c r="O369" s="156"/>
      <c r="P369" s="100">
        <f>VLOOKUP(Table3236[[#This Row],[Census Tract]],'Population and Diversity Data'!$B$2:$K$823,10,FALSE)</f>
        <v>2</v>
      </c>
      <c r="Q369" s="101" t="str">
        <f>VLOOKUP(Table3236[[#This Row],[Census Tract]],'UI EnergyBurden'!$A$2:$B$184,2,FALSE)</f>
        <v>No</v>
      </c>
    </row>
    <row r="370" spans="1:17" x14ac:dyDescent="0.2">
      <c r="A370" s="30">
        <v>9009154800</v>
      </c>
      <c r="B370" s="30" t="s">
        <v>950</v>
      </c>
      <c r="C370" s="128" t="s">
        <v>3886</v>
      </c>
      <c r="D370" s="152">
        <v>66179.250358709847</v>
      </c>
      <c r="E370" s="152">
        <v>75085.170000000013</v>
      </c>
      <c r="F370" s="30">
        <f>[2]!Table323[[#This Row],[Single Family]]+[2]!Table323[[#This Row],[2-4 Units]]+[2]!Table323[[#This Row],[&gt;4 Units]]</f>
        <v>36</v>
      </c>
      <c r="G370" s="30">
        <v>36</v>
      </c>
      <c r="H370" s="30">
        <v>0</v>
      </c>
      <c r="I370" s="30">
        <v>0</v>
      </c>
      <c r="J370" s="157">
        <v>44906.399999999994</v>
      </c>
      <c r="K370" s="30">
        <f>SUM([2]!Table323[[#This Row],[Single Family ]:[&gt;4 Units ]])</f>
        <v>9</v>
      </c>
      <c r="L370" s="212">
        <v>9</v>
      </c>
      <c r="M370" s="212">
        <v>0</v>
      </c>
      <c r="N370" s="212">
        <v>0</v>
      </c>
      <c r="O370" s="156">
        <v>30178.77</v>
      </c>
      <c r="P370" s="100">
        <f>VLOOKUP(Table3236[[#This Row],[Census Tract]],'Population and Diversity Data'!$B$2:$K$823,10,FALSE)</f>
        <v>2</v>
      </c>
      <c r="Q370" s="101" t="str">
        <f>VLOOKUP(Table3236[[#This Row],[Census Tract]],'UI EnergyBurden'!$A$2:$B$184,2,FALSE)</f>
        <v>No</v>
      </c>
    </row>
    <row r="371" spans="1:17" x14ac:dyDescent="0.2">
      <c r="A371" s="30">
        <v>9009154900</v>
      </c>
      <c r="B371" s="30" t="s">
        <v>3880</v>
      </c>
      <c r="C371" s="128" t="s">
        <v>3886</v>
      </c>
      <c r="D371" s="152">
        <v>42.884272530064813</v>
      </c>
      <c r="E371" s="152">
        <v>0</v>
      </c>
      <c r="F371" s="30">
        <f>[2]!Table323[[#This Row],[Single Family]]+[2]!Table323[[#This Row],[2-4 Units]]+[2]!Table323[[#This Row],[&gt;4 Units]]</f>
        <v>0</v>
      </c>
      <c r="G371" s="30"/>
      <c r="H371" s="30"/>
      <c r="I371" s="30"/>
      <c r="J371" s="157">
        <v>0</v>
      </c>
      <c r="K371" s="30">
        <f>SUM([2]!Table323[[#This Row],[Single Family ]:[&gt;4 Units ]])</f>
        <v>0</v>
      </c>
      <c r="L371" s="212"/>
      <c r="M371" s="212"/>
      <c r="N371" s="212"/>
      <c r="O371" s="156"/>
      <c r="P371" s="100">
        <f>VLOOKUP(Table3236[[#This Row],[Census Tract]],'Population and Diversity Data'!$B$2:$K$823,10,FALSE)</f>
        <v>2</v>
      </c>
      <c r="Q371" s="101" t="str">
        <f>VLOOKUP(Table3236[[#This Row],[Census Tract]],'UI EnergyBurden'!$A$2:$B$184,2,FALSE)</f>
        <v>No</v>
      </c>
    </row>
    <row r="372" spans="1:17" x14ac:dyDescent="0.2">
      <c r="A372" s="30">
        <v>9009154900</v>
      </c>
      <c r="B372" s="30" t="s">
        <v>950</v>
      </c>
      <c r="C372" s="128" t="s">
        <v>3886</v>
      </c>
      <c r="D372" s="152">
        <v>45950.934291532736</v>
      </c>
      <c r="E372" s="152">
        <v>63864.87000000001</v>
      </c>
      <c r="F372" s="30">
        <f>[2]!Table323[[#This Row],[Single Family]]+[2]!Table323[[#This Row],[2-4 Units]]+[2]!Table323[[#This Row],[&gt;4 Units]]</f>
        <v>13</v>
      </c>
      <c r="G372" s="30">
        <v>11</v>
      </c>
      <c r="H372" s="30">
        <v>2</v>
      </c>
      <c r="I372" s="30">
        <v>0</v>
      </c>
      <c r="J372" s="157">
        <v>13249.32</v>
      </c>
      <c r="K372" s="30">
        <f>SUM([2]!Table323[[#This Row],[Single Family ]:[&gt;4 Units ]])</f>
        <v>15</v>
      </c>
      <c r="L372" s="212">
        <v>9</v>
      </c>
      <c r="M372" s="212">
        <v>6</v>
      </c>
      <c r="N372" s="212">
        <v>0</v>
      </c>
      <c r="O372" s="156">
        <v>50615.55</v>
      </c>
      <c r="P372" s="100">
        <f>VLOOKUP(Table3236[[#This Row],[Census Tract]],'Population and Diversity Data'!$B$2:$K$823,10,FALSE)</f>
        <v>2</v>
      </c>
      <c r="Q372" s="101" t="str">
        <f>VLOOKUP(Table3236[[#This Row],[Census Tract]],'UI EnergyBurden'!$A$2:$B$184,2,FALSE)</f>
        <v>No</v>
      </c>
    </row>
    <row r="373" spans="1:17" x14ac:dyDescent="0.2">
      <c r="A373" s="30">
        <v>9009154900</v>
      </c>
      <c r="B373" s="30" t="s">
        <v>950</v>
      </c>
      <c r="C373" s="128" t="s">
        <v>3886</v>
      </c>
      <c r="D373" s="152">
        <v>0</v>
      </c>
      <c r="E373" s="152">
        <v>0</v>
      </c>
      <c r="F373" s="30">
        <f>[2]!Table323[[#This Row],[Single Family]]+[2]!Table323[[#This Row],[2-4 Units]]+[2]!Table323[[#This Row],[&gt;4 Units]]</f>
        <v>0</v>
      </c>
      <c r="G373" s="30"/>
      <c r="H373" s="30"/>
      <c r="I373" s="30"/>
      <c r="J373" s="157">
        <v>0</v>
      </c>
      <c r="K373" s="30">
        <f>SUM([2]!Table323[[#This Row],[Single Family ]:[&gt;4 Units ]])</f>
        <v>0</v>
      </c>
      <c r="L373" s="212"/>
      <c r="M373" s="212"/>
      <c r="N373" s="212"/>
      <c r="O373" s="156"/>
      <c r="P373" s="100">
        <f>VLOOKUP(Table3236[[#This Row],[Census Tract]],'Population and Diversity Data'!$B$2:$K$823,10,FALSE)</f>
        <v>2</v>
      </c>
      <c r="Q373" s="101" t="str">
        <f>VLOOKUP(Table3236[[#This Row],[Census Tract]],'UI EnergyBurden'!$A$2:$B$184,2,FALSE)</f>
        <v>No</v>
      </c>
    </row>
    <row r="374" spans="1:17" x14ac:dyDescent="0.2">
      <c r="A374" s="30">
        <v>9009155000</v>
      </c>
      <c r="B374" s="30" t="s">
        <v>3880</v>
      </c>
      <c r="C374" s="128" t="s">
        <v>3886</v>
      </c>
      <c r="D374" s="152">
        <v>157.88097233105353</v>
      </c>
      <c r="E374" s="152">
        <v>0</v>
      </c>
      <c r="F374" s="30">
        <f>[2]!Table323[[#This Row],[Single Family]]+[2]!Table323[[#This Row],[2-4 Units]]+[2]!Table323[[#This Row],[&gt;4 Units]]</f>
        <v>0</v>
      </c>
      <c r="G374" s="30"/>
      <c r="H374" s="30"/>
      <c r="I374" s="30"/>
      <c r="J374" s="157">
        <v>0</v>
      </c>
      <c r="K374" s="30">
        <f>SUM([2]!Table323[[#This Row],[Single Family ]:[&gt;4 Units ]])</f>
        <v>0</v>
      </c>
      <c r="L374" s="212"/>
      <c r="M374" s="212"/>
      <c r="N374" s="212"/>
      <c r="O374" s="156"/>
      <c r="P374" s="100">
        <f>VLOOKUP(Table3236[[#This Row],[Census Tract]],'Population and Diversity Data'!$B$2:$K$823,10,FALSE)</f>
        <v>5</v>
      </c>
      <c r="Q374" s="101" t="str">
        <f>VLOOKUP(Table3236[[#This Row],[Census Tract]],'UI EnergyBurden'!$A$2:$B$184,2,FALSE)</f>
        <v>No</v>
      </c>
    </row>
    <row r="375" spans="1:17" x14ac:dyDescent="0.2">
      <c r="A375" s="30">
        <v>9009155000</v>
      </c>
      <c r="B375" s="30" t="s">
        <v>3004</v>
      </c>
      <c r="C375" s="128" t="s">
        <v>3886</v>
      </c>
      <c r="D375" s="152">
        <v>491.95264084440799</v>
      </c>
      <c r="E375" s="152">
        <v>0</v>
      </c>
      <c r="F375" s="30">
        <f>[2]!Table323[[#This Row],[Single Family]]+[2]!Table323[[#This Row],[2-4 Units]]+[2]!Table323[[#This Row],[&gt;4 Units]]</f>
        <v>0</v>
      </c>
      <c r="G375" s="30"/>
      <c r="H375" s="30"/>
      <c r="I375" s="30"/>
      <c r="J375" s="157">
        <v>0</v>
      </c>
      <c r="K375" s="30">
        <f>SUM([2]!Table323[[#This Row],[Single Family ]:[&gt;4 Units ]])</f>
        <v>0</v>
      </c>
      <c r="L375" s="212"/>
      <c r="M375" s="212"/>
      <c r="N375" s="212"/>
      <c r="O375" s="156"/>
      <c r="P375" s="100">
        <f>VLOOKUP(Table3236[[#This Row],[Census Tract]],'Population and Diversity Data'!$B$2:$K$823,10,FALSE)</f>
        <v>5</v>
      </c>
      <c r="Q375" s="101" t="str">
        <f>VLOOKUP(Table3236[[#This Row],[Census Tract]],'UI EnergyBurden'!$A$2:$B$184,2,FALSE)</f>
        <v>No</v>
      </c>
    </row>
    <row r="376" spans="1:17" x14ac:dyDescent="0.2">
      <c r="A376" s="30">
        <v>9009155000</v>
      </c>
      <c r="B376" s="30" t="s">
        <v>950</v>
      </c>
      <c r="C376" s="128" t="s">
        <v>3886</v>
      </c>
      <c r="D376" s="152">
        <v>56068.769504911514</v>
      </c>
      <c r="E376" s="152">
        <v>53775.530000000013</v>
      </c>
      <c r="F376" s="30">
        <f>[2]!Table323[[#This Row],[Single Family]]+[2]!Table323[[#This Row],[2-4 Units]]+[2]!Table323[[#This Row],[&gt;4 Units]]</f>
        <v>21</v>
      </c>
      <c r="G376" s="30">
        <v>14</v>
      </c>
      <c r="H376" s="30">
        <v>7</v>
      </c>
      <c r="I376" s="30">
        <v>0</v>
      </c>
      <c r="J376" s="157">
        <v>23860.49</v>
      </c>
      <c r="K376" s="30">
        <f>SUM([2]!Table323[[#This Row],[Single Family ]:[&gt;4 Units ]])</f>
        <v>29</v>
      </c>
      <c r="L376" s="212">
        <v>18</v>
      </c>
      <c r="M376" s="212">
        <v>11</v>
      </c>
      <c r="N376" s="212">
        <v>0</v>
      </c>
      <c r="O376" s="156">
        <v>29915.039999999997</v>
      </c>
      <c r="P376" s="100">
        <f>VLOOKUP(Table3236[[#This Row],[Census Tract]],'Population and Diversity Data'!$B$2:$K$823,10,FALSE)</f>
        <v>5</v>
      </c>
      <c r="Q376" s="101" t="str">
        <f>VLOOKUP(Table3236[[#This Row],[Census Tract]],'UI EnergyBurden'!$A$2:$B$184,2,FALSE)</f>
        <v>No</v>
      </c>
    </row>
    <row r="377" spans="1:17" x14ac:dyDescent="0.2">
      <c r="A377" s="30">
        <v>9009155000</v>
      </c>
      <c r="B377" s="30" t="s">
        <v>950</v>
      </c>
      <c r="C377" s="128" t="s">
        <v>3886</v>
      </c>
      <c r="D377" s="152">
        <v>0</v>
      </c>
      <c r="E377" s="152">
        <v>0</v>
      </c>
      <c r="F377" s="30">
        <f>[2]!Table323[[#This Row],[Single Family]]+[2]!Table323[[#This Row],[2-4 Units]]+[2]!Table323[[#This Row],[&gt;4 Units]]</f>
        <v>0</v>
      </c>
      <c r="G377" s="30"/>
      <c r="H377" s="30"/>
      <c r="I377" s="30"/>
      <c r="J377" s="157">
        <v>0</v>
      </c>
      <c r="K377" s="30">
        <f>SUM([2]!Table323[[#This Row],[Single Family ]:[&gt;4 Units ]])</f>
        <v>0</v>
      </c>
      <c r="L377" s="212"/>
      <c r="M377" s="212"/>
      <c r="N377" s="212"/>
      <c r="O377" s="156"/>
      <c r="P377" s="100">
        <f>VLOOKUP(Table3236[[#This Row],[Census Tract]],'Population and Diversity Data'!$B$2:$K$823,10,FALSE)</f>
        <v>5</v>
      </c>
      <c r="Q377" s="101" t="str">
        <f>VLOOKUP(Table3236[[#This Row],[Census Tract]],'UI EnergyBurden'!$A$2:$B$184,2,FALSE)</f>
        <v>No</v>
      </c>
    </row>
    <row r="378" spans="1:17" x14ac:dyDescent="0.2">
      <c r="A378" s="30">
        <v>9009155100</v>
      </c>
      <c r="B378" s="30" t="s">
        <v>3880</v>
      </c>
      <c r="C378" s="128" t="s">
        <v>3887</v>
      </c>
      <c r="D378" s="152">
        <v>80.616338348583454</v>
      </c>
      <c r="E378" s="152">
        <v>0</v>
      </c>
      <c r="F378" s="30">
        <f>[2]!Table323[[#This Row],[Single Family]]+[2]!Table323[[#This Row],[2-4 Units]]+[2]!Table323[[#This Row],[&gt;4 Units]]</f>
        <v>0</v>
      </c>
      <c r="G378" s="30"/>
      <c r="H378" s="30"/>
      <c r="I378" s="30"/>
      <c r="J378" s="157">
        <v>0</v>
      </c>
      <c r="K378" s="30">
        <f>SUM([2]!Table323[[#This Row],[Single Family ]:[&gt;4 Units ]])</f>
        <v>0</v>
      </c>
      <c r="L378" s="212"/>
      <c r="M378" s="212"/>
      <c r="N378" s="212"/>
      <c r="O378" s="156"/>
      <c r="P378" s="100">
        <f>VLOOKUP(Table3236[[#This Row],[Census Tract]],'Population and Diversity Data'!$B$2:$K$823,10,FALSE)</f>
        <v>4</v>
      </c>
      <c r="Q378" s="101" t="str">
        <f>VLOOKUP(Table3236[[#This Row],[Census Tract]],'UI EnergyBurden'!$A$2:$B$184,2,FALSE)</f>
        <v>No</v>
      </c>
    </row>
    <row r="379" spans="1:17" x14ac:dyDescent="0.2">
      <c r="A379" s="30">
        <v>9009155100</v>
      </c>
      <c r="B379" s="30" t="s">
        <v>3004</v>
      </c>
      <c r="C379" s="128" t="s">
        <v>3887</v>
      </c>
      <c r="D379" s="152">
        <v>224.89659296259845</v>
      </c>
      <c r="E379" s="152">
        <v>0</v>
      </c>
      <c r="F379" s="30">
        <f>[2]!Table323[[#This Row],[Single Family]]+[2]!Table323[[#This Row],[2-4 Units]]+[2]!Table323[[#This Row],[&gt;4 Units]]</f>
        <v>0</v>
      </c>
      <c r="G379" s="30"/>
      <c r="H379" s="30"/>
      <c r="I379" s="30"/>
      <c r="J379" s="157">
        <v>0</v>
      </c>
      <c r="K379" s="30">
        <f>SUM([2]!Table323[[#This Row],[Single Family ]:[&gt;4 Units ]])</f>
        <v>0</v>
      </c>
      <c r="L379" s="212"/>
      <c r="M379" s="212"/>
      <c r="N379" s="212"/>
      <c r="O379" s="156"/>
      <c r="P379" s="100">
        <f>VLOOKUP(Table3236[[#This Row],[Census Tract]],'Population and Diversity Data'!$B$2:$K$823,10,FALSE)</f>
        <v>4</v>
      </c>
      <c r="Q379" s="101" t="str">
        <f>VLOOKUP(Table3236[[#This Row],[Census Tract]],'UI EnergyBurden'!$A$2:$B$184,2,FALSE)</f>
        <v>No</v>
      </c>
    </row>
    <row r="380" spans="1:17" x14ac:dyDescent="0.2">
      <c r="A380" s="30">
        <v>9009155100</v>
      </c>
      <c r="B380" s="30" t="s">
        <v>950</v>
      </c>
      <c r="C380" s="128" t="s">
        <v>3887</v>
      </c>
      <c r="D380" s="152">
        <v>39610.409882018983</v>
      </c>
      <c r="E380" s="152">
        <v>5669.18</v>
      </c>
      <c r="F380" s="30">
        <f>[2]!Table323[[#This Row],[Single Family]]+[2]!Table323[[#This Row],[2-4 Units]]+[2]!Table323[[#This Row],[&gt;4 Units]]</f>
        <v>8</v>
      </c>
      <c r="G380" s="30">
        <v>8</v>
      </c>
      <c r="H380" s="30">
        <v>0</v>
      </c>
      <c r="I380" s="30">
        <v>0</v>
      </c>
      <c r="J380" s="157">
        <v>4430.8599999999997</v>
      </c>
      <c r="K380" s="30">
        <f>SUM([2]!Table323[[#This Row],[Single Family ]:[&gt;4 Units ]])</f>
        <v>8</v>
      </c>
      <c r="L380" s="212">
        <v>3</v>
      </c>
      <c r="M380" s="212">
        <v>5</v>
      </c>
      <c r="N380" s="212">
        <v>0</v>
      </c>
      <c r="O380" s="156">
        <v>1238.32</v>
      </c>
      <c r="P380" s="100">
        <f>VLOOKUP(Table3236[[#This Row],[Census Tract]],'Population and Diversity Data'!$B$2:$K$823,10,FALSE)</f>
        <v>4</v>
      </c>
      <c r="Q380" s="101" t="str">
        <f>VLOOKUP(Table3236[[#This Row],[Census Tract]],'UI EnergyBurden'!$A$2:$B$184,2,FALSE)</f>
        <v>No</v>
      </c>
    </row>
    <row r="381" spans="1:17" x14ac:dyDescent="0.2">
      <c r="A381" s="30">
        <v>9009155100</v>
      </c>
      <c r="B381" s="30" t="s">
        <v>950</v>
      </c>
      <c r="C381" s="128" t="s">
        <v>3887</v>
      </c>
      <c r="D381" s="152">
        <v>4756.0961955509492</v>
      </c>
      <c r="E381" s="152">
        <v>0</v>
      </c>
      <c r="F381" s="30">
        <f>[2]!Table323[[#This Row],[Single Family]]+[2]!Table323[[#This Row],[2-4 Units]]+[2]!Table323[[#This Row],[&gt;4 Units]]</f>
        <v>0</v>
      </c>
      <c r="G381" s="30"/>
      <c r="H381" s="30"/>
      <c r="I381" s="30"/>
      <c r="J381" s="157">
        <v>0</v>
      </c>
      <c r="K381" s="30">
        <f>SUM([2]!Table323[[#This Row],[Single Family ]:[&gt;4 Units ]])</f>
        <v>0</v>
      </c>
      <c r="L381" s="212"/>
      <c r="M381" s="212"/>
      <c r="N381" s="212"/>
      <c r="O381" s="156">
        <v>0</v>
      </c>
      <c r="P381" s="100">
        <f>VLOOKUP(Table3236[[#This Row],[Census Tract]],'Population and Diversity Data'!$B$2:$K$823,10,FALSE)</f>
        <v>4</v>
      </c>
      <c r="Q381" s="101" t="str">
        <f>VLOOKUP(Table3236[[#This Row],[Census Tract]],'UI EnergyBurden'!$A$2:$B$184,2,FALSE)</f>
        <v>No</v>
      </c>
    </row>
    <row r="382" spans="1:17" x14ac:dyDescent="0.2">
      <c r="A382" s="30">
        <v>9009157100</v>
      </c>
      <c r="B382" s="30" t="s">
        <v>2988</v>
      </c>
      <c r="C382" s="128" t="s">
        <v>3886</v>
      </c>
      <c r="D382" s="152">
        <v>78.741969240261099</v>
      </c>
      <c r="E382" s="152">
        <v>0</v>
      </c>
      <c r="F382" s="30">
        <f>[2]!Table323[[#This Row],[Single Family]]+[2]!Table323[[#This Row],[2-4 Units]]+[2]!Table323[[#This Row],[&gt;4 Units]]</f>
        <v>1</v>
      </c>
      <c r="G382" s="30">
        <v>1</v>
      </c>
      <c r="H382" s="30">
        <v>0</v>
      </c>
      <c r="I382" s="30">
        <v>0</v>
      </c>
      <c r="J382" s="157">
        <v>0</v>
      </c>
      <c r="K382" s="30">
        <f>SUM([2]!Table323[[#This Row],[Single Family ]:[&gt;4 Units ]])</f>
        <v>0</v>
      </c>
      <c r="L382" s="212"/>
      <c r="M382" s="212"/>
      <c r="N382" s="212"/>
      <c r="O382" s="156">
        <v>0</v>
      </c>
      <c r="P382" s="100">
        <f>VLOOKUP(Table3236[[#This Row],[Census Tract]],'Population and Diversity Data'!$B$2:$K$823,10,FALSE)</f>
        <v>5</v>
      </c>
      <c r="Q382" s="101" t="str">
        <f>VLOOKUP(Table3236[[#This Row],[Census Tract]],'UI EnergyBurden'!$A$2:$B$184,2,FALSE)</f>
        <v>No</v>
      </c>
    </row>
    <row r="383" spans="1:17" x14ac:dyDescent="0.2">
      <c r="A383" s="30">
        <v>9009157100</v>
      </c>
      <c r="B383" s="30" t="s">
        <v>2992</v>
      </c>
      <c r="C383" s="128" t="s">
        <v>3886</v>
      </c>
      <c r="D383" s="152">
        <v>44807.287518422658</v>
      </c>
      <c r="E383" s="152">
        <v>209049.23</v>
      </c>
      <c r="F383" s="30">
        <f>[2]!Table323[[#This Row],[Single Family]]+[2]!Table323[[#This Row],[2-4 Units]]+[2]!Table323[[#This Row],[&gt;4 Units]]</f>
        <v>12</v>
      </c>
      <c r="G383" s="30">
        <v>12</v>
      </c>
      <c r="H383" s="30">
        <v>0</v>
      </c>
      <c r="I383" s="30">
        <v>0</v>
      </c>
      <c r="J383" s="157">
        <v>29377.41</v>
      </c>
      <c r="K383" s="30">
        <f>SUM([2]!Table323[[#This Row],[Single Family ]:[&gt;4 Units ]])</f>
        <v>3</v>
      </c>
      <c r="L383" s="212">
        <v>2</v>
      </c>
      <c r="M383" s="212">
        <v>0</v>
      </c>
      <c r="N383" s="212">
        <v>1</v>
      </c>
      <c r="O383" s="156">
        <v>179671.82</v>
      </c>
      <c r="P383" s="100">
        <f>VLOOKUP(Table3236[[#This Row],[Census Tract]],'Population and Diversity Data'!$B$2:$K$823,10,FALSE)</f>
        <v>5</v>
      </c>
      <c r="Q383" s="101" t="str">
        <f>VLOOKUP(Table3236[[#This Row],[Census Tract]],'UI EnergyBurden'!$A$2:$B$184,2,FALSE)</f>
        <v>No</v>
      </c>
    </row>
    <row r="384" spans="1:17" x14ac:dyDescent="0.2">
      <c r="A384" s="30">
        <v>9009157100</v>
      </c>
      <c r="B384" s="30" t="s">
        <v>950</v>
      </c>
      <c r="C384" s="128" t="s">
        <v>3886</v>
      </c>
      <c r="D384" s="152">
        <v>0</v>
      </c>
      <c r="E384" s="152">
        <v>0</v>
      </c>
      <c r="F384" s="30">
        <f>[2]!Table323[[#This Row],[Single Family]]+[2]!Table323[[#This Row],[2-4 Units]]+[2]!Table323[[#This Row],[&gt;4 Units]]</f>
        <v>0</v>
      </c>
      <c r="G384" s="30"/>
      <c r="H384" s="30"/>
      <c r="I384" s="30"/>
      <c r="J384" s="157">
        <v>0</v>
      </c>
      <c r="K384" s="30">
        <f>SUM([2]!Table323[[#This Row],[Single Family ]:[&gt;4 Units ]])</f>
        <v>0</v>
      </c>
      <c r="L384" s="212"/>
      <c r="M384" s="212"/>
      <c r="N384" s="212"/>
      <c r="O384" s="156"/>
      <c r="P384" s="100">
        <f>VLOOKUP(Table3236[[#This Row],[Census Tract]],'Population and Diversity Data'!$B$2:$K$823,10,FALSE)</f>
        <v>5</v>
      </c>
      <c r="Q384" s="101" t="str">
        <f>VLOOKUP(Table3236[[#This Row],[Census Tract]],'UI EnergyBurden'!$A$2:$B$184,2,FALSE)</f>
        <v>No</v>
      </c>
    </row>
    <row r="385" spans="1:17" x14ac:dyDescent="0.2">
      <c r="A385" s="30">
        <v>9009157100</v>
      </c>
      <c r="B385" s="30" t="s">
        <v>2992</v>
      </c>
      <c r="C385" s="128" t="s">
        <v>3886</v>
      </c>
      <c r="D385" s="152">
        <v>5504.8281708901577</v>
      </c>
      <c r="E385" s="152">
        <v>3000</v>
      </c>
      <c r="F385" s="30">
        <f>[2]!Table323[[#This Row],[Single Family]]+[2]!Table323[[#This Row],[2-4 Units]]+[2]!Table323[[#This Row],[&gt;4 Units]]</f>
        <v>0</v>
      </c>
      <c r="G385" s="30"/>
      <c r="H385" s="30"/>
      <c r="I385" s="30"/>
      <c r="J385" s="157">
        <v>3000</v>
      </c>
      <c r="K385" s="30">
        <f>SUM([2]!Table323[[#This Row],[Single Family ]:[&gt;4 Units ]])</f>
        <v>0</v>
      </c>
      <c r="L385" s="212"/>
      <c r="M385" s="212"/>
      <c r="N385" s="212"/>
      <c r="O385" s="156">
        <v>0</v>
      </c>
      <c r="P385" s="100">
        <f>VLOOKUP(Table3236[[#This Row],[Census Tract]],'Population and Diversity Data'!$B$2:$K$823,10,FALSE)</f>
        <v>5</v>
      </c>
      <c r="Q385" s="101" t="str">
        <f>VLOOKUP(Table3236[[#This Row],[Census Tract]],'UI EnergyBurden'!$A$2:$B$184,2,FALSE)</f>
        <v>No</v>
      </c>
    </row>
    <row r="386" spans="1:17" x14ac:dyDescent="0.2">
      <c r="A386" s="30">
        <v>9009157200</v>
      </c>
      <c r="B386" s="30" t="s">
        <v>2988</v>
      </c>
      <c r="C386" s="128" t="s">
        <v>3886</v>
      </c>
      <c r="D386" s="152">
        <v>61.378663288536075</v>
      </c>
      <c r="E386" s="152">
        <v>0</v>
      </c>
      <c r="F386" s="30">
        <f>[2]!Table323[[#This Row],[Single Family]]+[2]!Table323[[#This Row],[2-4 Units]]+[2]!Table323[[#This Row],[&gt;4 Units]]</f>
        <v>0</v>
      </c>
      <c r="G386" s="30"/>
      <c r="H386" s="30"/>
      <c r="I386" s="30"/>
      <c r="J386" s="157">
        <v>0</v>
      </c>
      <c r="K386" s="30">
        <f>SUM([2]!Table323[[#This Row],[Single Family ]:[&gt;4 Units ]])</f>
        <v>0</v>
      </c>
      <c r="L386" s="212"/>
      <c r="M386" s="212"/>
      <c r="N386" s="212"/>
      <c r="O386" s="156"/>
      <c r="P386" s="100">
        <f>VLOOKUP(Table3236[[#This Row],[Census Tract]],'Population and Diversity Data'!$B$2:$K$823,10,FALSE)</f>
        <v>2</v>
      </c>
      <c r="Q386" s="101" t="str">
        <f>VLOOKUP(Table3236[[#This Row],[Census Tract]],'UI EnergyBurden'!$A$2:$B$184,2,FALSE)</f>
        <v>No</v>
      </c>
    </row>
    <row r="387" spans="1:17" x14ac:dyDescent="0.2">
      <c r="A387" s="30">
        <v>9009157200</v>
      </c>
      <c r="B387" s="30" t="s">
        <v>2992</v>
      </c>
      <c r="C387" s="128" t="s">
        <v>3886</v>
      </c>
      <c r="D387" s="152">
        <v>61005.770019451607</v>
      </c>
      <c r="E387" s="152">
        <v>103429.07000000002</v>
      </c>
      <c r="F387" s="30">
        <f>[2]!Table323[[#This Row],[Single Family]]+[2]!Table323[[#This Row],[2-4 Units]]+[2]!Table323[[#This Row],[&gt;4 Units]]</f>
        <v>37</v>
      </c>
      <c r="G387" s="30">
        <v>37</v>
      </c>
      <c r="H387" s="30">
        <v>0</v>
      </c>
      <c r="I387" s="30">
        <v>0</v>
      </c>
      <c r="J387" s="157">
        <v>101719.25000000001</v>
      </c>
      <c r="K387" s="30">
        <f>SUM([2]!Table323[[#This Row],[Single Family ]:[&gt;4 Units ]])</f>
        <v>1</v>
      </c>
      <c r="L387" s="212">
        <v>1</v>
      </c>
      <c r="M387" s="212">
        <v>0</v>
      </c>
      <c r="N387" s="212">
        <v>0</v>
      </c>
      <c r="O387" s="156">
        <v>1709.8200000000002</v>
      </c>
      <c r="P387" s="100">
        <f>VLOOKUP(Table3236[[#This Row],[Census Tract]],'Population and Diversity Data'!$B$2:$K$823,10,FALSE)</f>
        <v>2</v>
      </c>
      <c r="Q387" s="101" t="str">
        <f>VLOOKUP(Table3236[[#This Row],[Census Tract]],'UI EnergyBurden'!$A$2:$B$184,2,FALSE)</f>
        <v>No</v>
      </c>
    </row>
    <row r="388" spans="1:17" x14ac:dyDescent="0.2">
      <c r="A388" s="30">
        <v>9009157200</v>
      </c>
      <c r="B388" s="30" t="s">
        <v>2992</v>
      </c>
      <c r="C388" s="128" t="s">
        <v>3886</v>
      </c>
      <c r="D388" s="152">
        <v>0</v>
      </c>
      <c r="E388" s="152">
        <v>0</v>
      </c>
      <c r="F388" s="30">
        <f>[2]!Table323[[#This Row],[Single Family]]+[2]!Table323[[#This Row],[2-4 Units]]+[2]!Table323[[#This Row],[&gt;4 Units]]</f>
        <v>0</v>
      </c>
      <c r="G388" s="30"/>
      <c r="H388" s="30"/>
      <c r="I388" s="30"/>
      <c r="J388" s="157">
        <v>0</v>
      </c>
      <c r="K388" s="30">
        <f>SUM([2]!Table323[[#This Row],[Single Family ]:[&gt;4 Units ]])</f>
        <v>0</v>
      </c>
      <c r="L388" s="212"/>
      <c r="M388" s="212"/>
      <c r="N388" s="212"/>
      <c r="O388" s="156"/>
      <c r="P388" s="100">
        <f>VLOOKUP(Table3236[[#This Row],[Census Tract]],'Population and Diversity Data'!$B$2:$K$823,10,FALSE)</f>
        <v>2</v>
      </c>
      <c r="Q388" s="101" t="str">
        <f>VLOOKUP(Table3236[[#This Row],[Census Tract]],'UI EnergyBurden'!$A$2:$B$184,2,FALSE)</f>
        <v>No</v>
      </c>
    </row>
    <row r="389" spans="1:17" x14ac:dyDescent="0.2">
      <c r="A389" s="30">
        <v>9009157300</v>
      </c>
      <c r="B389" s="30" t="s">
        <v>2991</v>
      </c>
      <c r="C389" s="128" t="s">
        <v>3886</v>
      </c>
      <c r="D389" s="152">
        <v>5943.4674756190334</v>
      </c>
      <c r="E389" s="152">
        <v>1068.28</v>
      </c>
      <c r="F389" s="30">
        <f>[2]!Table323[[#This Row],[Single Family]]+[2]!Table323[[#This Row],[2-4 Units]]+[2]!Table323[[#This Row],[&gt;4 Units]]</f>
        <v>0</v>
      </c>
      <c r="G389" s="30"/>
      <c r="H389" s="30"/>
      <c r="I389" s="30"/>
      <c r="J389" s="157">
        <v>0</v>
      </c>
      <c r="K389" s="30">
        <f>SUM([2]!Table323[[#This Row],[Single Family ]:[&gt;4 Units ]])</f>
        <v>1</v>
      </c>
      <c r="L389" s="212">
        <v>1</v>
      </c>
      <c r="M389" s="212">
        <v>0</v>
      </c>
      <c r="N389" s="212">
        <v>0</v>
      </c>
      <c r="O389" s="156">
        <v>1068.28</v>
      </c>
      <c r="P389" s="100">
        <f>VLOOKUP(Table3236[[#This Row],[Census Tract]],'Population and Diversity Data'!$B$2:$K$823,10,FALSE)</f>
        <v>3</v>
      </c>
      <c r="Q389" s="101" t="str">
        <f>VLOOKUP(Table3236[[#This Row],[Census Tract]],'UI EnergyBurden'!$A$2:$B$184,2,FALSE)</f>
        <v>No</v>
      </c>
    </row>
    <row r="390" spans="1:17" x14ac:dyDescent="0.2">
      <c r="A390" s="30">
        <v>9009157300</v>
      </c>
      <c r="B390" s="30" t="s">
        <v>2992</v>
      </c>
      <c r="C390" s="128" t="s">
        <v>3886</v>
      </c>
      <c r="D390" s="152">
        <v>58259.463791962873</v>
      </c>
      <c r="E390" s="152">
        <v>109066.02000000002</v>
      </c>
      <c r="F390" s="30">
        <f>[2]!Table323[[#This Row],[Single Family]]+[2]!Table323[[#This Row],[2-4 Units]]+[2]!Table323[[#This Row],[&gt;4 Units]]</f>
        <v>32</v>
      </c>
      <c r="G390" s="30">
        <v>32</v>
      </c>
      <c r="H390" s="30">
        <v>0</v>
      </c>
      <c r="I390" s="30">
        <v>0</v>
      </c>
      <c r="J390" s="157">
        <v>83547.78</v>
      </c>
      <c r="K390" s="30">
        <f>SUM([2]!Table323[[#This Row],[Single Family ]:[&gt;4 Units ]])</f>
        <v>2</v>
      </c>
      <c r="L390" s="212">
        <v>2</v>
      </c>
      <c r="M390" s="212">
        <v>0</v>
      </c>
      <c r="N390" s="212">
        <v>0</v>
      </c>
      <c r="O390" s="156">
        <v>25518.240000000002</v>
      </c>
      <c r="P390" s="100">
        <f>VLOOKUP(Table3236[[#This Row],[Census Tract]],'Population and Diversity Data'!$B$2:$K$823,10,FALSE)</f>
        <v>3</v>
      </c>
      <c r="Q390" s="101" t="str">
        <f>VLOOKUP(Table3236[[#This Row],[Census Tract]],'UI EnergyBurden'!$A$2:$B$184,2,FALSE)</f>
        <v>No</v>
      </c>
    </row>
    <row r="391" spans="1:17" x14ac:dyDescent="0.2">
      <c r="A391" s="30">
        <v>9009157300</v>
      </c>
      <c r="B391" s="30" t="s">
        <v>2991</v>
      </c>
      <c r="C391" s="128" t="s">
        <v>3886</v>
      </c>
      <c r="D391" s="152">
        <v>0</v>
      </c>
      <c r="E391" s="152">
        <v>0</v>
      </c>
      <c r="F391" s="30">
        <f>[2]!Table323[[#This Row],[Single Family]]+[2]!Table323[[#This Row],[2-4 Units]]+[2]!Table323[[#This Row],[&gt;4 Units]]</f>
        <v>0</v>
      </c>
      <c r="G391" s="30"/>
      <c r="H391" s="30"/>
      <c r="I391" s="30"/>
      <c r="J391" s="157">
        <v>0</v>
      </c>
      <c r="K391" s="30">
        <f>SUM([2]!Table323[[#This Row],[Single Family ]:[&gt;4 Units ]])</f>
        <v>0</v>
      </c>
      <c r="L391" s="212"/>
      <c r="M391" s="212"/>
      <c r="N391" s="212"/>
      <c r="O391" s="156"/>
      <c r="P391" s="100">
        <f>VLOOKUP(Table3236[[#This Row],[Census Tract]],'Population and Diversity Data'!$B$2:$K$823,10,FALSE)</f>
        <v>3</v>
      </c>
      <c r="Q391" s="101" t="str">
        <f>VLOOKUP(Table3236[[#This Row],[Census Tract]],'UI EnergyBurden'!$A$2:$B$184,2,FALSE)</f>
        <v>No</v>
      </c>
    </row>
    <row r="392" spans="1:17" x14ac:dyDescent="0.2">
      <c r="A392" s="30">
        <v>9009157300</v>
      </c>
      <c r="B392" s="30" t="s">
        <v>2992</v>
      </c>
      <c r="C392" s="128" t="s">
        <v>3886</v>
      </c>
      <c r="D392" s="152">
        <v>0</v>
      </c>
      <c r="E392" s="152">
        <v>0</v>
      </c>
      <c r="F392" s="30">
        <f>[2]!Table323[[#This Row],[Single Family]]+[2]!Table323[[#This Row],[2-4 Units]]+[2]!Table323[[#This Row],[&gt;4 Units]]</f>
        <v>0</v>
      </c>
      <c r="G392" s="30"/>
      <c r="H392" s="30"/>
      <c r="I392" s="30"/>
      <c r="J392" s="157">
        <v>0</v>
      </c>
      <c r="K392" s="30">
        <f>SUM([2]!Table323[[#This Row],[Single Family ]:[&gt;4 Units ]])</f>
        <v>0</v>
      </c>
      <c r="L392" s="212"/>
      <c r="M392" s="212"/>
      <c r="N392" s="212"/>
      <c r="O392" s="156"/>
      <c r="P392" s="100">
        <f>VLOOKUP(Table3236[[#This Row],[Census Tract]],'Population and Diversity Data'!$B$2:$K$823,10,FALSE)</f>
        <v>3</v>
      </c>
      <c r="Q392" s="101" t="str">
        <f>VLOOKUP(Table3236[[#This Row],[Census Tract]],'UI EnergyBurden'!$A$2:$B$184,2,FALSE)</f>
        <v>No</v>
      </c>
    </row>
    <row r="393" spans="1:17" x14ac:dyDescent="0.2">
      <c r="A393" s="30">
        <v>9009157400</v>
      </c>
      <c r="B393" s="30" t="s">
        <v>2992</v>
      </c>
      <c r="C393" s="128" t="s">
        <v>3886</v>
      </c>
      <c r="D393" s="152">
        <v>70599.068116206312</v>
      </c>
      <c r="E393" s="152">
        <v>160841.25000000003</v>
      </c>
      <c r="F393" s="30">
        <f>[2]!Table323[[#This Row],[Single Family]]+[2]!Table323[[#This Row],[2-4 Units]]+[2]!Table323[[#This Row],[&gt;4 Units]]</f>
        <v>42</v>
      </c>
      <c r="G393" s="30">
        <v>42</v>
      </c>
      <c r="H393" s="30">
        <v>0</v>
      </c>
      <c r="I393" s="30">
        <v>0</v>
      </c>
      <c r="J393" s="157">
        <v>157664.70000000001</v>
      </c>
      <c r="K393" s="30">
        <f>SUM([2]!Table323[[#This Row],[Single Family ]:[&gt;4 Units ]])</f>
        <v>3</v>
      </c>
      <c r="L393" s="212">
        <v>2</v>
      </c>
      <c r="M393" s="212">
        <v>1</v>
      </c>
      <c r="N393" s="212">
        <v>0</v>
      </c>
      <c r="O393" s="156">
        <v>3176.55</v>
      </c>
      <c r="P393" s="100">
        <f>VLOOKUP(Table3236[[#This Row],[Census Tract]],'Population and Diversity Data'!$B$2:$K$823,10,FALSE)</f>
        <v>3</v>
      </c>
      <c r="Q393" s="101" t="str">
        <f>VLOOKUP(Table3236[[#This Row],[Census Tract]],'UI EnergyBurden'!$A$2:$B$184,2,FALSE)</f>
        <v>No</v>
      </c>
    </row>
    <row r="394" spans="1:17" x14ac:dyDescent="0.2">
      <c r="A394" s="30">
        <v>9009157400</v>
      </c>
      <c r="B394" s="30" t="s">
        <v>2992</v>
      </c>
      <c r="C394" s="128" t="s">
        <v>3886</v>
      </c>
      <c r="D394" s="152">
        <v>0</v>
      </c>
      <c r="E394" s="152">
        <v>0</v>
      </c>
      <c r="F394" s="30">
        <f>[2]!Table323[[#This Row],[Single Family]]+[2]!Table323[[#This Row],[2-4 Units]]+[2]!Table323[[#This Row],[&gt;4 Units]]</f>
        <v>0</v>
      </c>
      <c r="G394" s="30"/>
      <c r="H394" s="30"/>
      <c r="I394" s="30"/>
      <c r="J394" s="157">
        <v>0</v>
      </c>
      <c r="K394" s="30">
        <f>SUM([2]!Table323[[#This Row],[Single Family ]:[&gt;4 Units ]])</f>
        <v>0</v>
      </c>
      <c r="L394" s="212"/>
      <c r="M394" s="212"/>
      <c r="N394" s="212"/>
      <c r="O394" s="156">
        <v>0</v>
      </c>
      <c r="P394" s="100">
        <f>VLOOKUP(Table3236[[#This Row],[Census Tract]],'Population and Diversity Data'!$B$2:$K$823,10,FALSE)</f>
        <v>3</v>
      </c>
      <c r="Q394" s="101" t="str">
        <f>VLOOKUP(Table3236[[#This Row],[Census Tract]],'UI EnergyBurden'!$A$2:$B$184,2,FALSE)</f>
        <v>No</v>
      </c>
    </row>
    <row r="395" spans="1:17" x14ac:dyDescent="0.2">
      <c r="A395" s="30">
        <v>9009160100</v>
      </c>
      <c r="B395" s="30" t="s">
        <v>2990</v>
      </c>
      <c r="C395" s="128" t="s">
        <v>3886</v>
      </c>
      <c r="D395" s="152">
        <v>315.25872733992202</v>
      </c>
      <c r="E395" s="152">
        <v>0</v>
      </c>
      <c r="F395" s="30">
        <f>[2]!Table323[[#This Row],[Single Family]]+[2]!Table323[[#This Row],[2-4 Units]]+[2]!Table323[[#This Row],[&gt;4 Units]]</f>
        <v>0</v>
      </c>
      <c r="G395" s="30"/>
      <c r="H395" s="30"/>
      <c r="I395" s="30"/>
      <c r="J395" s="157">
        <v>0</v>
      </c>
      <c r="K395" s="30">
        <f>SUM([2]!Table323[[#This Row],[Single Family ]:[&gt;4 Units ]])</f>
        <v>0</v>
      </c>
      <c r="L395" s="212"/>
      <c r="M395" s="212"/>
      <c r="N395" s="212"/>
      <c r="O395" s="156"/>
      <c r="P395" s="100">
        <f>VLOOKUP(Table3236[[#This Row],[Census Tract]],'Population and Diversity Data'!$B$2:$K$823,10,FALSE)</f>
        <v>5</v>
      </c>
      <c r="Q395" s="101" t="str">
        <f>VLOOKUP(Table3236[[#This Row],[Census Tract]],'UI EnergyBurden'!$A$2:$B$184,2,FALSE)</f>
        <v>No</v>
      </c>
    </row>
    <row r="396" spans="1:17" x14ac:dyDescent="0.2">
      <c r="A396" s="30">
        <v>9009160100</v>
      </c>
      <c r="B396" s="30" t="s">
        <v>2994</v>
      </c>
      <c r="C396" s="128" t="s">
        <v>3886</v>
      </c>
      <c r="D396" s="152">
        <v>76163.9176486168</v>
      </c>
      <c r="E396" s="152">
        <v>91339.35000000002</v>
      </c>
      <c r="F396" s="30">
        <f>[2]!Table323[[#This Row],[Single Family]]+[2]!Table323[[#This Row],[2-4 Units]]+[2]!Table323[[#This Row],[&gt;4 Units]]</f>
        <v>30</v>
      </c>
      <c r="G396" s="30">
        <v>29</v>
      </c>
      <c r="H396" s="30">
        <v>1</v>
      </c>
      <c r="I396" s="30">
        <v>0</v>
      </c>
      <c r="J396" s="157">
        <v>84705.069999999992</v>
      </c>
      <c r="K396" s="30">
        <f>SUM([2]!Table323[[#This Row],[Single Family ]:[&gt;4 Units ]])</f>
        <v>2</v>
      </c>
      <c r="L396" s="212">
        <v>2</v>
      </c>
      <c r="M396" s="212">
        <v>0</v>
      </c>
      <c r="N396" s="212">
        <v>0</v>
      </c>
      <c r="O396" s="156">
        <v>6634.28</v>
      </c>
      <c r="P396" s="100">
        <f>VLOOKUP(Table3236[[#This Row],[Census Tract]],'Population and Diversity Data'!$B$2:$K$823,10,FALSE)</f>
        <v>5</v>
      </c>
      <c r="Q396" s="101" t="str">
        <f>VLOOKUP(Table3236[[#This Row],[Census Tract]],'UI EnergyBurden'!$A$2:$B$184,2,FALSE)</f>
        <v>No</v>
      </c>
    </row>
    <row r="397" spans="1:17" x14ac:dyDescent="0.2">
      <c r="A397" s="30">
        <v>9009160100</v>
      </c>
      <c r="B397" s="30" t="s">
        <v>2994</v>
      </c>
      <c r="C397" s="128" t="s">
        <v>3886</v>
      </c>
      <c r="D397" s="152">
        <v>0</v>
      </c>
      <c r="E397" s="152">
        <v>0</v>
      </c>
      <c r="F397" s="30">
        <f>[2]!Table323[[#This Row],[Single Family]]+[2]!Table323[[#This Row],[2-4 Units]]+[2]!Table323[[#This Row],[&gt;4 Units]]</f>
        <v>0</v>
      </c>
      <c r="G397" s="30"/>
      <c r="H397" s="30"/>
      <c r="I397" s="30"/>
      <c r="J397" s="157">
        <v>0</v>
      </c>
      <c r="K397" s="30">
        <f>SUM([2]!Table323[[#This Row],[Single Family ]:[&gt;4 Units ]])</f>
        <v>0</v>
      </c>
      <c r="L397" s="212"/>
      <c r="M397" s="212"/>
      <c r="N397" s="212"/>
      <c r="O397" s="156"/>
      <c r="P397" s="100">
        <f>VLOOKUP(Table3236[[#This Row],[Census Tract]],'Population and Diversity Data'!$B$2:$K$823,10,FALSE)</f>
        <v>5</v>
      </c>
      <c r="Q397" s="101" t="str">
        <f>VLOOKUP(Table3236[[#This Row],[Census Tract]],'UI EnergyBurden'!$A$2:$B$184,2,FALSE)</f>
        <v>No</v>
      </c>
    </row>
    <row r="398" spans="1:17" x14ac:dyDescent="0.2">
      <c r="A398" s="30">
        <v>9009160200</v>
      </c>
      <c r="B398" s="30" t="s">
        <v>943</v>
      </c>
      <c r="C398" s="128" t="s">
        <v>3886</v>
      </c>
      <c r="D398" s="152">
        <v>20.438009957002574</v>
      </c>
      <c r="E398" s="152">
        <v>0</v>
      </c>
      <c r="F398" s="30">
        <f>[2]!Table323[[#This Row],[Single Family]]+[2]!Table323[[#This Row],[2-4 Units]]+[2]!Table323[[#This Row],[&gt;4 Units]]</f>
        <v>0</v>
      </c>
      <c r="G398" s="30"/>
      <c r="H398" s="30"/>
      <c r="I398" s="30"/>
      <c r="J398" s="157">
        <v>0</v>
      </c>
      <c r="K398" s="30">
        <f>SUM([2]!Table323[[#This Row],[Single Family ]:[&gt;4 Units ]])</f>
        <v>0</v>
      </c>
      <c r="L398" s="212"/>
      <c r="M398" s="212"/>
      <c r="N398" s="212"/>
      <c r="O398" s="156">
        <v>0</v>
      </c>
      <c r="P398" s="100">
        <f>VLOOKUP(Table3236[[#This Row],[Census Tract]],'Population and Diversity Data'!$B$2:$K$823,10,FALSE)</f>
        <v>4</v>
      </c>
      <c r="Q398" s="101" t="str">
        <f>VLOOKUP(Table3236[[#This Row],[Census Tract]],'UI EnergyBurden'!$A$2:$B$184,2,FALSE)</f>
        <v>No</v>
      </c>
    </row>
    <row r="399" spans="1:17" x14ac:dyDescent="0.2">
      <c r="A399" s="30">
        <v>9009160200</v>
      </c>
      <c r="B399" s="30" t="s">
        <v>2994</v>
      </c>
      <c r="C399" s="128" t="s">
        <v>3886</v>
      </c>
      <c r="D399" s="152">
        <v>107682.49142310086</v>
      </c>
      <c r="E399" s="152">
        <v>204980.06000000003</v>
      </c>
      <c r="F399" s="30">
        <f>[2]!Table323[[#This Row],[Single Family]]+[2]!Table323[[#This Row],[2-4 Units]]+[2]!Table323[[#This Row],[&gt;4 Units]]</f>
        <v>67</v>
      </c>
      <c r="G399" s="30">
        <v>67</v>
      </c>
      <c r="H399" s="30">
        <v>0</v>
      </c>
      <c r="I399" s="30">
        <v>0</v>
      </c>
      <c r="J399" s="157">
        <v>195020.03000000003</v>
      </c>
      <c r="K399" s="30">
        <f>SUM([2]!Table323[[#This Row],[Single Family ]:[&gt;4 Units ]])</f>
        <v>4</v>
      </c>
      <c r="L399" s="212">
        <v>4</v>
      </c>
      <c r="M399" s="212">
        <v>0</v>
      </c>
      <c r="N399" s="212">
        <v>0</v>
      </c>
      <c r="O399" s="156">
        <v>9960.0299999999988</v>
      </c>
      <c r="P399" s="100">
        <f>VLOOKUP(Table3236[[#This Row],[Census Tract]],'Population and Diversity Data'!$B$2:$K$823,10,FALSE)</f>
        <v>4</v>
      </c>
      <c r="Q399" s="101" t="str">
        <f>VLOOKUP(Table3236[[#This Row],[Census Tract]],'UI EnergyBurden'!$A$2:$B$184,2,FALSE)</f>
        <v>No</v>
      </c>
    </row>
    <row r="400" spans="1:17" x14ac:dyDescent="0.2">
      <c r="A400" s="30">
        <v>9009160200</v>
      </c>
      <c r="B400" s="30" t="s">
        <v>2994</v>
      </c>
      <c r="C400" s="128" t="s">
        <v>3886</v>
      </c>
      <c r="D400" s="152">
        <v>0</v>
      </c>
      <c r="E400" s="152">
        <v>0</v>
      </c>
      <c r="F400" s="30">
        <f>[2]!Table323[[#This Row],[Single Family]]+[2]!Table323[[#This Row],[2-4 Units]]+[2]!Table323[[#This Row],[&gt;4 Units]]</f>
        <v>0</v>
      </c>
      <c r="G400" s="30"/>
      <c r="H400" s="30"/>
      <c r="I400" s="30"/>
      <c r="J400" s="157">
        <v>0</v>
      </c>
      <c r="K400" s="30">
        <f>SUM([2]!Table323[[#This Row],[Single Family ]:[&gt;4 Units ]])</f>
        <v>0</v>
      </c>
      <c r="L400" s="212"/>
      <c r="M400" s="212"/>
      <c r="N400" s="212"/>
      <c r="O400" s="156">
        <v>0</v>
      </c>
      <c r="P400" s="100">
        <f>VLOOKUP(Table3236[[#This Row],[Census Tract]],'Population and Diversity Data'!$B$2:$K$823,10,FALSE)</f>
        <v>4</v>
      </c>
      <c r="Q400" s="101" t="str">
        <f>VLOOKUP(Table3236[[#This Row],[Census Tract]],'UI EnergyBurden'!$A$2:$B$184,2,FALSE)</f>
        <v>No</v>
      </c>
    </row>
    <row r="401" spans="1:17" x14ac:dyDescent="0.2">
      <c r="A401" s="30">
        <v>9009165100</v>
      </c>
      <c r="B401" s="30" t="s">
        <v>953</v>
      </c>
      <c r="C401" s="128" t="s">
        <v>3886</v>
      </c>
      <c r="D401" s="152">
        <v>52271.357708195144</v>
      </c>
      <c r="E401" s="152">
        <v>65460.39</v>
      </c>
      <c r="F401" s="30">
        <f>[2]!Table323[[#This Row],[Single Family]]+[2]!Table323[[#This Row],[2-4 Units]]+[2]!Table323[[#This Row],[&gt;4 Units]]</f>
        <v>26</v>
      </c>
      <c r="G401" s="30">
        <v>26</v>
      </c>
      <c r="H401" s="30">
        <v>0</v>
      </c>
      <c r="I401" s="30">
        <v>0</v>
      </c>
      <c r="J401" s="157">
        <v>26794.909999999996</v>
      </c>
      <c r="K401" s="30">
        <f>SUM([2]!Table323[[#This Row],[Single Family ]:[&gt;4 Units ]])</f>
        <v>9</v>
      </c>
      <c r="L401" s="212">
        <v>8</v>
      </c>
      <c r="M401" s="212">
        <v>0</v>
      </c>
      <c r="N401" s="212">
        <v>1</v>
      </c>
      <c r="O401" s="156">
        <v>38665.48000000001</v>
      </c>
      <c r="P401" s="100">
        <f>VLOOKUP(Table3236[[#This Row],[Census Tract]],'Population and Diversity Data'!$B$2:$K$823,10,FALSE)</f>
        <v>5</v>
      </c>
      <c r="Q401" s="101" t="str">
        <f>VLOOKUP(Table3236[[#This Row],[Census Tract]],'UI EnergyBurden'!$A$2:$B$184,2,FALSE)</f>
        <v>No</v>
      </c>
    </row>
    <row r="402" spans="1:17" x14ac:dyDescent="0.2">
      <c r="A402" s="30">
        <v>9009165100</v>
      </c>
      <c r="B402" s="30" t="s">
        <v>3004</v>
      </c>
      <c r="C402" s="128" t="s">
        <v>3886</v>
      </c>
      <c r="D402" s="152">
        <v>0</v>
      </c>
      <c r="E402" s="152">
        <v>0</v>
      </c>
      <c r="F402" s="30">
        <f>[2]!Table323[[#This Row],[Single Family]]+[2]!Table323[[#This Row],[2-4 Units]]+[2]!Table323[[#This Row],[&gt;4 Units]]</f>
        <v>0</v>
      </c>
      <c r="G402" s="30"/>
      <c r="H402" s="30"/>
      <c r="I402" s="30"/>
      <c r="J402" s="157">
        <v>0</v>
      </c>
      <c r="K402" s="30">
        <f>SUM([2]!Table323[[#This Row],[Single Family ]:[&gt;4 Units ]])</f>
        <v>0</v>
      </c>
      <c r="L402" s="212"/>
      <c r="M402" s="212"/>
      <c r="N402" s="212"/>
      <c r="O402" s="156"/>
      <c r="P402" s="100">
        <f>VLOOKUP(Table3236[[#This Row],[Census Tract]],'Population and Diversity Data'!$B$2:$K$823,10,FALSE)</f>
        <v>5</v>
      </c>
      <c r="Q402" s="101" t="str">
        <f>VLOOKUP(Table3236[[#This Row],[Census Tract]],'UI EnergyBurden'!$A$2:$B$184,2,FALSE)</f>
        <v>No</v>
      </c>
    </row>
    <row r="403" spans="1:17" x14ac:dyDescent="0.2">
      <c r="A403" s="30">
        <v>9009165100</v>
      </c>
      <c r="B403" s="30" t="s">
        <v>953</v>
      </c>
      <c r="C403" s="128" t="s">
        <v>3886</v>
      </c>
      <c r="D403" s="152">
        <v>0</v>
      </c>
      <c r="E403" s="152">
        <v>81540</v>
      </c>
      <c r="F403" s="30">
        <f>[2]!Table323[[#This Row],[Single Family]]+[2]!Table323[[#This Row],[2-4 Units]]+[2]!Table323[[#This Row],[&gt;4 Units]]</f>
        <v>0</v>
      </c>
      <c r="G403" s="30"/>
      <c r="H403" s="30"/>
      <c r="I403" s="30"/>
      <c r="J403" s="157">
        <v>0</v>
      </c>
      <c r="K403" s="30">
        <f>SUM([2]!Table323[[#This Row],[Single Family ]:[&gt;4 Units ]])</f>
        <v>0</v>
      </c>
      <c r="L403" s="212">
        <v>0</v>
      </c>
      <c r="M403" s="212">
        <v>0</v>
      </c>
      <c r="N403" s="212">
        <v>0</v>
      </c>
      <c r="O403" s="156">
        <v>81540</v>
      </c>
      <c r="P403" s="100">
        <f>VLOOKUP(Table3236[[#This Row],[Census Tract]],'Population and Diversity Data'!$B$2:$K$823,10,FALSE)</f>
        <v>5</v>
      </c>
      <c r="Q403" s="101" t="str">
        <f>VLOOKUP(Table3236[[#This Row],[Census Tract]],'UI EnergyBurden'!$A$2:$B$184,2,FALSE)</f>
        <v>No</v>
      </c>
    </row>
    <row r="404" spans="1:17" x14ac:dyDescent="0.2">
      <c r="A404" s="30">
        <v>9009165200</v>
      </c>
      <c r="B404" s="30" t="s">
        <v>953</v>
      </c>
      <c r="C404" s="128" t="s">
        <v>3886</v>
      </c>
      <c r="D404" s="152">
        <v>41499.510792865163</v>
      </c>
      <c r="E404" s="152">
        <v>18142.970000000005</v>
      </c>
      <c r="F404" s="30">
        <f>[2]!Table323[[#This Row],[Single Family]]+[2]!Table323[[#This Row],[2-4 Units]]+[2]!Table323[[#This Row],[&gt;4 Units]]</f>
        <v>25</v>
      </c>
      <c r="G404" s="30">
        <v>25</v>
      </c>
      <c r="H404" s="30">
        <v>0</v>
      </c>
      <c r="I404" s="30">
        <v>0</v>
      </c>
      <c r="J404" s="157">
        <v>17406.470000000005</v>
      </c>
      <c r="K404" s="30">
        <f>SUM([2]!Table323[[#This Row],[Single Family ]:[&gt;4 Units ]])</f>
        <v>1</v>
      </c>
      <c r="L404" s="212">
        <v>1</v>
      </c>
      <c r="M404" s="212">
        <v>0</v>
      </c>
      <c r="N404" s="212">
        <v>0</v>
      </c>
      <c r="O404" s="156">
        <v>736.5</v>
      </c>
      <c r="P404" s="100">
        <f>VLOOKUP(Table3236[[#This Row],[Census Tract]],'Population and Diversity Data'!$B$2:$K$823,10,FALSE)</f>
        <v>3</v>
      </c>
      <c r="Q404" s="101" t="str">
        <f>VLOOKUP(Table3236[[#This Row],[Census Tract]],'UI EnergyBurden'!$A$2:$B$184,2,FALSE)</f>
        <v>No</v>
      </c>
    </row>
    <row r="405" spans="1:17" x14ac:dyDescent="0.2">
      <c r="A405" s="30">
        <v>9009165200</v>
      </c>
      <c r="B405" s="30" t="s">
        <v>3004</v>
      </c>
      <c r="C405" s="128" t="s">
        <v>3886</v>
      </c>
      <c r="D405" s="152">
        <v>0</v>
      </c>
      <c r="E405" s="152">
        <v>0</v>
      </c>
      <c r="F405" s="30">
        <f>[2]!Table323[[#This Row],[Single Family]]+[2]!Table323[[#This Row],[2-4 Units]]+[2]!Table323[[#This Row],[&gt;4 Units]]</f>
        <v>0</v>
      </c>
      <c r="G405" s="30"/>
      <c r="H405" s="30"/>
      <c r="I405" s="30"/>
      <c r="J405" s="157">
        <v>0</v>
      </c>
      <c r="K405" s="30">
        <f>SUM([2]!Table323[[#This Row],[Single Family ]:[&gt;4 Units ]])</f>
        <v>0</v>
      </c>
      <c r="L405" s="212"/>
      <c r="M405" s="212"/>
      <c r="N405" s="212"/>
      <c r="O405" s="156"/>
      <c r="P405" s="100">
        <f>VLOOKUP(Table3236[[#This Row],[Census Tract]],'Population and Diversity Data'!$B$2:$K$823,10,FALSE)</f>
        <v>3</v>
      </c>
      <c r="Q405" s="101" t="str">
        <f>VLOOKUP(Table3236[[#This Row],[Census Tract]],'UI EnergyBurden'!$A$2:$B$184,2,FALSE)</f>
        <v>No</v>
      </c>
    </row>
    <row r="406" spans="1:17" x14ac:dyDescent="0.2">
      <c r="A406" s="30">
        <v>9009165200</v>
      </c>
      <c r="B406" s="30" t="s">
        <v>953</v>
      </c>
      <c r="C406" s="128" t="s">
        <v>3886</v>
      </c>
      <c r="D406" s="152">
        <v>1414.1791755204492</v>
      </c>
      <c r="E406" s="152">
        <v>0</v>
      </c>
      <c r="F406" s="30">
        <f>[2]!Table323[[#This Row],[Single Family]]+[2]!Table323[[#This Row],[2-4 Units]]+[2]!Table323[[#This Row],[&gt;4 Units]]</f>
        <v>0</v>
      </c>
      <c r="G406" s="30"/>
      <c r="H406" s="30"/>
      <c r="I406" s="30"/>
      <c r="J406" s="157">
        <v>0</v>
      </c>
      <c r="K406" s="30">
        <f>SUM([2]!Table323[[#This Row],[Single Family ]:[&gt;4 Units ]])</f>
        <v>0</v>
      </c>
      <c r="L406" s="212"/>
      <c r="M406" s="212"/>
      <c r="N406" s="212"/>
      <c r="O406" s="156">
        <v>0</v>
      </c>
      <c r="P406" s="100">
        <f>VLOOKUP(Table3236[[#This Row],[Census Tract]],'Population and Diversity Data'!$B$2:$K$823,10,FALSE)</f>
        <v>3</v>
      </c>
      <c r="Q406" s="101" t="str">
        <f>VLOOKUP(Table3236[[#This Row],[Census Tract]],'UI EnergyBurden'!$A$2:$B$184,2,FALSE)</f>
        <v>No</v>
      </c>
    </row>
    <row r="407" spans="1:17" x14ac:dyDescent="0.2">
      <c r="A407" s="30">
        <v>9009165300</v>
      </c>
      <c r="B407" s="30" t="s">
        <v>953</v>
      </c>
      <c r="C407" s="128" t="s">
        <v>3886</v>
      </c>
      <c r="D407" s="152">
        <v>29549.308959212191</v>
      </c>
      <c r="E407" s="152">
        <v>30506.799999999999</v>
      </c>
      <c r="F407" s="30">
        <f>[2]!Table323[[#This Row],[Single Family]]+[2]!Table323[[#This Row],[2-4 Units]]+[2]!Table323[[#This Row],[&gt;4 Units]]</f>
        <v>27</v>
      </c>
      <c r="G407" s="30">
        <v>26</v>
      </c>
      <c r="H407" s="30">
        <v>1</v>
      </c>
      <c r="I407" s="30">
        <v>0</v>
      </c>
      <c r="J407" s="157">
        <v>30506.799999999999</v>
      </c>
      <c r="K407" s="30">
        <f>SUM([2]!Table323[[#This Row],[Single Family ]:[&gt;4 Units ]])</f>
        <v>0</v>
      </c>
      <c r="L407" s="212"/>
      <c r="M407" s="212"/>
      <c r="N407" s="212"/>
      <c r="O407" s="156">
        <v>0</v>
      </c>
      <c r="P407" s="100">
        <f>VLOOKUP(Table3236[[#This Row],[Census Tract]],'Population and Diversity Data'!$B$2:$K$823,10,FALSE)</f>
        <v>2</v>
      </c>
      <c r="Q407" s="101" t="str">
        <f>VLOOKUP(Table3236[[#This Row],[Census Tract]],'UI EnergyBurden'!$A$2:$B$184,2,FALSE)</f>
        <v>No</v>
      </c>
    </row>
    <row r="408" spans="1:17" x14ac:dyDescent="0.2">
      <c r="A408" s="30">
        <v>9009165300</v>
      </c>
      <c r="B408" s="30" t="s">
        <v>953</v>
      </c>
      <c r="C408" s="128" t="s">
        <v>3886</v>
      </c>
      <c r="D408" s="152">
        <v>7893.4946158310058</v>
      </c>
      <c r="E408" s="152">
        <v>0</v>
      </c>
      <c r="F408" s="30">
        <f>[2]!Table323[[#This Row],[Single Family]]+[2]!Table323[[#This Row],[2-4 Units]]+[2]!Table323[[#This Row],[&gt;4 Units]]</f>
        <v>0</v>
      </c>
      <c r="G408" s="30"/>
      <c r="H408" s="30"/>
      <c r="I408" s="30"/>
      <c r="J408" s="157">
        <v>0</v>
      </c>
      <c r="K408" s="30">
        <f>SUM([2]!Table323[[#This Row],[Single Family ]:[&gt;4 Units ]])</f>
        <v>0</v>
      </c>
      <c r="L408" s="212"/>
      <c r="M408" s="212"/>
      <c r="N408" s="212"/>
      <c r="O408" s="156">
        <v>0</v>
      </c>
      <c r="P408" s="100">
        <f>VLOOKUP(Table3236[[#This Row],[Census Tract]],'Population and Diversity Data'!$B$2:$K$823,10,FALSE)</f>
        <v>2</v>
      </c>
      <c r="Q408" s="101" t="str">
        <f>VLOOKUP(Table3236[[#This Row],[Census Tract]],'UI EnergyBurden'!$A$2:$B$184,2,FALSE)</f>
        <v>No</v>
      </c>
    </row>
    <row r="409" spans="1:17" x14ac:dyDescent="0.2">
      <c r="A409" s="30">
        <v>9009165400</v>
      </c>
      <c r="B409" s="30" t="s">
        <v>953</v>
      </c>
      <c r="C409" s="128" t="s">
        <v>3886</v>
      </c>
      <c r="D409" s="152">
        <v>69094.360606091926</v>
      </c>
      <c r="E409" s="152">
        <v>32270.109999999997</v>
      </c>
      <c r="F409" s="30">
        <f>[2]!Table323[[#This Row],[Single Family]]+[2]!Table323[[#This Row],[2-4 Units]]+[2]!Table323[[#This Row],[&gt;4 Units]]</f>
        <v>29</v>
      </c>
      <c r="G409" s="30">
        <v>29</v>
      </c>
      <c r="H409" s="30">
        <v>0</v>
      </c>
      <c r="I409" s="30">
        <v>0</v>
      </c>
      <c r="J409" s="157">
        <v>19565.84</v>
      </c>
      <c r="K409" s="30">
        <f>SUM([2]!Table323[[#This Row],[Single Family ]:[&gt;4 Units ]])</f>
        <v>9</v>
      </c>
      <c r="L409" s="212">
        <v>5</v>
      </c>
      <c r="M409" s="212">
        <v>4</v>
      </c>
      <c r="N409" s="212">
        <v>0</v>
      </c>
      <c r="O409" s="156">
        <v>12704.27</v>
      </c>
      <c r="P409" s="100">
        <f>VLOOKUP(Table3236[[#This Row],[Census Tract]],'Population and Diversity Data'!$B$2:$K$823,10,FALSE)</f>
        <v>3</v>
      </c>
      <c r="Q409" s="101" t="str">
        <f>VLOOKUP(Table3236[[#This Row],[Census Tract]],'UI EnergyBurden'!$A$2:$B$184,2,FALSE)</f>
        <v>No</v>
      </c>
    </row>
    <row r="410" spans="1:17" x14ac:dyDescent="0.2">
      <c r="A410" s="30">
        <v>9009165400</v>
      </c>
      <c r="B410" s="30" t="s">
        <v>943</v>
      </c>
      <c r="C410" s="128" t="s">
        <v>3886</v>
      </c>
      <c r="D410" s="152">
        <v>0</v>
      </c>
      <c r="E410" s="152">
        <v>0</v>
      </c>
      <c r="F410" s="30">
        <f>[2]!Table323[[#This Row],[Single Family]]+[2]!Table323[[#This Row],[2-4 Units]]+[2]!Table323[[#This Row],[&gt;4 Units]]</f>
        <v>0</v>
      </c>
      <c r="G410" s="30"/>
      <c r="H410" s="30"/>
      <c r="I410" s="30"/>
      <c r="J410" s="157">
        <v>0</v>
      </c>
      <c r="K410" s="30">
        <f>SUM([2]!Table323[[#This Row],[Single Family ]:[&gt;4 Units ]])</f>
        <v>0</v>
      </c>
      <c r="L410" s="212"/>
      <c r="M410" s="212"/>
      <c r="N410" s="212"/>
      <c r="O410" s="156"/>
      <c r="P410" s="100">
        <f>VLOOKUP(Table3236[[#This Row],[Census Tract]],'Population and Diversity Data'!$B$2:$K$823,10,FALSE)</f>
        <v>3</v>
      </c>
      <c r="Q410" s="101" t="str">
        <f>VLOOKUP(Table3236[[#This Row],[Census Tract]],'UI EnergyBurden'!$A$2:$B$184,2,FALSE)</f>
        <v>No</v>
      </c>
    </row>
    <row r="411" spans="1:17" x14ac:dyDescent="0.2">
      <c r="A411" s="30">
        <v>9009165400</v>
      </c>
      <c r="B411" s="30" t="s">
        <v>953</v>
      </c>
      <c r="C411" s="128" t="s">
        <v>3886</v>
      </c>
      <c r="D411" s="152">
        <v>5788.9382076540933</v>
      </c>
      <c r="E411" s="152">
        <v>84171.42</v>
      </c>
      <c r="F411" s="30">
        <f>[2]!Table323[[#This Row],[Single Family]]+[2]!Table323[[#This Row],[2-4 Units]]+[2]!Table323[[#This Row],[&gt;4 Units]]</f>
        <v>0</v>
      </c>
      <c r="G411" s="30"/>
      <c r="H411" s="30"/>
      <c r="I411" s="30"/>
      <c r="J411" s="157">
        <v>0</v>
      </c>
      <c r="K411" s="30">
        <f>SUM([2]!Table323[[#This Row],[Single Family ]:[&gt;4 Units ]])</f>
        <v>1</v>
      </c>
      <c r="L411" s="212">
        <v>0</v>
      </c>
      <c r="M411" s="212">
        <v>0</v>
      </c>
      <c r="N411" s="212">
        <v>1</v>
      </c>
      <c r="O411" s="156">
        <v>84171.42</v>
      </c>
      <c r="P411" s="100">
        <f>VLOOKUP(Table3236[[#This Row],[Census Tract]],'Population and Diversity Data'!$B$2:$K$823,10,FALSE)</f>
        <v>3</v>
      </c>
      <c r="Q411" s="101" t="str">
        <f>VLOOKUP(Table3236[[#This Row],[Census Tract]],'UI EnergyBurden'!$A$2:$B$184,2,FALSE)</f>
        <v>No</v>
      </c>
    </row>
    <row r="412" spans="1:17" x14ac:dyDescent="0.2">
      <c r="A412" s="30">
        <v>9009165500</v>
      </c>
      <c r="B412" s="30" t="s">
        <v>953</v>
      </c>
      <c r="C412" s="128" t="s">
        <v>3887</v>
      </c>
      <c r="D412" s="152">
        <v>56321.809334535021</v>
      </c>
      <c r="E412" s="152">
        <v>24981.17</v>
      </c>
      <c r="F412" s="30">
        <f>[2]!Table323[[#This Row],[Single Family]]+[2]!Table323[[#This Row],[2-4 Units]]+[2]!Table323[[#This Row],[&gt;4 Units]]</f>
        <v>14</v>
      </c>
      <c r="G412" s="30">
        <v>12</v>
      </c>
      <c r="H412" s="30">
        <v>2</v>
      </c>
      <c r="I412" s="30">
        <v>0</v>
      </c>
      <c r="J412" s="157">
        <v>11243.14</v>
      </c>
      <c r="K412" s="30">
        <f>SUM([2]!Table323[[#This Row],[Single Family ]:[&gt;4 Units ]])</f>
        <v>26</v>
      </c>
      <c r="L412" s="212">
        <v>10</v>
      </c>
      <c r="M412" s="212">
        <v>16</v>
      </c>
      <c r="N412" s="212">
        <v>0</v>
      </c>
      <c r="O412" s="156">
        <v>13738.029999999995</v>
      </c>
      <c r="P412" s="100">
        <f>VLOOKUP(Table3236[[#This Row],[Census Tract]],'Population and Diversity Data'!$B$2:$K$823,10,FALSE)</f>
        <v>4</v>
      </c>
      <c r="Q412" s="101" t="str">
        <f>VLOOKUP(Table3236[[#This Row],[Census Tract]],'UI EnergyBurden'!$A$2:$B$184,2,FALSE)</f>
        <v>Yes</v>
      </c>
    </row>
    <row r="413" spans="1:17" x14ac:dyDescent="0.2">
      <c r="A413" s="30">
        <v>9009165500</v>
      </c>
      <c r="B413" s="30" t="s">
        <v>943</v>
      </c>
      <c r="C413" s="128" t="s">
        <v>3887</v>
      </c>
      <c r="D413" s="152">
        <v>539.19043571227564</v>
      </c>
      <c r="E413" s="152">
        <v>0</v>
      </c>
      <c r="F413" s="30">
        <f>[2]!Table323[[#This Row],[Single Family]]+[2]!Table323[[#This Row],[2-4 Units]]+[2]!Table323[[#This Row],[&gt;4 Units]]</f>
        <v>0</v>
      </c>
      <c r="G413" s="30"/>
      <c r="H413" s="30"/>
      <c r="I413" s="30"/>
      <c r="J413" s="157">
        <v>0</v>
      </c>
      <c r="K413" s="30">
        <f>SUM([2]!Table323[[#This Row],[Single Family ]:[&gt;4 Units ]])</f>
        <v>0</v>
      </c>
      <c r="L413" s="212"/>
      <c r="M413" s="212"/>
      <c r="N413" s="212"/>
      <c r="O413" s="156"/>
      <c r="P413" s="100">
        <f>VLOOKUP(Table3236[[#This Row],[Census Tract]],'Population and Diversity Data'!$B$2:$K$823,10,FALSE)</f>
        <v>4</v>
      </c>
      <c r="Q413" s="101" t="str">
        <f>VLOOKUP(Table3236[[#This Row],[Census Tract]],'UI EnergyBurden'!$A$2:$B$184,2,FALSE)</f>
        <v>Yes</v>
      </c>
    </row>
    <row r="414" spans="1:17" x14ac:dyDescent="0.2">
      <c r="A414" s="30">
        <v>9009165500</v>
      </c>
      <c r="B414" s="30" t="s">
        <v>953</v>
      </c>
      <c r="C414" s="128" t="s">
        <v>3887</v>
      </c>
      <c r="D414" s="152">
        <v>0</v>
      </c>
      <c r="E414" s="152">
        <v>0</v>
      </c>
      <c r="F414" s="30">
        <f>[2]!Table323[[#This Row],[Single Family]]+[2]!Table323[[#This Row],[2-4 Units]]+[2]!Table323[[#This Row],[&gt;4 Units]]</f>
        <v>0</v>
      </c>
      <c r="G414" s="30"/>
      <c r="H414" s="30"/>
      <c r="I414" s="30"/>
      <c r="J414" s="157">
        <v>0</v>
      </c>
      <c r="K414" s="30">
        <f>SUM([2]!Table323[[#This Row],[Single Family ]:[&gt;4 Units ]])</f>
        <v>0</v>
      </c>
      <c r="L414" s="212"/>
      <c r="M414" s="212"/>
      <c r="N414" s="212"/>
      <c r="O414" s="156">
        <v>0</v>
      </c>
      <c r="P414" s="100">
        <f>VLOOKUP(Table3236[[#This Row],[Census Tract]],'Population and Diversity Data'!$B$2:$K$823,10,FALSE)</f>
        <v>4</v>
      </c>
      <c r="Q414" s="101" t="str">
        <f>VLOOKUP(Table3236[[#This Row],[Census Tract]],'UI EnergyBurden'!$A$2:$B$184,2,FALSE)</f>
        <v>Yes</v>
      </c>
    </row>
    <row r="415" spans="1:17" x14ac:dyDescent="0.2">
      <c r="A415" s="30">
        <v>9009165600</v>
      </c>
      <c r="B415" s="30" t="s">
        <v>953</v>
      </c>
      <c r="C415" s="128" t="s">
        <v>3886</v>
      </c>
      <c r="D415" s="152">
        <v>65818.212705069163</v>
      </c>
      <c r="E415" s="152">
        <v>31948.690000000002</v>
      </c>
      <c r="F415" s="30">
        <f>[2]!Table323[[#This Row],[Single Family]]+[2]!Table323[[#This Row],[2-4 Units]]+[2]!Table323[[#This Row],[&gt;4 Units]]</f>
        <v>31</v>
      </c>
      <c r="G415" s="30">
        <v>25</v>
      </c>
      <c r="H415" s="30">
        <v>6</v>
      </c>
      <c r="I415" s="30">
        <v>0</v>
      </c>
      <c r="J415" s="157">
        <v>19558.020000000004</v>
      </c>
      <c r="K415" s="30">
        <f>SUM([2]!Table323[[#This Row],[Single Family ]:[&gt;4 Units ]])</f>
        <v>16</v>
      </c>
      <c r="L415" s="212">
        <v>13</v>
      </c>
      <c r="M415" s="212">
        <v>3</v>
      </c>
      <c r="N415" s="212">
        <v>0</v>
      </c>
      <c r="O415" s="156">
        <v>12390.670000000002</v>
      </c>
      <c r="P415" s="100">
        <f>VLOOKUP(Table3236[[#This Row],[Census Tract]],'Population and Diversity Data'!$B$2:$K$823,10,FALSE)</f>
        <v>5</v>
      </c>
      <c r="Q415" s="101" t="str">
        <f>VLOOKUP(Table3236[[#This Row],[Census Tract]],'UI EnergyBurden'!$A$2:$B$184,2,FALSE)</f>
        <v>No</v>
      </c>
    </row>
    <row r="416" spans="1:17" x14ac:dyDescent="0.2">
      <c r="A416" s="30">
        <v>9009165600</v>
      </c>
      <c r="B416" s="30" t="s">
        <v>953</v>
      </c>
      <c r="C416" s="128" t="s">
        <v>3886</v>
      </c>
      <c r="D416" s="152">
        <v>1242.8082856166914</v>
      </c>
      <c r="E416" s="152">
        <v>1150</v>
      </c>
      <c r="F416" s="30">
        <f>[2]!Table323[[#This Row],[Single Family]]+[2]!Table323[[#This Row],[2-4 Units]]+[2]!Table323[[#This Row],[&gt;4 Units]]</f>
        <v>0</v>
      </c>
      <c r="G416" s="30"/>
      <c r="H416" s="30"/>
      <c r="I416" s="30"/>
      <c r="J416" s="157">
        <v>1150</v>
      </c>
      <c r="K416" s="30">
        <f>SUM([2]!Table323[[#This Row],[Single Family ]:[&gt;4 Units ]])</f>
        <v>0</v>
      </c>
      <c r="L416" s="212"/>
      <c r="M416" s="212"/>
      <c r="N416" s="212"/>
      <c r="O416" s="156">
        <v>0</v>
      </c>
      <c r="P416" s="100">
        <f>VLOOKUP(Table3236[[#This Row],[Census Tract]],'Population and Diversity Data'!$B$2:$K$823,10,FALSE)</f>
        <v>5</v>
      </c>
      <c r="Q416" s="101" t="str">
        <f>VLOOKUP(Table3236[[#This Row],[Census Tract]],'UI EnergyBurden'!$A$2:$B$184,2,FALSE)</f>
        <v>No</v>
      </c>
    </row>
    <row r="417" spans="1:17" x14ac:dyDescent="0.2">
      <c r="A417" s="30">
        <v>9009165700</v>
      </c>
      <c r="B417" s="30" t="s">
        <v>953</v>
      </c>
      <c r="C417" s="128" t="s">
        <v>3886</v>
      </c>
      <c r="D417" s="152">
        <v>49870.724847666264</v>
      </c>
      <c r="E417" s="152">
        <v>75839.88999999997</v>
      </c>
      <c r="F417" s="30">
        <f>[2]!Table323[[#This Row],[Single Family]]+[2]!Table323[[#This Row],[2-4 Units]]+[2]!Table323[[#This Row],[&gt;4 Units]]</f>
        <v>31</v>
      </c>
      <c r="G417" s="30">
        <v>30</v>
      </c>
      <c r="H417" s="30">
        <v>1</v>
      </c>
      <c r="I417" s="30">
        <v>0</v>
      </c>
      <c r="J417" s="157">
        <v>31763.189999999995</v>
      </c>
      <c r="K417" s="30">
        <f>SUM([2]!Table323[[#This Row],[Single Family ]:[&gt;4 Units ]])</f>
        <v>28</v>
      </c>
      <c r="L417" s="212">
        <v>27</v>
      </c>
      <c r="M417" s="212">
        <v>1</v>
      </c>
      <c r="N417" s="212">
        <v>0</v>
      </c>
      <c r="O417" s="156">
        <v>44076.700000000012</v>
      </c>
      <c r="P417" s="100">
        <f>VLOOKUP(Table3236[[#This Row],[Census Tract]],'Population and Diversity Data'!$B$2:$K$823,10,FALSE)</f>
        <v>4</v>
      </c>
      <c r="Q417" s="101" t="str">
        <f>VLOOKUP(Table3236[[#This Row],[Census Tract]],'UI EnergyBurden'!$A$2:$B$184,2,FALSE)</f>
        <v>No</v>
      </c>
    </row>
    <row r="418" spans="1:17" x14ac:dyDescent="0.2">
      <c r="A418" s="30">
        <v>9009165700</v>
      </c>
      <c r="B418" s="30" t="s">
        <v>943</v>
      </c>
      <c r="C418" s="128" t="s">
        <v>3886</v>
      </c>
      <c r="D418" s="152">
        <v>0</v>
      </c>
      <c r="E418" s="152">
        <v>0</v>
      </c>
      <c r="F418" s="30">
        <f>[2]!Table323[[#This Row],[Single Family]]+[2]!Table323[[#This Row],[2-4 Units]]+[2]!Table323[[#This Row],[&gt;4 Units]]</f>
        <v>0</v>
      </c>
      <c r="G418" s="30"/>
      <c r="H418" s="30"/>
      <c r="I418" s="30"/>
      <c r="J418" s="157">
        <v>0</v>
      </c>
      <c r="K418" s="30">
        <f>SUM([2]!Table323[[#This Row],[Single Family ]:[&gt;4 Units ]])</f>
        <v>0</v>
      </c>
      <c r="L418" s="212"/>
      <c r="M418" s="212"/>
      <c r="N418" s="212"/>
      <c r="O418" s="156"/>
      <c r="P418" s="102">
        <f>VLOOKUP(Table3236[[#This Row],[Census Tract]],'Population and Diversity Data'!$B$2:$K$823,10,FALSE)</f>
        <v>4</v>
      </c>
      <c r="Q418" s="103" t="str">
        <f>VLOOKUP(Table3236[[#This Row],[Census Tract]],'UI EnergyBurden'!$A$2:$B$184,2,FALSE)</f>
        <v>No</v>
      </c>
    </row>
    <row r="419" spans="1:17" x14ac:dyDescent="0.2">
      <c r="A419" s="128">
        <v>9009165700</v>
      </c>
      <c r="B419" s="213" t="s">
        <v>953</v>
      </c>
      <c r="C419" s="128" t="s">
        <v>3886</v>
      </c>
      <c r="D419" s="152">
        <v>0</v>
      </c>
      <c r="E419" s="152">
        <v>0</v>
      </c>
      <c r="F419" s="214">
        <f>[2]!Table323[[#This Row],[Single Family]]+[2]!Table323[[#This Row],[2-4 Units]]+[2]!Table323[[#This Row],[&gt;4 Units]]</f>
        <v>0</v>
      </c>
      <c r="G419" s="214"/>
      <c r="H419" s="214"/>
      <c r="I419" s="214"/>
      <c r="J419" s="215">
        <v>0</v>
      </c>
      <c r="K419" s="214">
        <f>SUM([2]!Table323[[#This Row],[Single Family ]:[&gt;4 Units ]])</f>
        <v>0</v>
      </c>
      <c r="L419" s="216"/>
      <c r="M419" s="216"/>
      <c r="N419" s="216"/>
      <c r="O419" s="156">
        <v>0</v>
      </c>
      <c r="P419" s="212">
        <f>VLOOKUP(Table3236[[#This Row],[Census Tract]],'Population and Diversity Data'!$B$2:$K$823,10,FALSE)</f>
        <v>4</v>
      </c>
      <c r="Q419" s="217" t="str">
        <f>VLOOKUP(Table3236[[#This Row],[Census Tract]],'UI EnergyBurden'!$A$2:$B$184,2,FALSE)</f>
        <v>No</v>
      </c>
    </row>
    <row r="420" spans="1:17" x14ac:dyDescent="0.2">
      <c r="A420" s="128">
        <v>9009165801</v>
      </c>
      <c r="B420" s="213" t="s">
        <v>953</v>
      </c>
      <c r="C420" s="128" t="s">
        <v>3886</v>
      </c>
      <c r="D420" s="152">
        <v>66286.103247902545</v>
      </c>
      <c r="E420" s="152">
        <v>32944.449999999997</v>
      </c>
      <c r="F420" s="214">
        <f>[2]!Table323[[#This Row],[Single Family]]+[2]!Table323[[#This Row],[2-4 Units]]+[2]!Table323[[#This Row],[&gt;4 Units]]</f>
        <v>15</v>
      </c>
      <c r="G420" s="214">
        <v>15</v>
      </c>
      <c r="H420" s="214">
        <v>0</v>
      </c>
      <c r="I420" s="214">
        <v>0</v>
      </c>
      <c r="J420" s="215">
        <v>12856.890000000001</v>
      </c>
      <c r="K420" s="214">
        <f>SUM([2]!Table323[[#This Row],[Single Family ]:[&gt;4 Units ]])</f>
        <v>7</v>
      </c>
      <c r="L420" s="216">
        <v>7</v>
      </c>
      <c r="M420" s="216">
        <v>0</v>
      </c>
      <c r="N420" s="216">
        <v>0</v>
      </c>
      <c r="O420" s="156">
        <v>20087.560000000001</v>
      </c>
      <c r="P420" s="212">
        <f>VLOOKUP(Table3236[[#This Row],[Census Tract]],'Population and Diversity Data'!$B$2:$K$823,10,FALSE)</f>
        <v>4</v>
      </c>
      <c r="Q420" s="217" t="str">
        <f>VLOOKUP(Table3236[[#This Row],[Census Tract]],'UI EnergyBurden'!$A$2:$B$184,2,FALSE)</f>
        <v>No</v>
      </c>
    </row>
    <row r="421" spans="1:17" x14ac:dyDescent="0.2">
      <c r="A421" s="128">
        <v>9009165801</v>
      </c>
      <c r="B421" s="213" t="s">
        <v>953</v>
      </c>
      <c r="C421" s="128" t="s">
        <v>3886</v>
      </c>
      <c r="D421" s="152">
        <v>4668.8410818876673</v>
      </c>
      <c r="E421" s="152">
        <v>0</v>
      </c>
      <c r="F421" s="214">
        <f>[2]!Table323[[#This Row],[Single Family]]+[2]!Table323[[#This Row],[2-4 Units]]+[2]!Table323[[#This Row],[&gt;4 Units]]</f>
        <v>0</v>
      </c>
      <c r="G421" s="214"/>
      <c r="H421" s="214"/>
      <c r="I421" s="214"/>
      <c r="J421" s="215">
        <v>0</v>
      </c>
      <c r="K421" s="214">
        <f>SUM([2]!Table323[[#This Row],[Single Family ]:[&gt;4 Units ]])</f>
        <v>0</v>
      </c>
      <c r="L421" s="216"/>
      <c r="M421" s="216"/>
      <c r="N421" s="216"/>
      <c r="O421" s="156">
        <v>0</v>
      </c>
      <c r="P421" s="212">
        <f>VLOOKUP(Table3236[[#This Row],[Census Tract]],'Population and Diversity Data'!$B$2:$K$823,10,FALSE)</f>
        <v>4</v>
      </c>
      <c r="Q421" s="217" t="str">
        <f>VLOOKUP(Table3236[[#This Row],[Census Tract]],'UI EnergyBurden'!$A$2:$B$184,2,FALSE)</f>
        <v>No</v>
      </c>
    </row>
    <row r="422" spans="1:17" x14ac:dyDescent="0.2">
      <c r="A422" s="128">
        <v>9009165802</v>
      </c>
      <c r="B422" s="213" t="s">
        <v>953</v>
      </c>
      <c r="C422" s="128" t="s">
        <v>3886</v>
      </c>
      <c r="D422" s="152">
        <v>60705.84787875654</v>
      </c>
      <c r="E422" s="152">
        <v>90666.53</v>
      </c>
      <c r="F422" s="214">
        <f>[2]!Table323[[#This Row],[Single Family]]+[2]!Table323[[#This Row],[2-4 Units]]+[2]!Table323[[#This Row],[&gt;4 Units]]</f>
        <v>36</v>
      </c>
      <c r="G422" s="214">
        <v>36</v>
      </c>
      <c r="H422" s="214">
        <v>0</v>
      </c>
      <c r="I422" s="214">
        <v>0</v>
      </c>
      <c r="J422" s="215">
        <v>67107.78</v>
      </c>
      <c r="K422" s="214">
        <f>SUM([2]!Table323[[#This Row],[Single Family ]:[&gt;4 Units ]])</f>
        <v>6</v>
      </c>
      <c r="L422" s="216">
        <v>6</v>
      </c>
      <c r="M422" s="216">
        <v>0</v>
      </c>
      <c r="N422" s="216">
        <v>0</v>
      </c>
      <c r="O422" s="156">
        <v>23558.75</v>
      </c>
      <c r="P422" s="212">
        <f>VLOOKUP(Table3236[[#This Row],[Census Tract]],'Population and Diversity Data'!$B$2:$K$823,10,FALSE)</f>
        <v>3</v>
      </c>
      <c r="Q422" s="217" t="str">
        <f>VLOOKUP(Table3236[[#This Row],[Census Tract]],'UI EnergyBurden'!$A$2:$B$184,2,FALSE)</f>
        <v>No</v>
      </c>
    </row>
    <row r="423" spans="1:17" x14ac:dyDescent="0.2">
      <c r="A423" s="128">
        <v>9009165802</v>
      </c>
      <c r="B423" s="213" t="s">
        <v>943</v>
      </c>
      <c r="C423" s="128" t="s">
        <v>3886</v>
      </c>
      <c r="D423" s="152">
        <v>0</v>
      </c>
      <c r="E423" s="152">
        <v>0</v>
      </c>
      <c r="F423" s="214">
        <f>[2]!Table323[[#This Row],[Single Family]]+[2]!Table323[[#This Row],[2-4 Units]]+[2]!Table323[[#This Row],[&gt;4 Units]]</f>
        <v>0</v>
      </c>
      <c r="G423" s="214"/>
      <c r="H423" s="214"/>
      <c r="I423" s="214"/>
      <c r="J423" s="215">
        <v>0</v>
      </c>
      <c r="K423" s="214">
        <f>SUM([2]!Table323[[#This Row],[Single Family ]:[&gt;4 Units ]])</f>
        <v>0</v>
      </c>
      <c r="L423" s="216"/>
      <c r="M423" s="216"/>
      <c r="N423" s="216"/>
      <c r="O423" s="156"/>
      <c r="P423" s="212">
        <f>VLOOKUP(Table3236[[#This Row],[Census Tract]],'Population and Diversity Data'!$B$2:$K$823,10,FALSE)</f>
        <v>3</v>
      </c>
      <c r="Q423" s="217" t="str">
        <f>VLOOKUP(Table3236[[#This Row],[Census Tract]],'UI EnergyBurden'!$A$2:$B$184,2,FALSE)</f>
        <v>No</v>
      </c>
    </row>
    <row r="424" spans="1:17" x14ac:dyDescent="0.2">
      <c r="A424" s="128">
        <v>9009165802</v>
      </c>
      <c r="B424" s="213" t="s">
        <v>953</v>
      </c>
      <c r="C424" s="128" t="s">
        <v>3886</v>
      </c>
      <c r="D424" s="152">
        <v>0</v>
      </c>
      <c r="E424" s="152">
        <v>0</v>
      </c>
      <c r="F424" s="214">
        <f>[2]!Table323[[#This Row],[Single Family]]+[2]!Table323[[#This Row],[2-4 Units]]+[2]!Table323[[#This Row],[&gt;4 Units]]</f>
        <v>0</v>
      </c>
      <c r="G424" s="214"/>
      <c r="H424" s="214"/>
      <c r="I424" s="214"/>
      <c r="J424" s="215">
        <v>0</v>
      </c>
      <c r="K424" s="214">
        <f>SUM([2]!Table323[[#This Row],[Single Family ]:[&gt;4 Units ]])</f>
        <v>0</v>
      </c>
      <c r="L424" s="216"/>
      <c r="M424" s="216"/>
      <c r="N424" s="216"/>
      <c r="O424" s="156">
        <v>0</v>
      </c>
      <c r="P424" s="212">
        <f>VLOOKUP(Table3236[[#This Row],[Census Tract]],'Population and Diversity Data'!$B$2:$K$823,10,FALSE)</f>
        <v>3</v>
      </c>
      <c r="Q424" s="217" t="str">
        <f>VLOOKUP(Table3236[[#This Row],[Census Tract]],'UI EnergyBurden'!$A$2:$B$184,2,FALSE)</f>
        <v>No</v>
      </c>
    </row>
    <row r="425" spans="1:17" x14ac:dyDescent="0.2">
      <c r="A425" s="128">
        <v>9009165900</v>
      </c>
      <c r="B425" s="213" t="s">
        <v>953</v>
      </c>
      <c r="C425" s="128" t="s">
        <v>3886</v>
      </c>
      <c r="D425" s="152">
        <v>123095.4424508535</v>
      </c>
      <c r="E425" s="152">
        <v>161429.39999999997</v>
      </c>
      <c r="F425" s="214">
        <f>[2]!Table323[[#This Row],[Single Family]]+[2]!Table323[[#This Row],[2-4 Units]]+[2]!Table323[[#This Row],[&gt;4 Units]]</f>
        <v>62</v>
      </c>
      <c r="G425" s="214">
        <v>62</v>
      </c>
      <c r="H425" s="214">
        <v>0</v>
      </c>
      <c r="I425" s="214">
        <v>0</v>
      </c>
      <c r="J425" s="215">
        <v>134676.33000000005</v>
      </c>
      <c r="K425" s="214">
        <f>SUM([2]!Table323[[#This Row],[Single Family ]:[&gt;4 Units ]])</f>
        <v>7</v>
      </c>
      <c r="L425" s="216">
        <v>7</v>
      </c>
      <c r="M425" s="216">
        <v>0</v>
      </c>
      <c r="N425" s="216">
        <v>0</v>
      </c>
      <c r="O425" s="156">
        <v>26753.070000000003</v>
      </c>
      <c r="P425" s="212">
        <f>VLOOKUP(Table3236[[#This Row],[Census Tract]],'Population and Diversity Data'!$B$2:$K$823,10,FALSE)</f>
        <v>3</v>
      </c>
      <c r="Q425" s="217" t="str">
        <f>VLOOKUP(Table3236[[#This Row],[Census Tract]],'UI EnergyBurden'!$A$2:$B$184,2,FALSE)</f>
        <v>No</v>
      </c>
    </row>
    <row r="426" spans="1:17" x14ac:dyDescent="0.2">
      <c r="A426" s="128">
        <v>9009165900</v>
      </c>
      <c r="B426" s="213" t="s">
        <v>953</v>
      </c>
      <c r="C426" s="128" t="s">
        <v>3886</v>
      </c>
      <c r="D426" s="152">
        <v>0</v>
      </c>
      <c r="E426" s="152">
        <v>0</v>
      </c>
      <c r="F426" s="214">
        <f>[2]!Table323[[#This Row],[Single Family]]+[2]!Table323[[#This Row],[2-4 Units]]+[2]!Table323[[#This Row],[&gt;4 Units]]</f>
        <v>0</v>
      </c>
      <c r="G426" s="214"/>
      <c r="H426" s="214"/>
      <c r="I426" s="214"/>
      <c r="J426" s="215">
        <v>0</v>
      </c>
      <c r="K426" s="214">
        <f>SUM([2]!Table323[[#This Row],[Single Family ]:[&gt;4 Units ]])</f>
        <v>0</v>
      </c>
      <c r="L426" s="216"/>
      <c r="M426" s="216"/>
      <c r="N426" s="216"/>
      <c r="O426" s="156">
        <v>0</v>
      </c>
      <c r="P426" s="212">
        <f>VLOOKUP(Table3236[[#This Row],[Census Tract]],'Population and Diversity Data'!$B$2:$K$823,10,FALSE)</f>
        <v>3</v>
      </c>
      <c r="Q426" s="217" t="str">
        <f>VLOOKUP(Table3236[[#This Row],[Census Tract]],'UI EnergyBurden'!$A$2:$B$184,2,FALSE)</f>
        <v>No</v>
      </c>
    </row>
    <row r="427" spans="1:17" x14ac:dyDescent="0.2">
      <c r="A427" s="128">
        <v>9009166001</v>
      </c>
      <c r="B427" s="213" t="s">
        <v>953</v>
      </c>
      <c r="C427" s="128" t="s">
        <v>3886</v>
      </c>
      <c r="D427" s="152">
        <v>84040.002791769075</v>
      </c>
      <c r="E427" s="152">
        <v>167042.68000000002</v>
      </c>
      <c r="F427" s="214">
        <f>[2]!Table323[[#This Row],[Single Family]]+[2]!Table323[[#This Row],[2-4 Units]]+[2]!Table323[[#This Row],[&gt;4 Units]]</f>
        <v>33</v>
      </c>
      <c r="G427" s="214">
        <v>32</v>
      </c>
      <c r="H427" s="214">
        <v>0</v>
      </c>
      <c r="I427" s="214">
        <v>1</v>
      </c>
      <c r="J427" s="215">
        <v>137488.84000000003</v>
      </c>
      <c r="K427" s="214">
        <f>SUM([2]!Table323[[#This Row],[Single Family ]:[&gt;4 Units ]])</f>
        <v>9</v>
      </c>
      <c r="L427" s="216">
        <v>6</v>
      </c>
      <c r="M427" s="216">
        <v>3</v>
      </c>
      <c r="N427" s="216">
        <v>0</v>
      </c>
      <c r="O427" s="156">
        <v>29553.84</v>
      </c>
      <c r="P427" s="212">
        <f>VLOOKUP(Table3236[[#This Row],[Census Tract]],'Population and Diversity Data'!$B$2:$K$823,10,FALSE)</f>
        <v>4</v>
      </c>
      <c r="Q427" s="217" t="str">
        <f>VLOOKUP(Table3236[[#This Row],[Census Tract]],'UI EnergyBurden'!$A$2:$B$184,2,FALSE)</f>
        <v>No</v>
      </c>
    </row>
    <row r="428" spans="1:17" x14ac:dyDescent="0.2">
      <c r="A428" s="128">
        <v>9009166001</v>
      </c>
      <c r="B428" s="213" t="s">
        <v>953</v>
      </c>
      <c r="C428" s="128" t="s">
        <v>3886</v>
      </c>
      <c r="D428" s="152">
        <v>0</v>
      </c>
      <c r="E428" s="152">
        <v>0</v>
      </c>
      <c r="F428" s="214">
        <f>[2]!Table323[[#This Row],[Single Family]]+[2]!Table323[[#This Row],[2-4 Units]]+[2]!Table323[[#This Row],[&gt;4 Units]]</f>
        <v>0</v>
      </c>
      <c r="G428" s="214"/>
      <c r="H428" s="214"/>
      <c r="I428" s="214"/>
      <c r="J428" s="215">
        <v>0</v>
      </c>
      <c r="K428" s="214">
        <f>SUM([2]!Table323[[#This Row],[Single Family ]:[&gt;4 Units ]])</f>
        <v>0</v>
      </c>
      <c r="L428" s="216"/>
      <c r="M428" s="216"/>
      <c r="N428" s="216"/>
      <c r="O428" s="156">
        <v>0</v>
      </c>
      <c r="P428" s="212">
        <f>VLOOKUP(Table3236[[#This Row],[Census Tract]],'Population and Diversity Data'!$B$2:$K$823,10,FALSE)</f>
        <v>4</v>
      </c>
      <c r="Q428" s="217" t="str">
        <f>VLOOKUP(Table3236[[#This Row],[Census Tract]],'UI EnergyBurden'!$A$2:$B$184,2,FALSE)</f>
        <v>No</v>
      </c>
    </row>
    <row r="429" spans="1:17" x14ac:dyDescent="0.2">
      <c r="A429" s="128">
        <v>9009166002</v>
      </c>
      <c r="B429" s="213" t="s">
        <v>953</v>
      </c>
      <c r="C429" s="128" t="s">
        <v>3886</v>
      </c>
      <c r="D429" s="152">
        <v>75960.146949840695</v>
      </c>
      <c r="E429" s="152">
        <v>59340.130000000005</v>
      </c>
      <c r="F429" s="214">
        <f>[2]!Table323[[#This Row],[Single Family]]+[2]!Table323[[#This Row],[2-4 Units]]+[2]!Table323[[#This Row],[&gt;4 Units]]</f>
        <v>35</v>
      </c>
      <c r="G429" s="214">
        <v>35</v>
      </c>
      <c r="H429" s="214">
        <v>0</v>
      </c>
      <c r="I429" s="214">
        <v>0</v>
      </c>
      <c r="J429" s="215">
        <v>41290.760000000009</v>
      </c>
      <c r="K429" s="214">
        <f>SUM([2]!Table323[[#This Row],[Single Family ]:[&gt;4 Units ]])</f>
        <v>5</v>
      </c>
      <c r="L429" s="216">
        <v>5</v>
      </c>
      <c r="M429" s="216">
        <v>0</v>
      </c>
      <c r="N429" s="216">
        <v>0</v>
      </c>
      <c r="O429" s="156">
        <v>18049.37</v>
      </c>
      <c r="P429" s="212">
        <f>VLOOKUP(Table3236[[#This Row],[Census Tract]],'Population and Diversity Data'!$B$2:$K$823,10,FALSE)</f>
        <v>3</v>
      </c>
      <c r="Q429" s="217" t="str">
        <f>VLOOKUP(Table3236[[#This Row],[Census Tract]],'UI EnergyBurden'!$A$2:$B$184,2,FALSE)</f>
        <v>No</v>
      </c>
    </row>
    <row r="430" spans="1:17" x14ac:dyDescent="0.2">
      <c r="A430" s="128">
        <v>9009166002</v>
      </c>
      <c r="B430" s="213" t="s">
        <v>943</v>
      </c>
      <c r="C430" s="128" t="s">
        <v>3886</v>
      </c>
      <c r="D430" s="152">
        <v>0</v>
      </c>
      <c r="E430" s="152">
        <v>0</v>
      </c>
      <c r="F430" s="214">
        <f>[2]!Table323[[#This Row],[Single Family]]+[2]!Table323[[#This Row],[2-4 Units]]+[2]!Table323[[#This Row],[&gt;4 Units]]</f>
        <v>0</v>
      </c>
      <c r="G430" s="214"/>
      <c r="H430" s="214"/>
      <c r="I430" s="214"/>
      <c r="J430" s="215">
        <v>0</v>
      </c>
      <c r="K430" s="214">
        <f>SUM([2]!Table323[[#This Row],[Single Family ]:[&gt;4 Units ]])</f>
        <v>0</v>
      </c>
      <c r="L430" s="216"/>
      <c r="M430" s="216"/>
      <c r="N430" s="216"/>
      <c r="O430" s="156"/>
      <c r="P430" s="212">
        <f>VLOOKUP(Table3236[[#This Row],[Census Tract]],'Population and Diversity Data'!$B$2:$K$823,10,FALSE)</f>
        <v>3</v>
      </c>
      <c r="Q430" s="217" t="str">
        <f>VLOOKUP(Table3236[[#This Row],[Census Tract]],'UI EnergyBurden'!$A$2:$B$184,2,FALSE)</f>
        <v>No</v>
      </c>
    </row>
    <row r="431" spans="1:17" x14ac:dyDescent="0.2">
      <c r="A431" s="128">
        <v>9009166002</v>
      </c>
      <c r="B431" s="213" t="s">
        <v>3004</v>
      </c>
      <c r="C431" s="128" t="s">
        <v>3886</v>
      </c>
      <c r="D431" s="152">
        <v>208.1703878407958</v>
      </c>
      <c r="E431" s="152">
        <v>0</v>
      </c>
      <c r="F431" s="214">
        <f>[2]!Table323[[#This Row],[Single Family]]+[2]!Table323[[#This Row],[2-4 Units]]+[2]!Table323[[#This Row],[&gt;4 Units]]</f>
        <v>0</v>
      </c>
      <c r="G431" s="214"/>
      <c r="H431" s="214"/>
      <c r="I431" s="214"/>
      <c r="J431" s="215">
        <v>0</v>
      </c>
      <c r="K431" s="214">
        <f>SUM([2]!Table323[[#This Row],[Single Family ]:[&gt;4 Units ]])</f>
        <v>0</v>
      </c>
      <c r="L431" s="216"/>
      <c r="M431" s="216"/>
      <c r="N431" s="216"/>
      <c r="O431" s="156"/>
      <c r="P431" s="212">
        <f>VLOOKUP(Table3236[[#This Row],[Census Tract]],'Population and Diversity Data'!$B$2:$K$823,10,FALSE)</f>
        <v>3</v>
      </c>
      <c r="Q431" s="217" t="str">
        <f>VLOOKUP(Table3236[[#This Row],[Census Tract]],'UI EnergyBurden'!$A$2:$B$184,2,FALSE)</f>
        <v>No</v>
      </c>
    </row>
    <row r="432" spans="1:17" x14ac:dyDescent="0.2">
      <c r="A432" s="128">
        <v>9009166002</v>
      </c>
      <c r="B432" s="213" t="s">
        <v>953</v>
      </c>
      <c r="C432" s="128" t="s">
        <v>3886</v>
      </c>
      <c r="D432" s="152">
        <v>0</v>
      </c>
      <c r="E432" s="152">
        <v>0</v>
      </c>
      <c r="F432" s="214">
        <f>[2]!Table323[[#This Row],[Single Family]]+[2]!Table323[[#This Row],[2-4 Units]]+[2]!Table323[[#This Row],[&gt;4 Units]]</f>
        <v>0</v>
      </c>
      <c r="G432" s="214"/>
      <c r="H432" s="214"/>
      <c r="I432" s="214"/>
      <c r="J432" s="215">
        <v>0</v>
      </c>
      <c r="K432" s="214">
        <f>SUM([2]!Table323[[#This Row],[Single Family ]:[&gt;4 Units ]])</f>
        <v>0</v>
      </c>
      <c r="L432" s="216"/>
      <c r="M432" s="216"/>
      <c r="N432" s="216"/>
      <c r="O432" s="156">
        <v>0</v>
      </c>
      <c r="P432" s="212">
        <f>VLOOKUP(Table3236[[#This Row],[Census Tract]],'Population and Diversity Data'!$B$2:$K$823,10,FALSE)</f>
        <v>3</v>
      </c>
      <c r="Q432" s="217" t="str">
        <f>VLOOKUP(Table3236[[#This Row],[Census Tract]],'UI EnergyBurden'!$A$2:$B$184,2,FALSE)</f>
        <v>No</v>
      </c>
    </row>
    <row r="433" spans="1:17" x14ac:dyDescent="0.2">
      <c r="A433" s="128">
        <v>9009167100</v>
      </c>
      <c r="B433" s="213" t="s">
        <v>953</v>
      </c>
      <c r="C433" s="128" t="s">
        <v>3886</v>
      </c>
      <c r="D433" s="152">
        <v>604.73333775871026</v>
      </c>
      <c r="E433" s="152">
        <v>0</v>
      </c>
      <c r="F433" s="214">
        <f>[2]!Table323[[#This Row],[Single Family]]+[2]!Table323[[#This Row],[2-4 Units]]+[2]!Table323[[#This Row],[&gt;4 Units]]</f>
        <v>0</v>
      </c>
      <c r="G433" s="214"/>
      <c r="H433" s="214"/>
      <c r="I433" s="214"/>
      <c r="J433" s="215">
        <v>0</v>
      </c>
      <c r="K433" s="214">
        <f>SUM([2]!Table323[[#This Row],[Single Family ]:[&gt;4 Units ]])</f>
        <v>0</v>
      </c>
      <c r="L433" s="216"/>
      <c r="M433" s="216"/>
      <c r="N433" s="216"/>
      <c r="O433" s="156"/>
      <c r="P433" s="212">
        <f>VLOOKUP(Table3236[[#This Row],[Census Tract]],'Population and Diversity Data'!$B$2:$K$823,10,FALSE)</f>
        <v>3</v>
      </c>
      <c r="Q433" s="217" t="str">
        <f>VLOOKUP(Table3236[[#This Row],[Census Tract]],'UI EnergyBurden'!$A$2:$B$184,2,FALSE)</f>
        <v>No</v>
      </c>
    </row>
    <row r="434" spans="1:17" x14ac:dyDescent="0.2">
      <c r="A434" s="128">
        <v>9009167100</v>
      </c>
      <c r="B434" s="213" t="s">
        <v>3004</v>
      </c>
      <c r="C434" s="128" t="s">
        <v>3886</v>
      </c>
      <c r="D434" s="152">
        <v>151146.96890897214</v>
      </c>
      <c r="E434" s="152">
        <v>201002.22000000006</v>
      </c>
      <c r="F434" s="214">
        <f>[2]!Table323[[#This Row],[Single Family]]+[2]!Table323[[#This Row],[2-4 Units]]+[2]!Table323[[#This Row],[&gt;4 Units]]</f>
        <v>150</v>
      </c>
      <c r="G434" s="214">
        <v>150</v>
      </c>
      <c r="H434" s="214">
        <v>0</v>
      </c>
      <c r="I434" s="214">
        <v>0</v>
      </c>
      <c r="J434" s="215">
        <v>172784.18000000005</v>
      </c>
      <c r="K434" s="214">
        <f>SUM([2]!Table323[[#This Row],[Single Family ]:[&gt;4 Units ]])</f>
        <v>11</v>
      </c>
      <c r="L434" s="216">
        <v>11</v>
      </c>
      <c r="M434" s="216">
        <v>0</v>
      </c>
      <c r="N434" s="216">
        <v>0</v>
      </c>
      <c r="O434" s="156">
        <v>28218.04</v>
      </c>
      <c r="P434" s="212">
        <f>VLOOKUP(Table3236[[#This Row],[Census Tract]],'Population and Diversity Data'!$B$2:$K$823,10,FALSE)</f>
        <v>3</v>
      </c>
      <c r="Q434" s="217" t="str">
        <f>VLOOKUP(Table3236[[#This Row],[Census Tract]],'UI EnergyBurden'!$A$2:$B$184,2,FALSE)</f>
        <v>No</v>
      </c>
    </row>
    <row r="435" spans="1:17" x14ac:dyDescent="0.2">
      <c r="A435" s="128">
        <v>9009167100</v>
      </c>
      <c r="B435" s="213" t="s">
        <v>3004</v>
      </c>
      <c r="C435" s="128" t="s">
        <v>3886</v>
      </c>
      <c r="D435" s="152">
        <v>0</v>
      </c>
      <c r="E435" s="152">
        <v>0</v>
      </c>
      <c r="F435" s="214">
        <f>[2]!Table323[[#This Row],[Single Family]]+[2]!Table323[[#This Row],[2-4 Units]]+[2]!Table323[[#This Row],[&gt;4 Units]]</f>
        <v>0</v>
      </c>
      <c r="G435" s="214"/>
      <c r="H435" s="214"/>
      <c r="I435" s="214"/>
      <c r="J435" s="215">
        <v>0</v>
      </c>
      <c r="K435" s="214">
        <f>SUM([2]!Table323[[#This Row],[Single Family ]:[&gt;4 Units ]])</f>
        <v>0</v>
      </c>
      <c r="L435" s="216"/>
      <c r="M435" s="216"/>
      <c r="N435" s="216"/>
      <c r="O435" s="156">
        <v>0</v>
      </c>
      <c r="P435" s="212">
        <f>VLOOKUP(Table3236[[#This Row],[Census Tract]],'Population and Diversity Data'!$B$2:$K$823,10,FALSE)</f>
        <v>3</v>
      </c>
      <c r="Q435" s="217" t="str">
        <f>VLOOKUP(Table3236[[#This Row],[Census Tract]],'UI EnergyBurden'!$A$2:$B$184,2,FALSE)</f>
        <v>No</v>
      </c>
    </row>
    <row r="436" spans="1:17" x14ac:dyDescent="0.2">
      <c r="A436" s="128">
        <v>9009167201</v>
      </c>
      <c r="B436" s="213" t="s">
        <v>3880</v>
      </c>
      <c r="C436" s="128" t="s">
        <v>3886</v>
      </c>
      <c r="D436" s="152">
        <v>0</v>
      </c>
      <c r="E436" s="152">
        <v>0</v>
      </c>
      <c r="F436" s="214">
        <f>[2]!Table323[[#This Row],[Single Family]]+[2]!Table323[[#This Row],[2-4 Units]]+[2]!Table323[[#This Row],[&gt;4 Units]]</f>
        <v>0</v>
      </c>
      <c r="G436" s="214"/>
      <c r="H436" s="214"/>
      <c r="I436" s="214"/>
      <c r="J436" s="215">
        <v>0</v>
      </c>
      <c r="K436" s="214">
        <f>SUM([2]!Table323[[#This Row],[Single Family ]:[&gt;4 Units ]])</f>
        <v>0</v>
      </c>
      <c r="L436" s="216"/>
      <c r="M436" s="216"/>
      <c r="N436" s="216"/>
      <c r="O436" s="156"/>
      <c r="P436" s="212">
        <f>VLOOKUP(Table3236[[#This Row],[Census Tract]],'Population and Diversity Data'!$B$2:$K$823,10,FALSE)</f>
        <v>2</v>
      </c>
      <c r="Q436" s="217" t="str">
        <f>VLOOKUP(Table3236[[#This Row],[Census Tract]],'UI EnergyBurden'!$A$2:$B$184,2,FALSE)</f>
        <v>No</v>
      </c>
    </row>
    <row r="437" spans="1:17" x14ac:dyDescent="0.2">
      <c r="A437" s="128">
        <v>9009167201</v>
      </c>
      <c r="B437" s="213" t="s">
        <v>943</v>
      </c>
      <c r="C437" s="128" t="s">
        <v>3886</v>
      </c>
      <c r="D437" s="152">
        <v>0</v>
      </c>
      <c r="E437" s="152">
        <v>0</v>
      </c>
      <c r="F437" s="214">
        <f>[2]!Table323[[#This Row],[Single Family]]+[2]!Table323[[#This Row],[2-4 Units]]+[2]!Table323[[#This Row],[&gt;4 Units]]</f>
        <v>0</v>
      </c>
      <c r="G437" s="214"/>
      <c r="H437" s="214"/>
      <c r="I437" s="214"/>
      <c r="J437" s="215">
        <v>0</v>
      </c>
      <c r="K437" s="214">
        <f>SUM([2]!Table323[[#This Row],[Single Family ]:[&gt;4 Units ]])</f>
        <v>0</v>
      </c>
      <c r="L437" s="216"/>
      <c r="M437" s="216"/>
      <c r="N437" s="216"/>
      <c r="O437" s="156">
        <v>0</v>
      </c>
      <c r="P437" s="212">
        <f>VLOOKUP(Table3236[[#This Row],[Census Tract]],'Population and Diversity Data'!$B$2:$K$823,10,FALSE)</f>
        <v>2</v>
      </c>
      <c r="Q437" s="217" t="str">
        <f>VLOOKUP(Table3236[[#This Row],[Census Tract]],'UI EnergyBurden'!$A$2:$B$184,2,FALSE)</f>
        <v>No</v>
      </c>
    </row>
    <row r="438" spans="1:17" x14ac:dyDescent="0.2">
      <c r="A438" s="128">
        <v>9009167201</v>
      </c>
      <c r="B438" s="213" t="s">
        <v>3004</v>
      </c>
      <c r="C438" s="128" t="s">
        <v>3886</v>
      </c>
      <c r="D438" s="152">
        <v>68649.410309808634</v>
      </c>
      <c r="E438" s="152">
        <v>147846.5</v>
      </c>
      <c r="F438" s="214">
        <f>[2]!Table323[[#This Row],[Single Family]]+[2]!Table323[[#This Row],[2-4 Units]]+[2]!Table323[[#This Row],[&gt;4 Units]]</f>
        <v>80</v>
      </c>
      <c r="G438" s="214">
        <v>80</v>
      </c>
      <c r="H438" s="214">
        <v>0</v>
      </c>
      <c r="I438" s="214">
        <v>0</v>
      </c>
      <c r="J438" s="215">
        <v>98471.809999999954</v>
      </c>
      <c r="K438" s="214">
        <f>SUM([2]!Table323[[#This Row],[Single Family ]:[&gt;4 Units ]])</f>
        <v>3</v>
      </c>
      <c r="L438" s="216">
        <v>3</v>
      </c>
      <c r="M438" s="216">
        <v>0</v>
      </c>
      <c r="N438" s="216">
        <v>0</v>
      </c>
      <c r="O438" s="156">
        <v>49374.69</v>
      </c>
      <c r="P438" s="212">
        <f>VLOOKUP(Table3236[[#This Row],[Census Tract]],'Population and Diversity Data'!$B$2:$K$823,10,FALSE)</f>
        <v>2</v>
      </c>
      <c r="Q438" s="217" t="str">
        <f>VLOOKUP(Table3236[[#This Row],[Census Tract]],'UI EnergyBurden'!$A$2:$B$184,2,FALSE)</f>
        <v>No</v>
      </c>
    </row>
    <row r="439" spans="1:17" x14ac:dyDescent="0.2">
      <c r="A439" s="128">
        <v>9009167201</v>
      </c>
      <c r="B439" s="213" t="s">
        <v>950</v>
      </c>
      <c r="C439" s="128" t="s">
        <v>3886</v>
      </c>
      <c r="D439" s="152">
        <v>511.52271633745835</v>
      </c>
      <c r="E439" s="152">
        <v>0</v>
      </c>
      <c r="F439" s="214">
        <f>[2]!Table323[[#This Row],[Single Family]]+[2]!Table323[[#This Row],[2-4 Units]]+[2]!Table323[[#This Row],[&gt;4 Units]]</f>
        <v>0</v>
      </c>
      <c r="G439" s="214"/>
      <c r="H439" s="214"/>
      <c r="I439" s="214"/>
      <c r="J439" s="215">
        <v>0</v>
      </c>
      <c r="K439" s="214">
        <f>SUM([2]!Table323[[#This Row],[Single Family ]:[&gt;4 Units ]])</f>
        <v>0</v>
      </c>
      <c r="L439" s="216"/>
      <c r="M439" s="216"/>
      <c r="N439" s="216"/>
      <c r="O439" s="156">
        <v>0</v>
      </c>
      <c r="P439" s="212">
        <f>VLOOKUP(Table3236[[#This Row],[Census Tract]],'Population and Diversity Data'!$B$2:$K$823,10,FALSE)</f>
        <v>2</v>
      </c>
      <c r="Q439" s="217" t="str">
        <f>VLOOKUP(Table3236[[#This Row],[Census Tract]],'UI EnergyBurden'!$A$2:$B$184,2,FALSE)</f>
        <v>No</v>
      </c>
    </row>
    <row r="440" spans="1:17" x14ac:dyDescent="0.2">
      <c r="A440" s="128">
        <v>9009167201</v>
      </c>
      <c r="B440" s="213" t="s">
        <v>3004</v>
      </c>
      <c r="C440" s="128" t="s">
        <v>3886</v>
      </c>
      <c r="D440" s="152">
        <v>0</v>
      </c>
      <c r="E440" s="152">
        <v>0</v>
      </c>
      <c r="F440" s="214">
        <f>[2]!Table323[[#This Row],[Single Family]]+[2]!Table323[[#This Row],[2-4 Units]]+[2]!Table323[[#This Row],[&gt;4 Units]]</f>
        <v>0</v>
      </c>
      <c r="G440" s="214"/>
      <c r="H440" s="214"/>
      <c r="I440" s="214"/>
      <c r="J440" s="215">
        <v>0</v>
      </c>
      <c r="K440" s="214">
        <f>SUM([2]!Table323[[#This Row],[Single Family ]:[&gt;4 Units ]])</f>
        <v>0</v>
      </c>
      <c r="L440" s="216"/>
      <c r="M440" s="216"/>
      <c r="N440" s="216"/>
      <c r="O440" s="156">
        <v>0</v>
      </c>
      <c r="P440" s="212">
        <f>VLOOKUP(Table3236[[#This Row],[Census Tract]],'Population and Diversity Data'!$B$2:$K$823,10,FALSE)</f>
        <v>2</v>
      </c>
      <c r="Q440" s="217" t="str">
        <f>VLOOKUP(Table3236[[#This Row],[Census Tract]],'UI EnergyBurden'!$A$2:$B$184,2,FALSE)</f>
        <v>No</v>
      </c>
    </row>
    <row r="441" spans="1:17" x14ac:dyDescent="0.2">
      <c r="A441" s="128">
        <v>9009167202</v>
      </c>
      <c r="B441" s="213" t="s">
        <v>3880</v>
      </c>
      <c r="C441" s="128" t="s">
        <v>3886</v>
      </c>
      <c r="D441" s="152">
        <v>24.754598913360695</v>
      </c>
      <c r="E441" s="152">
        <v>0</v>
      </c>
      <c r="F441" s="214">
        <f>[2]!Table323[[#This Row],[Single Family]]+[2]!Table323[[#This Row],[2-4 Units]]+[2]!Table323[[#This Row],[&gt;4 Units]]</f>
        <v>0</v>
      </c>
      <c r="G441" s="214"/>
      <c r="H441" s="214"/>
      <c r="I441" s="214"/>
      <c r="J441" s="215">
        <v>0</v>
      </c>
      <c r="K441" s="214">
        <f>SUM([2]!Table323[[#This Row],[Single Family ]:[&gt;4 Units ]])</f>
        <v>0</v>
      </c>
      <c r="L441" s="216"/>
      <c r="M441" s="216"/>
      <c r="N441" s="216"/>
      <c r="O441" s="156"/>
      <c r="P441" s="212">
        <f>VLOOKUP(Table3236[[#This Row],[Census Tract]],'Population and Diversity Data'!$B$2:$K$823,10,FALSE)</f>
        <v>4</v>
      </c>
      <c r="Q441" s="217" t="str">
        <f>VLOOKUP(Table3236[[#This Row],[Census Tract]],'UI EnergyBurden'!$A$2:$B$184,2,FALSE)</f>
        <v>No</v>
      </c>
    </row>
    <row r="442" spans="1:17" x14ac:dyDescent="0.2">
      <c r="A442" s="128">
        <v>9009167202</v>
      </c>
      <c r="B442" s="213" t="s">
        <v>3004</v>
      </c>
      <c r="C442" s="128" t="s">
        <v>3886</v>
      </c>
      <c r="D442" s="152">
        <v>72021.524985843032</v>
      </c>
      <c r="E442" s="152">
        <v>137927.74000000002</v>
      </c>
      <c r="F442" s="214">
        <f>[2]!Table323[[#This Row],[Single Family]]+[2]!Table323[[#This Row],[2-4 Units]]+[2]!Table323[[#This Row],[&gt;4 Units]]</f>
        <v>62</v>
      </c>
      <c r="G442" s="214">
        <v>62</v>
      </c>
      <c r="H442" s="214">
        <v>0</v>
      </c>
      <c r="I442" s="214">
        <v>0</v>
      </c>
      <c r="J442" s="215">
        <v>119832.70999999999</v>
      </c>
      <c r="K442" s="214">
        <f>SUM([2]!Table323[[#This Row],[Single Family ]:[&gt;4 Units ]])</f>
        <v>5</v>
      </c>
      <c r="L442" s="216">
        <v>5</v>
      </c>
      <c r="M442" s="216">
        <v>0</v>
      </c>
      <c r="N442" s="216">
        <v>0</v>
      </c>
      <c r="O442" s="156">
        <v>18095.030000000002</v>
      </c>
      <c r="P442" s="212">
        <f>VLOOKUP(Table3236[[#This Row],[Census Tract]],'Population and Diversity Data'!$B$2:$K$823,10,FALSE)</f>
        <v>4</v>
      </c>
      <c r="Q442" s="217" t="str">
        <f>VLOOKUP(Table3236[[#This Row],[Census Tract]],'UI EnergyBurden'!$A$2:$B$184,2,FALSE)</f>
        <v>No</v>
      </c>
    </row>
    <row r="443" spans="1:17" x14ac:dyDescent="0.2">
      <c r="A443" s="128">
        <v>9009167202</v>
      </c>
      <c r="B443" s="213" t="s">
        <v>950</v>
      </c>
      <c r="C443" s="128" t="s">
        <v>3886</v>
      </c>
      <c r="D443" s="152">
        <v>572.43509568525417</v>
      </c>
      <c r="E443" s="152">
        <v>0</v>
      </c>
      <c r="F443" s="214">
        <f>[2]!Table323[[#This Row],[Single Family]]+[2]!Table323[[#This Row],[2-4 Units]]+[2]!Table323[[#This Row],[&gt;4 Units]]</f>
        <v>0</v>
      </c>
      <c r="G443" s="214"/>
      <c r="H443" s="214"/>
      <c r="I443" s="214"/>
      <c r="J443" s="215">
        <v>0</v>
      </c>
      <c r="K443" s="214">
        <f>SUM([2]!Table323[[#This Row],[Single Family ]:[&gt;4 Units ]])</f>
        <v>0</v>
      </c>
      <c r="L443" s="216"/>
      <c r="M443" s="216"/>
      <c r="N443" s="216"/>
      <c r="O443" s="156"/>
      <c r="P443" s="212">
        <f>VLOOKUP(Table3236[[#This Row],[Census Tract]],'Population and Diversity Data'!$B$2:$K$823,10,FALSE)</f>
        <v>4</v>
      </c>
      <c r="Q443" s="217" t="str">
        <f>VLOOKUP(Table3236[[#This Row],[Census Tract]],'UI EnergyBurden'!$A$2:$B$184,2,FALSE)</f>
        <v>No</v>
      </c>
    </row>
    <row r="444" spans="1:17" x14ac:dyDescent="0.2">
      <c r="A444" s="128">
        <v>9009167202</v>
      </c>
      <c r="B444" s="213" t="s">
        <v>3004</v>
      </c>
      <c r="C444" s="128" t="s">
        <v>3886</v>
      </c>
      <c r="D444" s="152">
        <v>0</v>
      </c>
      <c r="E444" s="152">
        <v>0</v>
      </c>
      <c r="F444" s="214">
        <f>[2]!Table323[[#This Row],[Single Family]]+[2]!Table323[[#This Row],[2-4 Units]]+[2]!Table323[[#This Row],[&gt;4 Units]]</f>
        <v>0</v>
      </c>
      <c r="G444" s="214"/>
      <c r="H444" s="214"/>
      <c r="I444" s="214"/>
      <c r="J444" s="215">
        <v>0</v>
      </c>
      <c r="K444" s="214">
        <f>SUM([2]!Table323[[#This Row],[Single Family ]:[&gt;4 Units ]])</f>
        <v>0</v>
      </c>
      <c r="L444" s="216"/>
      <c r="M444" s="216"/>
      <c r="N444" s="216"/>
      <c r="O444" s="156">
        <v>0</v>
      </c>
      <c r="P444" s="212">
        <f>VLOOKUP(Table3236[[#This Row],[Census Tract]],'Population and Diversity Data'!$B$2:$K$823,10,FALSE)</f>
        <v>4</v>
      </c>
      <c r="Q444" s="217" t="str">
        <f>VLOOKUP(Table3236[[#This Row],[Census Tract]],'UI EnergyBurden'!$A$2:$B$184,2,FALSE)</f>
        <v>No</v>
      </c>
    </row>
    <row r="445" spans="1:17" x14ac:dyDescent="0.2">
      <c r="A445" s="128">
        <v>9009167300</v>
      </c>
      <c r="B445" s="213" t="s">
        <v>3880</v>
      </c>
      <c r="C445" s="128" t="s">
        <v>3886</v>
      </c>
      <c r="D445" s="152">
        <v>295.20390121540902</v>
      </c>
      <c r="E445" s="152">
        <v>0</v>
      </c>
      <c r="F445" s="214">
        <f>[2]!Table323[[#This Row],[Single Family]]+[2]!Table323[[#This Row],[2-4 Units]]+[2]!Table323[[#This Row],[&gt;4 Units]]</f>
        <v>0</v>
      </c>
      <c r="G445" s="214"/>
      <c r="H445" s="214"/>
      <c r="I445" s="214"/>
      <c r="J445" s="215">
        <v>0</v>
      </c>
      <c r="K445" s="214">
        <f>SUM([2]!Table323[[#This Row],[Single Family ]:[&gt;4 Units ]])</f>
        <v>0</v>
      </c>
      <c r="L445" s="216"/>
      <c r="M445" s="216"/>
      <c r="N445" s="216"/>
      <c r="O445" s="156"/>
      <c r="P445" s="212">
        <f>VLOOKUP(Table3236[[#This Row],[Census Tract]],'Population and Diversity Data'!$B$2:$K$823,10,FALSE)</f>
        <v>2</v>
      </c>
      <c r="Q445" s="217" t="str">
        <f>VLOOKUP(Table3236[[#This Row],[Census Tract]],'UI EnergyBurden'!$A$2:$B$184,2,FALSE)</f>
        <v>No</v>
      </c>
    </row>
    <row r="446" spans="1:17" x14ac:dyDescent="0.2">
      <c r="A446" s="128">
        <v>9009167300</v>
      </c>
      <c r="B446" s="213" t="s">
        <v>943</v>
      </c>
      <c r="C446" s="128" t="s">
        <v>3886</v>
      </c>
      <c r="D446" s="152">
        <v>48.36887967461395</v>
      </c>
      <c r="E446" s="152">
        <v>0</v>
      </c>
      <c r="F446" s="214">
        <f>[2]!Table323[[#This Row],[Single Family]]+[2]!Table323[[#This Row],[2-4 Units]]+[2]!Table323[[#This Row],[&gt;4 Units]]</f>
        <v>0</v>
      </c>
      <c r="G446" s="214"/>
      <c r="H446" s="214"/>
      <c r="I446" s="214"/>
      <c r="J446" s="215">
        <v>0</v>
      </c>
      <c r="K446" s="214">
        <f>SUM([2]!Table323[[#This Row],[Single Family ]:[&gt;4 Units ]])</f>
        <v>0</v>
      </c>
      <c r="L446" s="216"/>
      <c r="M446" s="216"/>
      <c r="N446" s="216"/>
      <c r="O446" s="156"/>
      <c r="P446" s="212">
        <f>VLOOKUP(Table3236[[#This Row],[Census Tract]],'Population and Diversity Data'!$B$2:$K$823,10,FALSE)</f>
        <v>2</v>
      </c>
      <c r="Q446" s="217" t="str">
        <f>VLOOKUP(Table3236[[#This Row],[Census Tract]],'UI EnergyBurden'!$A$2:$B$184,2,FALSE)</f>
        <v>No</v>
      </c>
    </row>
    <row r="447" spans="1:17" x14ac:dyDescent="0.2">
      <c r="A447" s="128">
        <v>9009167300</v>
      </c>
      <c r="B447" s="213" t="s">
        <v>3004</v>
      </c>
      <c r="C447" s="128" t="s">
        <v>3886</v>
      </c>
      <c r="D447" s="152">
        <v>126934.26580151496</v>
      </c>
      <c r="E447" s="152">
        <v>149230.21000000002</v>
      </c>
      <c r="F447" s="214">
        <f>[2]!Table323[[#This Row],[Single Family]]+[2]!Table323[[#This Row],[2-4 Units]]+[2]!Table323[[#This Row],[&gt;4 Units]]</f>
        <v>114</v>
      </c>
      <c r="G447" s="214">
        <v>112</v>
      </c>
      <c r="H447" s="214">
        <v>2</v>
      </c>
      <c r="I447" s="214">
        <v>0</v>
      </c>
      <c r="J447" s="215">
        <v>134577.97</v>
      </c>
      <c r="K447" s="214">
        <f>SUM([2]!Table323[[#This Row],[Single Family ]:[&gt;4 Units ]])</f>
        <v>5</v>
      </c>
      <c r="L447" s="216">
        <v>5</v>
      </c>
      <c r="M447" s="216">
        <v>0</v>
      </c>
      <c r="N447" s="216">
        <v>0</v>
      </c>
      <c r="O447" s="156">
        <v>13452.239999999998</v>
      </c>
      <c r="P447" s="212">
        <f>VLOOKUP(Table3236[[#This Row],[Census Tract]],'Population and Diversity Data'!$B$2:$K$823,10,FALSE)</f>
        <v>2</v>
      </c>
      <c r="Q447" s="217" t="str">
        <f>VLOOKUP(Table3236[[#This Row],[Census Tract]],'UI EnergyBurden'!$A$2:$B$184,2,FALSE)</f>
        <v>No</v>
      </c>
    </row>
    <row r="448" spans="1:17" x14ac:dyDescent="0.2">
      <c r="A448" s="128">
        <v>9009167300</v>
      </c>
      <c r="B448" s="213" t="s">
        <v>3004</v>
      </c>
      <c r="C448" s="128" t="s">
        <v>3886</v>
      </c>
      <c r="D448" s="152">
        <v>0</v>
      </c>
      <c r="E448" s="152">
        <v>0</v>
      </c>
      <c r="F448" s="214">
        <f>[2]!Table323[[#This Row],[Single Family]]+[2]!Table323[[#This Row],[2-4 Units]]+[2]!Table323[[#This Row],[&gt;4 Units]]</f>
        <v>0</v>
      </c>
      <c r="G448" s="214"/>
      <c r="H448" s="214"/>
      <c r="I448" s="214"/>
      <c r="J448" s="215">
        <v>0</v>
      </c>
      <c r="K448" s="214">
        <f>SUM([2]!Table323[[#This Row],[Single Family ]:[&gt;4 Units ]])</f>
        <v>0</v>
      </c>
      <c r="L448" s="216"/>
      <c r="M448" s="216"/>
      <c r="N448" s="216"/>
      <c r="O448" s="156">
        <v>0</v>
      </c>
      <c r="P448" s="212">
        <f>VLOOKUP(Table3236[[#This Row],[Census Tract]],'Population and Diversity Data'!$B$2:$K$823,10,FALSE)</f>
        <v>2</v>
      </c>
      <c r="Q448" s="217" t="str">
        <f>VLOOKUP(Table3236[[#This Row],[Census Tract]],'UI EnergyBurden'!$A$2:$B$184,2,FALSE)</f>
        <v>No</v>
      </c>
    </row>
    <row r="449" spans="1:17" x14ac:dyDescent="0.2">
      <c r="A449" s="128">
        <v>9009180100</v>
      </c>
      <c r="B449" s="213" t="s">
        <v>3880</v>
      </c>
      <c r="C449" s="128" t="s">
        <v>3886</v>
      </c>
      <c r="D449" s="152">
        <v>87118.995685966816</v>
      </c>
      <c r="E449" s="152">
        <v>47018.44</v>
      </c>
      <c r="F449" s="214">
        <f>[2]!Table323[[#This Row],[Single Family]]+[2]!Table323[[#This Row],[2-4 Units]]+[2]!Table323[[#This Row],[&gt;4 Units]]</f>
        <v>48</v>
      </c>
      <c r="G449" s="214">
        <v>46</v>
      </c>
      <c r="H449" s="214">
        <v>2</v>
      </c>
      <c r="I449" s="214">
        <v>0</v>
      </c>
      <c r="J449" s="215">
        <v>37390.180000000015</v>
      </c>
      <c r="K449" s="214">
        <f>SUM([2]!Table323[[#This Row],[Single Family ]:[&gt;4 Units ]])</f>
        <v>11</v>
      </c>
      <c r="L449" s="216">
        <v>10</v>
      </c>
      <c r="M449" s="216">
        <v>1</v>
      </c>
      <c r="N449" s="216">
        <v>0</v>
      </c>
      <c r="O449" s="156">
        <v>9628.26</v>
      </c>
      <c r="P449" s="212">
        <f>VLOOKUP(Table3236[[#This Row],[Census Tract]],'Population and Diversity Data'!$B$2:$K$823,10,FALSE)</f>
        <v>5</v>
      </c>
      <c r="Q449" s="217" t="str">
        <f>VLOOKUP(Table3236[[#This Row],[Census Tract]],'UI EnergyBurden'!$A$2:$B$184,2,FALSE)</f>
        <v>No</v>
      </c>
    </row>
    <row r="450" spans="1:17" x14ac:dyDescent="0.2">
      <c r="A450" s="128">
        <v>9009180100</v>
      </c>
      <c r="B450" s="213" t="s">
        <v>3888</v>
      </c>
      <c r="C450" s="128" t="s">
        <v>3886</v>
      </c>
      <c r="D450" s="152">
        <v>0</v>
      </c>
      <c r="E450" s="152">
        <v>0</v>
      </c>
      <c r="F450" s="214">
        <f>[2]!Table323[[#This Row],[Single Family]]+[2]!Table323[[#This Row],[2-4 Units]]+[2]!Table323[[#This Row],[&gt;4 Units]]</f>
        <v>0</v>
      </c>
      <c r="G450" s="214"/>
      <c r="H450" s="214"/>
      <c r="I450" s="214"/>
      <c r="J450" s="215">
        <v>0</v>
      </c>
      <c r="K450" s="214">
        <f>SUM([2]!Table323[[#This Row],[Single Family ]:[&gt;4 Units ]])</f>
        <v>0</v>
      </c>
      <c r="L450" s="216"/>
      <c r="M450" s="216"/>
      <c r="N450" s="216"/>
      <c r="O450" s="156"/>
      <c r="P450" s="212">
        <f>VLOOKUP(Table3236[[#This Row],[Census Tract]],'Population and Diversity Data'!$B$2:$K$823,10,FALSE)</f>
        <v>5</v>
      </c>
      <c r="Q450" s="217" t="str">
        <f>VLOOKUP(Table3236[[#This Row],[Census Tract]],'UI EnergyBurden'!$A$2:$B$184,2,FALSE)</f>
        <v>No</v>
      </c>
    </row>
    <row r="451" spans="1:17" x14ac:dyDescent="0.2">
      <c r="A451" s="128">
        <v>9009180100</v>
      </c>
      <c r="B451" s="213" t="s">
        <v>943</v>
      </c>
      <c r="C451" s="128" t="s">
        <v>3886</v>
      </c>
      <c r="D451" s="152">
        <v>0</v>
      </c>
      <c r="E451" s="152">
        <v>0</v>
      </c>
      <c r="F451" s="214">
        <f>[2]!Table323[[#This Row],[Single Family]]+[2]!Table323[[#This Row],[2-4 Units]]+[2]!Table323[[#This Row],[&gt;4 Units]]</f>
        <v>0</v>
      </c>
      <c r="G451" s="214"/>
      <c r="H451" s="214"/>
      <c r="I451" s="214"/>
      <c r="J451" s="215">
        <v>0</v>
      </c>
      <c r="K451" s="214">
        <f>SUM([2]!Table323[[#This Row],[Single Family ]:[&gt;4 Units ]])</f>
        <v>0</v>
      </c>
      <c r="L451" s="216"/>
      <c r="M451" s="216"/>
      <c r="N451" s="216"/>
      <c r="O451" s="156"/>
      <c r="P451" s="212">
        <f>VLOOKUP(Table3236[[#This Row],[Census Tract]],'Population and Diversity Data'!$B$2:$K$823,10,FALSE)</f>
        <v>5</v>
      </c>
      <c r="Q451" s="217" t="str">
        <f>VLOOKUP(Table3236[[#This Row],[Census Tract]],'UI EnergyBurden'!$A$2:$B$184,2,FALSE)</f>
        <v>No</v>
      </c>
    </row>
    <row r="452" spans="1:17" x14ac:dyDescent="0.2">
      <c r="A452" s="128">
        <v>9009180100</v>
      </c>
      <c r="B452" s="213" t="s">
        <v>3004</v>
      </c>
      <c r="C452" s="128" t="s">
        <v>3886</v>
      </c>
      <c r="D452" s="152">
        <v>43.890707174434937</v>
      </c>
      <c r="E452" s="152">
        <v>0</v>
      </c>
      <c r="F452" s="214">
        <f>[2]!Table323[[#This Row],[Single Family]]+[2]!Table323[[#This Row],[2-4 Units]]+[2]!Table323[[#This Row],[&gt;4 Units]]</f>
        <v>0</v>
      </c>
      <c r="G452" s="214"/>
      <c r="H452" s="214"/>
      <c r="I452" s="214"/>
      <c r="J452" s="215">
        <v>0</v>
      </c>
      <c r="K452" s="214">
        <f>SUM([2]!Table323[[#This Row],[Single Family ]:[&gt;4 Units ]])</f>
        <v>0</v>
      </c>
      <c r="L452" s="216"/>
      <c r="M452" s="216"/>
      <c r="N452" s="216"/>
      <c r="O452" s="156"/>
      <c r="P452" s="212">
        <f>VLOOKUP(Table3236[[#This Row],[Census Tract]],'Population and Diversity Data'!$B$2:$K$823,10,FALSE)</f>
        <v>5</v>
      </c>
      <c r="Q452" s="217" t="str">
        <f>VLOOKUP(Table3236[[#This Row],[Census Tract]],'UI EnergyBurden'!$A$2:$B$184,2,FALSE)</f>
        <v>No</v>
      </c>
    </row>
    <row r="453" spans="1:17" x14ac:dyDescent="0.2">
      <c r="A453" s="128">
        <v>9009180100</v>
      </c>
      <c r="B453" s="213" t="s">
        <v>950</v>
      </c>
      <c r="C453" s="128" t="s">
        <v>3886</v>
      </c>
      <c r="D453" s="152">
        <v>194.87898719335729</v>
      </c>
      <c r="E453" s="152">
        <v>0</v>
      </c>
      <c r="F453" s="214">
        <f>[2]!Table323[[#This Row],[Single Family]]+[2]!Table323[[#This Row],[2-4 Units]]+[2]!Table323[[#This Row],[&gt;4 Units]]</f>
        <v>0</v>
      </c>
      <c r="G453" s="214"/>
      <c r="H453" s="214"/>
      <c r="I453" s="214"/>
      <c r="J453" s="215">
        <v>0</v>
      </c>
      <c r="K453" s="214">
        <f>SUM([2]!Table323[[#This Row],[Single Family ]:[&gt;4 Units ]])</f>
        <v>0</v>
      </c>
      <c r="L453" s="216"/>
      <c r="M453" s="216"/>
      <c r="N453" s="216"/>
      <c r="O453" s="156"/>
      <c r="P453" s="212">
        <f>VLOOKUP(Table3236[[#This Row],[Census Tract]],'Population and Diversity Data'!$B$2:$K$823,10,FALSE)</f>
        <v>5</v>
      </c>
      <c r="Q453" s="217" t="str">
        <f>VLOOKUP(Table3236[[#This Row],[Census Tract]],'UI EnergyBurden'!$A$2:$B$184,2,FALSE)</f>
        <v>No</v>
      </c>
    </row>
    <row r="454" spans="1:17" x14ac:dyDescent="0.2">
      <c r="A454" s="128">
        <v>9009180100</v>
      </c>
      <c r="B454" s="213" t="s">
        <v>3880</v>
      </c>
      <c r="C454" s="128" t="s">
        <v>3886</v>
      </c>
      <c r="D454" s="152">
        <v>0</v>
      </c>
      <c r="E454" s="152">
        <v>0</v>
      </c>
      <c r="F454" s="214">
        <f>[2]!Table323[[#This Row],[Single Family]]+[2]!Table323[[#This Row],[2-4 Units]]+[2]!Table323[[#This Row],[&gt;4 Units]]</f>
        <v>0</v>
      </c>
      <c r="G454" s="214"/>
      <c r="H454" s="214"/>
      <c r="I454" s="214"/>
      <c r="J454" s="215">
        <v>0</v>
      </c>
      <c r="K454" s="214">
        <f>SUM([2]!Table323[[#This Row],[Single Family ]:[&gt;4 Units ]])</f>
        <v>0</v>
      </c>
      <c r="L454" s="216"/>
      <c r="M454" s="216"/>
      <c r="N454" s="216"/>
      <c r="O454" s="156">
        <v>0</v>
      </c>
      <c r="P454" s="212">
        <f>VLOOKUP(Table3236[[#This Row],[Census Tract]],'Population and Diversity Data'!$B$2:$K$823,10,FALSE)</f>
        <v>5</v>
      </c>
      <c r="Q454" s="217" t="str">
        <f>VLOOKUP(Table3236[[#This Row],[Census Tract]],'UI EnergyBurden'!$A$2:$B$184,2,FALSE)</f>
        <v>No</v>
      </c>
    </row>
    <row r="455" spans="1:17" x14ac:dyDescent="0.2">
      <c r="A455" s="128">
        <v>9009180200</v>
      </c>
      <c r="B455" s="213" t="s">
        <v>3880</v>
      </c>
      <c r="C455" s="128" t="s">
        <v>3886</v>
      </c>
      <c r="D455" s="152">
        <v>70117.202905168961</v>
      </c>
      <c r="E455" s="152">
        <v>53390.209999999992</v>
      </c>
      <c r="F455" s="214">
        <f>[2]!Table323[[#This Row],[Single Family]]+[2]!Table323[[#This Row],[2-4 Units]]+[2]!Table323[[#This Row],[&gt;4 Units]]</f>
        <v>33</v>
      </c>
      <c r="G455" s="214">
        <v>27</v>
      </c>
      <c r="H455" s="214">
        <v>6</v>
      </c>
      <c r="I455" s="214">
        <v>0</v>
      </c>
      <c r="J455" s="215">
        <v>48157.889999999992</v>
      </c>
      <c r="K455" s="214">
        <f>SUM([2]!Table323[[#This Row],[Single Family ]:[&gt;4 Units ]])</f>
        <v>10</v>
      </c>
      <c r="L455" s="216">
        <v>9</v>
      </c>
      <c r="M455" s="216">
        <v>1</v>
      </c>
      <c r="N455" s="216">
        <v>0</v>
      </c>
      <c r="O455" s="156">
        <v>5232.3200000000006</v>
      </c>
      <c r="P455" s="212">
        <f>VLOOKUP(Table3236[[#This Row],[Census Tract]],'Population and Diversity Data'!$B$2:$K$823,10,FALSE)</f>
        <v>5</v>
      </c>
      <c r="Q455" s="217" t="str">
        <f>VLOOKUP(Table3236[[#This Row],[Census Tract]],'UI EnergyBurden'!$A$2:$B$184,2,FALSE)</f>
        <v>No</v>
      </c>
    </row>
    <row r="456" spans="1:17" x14ac:dyDescent="0.2">
      <c r="A456" s="128">
        <v>9009180200</v>
      </c>
      <c r="B456" s="213" t="s">
        <v>3888</v>
      </c>
      <c r="C456" s="128" t="s">
        <v>3886</v>
      </c>
      <c r="D456" s="152">
        <v>0</v>
      </c>
      <c r="E456" s="152">
        <v>219375</v>
      </c>
      <c r="F456" s="214">
        <f>[2]!Table323[[#This Row],[Single Family]]+[2]!Table323[[#This Row],[2-4 Units]]+[2]!Table323[[#This Row],[&gt;4 Units]]</f>
        <v>1</v>
      </c>
      <c r="G456" s="214">
        <v>0</v>
      </c>
      <c r="H456" s="214">
        <v>0</v>
      </c>
      <c r="I456" s="214">
        <v>1</v>
      </c>
      <c r="J456" s="215">
        <v>219375</v>
      </c>
      <c r="K456" s="214">
        <f>SUM([2]!Table323[[#This Row],[Single Family ]:[&gt;4 Units ]])</f>
        <v>0</v>
      </c>
      <c r="L456" s="216"/>
      <c r="M456" s="216"/>
      <c r="N456" s="216"/>
      <c r="O456" s="156">
        <v>0</v>
      </c>
      <c r="P456" s="212">
        <f>VLOOKUP(Table3236[[#This Row],[Census Tract]],'Population and Diversity Data'!$B$2:$K$823,10,FALSE)</f>
        <v>5</v>
      </c>
      <c r="Q456" s="217" t="str">
        <f>VLOOKUP(Table3236[[#This Row],[Census Tract]],'UI EnergyBurden'!$A$2:$B$184,2,FALSE)</f>
        <v>No</v>
      </c>
    </row>
    <row r="457" spans="1:17" x14ac:dyDescent="0.2">
      <c r="A457" s="128">
        <v>9009180200</v>
      </c>
      <c r="B457" s="213" t="s">
        <v>943</v>
      </c>
      <c r="C457" s="128" t="s">
        <v>3886</v>
      </c>
      <c r="D457" s="152">
        <v>173.31450910228904</v>
      </c>
      <c r="E457" s="152">
        <v>0</v>
      </c>
      <c r="F457" s="214">
        <f>[2]!Table323[[#This Row],[Single Family]]+[2]!Table323[[#This Row],[2-4 Units]]+[2]!Table323[[#This Row],[&gt;4 Units]]</f>
        <v>0</v>
      </c>
      <c r="G457" s="214"/>
      <c r="H457" s="214"/>
      <c r="I457" s="214"/>
      <c r="J457" s="215">
        <v>0</v>
      </c>
      <c r="K457" s="214">
        <f>SUM([2]!Table323[[#This Row],[Single Family ]:[&gt;4 Units ]])</f>
        <v>0</v>
      </c>
      <c r="L457" s="216"/>
      <c r="M457" s="216"/>
      <c r="N457" s="216"/>
      <c r="O457" s="156"/>
      <c r="P457" s="212">
        <f>VLOOKUP(Table3236[[#This Row],[Census Tract]],'Population and Diversity Data'!$B$2:$K$823,10,FALSE)</f>
        <v>5</v>
      </c>
      <c r="Q457" s="217" t="str">
        <f>VLOOKUP(Table3236[[#This Row],[Census Tract]],'UI EnergyBurden'!$A$2:$B$184,2,FALSE)</f>
        <v>No</v>
      </c>
    </row>
    <row r="458" spans="1:17" x14ac:dyDescent="0.2">
      <c r="A458" s="128">
        <v>9009180200</v>
      </c>
      <c r="B458" s="213" t="s">
        <v>3004</v>
      </c>
      <c r="C458" s="128" t="s">
        <v>3886</v>
      </c>
      <c r="D458" s="152">
        <v>136.97667843331067</v>
      </c>
      <c r="E458" s="152">
        <v>0</v>
      </c>
      <c r="F458" s="214">
        <f>[2]!Table323[[#This Row],[Single Family]]+[2]!Table323[[#This Row],[2-4 Units]]+[2]!Table323[[#This Row],[&gt;4 Units]]</f>
        <v>0</v>
      </c>
      <c r="G458" s="214"/>
      <c r="H458" s="214"/>
      <c r="I458" s="214"/>
      <c r="J458" s="215">
        <v>0</v>
      </c>
      <c r="K458" s="214">
        <f>SUM([2]!Table323[[#This Row],[Single Family ]:[&gt;4 Units ]])</f>
        <v>0</v>
      </c>
      <c r="L458" s="216"/>
      <c r="M458" s="216"/>
      <c r="N458" s="216"/>
      <c r="O458" s="156"/>
      <c r="P458" s="212">
        <f>VLOOKUP(Table3236[[#This Row],[Census Tract]],'Population and Diversity Data'!$B$2:$K$823,10,FALSE)</f>
        <v>5</v>
      </c>
      <c r="Q458" s="217" t="str">
        <f>VLOOKUP(Table3236[[#This Row],[Census Tract]],'UI EnergyBurden'!$A$2:$B$184,2,FALSE)</f>
        <v>No</v>
      </c>
    </row>
    <row r="459" spans="1:17" x14ac:dyDescent="0.2">
      <c r="A459" s="128">
        <v>9009180200</v>
      </c>
      <c r="B459" s="213" t="s">
        <v>950</v>
      </c>
      <c r="C459" s="128" t="s">
        <v>3886</v>
      </c>
      <c r="D459" s="152">
        <v>54.606004466100387</v>
      </c>
      <c r="E459" s="152">
        <v>0</v>
      </c>
      <c r="F459" s="214">
        <f>[2]!Table323[[#This Row],[Single Family]]+[2]!Table323[[#This Row],[2-4 Units]]+[2]!Table323[[#This Row],[&gt;4 Units]]</f>
        <v>0</v>
      </c>
      <c r="G459" s="214"/>
      <c r="H459" s="214"/>
      <c r="I459" s="214"/>
      <c r="J459" s="215">
        <v>0</v>
      </c>
      <c r="K459" s="214">
        <f>SUM([2]!Table323[[#This Row],[Single Family ]:[&gt;4 Units ]])</f>
        <v>0</v>
      </c>
      <c r="L459" s="216"/>
      <c r="M459" s="216"/>
      <c r="N459" s="216"/>
      <c r="O459" s="156">
        <v>0</v>
      </c>
      <c r="P459" s="212">
        <f>VLOOKUP(Table3236[[#This Row],[Census Tract]],'Population and Diversity Data'!$B$2:$K$823,10,FALSE)</f>
        <v>5</v>
      </c>
      <c r="Q459" s="217" t="str">
        <f>VLOOKUP(Table3236[[#This Row],[Census Tract]],'UI EnergyBurden'!$A$2:$B$184,2,FALSE)</f>
        <v>No</v>
      </c>
    </row>
    <row r="460" spans="1:17" x14ac:dyDescent="0.2">
      <c r="A460" s="128">
        <v>9009180200</v>
      </c>
      <c r="B460" s="213" t="s">
        <v>3880</v>
      </c>
      <c r="C460" s="128" t="s">
        <v>3886</v>
      </c>
      <c r="D460" s="152">
        <v>0</v>
      </c>
      <c r="E460" s="152">
        <v>0</v>
      </c>
      <c r="F460" s="214">
        <f>[2]!Table323[[#This Row],[Single Family]]+[2]!Table323[[#This Row],[2-4 Units]]+[2]!Table323[[#This Row],[&gt;4 Units]]</f>
        <v>0</v>
      </c>
      <c r="G460" s="214"/>
      <c r="H460" s="214"/>
      <c r="I460" s="214"/>
      <c r="J460" s="215">
        <v>0</v>
      </c>
      <c r="K460" s="214">
        <f>SUM([2]!Table323[[#This Row],[Single Family ]:[&gt;4 Units ]])</f>
        <v>0</v>
      </c>
      <c r="L460" s="216"/>
      <c r="M460" s="216"/>
      <c r="N460" s="216"/>
      <c r="O460" s="156">
        <v>0</v>
      </c>
      <c r="P460" s="212">
        <f>VLOOKUP(Table3236[[#This Row],[Census Tract]],'Population and Diversity Data'!$B$2:$K$823,10,FALSE)</f>
        <v>5</v>
      </c>
      <c r="Q460" s="217" t="str">
        <f>VLOOKUP(Table3236[[#This Row],[Census Tract]],'UI EnergyBurden'!$A$2:$B$184,2,FALSE)</f>
        <v>No</v>
      </c>
    </row>
    <row r="461" spans="1:17" x14ac:dyDescent="0.2">
      <c r="A461" s="128">
        <v>9009180200</v>
      </c>
      <c r="B461" s="213" t="s">
        <v>943</v>
      </c>
      <c r="C461" s="128" t="s">
        <v>3886</v>
      </c>
      <c r="D461" s="152">
        <v>0</v>
      </c>
      <c r="E461" s="152">
        <v>0</v>
      </c>
      <c r="F461" s="214">
        <f>[2]!Table323[[#This Row],[Single Family]]+[2]!Table323[[#This Row],[2-4 Units]]+[2]!Table323[[#This Row],[&gt;4 Units]]</f>
        <v>0</v>
      </c>
      <c r="G461" s="214"/>
      <c r="H461" s="214"/>
      <c r="I461" s="214"/>
      <c r="J461" s="215">
        <v>0</v>
      </c>
      <c r="K461" s="214">
        <f>SUM([2]!Table323[[#This Row],[Single Family ]:[&gt;4 Units ]])</f>
        <v>0</v>
      </c>
      <c r="L461" s="216"/>
      <c r="M461" s="216"/>
      <c r="N461" s="216"/>
      <c r="O461" s="156"/>
      <c r="P461" s="212">
        <f>VLOOKUP(Table3236[[#This Row],[Census Tract]],'Population and Diversity Data'!$B$2:$K$823,10,FALSE)</f>
        <v>5</v>
      </c>
      <c r="Q461" s="217" t="str">
        <f>VLOOKUP(Table3236[[#This Row],[Census Tract]],'UI EnergyBurden'!$A$2:$B$184,2,FALSE)</f>
        <v>No</v>
      </c>
    </row>
    <row r="462" spans="1:17" x14ac:dyDescent="0.2">
      <c r="A462" s="128">
        <v>9009180300</v>
      </c>
      <c r="B462" s="213" t="s">
        <v>3880</v>
      </c>
      <c r="C462" s="128" t="s">
        <v>3886</v>
      </c>
      <c r="D462" s="152">
        <v>29003.35509802281</v>
      </c>
      <c r="E462" s="152">
        <v>5721.1699999999992</v>
      </c>
      <c r="F462" s="214">
        <f>[2]!Table323[[#This Row],[Single Family]]+[2]!Table323[[#This Row],[2-4 Units]]+[2]!Table323[[#This Row],[&gt;4 Units]]</f>
        <v>12</v>
      </c>
      <c r="G462" s="214">
        <v>11</v>
      </c>
      <c r="H462" s="214">
        <v>0</v>
      </c>
      <c r="I462" s="214">
        <v>1</v>
      </c>
      <c r="J462" s="215">
        <v>2992.8799999999997</v>
      </c>
      <c r="K462" s="214">
        <f>SUM([2]!Table323[[#This Row],[Single Family ]:[&gt;4 Units ]])</f>
        <v>3</v>
      </c>
      <c r="L462" s="216">
        <v>3</v>
      </c>
      <c r="M462" s="216">
        <v>0</v>
      </c>
      <c r="N462" s="216">
        <v>0</v>
      </c>
      <c r="O462" s="156">
        <v>2728.2900000000004</v>
      </c>
      <c r="P462" s="212">
        <f>VLOOKUP(Table3236[[#This Row],[Census Tract]],'Population and Diversity Data'!$B$2:$K$823,10,FALSE)</f>
        <v>3</v>
      </c>
      <c r="Q462" s="217" t="str">
        <f>VLOOKUP(Table3236[[#This Row],[Census Tract]],'UI EnergyBurden'!$A$2:$B$184,2,FALSE)</f>
        <v>No</v>
      </c>
    </row>
    <row r="463" spans="1:17" x14ac:dyDescent="0.2">
      <c r="A463" s="128">
        <v>9009180300</v>
      </c>
      <c r="B463" s="213" t="s">
        <v>943</v>
      </c>
      <c r="C463" s="128" t="s">
        <v>3886</v>
      </c>
      <c r="D463" s="152">
        <v>330.15211340752768</v>
      </c>
      <c r="E463" s="152">
        <v>0</v>
      </c>
      <c r="F463" s="214">
        <f>[2]!Table323[[#This Row],[Single Family]]+[2]!Table323[[#This Row],[2-4 Units]]+[2]!Table323[[#This Row],[&gt;4 Units]]</f>
        <v>0</v>
      </c>
      <c r="G463" s="214"/>
      <c r="H463" s="214"/>
      <c r="I463" s="214"/>
      <c r="J463" s="215">
        <v>0</v>
      </c>
      <c r="K463" s="214">
        <f>SUM([2]!Table323[[#This Row],[Single Family ]:[&gt;4 Units ]])</f>
        <v>0</v>
      </c>
      <c r="L463" s="216"/>
      <c r="M463" s="216"/>
      <c r="N463" s="216"/>
      <c r="O463" s="156"/>
      <c r="P463" s="212">
        <f>VLOOKUP(Table3236[[#This Row],[Census Tract]],'Population and Diversity Data'!$B$2:$K$823,10,FALSE)</f>
        <v>3</v>
      </c>
      <c r="Q463" s="217" t="str">
        <f>VLOOKUP(Table3236[[#This Row],[Census Tract]],'UI EnergyBurden'!$A$2:$B$184,2,FALSE)</f>
        <v>No</v>
      </c>
    </row>
    <row r="464" spans="1:17" x14ac:dyDescent="0.2">
      <c r="A464" s="128">
        <v>9009180300</v>
      </c>
      <c r="B464" s="213" t="s">
        <v>3004</v>
      </c>
      <c r="C464" s="128" t="s">
        <v>3886</v>
      </c>
      <c r="D464" s="152">
        <v>0</v>
      </c>
      <c r="E464" s="152">
        <v>0</v>
      </c>
      <c r="F464" s="214">
        <f>[2]!Table323[[#This Row],[Single Family]]+[2]!Table323[[#This Row],[2-4 Units]]+[2]!Table323[[#This Row],[&gt;4 Units]]</f>
        <v>0</v>
      </c>
      <c r="G464" s="214"/>
      <c r="H464" s="214"/>
      <c r="I464" s="214"/>
      <c r="J464" s="215">
        <v>0</v>
      </c>
      <c r="K464" s="214">
        <f>SUM([2]!Table323[[#This Row],[Single Family ]:[&gt;4 Units ]])</f>
        <v>0</v>
      </c>
      <c r="L464" s="216"/>
      <c r="M464" s="216"/>
      <c r="N464" s="216"/>
      <c r="O464" s="156"/>
      <c r="P464" s="212">
        <f>VLOOKUP(Table3236[[#This Row],[Census Tract]],'Population and Diversity Data'!$B$2:$K$823,10,FALSE)</f>
        <v>3</v>
      </c>
      <c r="Q464" s="217" t="str">
        <f>VLOOKUP(Table3236[[#This Row],[Census Tract]],'UI EnergyBurden'!$A$2:$B$184,2,FALSE)</f>
        <v>No</v>
      </c>
    </row>
    <row r="465" spans="1:17" x14ac:dyDescent="0.2">
      <c r="A465" s="128">
        <v>9009180300</v>
      </c>
      <c r="B465" s="213" t="s">
        <v>950</v>
      </c>
      <c r="C465" s="128" t="s">
        <v>3886</v>
      </c>
      <c r="D465" s="152">
        <v>6.2832915182924109</v>
      </c>
      <c r="E465" s="152">
        <v>0</v>
      </c>
      <c r="F465" s="214">
        <f>[2]!Table323[[#This Row],[Single Family]]+[2]!Table323[[#This Row],[2-4 Units]]+[2]!Table323[[#This Row],[&gt;4 Units]]</f>
        <v>0</v>
      </c>
      <c r="G465" s="214"/>
      <c r="H465" s="214"/>
      <c r="I465" s="214"/>
      <c r="J465" s="215">
        <v>0</v>
      </c>
      <c r="K465" s="214">
        <f>SUM([2]!Table323[[#This Row],[Single Family ]:[&gt;4 Units ]])</f>
        <v>0</v>
      </c>
      <c r="L465" s="216"/>
      <c r="M465" s="216"/>
      <c r="N465" s="216"/>
      <c r="O465" s="156"/>
      <c r="P465" s="212">
        <f>VLOOKUP(Table3236[[#This Row],[Census Tract]],'Population and Diversity Data'!$B$2:$K$823,10,FALSE)</f>
        <v>3</v>
      </c>
      <c r="Q465" s="217" t="str">
        <f>VLOOKUP(Table3236[[#This Row],[Census Tract]],'UI EnergyBurden'!$A$2:$B$184,2,FALSE)</f>
        <v>No</v>
      </c>
    </row>
    <row r="466" spans="1:17" x14ac:dyDescent="0.2">
      <c r="A466" s="128">
        <v>9009180300</v>
      </c>
      <c r="B466" s="213" t="s">
        <v>3880</v>
      </c>
      <c r="C466" s="128" t="s">
        <v>3886</v>
      </c>
      <c r="D466" s="152">
        <v>0</v>
      </c>
      <c r="E466" s="152">
        <v>0</v>
      </c>
      <c r="F466" s="214">
        <f>[2]!Table323[[#This Row],[Single Family]]+[2]!Table323[[#This Row],[2-4 Units]]+[2]!Table323[[#This Row],[&gt;4 Units]]</f>
        <v>0</v>
      </c>
      <c r="G466" s="214"/>
      <c r="H466" s="214"/>
      <c r="I466" s="214"/>
      <c r="J466" s="215">
        <v>0</v>
      </c>
      <c r="K466" s="214">
        <f>SUM([2]!Table323[[#This Row],[Single Family ]:[&gt;4 Units ]])</f>
        <v>0</v>
      </c>
      <c r="L466" s="216"/>
      <c r="M466" s="216"/>
      <c r="N466" s="216"/>
      <c r="O466" s="156">
        <v>0</v>
      </c>
      <c r="P466" s="212">
        <f>VLOOKUP(Table3236[[#This Row],[Census Tract]],'Population and Diversity Data'!$B$2:$K$823,10,FALSE)</f>
        <v>3</v>
      </c>
      <c r="Q466" s="217" t="str">
        <f>VLOOKUP(Table3236[[#This Row],[Census Tract]],'UI EnergyBurden'!$A$2:$B$184,2,FALSE)</f>
        <v>No</v>
      </c>
    </row>
    <row r="467" spans="1:17" x14ac:dyDescent="0.2">
      <c r="A467" s="128">
        <v>9009180300</v>
      </c>
      <c r="B467" s="213" t="s">
        <v>3004</v>
      </c>
      <c r="C467" s="128" t="s">
        <v>3886</v>
      </c>
      <c r="D467" s="152">
        <v>0</v>
      </c>
      <c r="E467" s="152">
        <v>0</v>
      </c>
      <c r="F467" s="214">
        <f>[2]!Table323[[#This Row],[Single Family]]+[2]!Table323[[#This Row],[2-4 Units]]+[2]!Table323[[#This Row],[&gt;4 Units]]</f>
        <v>0</v>
      </c>
      <c r="G467" s="214"/>
      <c r="H467" s="214"/>
      <c r="I467" s="214"/>
      <c r="J467" s="215">
        <v>0</v>
      </c>
      <c r="K467" s="214">
        <f>SUM([2]!Table323[[#This Row],[Single Family ]:[&gt;4 Units ]])</f>
        <v>0</v>
      </c>
      <c r="L467" s="216"/>
      <c r="M467" s="216"/>
      <c r="N467" s="216"/>
      <c r="O467" s="156"/>
      <c r="P467" s="212">
        <f>VLOOKUP(Table3236[[#This Row],[Census Tract]],'Population and Diversity Data'!$B$2:$K$823,10,FALSE)</f>
        <v>3</v>
      </c>
      <c r="Q467" s="217" t="str">
        <f>VLOOKUP(Table3236[[#This Row],[Census Tract]],'UI EnergyBurden'!$A$2:$B$184,2,FALSE)</f>
        <v>No</v>
      </c>
    </row>
    <row r="468" spans="1:17" x14ac:dyDescent="0.2">
      <c r="A468" s="128">
        <v>9009180400</v>
      </c>
      <c r="B468" s="213" t="s">
        <v>3880</v>
      </c>
      <c r="C468" s="128" t="s">
        <v>3886</v>
      </c>
      <c r="D468" s="152">
        <v>34843.053621800078</v>
      </c>
      <c r="E468" s="152">
        <v>27388.220000000005</v>
      </c>
      <c r="F468" s="214">
        <f>[2]!Table323[[#This Row],[Single Family]]+[2]!Table323[[#This Row],[2-4 Units]]+[2]!Table323[[#This Row],[&gt;4 Units]]</f>
        <v>14</v>
      </c>
      <c r="G468" s="214">
        <v>14</v>
      </c>
      <c r="H468" s="214">
        <v>0</v>
      </c>
      <c r="I468" s="214">
        <v>0</v>
      </c>
      <c r="J468" s="215">
        <v>14636.42</v>
      </c>
      <c r="K468" s="214">
        <f>SUM([2]!Table323[[#This Row],[Single Family ]:[&gt;4 Units ]])</f>
        <v>7</v>
      </c>
      <c r="L468" s="216">
        <v>7</v>
      </c>
      <c r="M468" s="216">
        <v>0</v>
      </c>
      <c r="N468" s="216">
        <v>0</v>
      </c>
      <c r="O468" s="156">
        <v>12751.800000000001</v>
      </c>
      <c r="P468" s="212">
        <f>VLOOKUP(Table3236[[#This Row],[Census Tract]],'Population and Diversity Data'!$B$2:$K$823,10,FALSE)</f>
        <v>4</v>
      </c>
      <c r="Q468" s="217" t="str">
        <f>VLOOKUP(Table3236[[#This Row],[Census Tract]],'UI EnergyBurden'!$A$2:$B$184,2,FALSE)</f>
        <v>No</v>
      </c>
    </row>
    <row r="469" spans="1:17" x14ac:dyDescent="0.2">
      <c r="A469" s="128">
        <v>9009180400</v>
      </c>
      <c r="B469" s="213" t="s">
        <v>3888</v>
      </c>
      <c r="C469" s="128" t="s">
        <v>944</v>
      </c>
      <c r="D469" s="152">
        <v>0</v>
      </c>
      <c r="E469" s="152">
        <v>3000</v>
      </c>
      <c r="F469" s="214">
        <f>[2]!Table323[[#This Row],[Single Family]]+[2]!Table323[[#This Row],[2-4 Units]]+[2]!Table323[[#This Row],[&gt;4 Units]]</f>
        <v>0</v>
      </c>
      <c r="G469" s="214"/>
      <c r="H469" s="214"/>
      <c r="I469" s="214"/>
      <c r="J469" s="215">
        <v>3000</v>
      </c>
      <c r="K469" s="214">
        <f>SUM([2]!Table323[[#This Row],[Single Family ]:[&gt;4 Units ]])</f>
        <v>0</v>
      </c>
      <c r="L469" s="216"/>
      <c r="M469" s="216"/>
      <c r="N469" s="216"/>
      <c r="O469" s="156">
        <v>0</v>
      </c>
      <c r="P469" s="212">
        <f>VLOOKUP(Table3236[[#This Row],[Census Tract]],'Population and Diversity Data'!$B$2:$K$823,10,FALSE)</f>
        <v>4</v>
      </c>
      <c r="Q469" s="217" t="str">
        <f>VLOOKUP(Table3236[[#This Row],[Census Tract]],'UI EnergyBurden'!$A$2:$B$184,2,FALSE)</f>
        <v>No</v>
      </c>
    </row>
    <row r="470" spans="1:17" x14ac:dyDescent="0.2">
      <c r="A470" s="128">
        <v>9009180400</v>
      </c>
      <c r="B470" s="213" t="s">
        <v>950</v>
      </c>
      <c r="C470" s="128" t="s">
        <v>3886</v>
      </c>
      <c r="D470" s="152">
        <v>0</v>
      </c>
      <c r="E470" s="152">
        <v>0</v>
      </c>
      <c r="F470" s="214">
        <f>[2]!Table323[[#This Row],[Single Family]]+[2]!Table323[[#This Row],[2-4 Units]]+[2]!Table323[[#This Row],[&gt;4 Units]]</f>
        <v>0</v>
      </c>
      <c r="G470" s="214"/>
      <c r="H470" s="214"/>
      <c r="I470" s="214"/>
      <c r="J470" s="215">
        <v>0</v>
      </c>
      <c r="K470" s="214">
        <f>SUM([2]!Table323[[#This Row],[Single Family ]:[&gt;4 Units ]])</f>
        <v>0</v>
      </c>
      <c r="L470" s="216"/>
      <c r="M470" s="216"/>
      <c r="N470" s="216"/>
      <c r="O470" s="156"/>
      <c r="P470" s="212">
        <f>VLOOKUP(Table3236[[#This Row],[Census Tract]],'Population and Diversity Data'!$B$2:$K$823,10,FALSE)</f>
        <v>4</v>
      </c>
      <c r="Q470" s="217" t="str">
        <f>VLOOKUP(Table3236[[#This Row],[Census Tract]],'UI EnergyBurden'!$A$2:$B$184,2,FALSE)</f>
        <v>No</v>
      </c>
    </row>
    <row r="471" spans="1:17" x14ac:dyDescent="0.2">
      <c r="A471" s="128">
        <v>9009180400</v>
      </c>
      <c r="B471" s="213" t="s">
        <v>3880</v>
      </c>
      <c r="C471" s="128" t="s">
        <v>3886</v>
      </c>
      <c r="D471" s="152">
        <v>0</v>
      </c>
      <c r="E471" s="152">
        <v>0</v>
      </c>
      <c r="F471" s="214">
        <f>[2]!Table323[[#This Row],[Single Family]]+[2]!Table323[[#This Row],[2-4 Units]]+[2]!Table323[[#This Row],[&gt;4 Units]]</f>
        <v>0</v>
      </c>
      <c r="G471" s="214"/>
      <c r="H471" s="214"/>
      <c r="I471" s="214"/>
      <c r="J471" s="215">
        <v>0</v>
      </c>
      <c r="K471" s="214">
        <f>SUM([2]!Table323[[#This Row],[Single Family ]:[&gt;4 Units ]])</f>
        <v>0</v>
      </c>
      <c r="L471" s="216"/>
      <c r="M471" s="216"/>
      <c r="N471" s="216"/>
      <c r="O471" s="156">
        <v>0</v>
      </c>
      <c r="P471" s="212">
        <f>VLOOKUP(Table3236[[#This Row],[Census Tract]],'Population and Diversity Data'!$B$2:$K$823,10,FALSE)</f>
        <v>4</v>
      </c>
      <c r="Q471" s="217" t="str">
        <f>VLOOKUP(Table3236[[#This Row],[Census Tract]],'UI EnergyBurden'!$A$2:$B$184,2,FALSE)</f>
        <v>No</v>
      </c>
    </row>
    <row r="472" spans="1:17" x14ac:dyDescent="0.2">
      <c r="A472" s="128">
        <v>9009180500</v>
      </c>
      <c r="B472" s="213" t="s">
        <v>3880</v>
      </c>
      <c r="C472" s="128" t="s">
        <v>3886</v>
      </c>
      <c r="D472" s="152">
        <v>65856.037104341405</v>
      </c>
      <c r="E472" s="152">
        <v>52528.799999999996</v>
      </c>
      <c r="F472" s="214">
        <f>[2]!Table323[[#This Row],[Single Family]]+[2]!Table323[[#This Row],[2-4 Units]]+[2]!Table323[[#This Row],[&gt;4 Units]]</f>
        <v>26</v>
      </c>
      <c r="G472" s="214">
        <v>23</v>
      </c>
      <c r="H472" s="214">
        <v>2</v>
      </c>
      <c r="I472" s="214">
        <v>1</v>
      </c>
      <c r="J472" s="215">
        <v>27520.399999999998</v>
      </c>
      <c r="K472" s="214">
        <f>SUM([2]!Table323[[#This Row],[Single Family ]:[&gt;4 Units ]])</f>
        <v>9</v>
      </c>
      <c r="L472" s="216">
        <v>6</v>
      </c>
      <c r="M472" s="216">
        <v>3</v>
      </c>
      <c r="N472" s="216">
        <v>0</v>
      </c>
      <c r="O472" s="156">
        <v>25008.400000000001</v>
      </c>
      <c r="P472" s="212">
        <f>VLOOKUP(Table3236[[#This Row],[Census Tract]],'Population and Diversity Data'!$B$2:$K$823,10,FALSE)</f>
        <v>5</v>
      </c>
      <c r="Q472" s="217" t="str">
        <f>VLOOKUP(Table3236[[#This Row],[Census Tract]],'UI EnergyBurden'!$A$2:$B$184,2,FALSE)</f>
        <v>No</v>
      </c>
    </row>
    <row r="473" spans="1:17" x14ac:dyDescent="0.2">
      <c r="A473" s="128">
        <v>9009180500</v>
      </c>
      <c r="B473" s="213" t="s">
        <v>943</v>
      </c>
      <c r="C473" s="128" t="s">
        <v>3886</v>
      </c>
      <c r="D473" s="152">
        <v>257.31948519843058</v>
      </c>
      <c r="E473" s="152">
        <v>0</v>
      </c>
      <c r="F473" s="214">
        <f>[2]!Table323[[#This Row],[Single Family]]+[2]!Table323[[#This Row],[2-4 Units]]+[2]!Table323[[#This Row],[&gt;4 Units]]</f>
        <v>0</v>
      </c>
      <c r="G473" s="214"/>
      <c r="H473" s="214"/>
      <c r="I473" s="214"/>
      <c r="J473" s="215">
        <v>0</v>
      </c>
      <c r="K473" s="214">
        <f>SUM([2]!Table323[[#This Row],[Single Family ]:[&gt;4 Units ]])</f>
        <v>0</v>
      </c>
      <c r="L473" s="216"/>
      <c r="M473" s="216"/>
      <c r="N473" s="216"/>
      <c r="O473" s="156">
        <v>0</v>
      </c>
      <c r="P473" s="212">
        <f>VLOOKUP(Table3236[[#This Row],[Census Tract]],'Population and Diversity Data'!$B$2:$K$823,10,FALSE)</f>
        <v>5</v>
      </c>
      <c r="Q473" s="217" t="str">
        <f>VLOOKUP(Table3236[[#This Row],[Census Tract]],'UI EnergyBurden'!$A$2:$B$184,2,FALSE)</f>
        <v>No</v>
      </c>
    </row>
    <row r="474" spans="1:17" x14ac:dyDescent="0.2">
      <c r="A474" s="128">
        <v>9009180500</v>
      </c>
      <c r="B474" s="213" t="s">
        <v>950</v>
      </c>
      <c r="C474" s="128" t="s">
        <v>3886</v>
      </c>
      <c r="D474" s="152">
        <v>68.751489559449368</v>
      </c>
      <c r="E474" s="152">
        <v>0</v>
      </c>
      <c r="F474" s="214">
        <f>[2]!Table323[[#This Row],[Single Family]]+[2]!Table323[[#This Row],[2-4 Units]]+[2]!Table323[[#This Row],[&gt;4 Units]]</f>
        <v>0</v>
      </c>
      <c r="G474" s="214"/>
      <c r="H474" s="214"/>
      <c r="I474" s="214"/>
      <c r="J474" s="215">
        <v>0</v>
      </c>
      <c r="K474" s="214">
        <f>SUM([2]!Table323[[#This Row],[Single Family ]:[&gt;4 Units ]])</f>
        <v>0</v>
      </c>
      <c r="L474" s="216"/>
      <c r="M474" s="216"/>
      <c r="N474" s="216"/>
      <c r="O474" s="156"/>
      <c r="P474" s="212">
        <f>VLOOKUP(Table3236[[#This Row],[Census Tract]],'Population and Diversity Data'!$B$2:$K$823,10,FALSE)</f>
        <v>5</v>
      </c>
      <c r="Q474" s="217" t="str">
        <f>VLOOKUP(Table3236[[#This Row],[Census Tract]],'UI EnergyBurden'!$A$2:$B$184,2,FALSE)</f>
        <v>No</v>
      </c>
    </row>
    <row r="475" spans="1:17" x14ac:dyDescent="0.2">
      <c r="A475" s="128">
        <v>9009180500</v>
      </c>
      <c r="B475" s="213" t="s">
        <v>3880</v>
      </c>
      <c r="C475" s="128" t="s">
        <v>3886</v>
      </c>
      <c r="D475" s="152">
        <v>0</v>
      </c>
      <c r="E475" s="152">
        <v>0</v>
      </c>
      <c r="F475" s="214">
        <f>[2]!Table323[[#This Row],[Single Family]]+[2]!Table323[[#This Row],[2-4 Units]]+[2]!Table323[[#This Row],[&gt;4 Units]]</f>
        <v>0</v>
      </c>
      <c r="G475" s="214"/>
      <c r="H475" s="214"/>
      <c r="I475" s="214"/>
      <c r="J475" s="215">
        <v>0</v>
      </c>
      <c r="K475" s="214">
        <f>SUM([2]!Table323[[#This Row],[Single Family ]:[&gt;4 Units ]])</f>
        <v>0</v>
      </c>
      <c r="L475" s="216"/>
      <c r="M475" s="216"/>
      <c r="N475" s="216"/>
      <c r="O475" s="156"/>
      <c r="P475" s="212">
        <f>VLOOKUP(Table3236[[#This Row],[Census Tract]],'Population and Diversity Data'!$B$2:$K$823,10,FALSE)</f>
        <v>5</v>
      </c>
      <c r="Q475" s="217" t="str">
        <f>VLOOKUP(Table3236[[#This Row],[Census Tract]],'UI EnergyBurden'!$A$2:$B$184,2,FALSE)</f>
        <v>No</v>
      </c>
    </row>
    <row r="476" spans="1:17" x14ac:dyDescent="0.2">
      <c r="A476" s="128">
        <v>9009180500</v>
      </c>
      <c r="B476" s="213" t="s">
        <v>943</v>
      </c>
      <c r="C476" s="128" t="s">
        <v>3886</v>
      </c>
      <c r="D476" s="152">
        <v>0</v>
      </c>
      <c r="E476" s="152">
        <v>0</v>
      </c>
      <c r="F476" s="214">
        <f>[2]!Table323[[#This Row],[Single Family]]+[2]!Table323[[#This Row],[2-4 Units]]+[2]!Table323[[#This Row],[&gt;4 Units]]</f>
        <v>0</v>
      </c>
      <c r="G476" s="214"/>
      <c r="H476" s="214"/>
      <c r="I476" s="214"/>
      <c r="J476" s="215">
        <v>0</v>
      </c>
      <c r="K476" s="214">
        <f>SUM([2]!Table323[[#This Row],[Single Family ]:[&gt;4 Units ]])</f>
        <v>0</v>
      </c>
      <c r="L476" s="216"/>
      <c r="M476" s="216"/>
      <c r="N476" s="216"/>
      <c r="O476" s="156">
        <v>0</v>
      </c>
      <c r="P476" s="212">
        <f>VLOOKUP(Table3236[[#This Row],[Census Tract]],'Population and Diversity Data'!$B$2:$K$823,10,FALSE)</f>
        <v>5</v>
      </c>
      <c r="Q476" s="217" t="str">
        <f>VLOOKUP(Table3236[[#This Row],[Census Tract]],'UI EnergyBurden'!$A$2:$B$184,2,FALSE)</f>
        <v>No</v>
      </c>
    </row>
    <row r="477" spans="1:17" x14ac:dyDescent="0.2">
      <c r="A477" s="128">
        <v>9009180601</v>
      </c>
      <c r="B477" s="213" t="s">
        <v>3880</v>
      </c>
      <c r="C477" s="128" t="s">
        <v>3886</v>
      </c>
      <c r="D477" s="152">
        <v>43926.430987637439</v>
      </c>
      <c r="E477" s="152">
        <v>82968.37000000001</v>
      </c>
      <c r="F477" s="214">
        <f>[2]!Table323[[#This Row],[Single Family]]+[2]!Table323[[#This Row],[2-4 Units]]+[2]!Table323[[#This Row],[&gt;4 Units]]</f>
        <v>22</v>
      </c>
      <c r="G477" s="214">
        <v>22</v>
      </c>
      <c r="H477" s="214">
        <v>0</v>
      </c>
      <c r="I477" s="214">
        <v>0</v>
      </c>
      <c r="J477" s="215">
        <v>58703.389999999992</v>
      </c>
      <c r="K477" s="214">
        <f>SUM([2]!Table323[[#This Row],[Single Family ]:[&gt;4 Units ]])</f>
        <v>6</v>
      </c>
      <c r="L477" s="216">
        <v>6</v>
      </c>
      <c r="M477" s="216">
        <v>0</v>
      </c>
      <c r="N477" s="216">
        <v>0</v>
      </c>
      <c r="O477" s="156">
        <v>24264.98</v>
      </c>
      <c r="P477" s="212">
        <f>VLOOKUP(Table3236[[#This Row],[Census Tract]],'Population and Diversity Data'!$B$2:$K$823,10,FALSE)</f>
        <v>1</v>
      </c>
      <c r="Q477" s="217" t="str">
        <f>VLOOKUP(Table3236[[#This Row],[Census Tract]],'UI EnergyBurden'!$A$2:$B$184,2,FALSE)</f>
        <v>No</v>
      </c>
    </row>
    <row r="478" spans="1:17" x14ac:dyDescent="0.2">
      <c r="A478" s="128">
        <v>9009180601</v>
      </c>
      <c r="B478" s="213" t="s">
        <v>943</v>
      </c>
      <c r="C478" s="128" t="s">
        <v>3886</v>
      </c>
      <c r="D478" s="152">
        <v>0</v>
      </c>
      <c r="E478" s="152">
        <v>0</v>
      </c>
      <c r="F478" s="214">
        <f>[2]!Table323[[#This Row],[Single Family]]+[2]!Table323[[#This Row],[2-4 Units]]+[2]!Table323[[#This Row],[&gt;4 Units]]</f>
        <v>0</v>
      </c>
      <c r="G478" s="214"/>
      <c r="H478" s="214"/>
      <c r="I478" s="214"/>
      <c r="J478" s="215">
        <v>0</v>
      </c>
      <c r="K478" s="214">
        <f>SUM([2]!Table323[[#This Row],[Single Family ]:[&gt;4 Units ]])</f>
        <v>0</v>
      </c>
      <c r="L478" s="216"/>
      <c r="M478" s="216"/>
      <c r="N478" s="216"/>
      <c r="O478" s="156"/>
      <c r="P478" s="212">
        <f>VLOOKUP(Table3236[[#This Row],[Census Tract]],'Population and Diversity Data'!$B$2:$K$823,10,FALSE)</f>
        <v>1</v>
      </c>
      <c r="Q478" s="217" t="str">
        <f>VLOOKUP(Table3236[[#This Row],[Census Tract]],'UI EnergyBurden'!$A$2:$B$184,2,FALSE)</f>
        <v>No</v>
      </c>
    </row>
    <row r="479" spans="1:17" x14ac:dyDescent="0.2">
      <c r="A479" s="128">
        <v>9009180601</v>
      </c>
      <c r="B479" s="213" t="s">
        <v>3005</v>
      </c>
      <c r="C479" s="128" t="s">
        <v>3886</v>
      </c>
      <c r="D479" s="152">
        <v>0</v>
      </c>
      <c r="E479" s="152">
        <v>0</v>
      </c>
      <c r="F479" s="214">
        <f>[2]!Table323[[#This Row],[Single Family]]+[2]!Table323[[#This Row],[2-4 Units]]+[2]!Table323[[#This Row],[&gt;4 Units]]</f>
        <v>0</v>
      </c>
      <c r="G479" s="214"/>
      <c r="H479" s="214"/>
      <c r="I479" s="214"/>
      <c r="J479" s="215">
        <v>0</v>
      </c>
      <c r="K479" s="214">
        <f>SUM([2]!Table323[[#This Row],[Single Family ]:[&gt;4 Units ]])</f>
        <v>0</v>
      </c>
      <c r="L479" s="216"/>
      <c r="M479" s="216"/>
      <c r="N479" s="216"/>
      <c r="O479" s="156"/>
      <c r="P479" s="212">
        <f>VLOOKUP(Table3236[[#This Row],[Census Tract]],'Population and Diversity Data'!$B$2:$K$823,10,FALSE)</f>
        <v>1</v>
      </c>
      <c r="Q479" s="217" t="str">
        <f>VLOOKUP(Table3236[[#This Row],[Census Tract]],'UI EnergyBurden'!$A$2:$B$184,2,FALSE)</f>
        <v>No</v>
      </c>
    </row>
    <row r="480" spans="1:17" x14ac:dyDescent="0.2">
      <c r="A480" s="128">
        <v>9009180601</v>
      </c>
      <c r="B480" s="213" t="s">
        <v>3004</v>
      </c>
      <c r="C480" s="128" t="s">
        <v>3886</v>
      </c>
      <c r="D480" s="152">
        <v>41.83167115888871</v>
      </c>
      <c r="E480" s="152">
        <v>0</v>
      </c>
      <c r="F480" s="214">
        <f>[2]!Table323[[#This Row],[Single Family]]+[2]!Table323[[#This Row],[2-4 Units]]+[2]!Table323[[#This Row],[&gt;4 Units]]</f>
        <v>0</v>
      </c>
      <c r="G480" s="214"/>
      <c r="H480" s="214"/>
      <c r="I480" s="214"/>
      <c r="J480" s="215">
        <v>0</v>
      </c>
      <c r="K480" s="214">
        <f>SUM([2]!Table323[[#This Row],[Single Family ]:[&gt;4 Units ]])</f>
        <v>0</v>
      </c>
      <c r="L480" s="216"/>
      <c r="M480" s="216"/>
      <c r="N480" s="216"/>
      <c r="O480" s="156"/>
      <c r="P480" s="212">
        <f>VLOOKUP(Table3236[[#This Row],[Census Tract]],'Population and Diversity Data'!$B$2:$K$823,10,FALSE)</f>
        <v>1</v>
      </c>
      <c r="Q480" s="217" t="str">
        <f>VLOOKUP(Table3236[[#This Row],[Census Tract]],'UI EnergyBurden'!$A$2:$B$184,2,FALSE)</f>
        <v>No</v>
      </c>
    </row>
    <row r="481" spans="1:17" x14ac:dyDescent="0.2">
      <c r="A481" s="128">
        <v>9009180601</v>
      </c>
      <c r="B481" s="213" t="s">
        <v>3880</v>
      </c>
      <c r="C481" s="128" t="s">
        <v>3886</v>
      </c>
      <c r="D481" s="152">
        <v>0</v>
      </c>
      <c r="E481" s="152">
        <v>0</v>
      </c>
      <c r="F481" s="214">
        <f>[2]!Table323[[#This Row],[Single Family]]+[2]!Table323[[#This Row],[2-4 Units]]+[2]!Table323[[#This Row],[&gt;4 Units]]</f>
        <v>0</v>
      </c>
      <c r="G481" s="214"/>
      <c r="H481" s="214"/>
      <c r="I481" s="214"/>
      <c r="J481" s="215">
        <v>0</v>
      </c>
      <c r="K481" s="214">
        <f>SUM([2]!Table323[[#This Row],[Single Family ]:[&gt;4 Units ]])</f>
        <v>0</v>
      </c>
      <c r="L481" s="216"/>
      <c r="M481" s="216"/>
      <c r="N481" s="216"/>
      <c r="O481" s="156"/>
      <c r="P481" s="212">
        <f>VLOOKUP(Table3236[[#This Row],[Census Tract]],'Population and Diversity Data'!$B$2:$K$823,10,FALSE)</f>
        <v>1</v>
      </c>
      <c r="Q481" s="217" t="str">
        <f>VLOOKUP(Table3236[[#This Row],[Census Tract]],'UI EnergyBurden'!$A$2:$B$184,2,FALSE)</f>
        <v>No</v>
      </c>
    </row>
    <row r="482" spans="1:17" x14ac:dyDescent="0.2">
      <c r="A482" s="128">
        <v>9009180602</v>
      </c>
      <c r="B482" s="213" t="s">
        <v>3880</v>
      </c>
      <c r="C482" s="128" t="s">
        <v>3886</v>
      </c>
      <c r="D482" s="152">
        <v>56163.900662167798</v>
      </c>
      <c r="E482" s="152">
        <v>23783.770000000004</v>
      </c>
      <c r="F482" s="214">
        <f>[2]!Table323[[#This Row],[Single Family]]+[2]!Table323[[#This Row],[2-4 Units]]+[2]!Table323[[#This Row],[&gt;4 Units]]</f>
        <v>22</v>
      </c>
      <c r="G482" s="214">
        <v>21</v>
      </c>
      <c r="H482" s="214">
        <v>1</v>
      </c>
      <c r="I482" s="214">
        <v>0</v>
      </c>
      <c r="J482" s="215">
        <v>22127.030000000002</v>
      </c>
      <c r="K482" s="214">
        <f>SUM([2]!Table323[[#This Row],[Single Family ]:[&gt;4 Units ]])</f>
        <v>3</v>
      </c>
      <c r="L482" s="216">
        <v>3</v>
      </c>
      <c r="M482" s="216">
        <v>0</v>
      </c>
      <c r="N482" s="216">
        <v>0</v>
      </c>
      <c r="O482" s="156">
        <v>1656.74</v>
      </c>
      <c r="P482" s="212">
        <f>VLOOKUP(Table3236[[#This Row],[Census Tract]],'Population and Diversity Data'!$B$2:$K$823,10,FALSE)</f>
        <v>1</v>
      </c>
      <c r="Q482" s="217" t="str">
        <f>VLOOKUP(Table3236[[#This Row],[Census Tract]],'UI EnergyBurden'!$A$2:$B$184,2,FALSE)</f>
        <v>No</v>
      </c>
    </row>
    <row r="483" spans="1:17" x14ac:dyDescent="0.2">
      <c r="A483" s="128">
        <v>9009180602</v>
      </c>
      <c r="B483" s="213" t="s">
        <v>943</v>
      </c>
      <c r="C483" s="128" t="s">
        <v>3886</v>
      </c>
      <c r="D483" s="152">
        <v>0</v>
      </c>
      <c r="E483" s="152">
        <v>0</v>
      </c>
      <c r="F483" s="214">
        <f>[2]!Table323[[#This Row],[Single Family]]+[2]!Table323[[#This Row],[2-4 Units]]+[2]!Table323[[#This Row],[&gt;4 Units]]</f>
        <v>0</v>
      </c>
      <c r="G483" s="214"/>
      <c r="H483" s="214"/>
      <c r="I483" s="214"/>
      <c r="J483" s="215">
        <v>0</v>
      </c>
      <c r="K483" s="214">
        <f>SUM([2]!Table323[[#This Row],[Single Family ]:[&gt;4 Units ]])</f>
        <v>0</v>
      </c>
      <c r="L483" s="216"/>
      <c r="M483" s="216"/>
      <c r="N483" s="216"/>
      <c r="O483" s="156"/>
      <c r="P483" s="212">
        <f>VLOOKUP(Table3236[[#This Row],[Census Tract]],'Population and Diversity Data'!$B$2:$K$823,10,FALSE)</f>
        <v>1</v>
      </c>
      <c r="Q483" s="217" t="str">
        <f>VLOOKUP(Table3236[[#This Row],[Census Tract]],'UI EnergyBurden'!$A$2:$B$184,2,FALSE)</f>
        <v>No</v>
      </c>
    </row>
    <row r="484" spans="1:17" x14ac:dyDescent="0.2">
      <c r="A484" s="128">
        <v>9009180602</v>
      </c>
      <c r="B484" s="213" t="s">
        <v>3004</v>
      </c>
      <c r="C484" s="128" t="s">
        <v>3886</v>
      </c>
      <c r="D484" s="152">
        <v>1142.5018382853623</v>
      </c>
      <c r="E484" s="152">
        <v>1040.42</v>
      </c>
      <c r="F484" s="214">
        <f>[2]!Table323[[#This Row],[Single Family]]+[2]!Table323[[#This Row],[2-4 Units]]+[2]!Table323[[#This Row],[&gt;4 Units]]</f>
        <v>1</v>
      </c>
      <c r="G484" s="214">
        <v>1</v>
      </c>
      <c r="H484" s="214">
        <v>0</v>
      </c>
      <c r="I484" s="214">
        <v>0</v>
      </c>
      <c r="J484" s="215">
        <v>1040.42</v>
      </c>
      <c r="K484" s="214">
        <f>SUM([2]!Table323[[#This Row],[Single Family ]:[&gt;4 Units ]])</f>
        <v>0</v>
      </c>
      <c r="L484" s="216"/>
      <c r="M484" s="216"/>
      <c r="N484" s="216"/>
      <c r="O484" s="156">
        <v>0</v>
      </c>
      <c r="P484" s="212">
        <f>VLOOKUP(Table3236[[#This Row],[Census Tract]],'Population and Diversity Data'!$B$2:$K$823,10,FALSE)</f>
        <v>1</v>
      </c>
      <c r="Q484" s="217" t="str">
        <f>VLOOKUP(Table3236[[#This Row],[Census Tract]],'UI EnergyBurden'!$A$2:$B$184,2,FALSE)</f>
        <v>No</v>
      </c>
    </row>
    <row r="485" spans="1:17" x14ac:dyDescent="0.2">
      <c r="A485" s="128">
        <v>9009180602</v>
      </c>
      <c r="B485" s="213" t="s">
        <v>3880</v>
      </c>
      <c r="C485" s="128" t="s">
        <v>3886</v>
      </c>
      <c r="D485" s="152">
        <v>0</v>
      </c>
      <c r="E485" s="152">
        <v>0</v>
      </c>
      <c r="F485" s="214">
        <f>[2]!Table323[[#This Row],[Single Family]]+[2]!Table323[[#This Row],[2-4 Units]]+[2]!Table323[[#This Row],[&gt;4 Units]]</f>
        <v>0</v>
      </c>
      <c r="G485" s="214"/>
      <c r="H485" s="214"/>
      <c r="I485" s="214"/>
      <c r="J485" s="215">
        <v>0</v>
      </c>
      <c r="K485" s="214">
        <f>SUM([2]!Table323[[#This Row],[Single Family ]:[&gt;4 Units ]])</f>
        <v>0</v>
      </c>
      <c r="L485" s="216"/>
      <c r="M485" s="216"/>
      <c r="N485" s="216"/>
      <c r="O485" s="156">
        <v>0</v>
      </c>
      <c r="P485" s="212">
        <f>VLOOKUP(Table3236[[#This Row],[Census Tract]],'Population and Diversity Data'!$B$2:$K$823,10,FALSE)</f>
        <v>1</v>
      </c>
      <c r="Q485" s="217" t="str">
        <f>VLOOKUP(Table3236[[#This Row],[Census Tract]],'UI EnergyBurden'!$A$2:$B$184,2,FALSE)</f>
        <v>No</v>
      </c>
    </row>
    <row r="486" spans="1:17" x14ac:dyDescent="0.2">
      <c r="A486" s="128">
        <v>9009184700</v>
      </c>
      <c r="B486" s="213" t="s">
        <v>3005</v>
      </c>
      <c r="C486" s="128" t="s">
        <v>944</v>
      </c>
      <c r="D486" s="152">
        <v>2062.793987108234</v>
      </c>
      <c r="E486" s="152">
        <v>22205.02</v>
      </c>
      <c r="F486" s="214">
        <f>[2]!Table323[[#This Row],[Single Family]]+[2]!Table323[[#This Row],[2-4 Units]]+[2]!Table323[[#This Row],[&gt;4 Units]]</f>
        <v>2</v>
      </c>
      <c r="G486" s="214">
        <v>2</v>
      </c>
      <c r="H486" s="214">
        <v>0</v>
      </c>
      <c r="I486" s="214">
        <v>0</v>
      </c>
      <c r="J486" s="215">
        <v>2569.3599999999997</v>
      </c>
      <c r="K486" s="214">
        <f>SUM([2]!Table323[[#This Row],[Single Family ]:[&gt;4 Units ]])</f>
        <v>1</v>
      </c>
      <c r="L486" s="216">
        <v>1</v>
      </c>
      <c r="M486" s="216">
        <v>0</v>
      </c>
      <c r="N486" s="216">
        <v>0</v>
      </c>
      <c r="O486" s="156">
        <v>19635.66</v>
      </c>
      <c r="P486" s="212">
        <f>VLOOKUP(Table3236[[#This Row],[Census Tract]],'Population and Diversity Data'!$B$2:$K$823,10,FALSE)</f>
        <v>4</v>
      </c>
      <c r="Q486" s="217" t="str">
        <f>VLOOKUP(Table3236[[#This Row],[Census Tract]],'UI EnergyBurden'!$A$2:$B$184,2,FALSE)</f>
        <v>No</v>
      </c>
    </row>
    <row r="487" spans="1:17" x14ac:dyDescent="0.2">
      <c r="A487" s="128">
        <v>9009186100</v>
      </c>
      <c r="B487" s="213" t="s">
        <v>3880</v>
      </c>
      <c r="C487" s="128" t="s">
        <v>3886</v>
      </c>
      <c r="D487" s="152">
        <v>57.985408868297341</v>
      </c>
      <c r="E487" s="152">
        <v>0</v>
      </c>
      <c r="F487" s="214">
        <f>[2]!Table323[[#This Row],[Single Family]]+[2]!Table323[[#This Row],[2-4 Units]]+[2]!Table323[[#This Row],[&gt;4 Units]]</f>
        <v>0</v>
      </c>
      <c r="G487" s="214"/>
      <c r="H487" s="214"/>
      <c r="I487" s="214"/>
      <c r="J487" s="215">
        <v>0</v>
      </c>
      <c r="K487" s="214">
        <f>SUM([2]!Table323[[#This Row],[Single Family ]:[&gt;4 Units ]])</f>
        <v>0</v>
      </c>
      <c r="L487" s="216"/>
      <c r="M487" s="216"/>
      <c r="N487" s="216"/>
      <c r="O487" s="156"/>
      <c r="P487" s="212">
        <f>VLOOKUP(Table3236[[#This Row],[Census Tract]],'Population and Diversity Data'!$B$2:$K$823,10,FALSE)</f>
        <v>2</v>
      </c>
      <c r="Q487" s="217" t="str">
        <f>VLOOKUP(Table3236[[#This Row],[Census Tract]],'UI EnergyBurden'!$A$2:$B$184,2,FALSE)</f>
        <v>No</v>
      </c>
    </row>
    <row r="488" spans="1:17" x14ac:dyDescent="0.2">
      <c r="A488" s="128">
        <v>9009186100</v>
      </c>
      <c r="B488" s="213" t="s">
        <v>3005</v>
      </c>
      <c r="C488" s="128" t="s">
        <v>3886</v>
      </c>
      <c r="D488" s="152">
        <v>103724.03161659447</v>
      </c>
      <c r="E488" s="152">
        <v>102407.64000000001</v>
      </c>
      <c r="F488" s="214">
        <f>[2]!Table323[[#This Row],[Single Family]]+[2]!Table323[[#This Row],[2-4 Units]]+[2]!Table323[[#This Row],[&gt;4 Units]]</f>
        <v>40</v>
      </c>
      <c r="G488" s="214">
        <v>40</v>
      </c>
      <c r="H488" s="214">
        <v>0</v>
      </c>
      <c r="I488" s="214">
        <v>0</v>
      </c>
      <c r="J488" s="215">
        <v>84912.93</v>
      </c>
      <c r="K488" s="214">
        <f>SUM([2]!Table323[[#This Row],[Single Family ]:[&gt;4 Units ]])</f>
        <v>5</v>
      </c>
      <c r="L488" s="216">
        <v>5</v>
      </c>
      <c r="M488" s="216">
        <v>0</v>
      </c>
      <c r="N488" s="216">
        <v>0</v>
      </c>
      <c r="O488" s="156">
        <v>17494.71</v>
      </c>
      <c r="P488" s="212">
        <f>VLOOKUP(Table3236[[#This Row],[Census Tract]],'Population and Diversity Data'!$B$2:$K$823,10,FALSE)</f>
        <v>2</v>
      </c>
      <c r="Q488" s="217" t="str">
        <f>VLOOKUP(Table3236[[#This Row],[Census Tract]],'UI EnergyBurden'!$A$2:$B$184,2,FALSE)</f>
        <v>No</v>
      </c>
    </row>
    <row r="489" spans="1:17" x14ac:dyDescent="0.2">
      <c r="A489" s="128">
        <v>9009186100</v>
      </c>
      <c r="B489" s="213" t="s">
        <v>3005</v>
      </c>
      <c r="C489" s="128" t="s">
        <v>3886</v>
      </c>
      <c r="D489" s="152">
        <v>0</v>
      </c>
      <c r="E489" s="152">
        <v>0</v>
      </c>
      <c r="F489" s="214">
        <f>[2]!Table323[[#This Row],[Single Family]]+[2]!Table323[[#This Row],[2-4 Units]]+[2]!Table323[[#This Row],[&gt;4 Units]]</f>
        <v>0</v>
      </c>
      <c r="G489" s="214"/>
      <c r="H489" s="214"/>
      <c r="I489" s="214"/>
      <c r="J489" s="215">
        <v>0</v>
      </c>
      <c r="K489" s="214">
        <f>SUM([2]!Table323[[#This Row],[Single Family ]:[&gt;4 Units ]])</f>
        <v>0</v>
      </c>
      <c r="L489" s="216"/>
      <c r="M489" s="216"/>
      <c r="N489" s="216"/>
      <c r="O489" s="156">
        <v>0</v>
      </c>
      <c r="P489" s="212">
        <f>VLOOKUP(Table3236[[#This Row],[Census Tract]],'Population and Diversity Data'!$B$2:$K$823,10,FALSE)</f>
        <v>2</v>
      </c>
      <c r="Q489" s="217" t="str">
        <f>VLOOKUP(Table3236[[#This Row],[Census Tract]],'UI EnergyBurden'!$A$2:$B$184,2,FALSE)</f>
        <v>No</v>
      </c>
    </row>
    <row r="490" spans="1:17" x14ac:dyDescent="0.2">
      <c r="A490" s="128">
        <v>9009186200</v>
      </c>
      <c r="B490" s="213" t="s">
        <v>3005</v>
      </c>
      <c r="C490" s="128" t="s">
        <v>3886</v>
      </c>
      <c r="D490" s="152">
        <v>8126.2349356779387</v>
      </c>
      <c r="E490" s="152">
        <v>16693.739999999998</v>
      </c>
      <c r="F490" s="214">
        <f>[2]!Table323[[#This Row],[Single Family]]+[2]!Table323[[#This Row],[2-4 Units]]+[2]!Table323[[#This Row],[&gt;4 Units]]</f>
        <v>7</v>
      </c>
      <c r="G490" s="214">
        <v>7</v>
      </c>
      <c r="H490" s="214">
        <v>0</v>
      </c>
      <c r="I490" s="214">
        <v>0</v>
      </c>
      <c r="J490" s="215">
        <v>16693.739999999998</v>
      </c>
      <c r="K490" s="214">
        <f>SUM([2]!Table323[[#This Row],[Single Family ]:[&gt;4 Units ]])</f>
        <v>0</v>
      </c>
      <c r="L490" s="216"/>
      <c r="M490" s="216"/>
      <c r="N490" s="216"/>
      <c r="O490" s="156">
        <v>0</v>
      </c>
      <c r="P490" s="212">
        <f>VLOOKUP(Table3236[[#This Row],[Census Tract]],'Population and Diversity Data'!$B$2:$K$823,10,FALSE)</f>
        <v>1</v>
      </c>
      <c r="Q490" s="217" t="str">
        <f>VLOOKUP(Table3236[[#This Row],[Census Tract]],'UI EnergyBurden'!$A$2:$B$184,2,FALSE)</f>
        <v>No</v>
      </c>
    </row>
    <row r="491" spans="1:17" x14ac:dyDescent="0.2">
      <c r="A491" s="128">
        <v>9009186200</v>
      </c>
      <c r="B491" s="213" t="s">
        <v>3004</v>
      </c>
      <c r="C491" s="128" t="s">
        <v>3886</v>
      </c>
      <c r="D491" s="152">
        <v>89.854300382457893</v>
      </c>
      <c r="E491" s="152">
        <v>0</v>
      </c>
      <c r="F491" s="214">
        <f>[2]!Table323[[#This Row],[Single Family]]+[2]!Table323[[#This Row],[2-4 Units]]+[2]!Table323[[#This Row],[&gt;4 Units]]</f>
        <v>0</v>
      </c>
      <c r="G491" s="214"/>
      <c r="H491" s="214"/>
      <c r="I491" s="214"/>
      <c r="J491" s="215">
        <v>0</v>
      </c>
      <c r="K491" s="214">
        <f>SUM([2]!Table323[[#This Row],[Single Family ]:[&gt;4 Units ]])</f>
        <v>0</v>
      </c>
      <c r="L491" s="216"/>
      <c r="M491" s="216"/>
      <c r="N491" s="216"/>
      <c r="O491" s="156"/>
      <c r="P491" s="212">
        <f>VLOOKUP(Table3236[[#This Row],[Census Tract]],'Population and Diversity Data'!$B$2:$K$823,10,FALSE)</f>
        <v>1</v>
      </c>
      <c r="Q491" s="217" t="str">
        <f>VLOOKUP(Table3236[[#This Row],[Census Tract]],'UI EnergyBurden'!$A$2:$B$184,2,FALSE)</f>
        <v>No</v>
      </c>
    </row>
    <row r="492" spans="1:17" x14ac:dyDescent="0.2">
      <c r="A492" s="128">
        <v>9009186200</v>
      </c>
      <c r="B492" s="213" t="s">
        <v>3005</v>
      </c>
      <c r="C492" s="128" t="s">
        <v>3886</v>
      </c>
      <c r="D492" s="152">
        <v>0</v>
      </c>
      <c r="E492" s="152">
        <v>0</v>
      </c>
      <c r="F492" s="214">
        <f>[2]!Table323[[#This Row],[Single Family]]+[2]!Table323[[#This Row],[2-4 Units]]+[2]!Table323[[#This Row],[&gt;4 Units]]</f>
        <v>0</v>
      </c>
      <c r="G492" s="214"/>
      <c r="H492" s="214"/>
      <c r="I492" s="214"/>
      <c r="J492" s="215">
        <v>0</v>
      </c>
      <c r="K492" s="214">
        <f>SUM([2]!Table323[[#This Row],[Single Family ]:[&gt;4 Units ]])</f>
        <v>0</v>
      </c>
      <c r="L492" s="216"/>
      <c r="M492" s="216"/>
      <c r="N492" s="216"/>
      <c r="O492" s="156">
        <v>0</v>
      </c>
      <c r="P492" s="212">
        <f>VLOOKUP(Table3236[[#This Row],[Census Tract]],'Population and Diversity Data'!$B$2:$K$823,10,FALSE)</f>
        <v>1</v>
      </c>
      <c r="Q492" s="217" t="str">
        <f>VLOOKUP(Table3236[[#This Row],[Census Tract]],'UI EnergyBurden'!$A$2:$B$184,2,FALSE)</f>
        <v>No</v>
      </c>
    </row>
    <row r="493" spans="1:17" x14ac:dyDescent="0.2">
      <c r="A493" s="128">
        <v>9009190302</v>
      </c>
      <c r="B493" s="213" t="s">
        <v>3005</v>
      </c>
      <c r="C493" s="128" t="s">
        <v>944</v>
      </c>
      <c r="D493" s="152">
        <v>195.11905417274832</v>
      </c>
      <c r="E493" s="152">
        <v>0</v>
      </c>
      <c r="F493" s="214">
        <f>[2]!Table323[[#This Row],[Single Family]]+[2]!Table323[[#This Row],[2-4 Units]]+[2]!Table323[[#This Row],[&gt;4 Units]]</f>
        <v>0</v>
      </c>
      <c r="G493" s="214"/>
      <c r="H493" s="214"/>
      <c r="I493" s="214"/>
      <c r="J493" s="215">
        <v>0</v>
      </c>
      <c r="K493" s="214">
        <f>SUM([2]!Table323[[#This Row],[Single Family ]:[&gt;4 Units ]])</f>
        <v>0</v>
      </c>
      <c r="L493" s="216"/>
      <c r="M493" s="216"/>
      <c r="N493" s="216"/>
      <c r="O493" s="156"/>
      <c r="P493" s="212">
        <f>VLOOKUP(Table3236[[#This Row],[Census Tract]],'Population and Diversity Data'!$B$2:$K$823,10,FALSE)</f>
        <v>2</v>
      </c>
      <c r="Q493" s="217" t="str">
        <f>VLOOKUP(Table3236[[#This Row],[Census Tract]],'UI EnergyBurden'!$A$2:$B$184,2,FALSE)</f>
        <v>No</v>
      </c>
    </row>
    <row r="494" spans="1:17" x14ac:dyDescent="0.2">
      <c r="A494" s="128">
        <v>9009361401</v>
      </c>
      <c r="B494" s="213" t="s">
        <v>943</v>
      </c>
      <c r="C494" s="128" t="s">
        <v>3887</v>
      </c>
      <c r="D494" s="152">
        <v>19730.306351775831</v>
      </c>
      <c r="E494" s="152">
        <v>7281.23</v>
      </c>
      <c r="F494" s="214">
        <f>[2]!Table323[[#This Row],[Single Family]]+[2]!Table323[[#This Row],[2-4 Units]]+[2]!Table323[[#This Row],[&gt;4 Units]]</f>
        <v>1</v>
      </c>
      <c r="G494" s="214">
        <v>1</v>
      </c>
      <c r="H494" s="214">
        <v>0</v>
      </c>
      <c r="I494" s="214">
        <v>0</v>
      </c>
      <c r="J494" s="215">
        <v>1881.23</v>
      </c>
      <c r="K494" s="214">
        <f>SUM([2]!Table323[[#This Row],[Single Family ]:[&gt;4 Units ]])</f>
        <v>0</v>
      </c>
      <c r="L494" s="216">
        <v>0</v>
      </c>
      <c r="M494" s="216">
        <v>0</v>
      </c>
      <c r="N494" s="216">
        <v>0</v>
      </c>
      <c r="O494" s="156">
        <v>5400</v>
      </c>
      <c r="P494" s="212">
        <f>VLOOKUP(Table3236[[#This Row],[Census Tract]],'Population and Diversity Data'!$B$2:$K$823,10,FALSE)</f>
        <v>5</v>
      </c>
      <c r="Q494" s="217" t="str">
        <f>VLOOKUP(Table3236[[#This Row],[Census Tract]],'UI EnergyBurden'!$A$2:$B$184,2,FALSE)</f>
        <v>No</v>
      </c>
    </row>
    <row r="495" spans="1:17" x14ac:dyDescent="0.2">
      <c r="A495" s="128">
        <v>9009361401</v>
      </c>
      <c r="B495" s="213" t="s">
        <v>943</v>
      </c>
      <c r="C495" s="128" t="s">
        <v>3887</v>
      </c>
      <c r="D495" s="152">
        <v>3078.0280096075799</v>
      </c>
      <c r="E495" s="152">
        <v>0</v>
      </c>
      <c r="F495" s="214">
        <f>[2]!Table323[[#This Row],[Single Family]]+[2]!Table323[[#This Row],[2-4 Units]]+[2]!Table323[[#This Row],[&gt;4 Units]]</f>
        <v>0</v>
      </c>
      <c r="G495" s="214"/>
      <c r="H495" s="214"/>
      <c r="I495" s="214"/>
      <c r="J495" s="215">
        <v>0</v>
      </c>
      <c r="K495" s="214">
        <f>SUM([2]!Table323[[#This Row],[Single Family ]:[&gt;4 Units ]])</f>
        <v>0</v>
      </c>
      <c r="L495" s="216"/>
      <c r="M495" s="216"/>
      <c r="N495" s="216"/>
      <c r="O495" s="156">
        <v>0</v>
      </c>
      <c r="P495" s="212">
        <f>VLOOKUP(Table3236[[#This Row],[Census Tract]],'Population and Diversity Data'!$B$2:$K$823,10,FALSE)</f>
        <v>5</v>
      </c>
      <c r="Q495" s="217" t="str">
        <f>VLOOKUP(Table3236[[#This Row],[Census Tract]],'UI EnergyBurden'!$A$2:$B$184,2,FALSE)</f>
        <v>No</v>
      </c>
    </row>
    <row r="496" spans="1:17" x14ac:dyDescent="0.2">
      <c r="A496" s="128">
        <v>9009361402</v>
      </c>
      <c r="B496" s="213" t="s">
        <v>943</v>
      </c>
      <c r="C496" s="128" t="s">
        <v>3887</v>
      </c>
      <c r="D496" s="152">
        <v>4245.1551799712433</v>
      </c>
      <c r="E496" s="152">
        <v>858.35000000000014</v>
      </c>
      <c r="F496" s="214">
        <f>[2]!Table323[[#This Row],[Single Family]]+[2]!Table323[[#This Row],[2-4 Units]]+[2]!Table323[[#This Row],[&gt;4 Units]]</f>
        <v>1</v>
      </c>
      <c r="G496" s="214">
        <v>0</v>
      </c>
      <c r="H496" s="214">
        <v>1</v>
      </c>
      <c r="I496" s="214">
        <v>0</v>
      </c>
      <c r="J496" s="215">
        <v>458.43</v>
      </c>
      <c r="K496" s="214">
        <f>SUM([2]!Table323[[#This Row],[Single Family ]:[&gt;4 Units ]])</f>
        <v>1</v>
      </c>
      <c r="L496" s="216">
        <v>0</v>
      </c>
      <c r="M496" s="216">
        <v>1</v>
      </c>
      <c r="N496" s="216">
        <v>0</v>
      </c>
      <c r="O496" s="156">
        <v>399.92000000000019</v>
      </c>
      <c r="P496" s="212">
        <f>VLOOKUP(Table3236[[#This Row],[Census Tract]],'Population and Diversity Data'!$B$2:$K$823,10,FALSE)</f>
        <v>5</v>
      </c>
      <c r="Q496" s="217" t="str">
        <f>VLOOKUP(Table3236[[#This Row],[Census Tract]],'UI EnergyBurden'!$A$2:$B$184,2,FALSE)</f>
        <v>No</v>
      </c>
    </row>
    <row r="497" spans="1:17" x14ac:dyDescent="0.2">
      <c r="A497" s="128">
        <v>9009361402</v>
      </c>
      <c r="B497" s="213" t="s">
        <v>943</v>
      </c>
      <c r="C497" s="128" t="s">
        <v>3887</v>
      </c>
      <c r="D497" s="152">
        <v>0</v>
      </c>
      <c r="E497" s="152">
        <v>0</v>
      </c>
      <c r="F497" s="214">
        <f>[2]!Table323[[#This Row],[Single Family]]+[2]!Table323[[#This Row],[2-4 Units]]+[2]!Table323[[#This Row],[&gt;4 Units]]</f>
        <v>0</v>
      </c>
      <c r="G497" s="214"/>
      <c r="H497" s="214"/>
      <c r="I497" s="214"/>
      <c r="J497" s="215">
        <v>0</v>
      </c>
      <c r="K497" s="214">
        <f>SUM([2]!Table323[[#This Row],[Single Family ]:[&gt;4 Units ]])</f>
        <v>0</v>
      </c>
      <c r="L497" s="216"/>
      <c r="M497" s="216"/>
      <c r="N497" s="216"/>
      <c r="O497" s="156">
        <v>0</v>
      </c>
      <c r="P497" s="212">
        <f>VLOOKUP(Table3236[[#This Row],[Census Tract]],'Population and Diversity Data'!$B$2:$K$823,10,FALSE)</f>
        <v>5</v>
      </c>
      <c r="Q497" s="217" t="str">
        <f>VLOOKUP(Table3236[[#This Row],[Census Tract]],'UI EnergyBurden'!$A$2:$B$184,2,FALSE)</f>
        <v>No</v>
      </c>
    </row>
    <row r="498" spans="1:17" x14ac:dyDescent="0.2">
      <c r="A498" s="128">
        <v>9009361500</v>
      </c>
      <c r="B498" s="213" t="s">
        <v>3880</v>
      </c>
      <c r="C498" s="128" t="s">
        <v>3886</v>
      </c>
      <c r="D498" s="152">
        <v>158.79045684913115</v>
      </c>
      <c r="E498" s="152">
        <v>0</v>
      </c>
      <c r="F498" s="214">
        <f>[2]!Table323[[#This Row],[Single Family]]+[2]!Table323[[#This Row],[2-4 Units]]+[2]!Table323[[#This Row],[&gt;4 Units]]</f>
        <v>0</v>
      </c>
      <c r="G498" s="214"/>
      <c r="H498" s="214"/>
      <c r="I498" s="214"/>
      <c r="J498" s="215">
        <v>0</v>
      </c>
      <c r="K498" s="214">
        <f>SUM([2]!Table323[[#This Row],[Single Family ]:[&gt;4 Units ]])</f>
        <v>0</v>
      </c>
      <c r="L498" s="216"/>
      <c r="M498" s="216"/>
      <c r="N498" s="216"/>
      <c r="O498" s="156"/>
      <c r="P498" s="212">
        <f>VLOOKUP(Table3236[[#This Row],[Census Tract]],'Population and Diversity Data'!$B$2:$K$823,10,FALSE)</f>
        <v>5</v>
      </c>
      <c r="Q498" s="217" t="str">
        <f>VLOOKUP(Table3236[[#This Row],[Census Tract]],'UI EnergyBurden'!$A$2:$B$184,2,FALSE)</f>
        <v>No</v>
      </c>
    </row>
    <row r="499" spans="1:17" x14ac:dyDescent="0.2">
      <c r="A499" s="128">
        <v>9009361500</v>
      </c>
      <c r="B499" s="213" t="s">
        <v>950</v>
      </c>
      <c r="C499" s="128" t="s">
        <v>3886</v>
      </c>
      <c r="D499" s="152">
        <v>69749.143292381006</v>
      </c>
      <c r="E499" s="152">
        <v>77419.95</v>
      </c>
      <c r="F499" s="214">
        <f>[2]!Table323[[#This Row],[Single Family]]+[2]!Table323[[#This Row],[2-4 Units]]+[2]!Table323[[#This Row],[&gt;4 Units]]</f>
        <v>13</v>
      </c>
      <c r="G499" s="214">
        <v>12</v>
      </c>
      <c r="H499" s="214">
        <v>1</v>
      </c>
      <c r="I499" s="214">
        <v>0</v>
      </c>
      <c r="J499" s="215">
        <v>22833.350000000002</v>
      </c>
      <c r="K499" s="214">
        <f>SUM([2]!Table323[[#This Row],[Single Family ]:[&gt;4 Units ]])</f>
        <v>14</v>
      </c>
      <c r="L499" s="216">
        <v>10</v>
      </c>
      <c r="M499" s="216">
        <v>2</v>
      </c>
      <c r="N499" s="216">
        <v>2</v>
      </c>
      <c r="O499" s="156">
        <v>54586.599999999991</v>
      </c>
      <c r="P499" s="212">
        <f>VLOOKUP(Table3236[[#This Row],[Census Tract]],'Population and Diversity Data'!$B$2:$K$823,10,FALSE)</f>
        <v>5</v>
      </c>
      <c r="Q499" s="217" t="str">
        <f>VLOOKUP(Table3236[[#This Row],[Census Tract]],'UI EnergyBurden'!$A$2:$B$184,2,FALSE)</f>
        <v>No</v>
      </c>
    </row>
    <row r="500" spans="1:17" x14ac:dyDescent="0.2">
      <c r="A500" s="128">
        <v>9009361500</v>
      </c>
      <c r="B500" s="213" t="s">
        <v>950</v>
      </c>
      <c r="C500" s="128" t="s">
        <v>3886</v>
      </c>
      <c r="D500" s="152">
        <v>0</v>
      </c>
      <c r="E500" s="152">
        <v>0</v>
      </c>
      <c r="F500" s="214">
        <f>[2]!Table323[[#This Row],[Single Family]]+[2]!Table323[[#This Row],[2-4 Units]]+[2]!Table323[[#This Row],[&gt;4 Units]]</f>
        <v>0</v>
      </c>
      <c r="G500" s="214"/>
      <c r="H500" s="214"/>
      <c r="I500" s="214"/>
      <c r="J500" s="215">
        <v>0</v>
      </c>
      <c r="K500" s="214">
        <f>SUM([2]!Table323[[#This Row],[Single Family ]:[&gt;4 Units ]])</f>
        <v>0</v>
      </c>
      <c r="L500" s="216"/>
      <c r="M500" s="216"/>
      <c r="N500" s="216"/>
      <c r="O500" s="156">
        <v>0</v>
      </c>
      <c r="P500" s="212">
        <f>VLOOKUP(Table3236[[#This Row],[Census Tract]],'Population and Diversity Data'!$B$2:$K$823,10,FALSE)</f>
        <v>5</v>
      </c>
      <c r="Q500" s="217" t="str">
        <f>VLOOKUP(Table3236[[#This Row],[Census Tract]],'UI EnergyBurden'!$A$2:$B$184,2,FALSE)</f>
        <v>No</v>
      </c>
    </row>
    <row r="501" spans="1:17" x14ac:dyDescent="0.2">
      <c r="A501" s="128" t="s">
        <v>3882</v>
      </c>
      <c r="B501" s="213" t="s">
        <v>3882</v>
      </c>
      <c r="C501" s="128" t="s">
        <v>944</v>
      </c>
      <c r="D501" s="152">
        <v>0</v>
      </c>
      <c r="E501" s="152">
        <v>695447.01</v>
      </c>
      <c r="F501" s="214">
        <f>[2]!Table323[[#This Row],[Single Family]]+[2]!Table323[[#This Row],[2-4 Units]]+[2]!Table323[[#This Row],[&gt;4 Units]]</f>
        <v>0</v>
      </c>
      <c r="G501" s="214"/>
      <c r="H501" s="214"/>
      <c r="I501" s="214"/>
      <c r="J501" s="215">
        <v>0</v>
      </c>
      <c r="K501" s="214">
        <f>SUM([2]!Table323[[#This Row],[Single Family ]:[&gt;4 Units ]])</f>
        <v>0</v>
      </c>
      <c r="L501" s="216"/>
      <c r="M501" s="216"/>
      <c r="N501" s="216"/>
      <c r="O501" s="156">
        <v>0</v>
      </c>
      <c r="P501" s="212" t="e">
        <f>VLOOKUP(Table3236[[#This Row],[Census Tract]],'Population and Diversity Data'!$B$2:$K$823,10,FALSE)</f>
        <v>#N/A</v>
      </c>
      <c r="Q501" s="217" t="e">
        <f>VLOOKUP(Table3236[[#This Row],[Census Tract]],'UI EnergyBurden'!$A$2:$B$184,2,FALSE)</f>
        <v>#N/A</v>
      </c>
    </row>
    <row r="502" spans="1:17" x14ac:dyDescent="0.2">
      <c r="A502" s="128" t="s">
        <v>3889</v>
      </c>
      <c r="B502" s="213" t="s">
        <v>3889</v>
      </c>
      <c r="C502" s="128" t="s">
        <v>944</v>
      </c>
      <c r="D502" s="152">
        <v>0</v>
      </c>
      <c r="E502" s="152">
        <v>55275</v>
      </c>
      <c r="F502" s="214">
        <f>[2]!Table323[[#This Row],[Single Family]]+[2]!Table323[[#This Row],[2-4 Units]]+[2]!Table323[[#This Row],[&gt;4 Units]]</f>
        <v>0</v>
      </c>
      <c r="G502" s="214"/>
      <c r="H502" s="214"/>
      <c r="I502" s="214"/>
      <c r="J502" s="215">
        <v>0</v>
      </c>
      <c r="K502" s="214">
        <f>SUM([2]!Table323[[#This Row],[Single Family ]:[&gt;4 Units ]])</f>
        <v>0</v>
      </c>
      <c r="L502" s="216"/>
      <c r="M502" s="216"/>
      <c r="N502" s="216"/>
      <c r="O502" s="156">
        <v>0</v>
      </c>
      <c r="P502" s="212" t="e">
        <f>VLOOKUP(Table3236[[#This Row],[Census Tract]],'Population and Diversity Data'!$B$2:$K$823,10,FALSE)</f>
        <v>#N/A</v>
      </c>
      <c r="Q502" s="217" t="e">
        <f>VLOOKUP(Table3236[[#This Row],[Census Tract]],'UI EnergyBurden'!$A$2:$B$184,2,FALSE)</f>
        <v>#N/A</v>
      </c>
    </row>
    <row r="503" spans="1:17" x14ac:dyDescent="0.2">
      <c r="A503" s="128" t="s">
        <v>3881</v>
      </c>
      <c r="B503" s="213" t="s">
        <v>2992</v>
      </c>
      <c r="C503" s="128" t="s">
        <v>944</v>
      </c>
      <c r="D503" s="152">
        <v>0</v>
      </c>
      <c r="E503" s="152">
        <v>387573.84000000008</v>
      </c>
      <c r="F503" s="214">
        <f>[2]!Table323[[#This Row],[Single Family]]+[2]!Table323[[#This Row],[2-4 Units]]+[2]!Table323[[#This Row],[&gt;4 Units]]</f>
        <v>0</v>
      </c>
      <c r="G503" s="214"/>
      <c r="H503" s="214"/>
      <c r="I503" s="214"/>
      <c r="J503" s="215">
        <v>0</v>
      </c>
      <c r="K503" s="214">
        <f>SUM([2]!Table323[[#This Row],[Single Family ]:[&gt;4 Units ]])</f>
        <v>0</v>
      </c>
      <c r="L503" s="216"/>
      <c r="M503" s="216"/>
      <c r="N503" s="216"/>
      <c r="O503" s="156">
        <v>0</v>
      </c>
      <c r="P503" s="212" t="e">
        <f>VLOOKUP(Table3236[[#This Row],[Census Tract]],'Population and Diversity Data'!$B$2:$K$823,10,FALSE)</f>
        <v>#N/A</v>
      </c>
      <c r="Q503" s="217" t="e">
        <f>VLOOKUP(Table3236[[#This Row],[Census Tract]],'UI EnergyBurden'!$A$2:$B$184,2,FALSE)</f>
        <v>#N/A</v>
      </c>
    </row>
    <row r="504" spans="1:17" x14ac:dyDescent="0.2">
      <c r="A504" s="128" t="s">
        <v>3890</v>
      </c>
      <c r="B504" s="213" t="s">
        <v>3890</v>
      </c>
      <c r="C504" s="128" t="s">
        <v>944</v>
      </c>
      <c r="D504" s="152">
        <v>0</v>
      </c>
      <c r="E504" s="152">
        <v>56961.5</v>
      </c>
      <c r="F504" s="214">
        <f>[2]!Table323[[#This Row],[Single Family]]+[2]!Table323[[#This Row],[2-4 Units]]+[2]!Table323[[#This Row],[&gt;4 Units]]</f>
        <v>0</v>
      </c>
      <c r="G504" s="214"/>
      <c r="H504" s="214"/>
      <c r="I504" s="214"/>
      <c r="J504" s="215">
        <v>0</v>
      </c>
      <c r="K504" s="214">
        <f>SUM([2]!Table323[[#This Row],[Single Family ]:[&gt;4 Units ]])</f>
        <v>0</v>
      </c>
      <c r="L504" s="216"/>
      <c r="M504" s="216"/>
      <c r="N504" s="216"/>
      <c r="O504" s="156">
        <v>0</v>
      </c>
      <c r="P504" s="212" t="e">
        <f>VLOOKUP(Table3236[[#This Row],[Census Tract]],'Population and Diversity Data'!$B$2:$K$823,10,FALSE)</f>
        <v>#N/A</v>
      </c>
      <c r="Q504" s="217" t="e">
        <f>VLOOKUP(Table3236[[#This Row],[Census Tract]],'UI EnergyBurden'!$A$2:$B$184,2,FALSE)</f>
        <v>#N/A</v>
      </c>
    </row>
    <row r="505" spans="1:17" x14ac:dyDescent="0.2">
      <c r="A505" s="128"/>
      <c r="B505" s="213"/>
      <c r="C505" s="128"/>
      <c r="D505" s="152"/>
      <c r="E505" s="152"/>
      <c r="F505" s="214">
        <f>[2]!Table323[[#This Row],[Single Family]]+[2]!Table323[[#This Row],[2-4 Units]]+[2]!Table323[[#This Row],[&gt;4 Units]]</f>
        <v>0</v>
      </c>
      <c r="G505" s="214"/>
      <c r="H505" s="214"/>
      <c r="I505" s="214"/>
      <c r="J505" s="215"/>
      <c r="K505" s="214">
        <f>SUM([2]!Table323[[#This Row],[Single Family ]:[&gt;4 Units ]])</f>
        <v>0</v>
      </c>
      <c r="L505" s="216"/>
      <c r="M505" s="216"/>
      <c r="N505" s="216"/>
      <c r="O505" s="156"/>
      <c r="P505" s="212" t="e">
        <f>VLOOKUP(Table3236[[#This Row],[Census Tract]],'Population and Diversity Data'!$B$2:$K$823,10,FALSE)</f>
        <v>#N/A</v>
      </c>
      <c r="Q505" s="217" t="e">
        <f>VLOOKUP(Table3236[[#This Row],[Census Tract]],'UI EnergyBurden'!$A$2:$B$184,2,FALSE)</f>
        <v>#N/A</v>
      </c>
    </row>
    <row r="506" spans="1:17" x14ac:dyDescent="0.2">
      <c r="A506" s="128"/>
      <c r="B506" s="213"/>
      <c r="C506" s="128"/>
      <c r="D506" s="152"/>
      <c r="E506" s="152"/>
      <c r="F506" s="214">
        <f>[2]!Table323[[#This Row],[Single Family]]+[2]!Table323[[#This Row],[2-4 Units]]+[2]!Table323[[#This Row],[&gt;4 Units]]</f>
        <v>0</v>
      </c>
      <c r="G506" s="214"/>
      <c r="H506" s="214"/>
      <c r="I506" s="214"/>
      <c r="J506" s="215"/>
      <c r="K506" s="214">
        <f>SUM([2]!Table323[[#This Row],[Single Family ]:[&gt;4 Units ]])</f>
        <v>0</v>
      </c>
      <c r="L506" s="216"/>
      <c r="M506" s="216"/>
      <c r="N506" s="216"/>
      <c r="O506" s="156"/>
      <c r="P506" s="212" t="e">
        <f>VLOOKUP(Table3236[[#This Row],[Census Tract]],'Population and Diversity Data'!$B$2:$K$823,10,FALSE)</f>
        <v>#N/A</v>
      </c>
      <c r="Q506" s="217" t="e">
        <f>VLOOKUP(Table3236[[#This Row],[Census Tract]],'UI EnergyBurden'!$A$2:$B$184,2,FALSE)</f>
        <v>#N/A</v>
      </c>
    </row>
    <row r="507" spans="1:17" x14ac:dyDescent="0.2">
      <c r="A507" s="218"/>
      <c r="B507" s="219"/>
      <c r="C507" s="218" t="s">
        <v>2884</v>
      </c>
      <c r="D507" s="220">
        <f t="shared" ref="D507:O507" si="0">SUM(D6:D506)</f>
        <v>10037596.805089077</v>
      </c>
      <c r="E507" s="220">
        <f t="shared" si="0"/>
        <v>12095043.760000004</v>
      </c>
      <c r="F507" s="221">
        <f t="shared" si="0"/>
        <v>3967</v>
      </c>
      <c r="G507" s="221">
        <f t="shared" si="0"/>
        <v>3721</v>
      </c>
      <c r="H507" s="221">
        <f t="shared" si="0"/>
        <v>224</v>
      </c>
      <c r="I507" s="221">
        <f t="shared" si="0"/>
        <v>22</v>
      </c>
      <c r="J507" s="222">
        <f t="shared" si="0"/>
        <v>6258954.3499999968</v>
      </c>
      <c r="K507" s="221">
        <f t="shared" si="0"/>
        <v>1467</v>
      </c>
      <c r="L507" s="223">
        <f t="shared" si="0"/>
        <v>864</v>
      </c>
      <c r="M507" s="223">
        <f t="shared" si="0"/>
        <v>565</v>
      </c>
      <c r="N507" s="223">
        <f t="shared" si="0"/>
        <v>38</v>
      </c>
      <c r="O507" s="224">
        <f t="shared" si="0"/>
        <v>4581432.0599999977</v>
      </c>
      <c r="P507" s="225" t="e">
        <f>VLOOKUP(Table3236[[#This Row],[Census Tract]],'Population and Diversity Data'!$B$2:$K$823,10,FALSE)</f>
        <v>#N/A</v>
      </c>
      <c r="Q507" s="226" t="e">
        <f>VLOOKUP(Table3236[[#This Row],[Census Tract]],'UI EnergyBurden'!$A$2:$B$184,2,FALSE)</f>
        <v>#N/A</v>
      </c>
    </row>
  </sheetData>
  <mergeCells count="7">
    <mergeCell ref="A1:O2"/>
    <mergeCell ref="A3:C3"/>
    <mergeCell ref="D3:O3"/>
    <mergeCell ref="A4:C4"/>
    <mergeCell ref="D4:E4"/>
    <mergeCell ref="F4:J4"/>
    <mergeCell ref="K4:O4"/>
  </mergeCells>
  <phoneticPr fontId="33" type="noConversion"/>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BE790-4671-417D-99A5-8CB3B071F56A}">
  <sheetPr>
    <tabColor theme="7" tint="0.59999389629810485"/>
  </sheetPr>
  <dimension ref="B1:AD81"/>
  <sheetViews>
    <sheetView topLeftCell="Q53" workbookViewId="0">
      <selection activeCell="S70" sqref="S70"/>
    </sheetView>
  </sheetViews>
  <sheetFormatPr baseColWidth="10" defaultColWidth="8.83203125" defaultRowHeight="15" x14ac:dyDescent="0.2"/>
  <cols>
    <col min="2" max="2" width="19.5" bestFit="1" customWidth="1"/>
    <col min="7" max="7" width="18.6640625" customWidth="1"/>
    <col min="9" max="9" width="10.83203125" customWidth="1"/>
    <col min="15" max="15" width="14.33203125" bestFit="1" customWidth="1"/>
    <col min="19" max="20" width="12.6640625" bestFit="1" customWidth="1"/>
    <col min="21" max="21" width="11.5" bestFit="1" customWidth="1"/>
    <col min="22" max="23" width="11.1640625" bestFit="1" customWidth="1"/>
    <col min="26" max="26" width="12.6640625" bestFit="1" customWidth="1"/>
    <col min="28" max="28" width="11.5" bestFit="1" customWidth="1"/>
    <col min="29" max="30" width="11.1640625" bestFit="1" customWidth="1"/>
  </cols>
  <sheetData>
    <row r="1" spans="2:30" x14ac:dyDescent="0.2">
      <c r="R1" t="s">
        <v>925</v>
      </c>
      <c r="S1" t="s">
        <v>934</v>
      </c>
      <c r="T1" t="s">
        <v>943</v>
      </c>
      <c r="U1" t="s">
        <v>950</v>
      </c>
      <c r="V1" t="s">
        <v>953</v>
      </c>
      <c r="W1" t="s">
        <v>956</v>
      </c>
      <c r="Y1" t="s">
        <v>959</v>
      </c>
      <c r="Z1" t="s">
        <v>934</v>
      </c>
      <c r="AA1" t="s">
        <v>943</v>
      </c>
      <c r="AB1" t="s">
        <v>950</v>
      </c>
      <c r="AC1" t="s">
        <v>953</v>
      </c>
      <c r="AD1" t="s">
        <v>956</v>
      </c>
    </row>
    <row r="2" spans="2:30" x14ac:dyDescent="0.2">
      <c r="B2" t="s">
        <v>3008</v>
      </c>
      <c r="S2" s="87">
        <v>0</v>
      </c>
      <c r="T2" s="87">
        <v>0</v>
      </c>
      <c r="U2" s="87">
        <v>0</v>
      </c>
      <c r="V2" s="87">
        <v>0</v>
      </c>
      <c r="W2" s="87">
        <v>50.864100000000001</v>
      </c>
      <c r="Z2" s="87">
        <v>0</v>
      </c>
      <c r="AA2">
        <v>370.41</v>
      </c>
      <c r="AB2" s="87">
        <v>350</v>
      </c>
      <c r="AC2" s="87">
        <v>155</v>
      </c>
      <c r="AD2" s="87">
        <v>0</v>
      </c>
    </row>
    <row r="3" spans="2:30" x14ac:dyDescent="0.2">
      <c r="B3" s="10" t="s">
        <v>923</v>
      </c>
      <c r="C3" s="84">
        <v>43466</v>
      </c>
      <c r="D3" s="84">
        <v>43497</v>
      </c>
      <c r="E3" s="84">
        <v>43525</v>
      </c>
      <c r="F3" s="84">
        <v>43556</v>
      </c>
      <c r="G3" s="84">
        <v>43586</v>
      </c>
      <c r="H3" s="84">
        <v>43617</v>
      </c>
      <c r="I3" s="84">
        <v>43647</v>
      </c>
      <c r="J3" s="84">
        <v>43678</v>
      </c>
      <c r="K3" s="84">
        <v>43709</v>
      </c>
      <c r="L3" s="84">
        <v>43739</v>
      </c>
      <c r="M3" s="84">
        <v>43770</v>
      </c>
      <c r="N3" s="84">
        <v>43800</v>
      </c>
      <c r="O3" t="s">
        <v>3009</v>
      </c>
      <c r="S3" s="88">
        <v>0</v>
      </c>
      <c r="T3" s="88">
        <v>53179.4405999999</v>
      </c>
      <c r="U3" s="88">
        <v>43.247199999999999</v>
      </c>
      <c r="V3" s="88">
        <v>0</v>
      </c>
      <c r="W3" s="88">
        <v>18.556000000000001</v>
      </c>
      <c r="Z3" s="88">
        <v>0</v>
      </c>
      <c r="AA3">
        <v>0</v>
      </c>
      <c r="AB3" s="88">
        <v>0</v>
      </c>
      <c r="AC3" s="88">
        <v>97.04</v>
      </c>
      <c r="AD3" s="88">
        <v>0</v>
      </c>
    </row>
    <row r="4" spans="2:30" x14ac:dyDescent="0.2">
      <c r="B4" t="s">
        <v>2987</v>
      </c>
      <c r="C4">
        <v>252</v>
      </c>
      <c r="D4">
        <v>85</v>
      </c>
      <c r="E4">
        <v>18</v>
      </c>
      <c r="F4">
        <v>84</v>
      </c>
      <c r="G4">
        <v>173</v>
      </c>
      <c r="H4">
        <v>133</v>
      </c>
      <c r="I4">
        <v>158</v>
      </c>
      <c r="J4">
        <v>133</v>
      </c>
      <c r="K4">
        <v>275</v>
      </c>
      <c r="L4">
        <v>289</v>
      </c>
      <c r="M4">
        <v>137</v>
      </c>
      <c r="N4">
        <v>50</v>
      </c>
      <c r="O4">
        <f>SUM(C4:N4)</f>
        <v>1787</v>
      </c>
      <c r="S4" s="87">
        <v>0</v>
      </c>
      <c r="T4" s="87">
        <v>0</v>
      </c>
      <c r="U4" s="87">
        <v>0</v>
      </c>
      <c r="V4" s="87">
        <v>143.75399999999999</v>
      </c>
      <c r="W4" s="87">
        <v>37.274000000000001</v>
      </c>
      <c r="Z4" s="87">
        <v>11088.15</v>
      </c>
      <c r="AA4">
        <v>0</v>
      </c>
      <c r="AB4" s="87">
        <v>0</v>
      </c>
      <c r="AC4" s="87">
        <v>0</v>
      </c>
      <c r="AD4" s="87">
        <v>0</v>
      </c>
    </row>
    <row r="5" spans="2:30" x14ac:dyDescent="0.2">
      <c r="B5" s="12" t="s">
        <v>2985</v>
      </c>
      <c r="C5">
        <v>1120</v>
      </c>
      <c r="D5">
        <v>896</v>
      </c>
      <c r="E5">
        <v>1380</v>
      </c>
      <c r="F5">
        <v>686</v>
      </c>
      <c r="G5">
        <v>2157</v>
      </c>
      <c r="H5">
        <v>1461</v>
      </c>
      <c r="I5">
        <v>1186</v>
      </c>
      <c r="J5">
        <v>1547</v>
      </c>
      <c r="K5">
        <v>2286</v>
      </c>
      <c r="L5">
        <v>2285</v>
      </c>
      <c r="M5">
        <v>1463</v>
      </c>
      <c r="N5">
        <v>332</v>
      </c>
      <c r="O5">
        <f t="shared" ref="O5:O21" si="0">SUM(C5:N5)</f>
        <v>16799</v>
      </c>
      <c r="P5">
        <v>1</v>
      </c>
      <c r="S5" s="88">
        <v>87876.710500000394</v>
      </c>
      <c r="T5" s="88">
        <v>5569.7996999999996</v>
      </c>
      <c r="U5" s="88">
        <v>0</v>
      </c>
      <c r="V5" s="88">
        <v>152.922</v>
      </c>
      <c r="W5" s="88">
        <v>0</v>
      </c>
      <c r="Z5" s="88">
        <v>0</v>
      </c>
      <c r="AA5">
        <v>0</v>
      </c>
      <c r="AB5" s="88">
        <v>3171.78</v>
      </c>
      <c r="AC5" s="88">
        <v>0</v>
      </c>
      <c r="AD5" s="88">
        <v>0</v>
      </c>
    </row>
    <row r="6" spans="2:30" x14ac:dyDescent="0.2">
      <c r="B6" t="s">
        <v>2993</v>
      </c>
      <c r="C6">
        <v>154</v>
      </c>
      <c r="D6">
        <v>48</v>
      </c>
      <c r="E6">
        <v>32</v>
      </c>
      <c r="F6">
        <v>42</v>
      </c>
      <c r="G6">
        <v>125</v>
      </c>
      <c r="H6">
        <v>89</v>
      </c>
      <c r="I6">
        <v>119</v>
      </c>
      <c r="J6">
        <v>80</v>
      </c>
      <c r="K6">
        <v>164</v>
      </c>
      <c r="L6">
        <v>196</v>
      </c>
      <c r="M6">
        <v>93</v>
      </c>
      <c r="N6">
        <v>28</v>
      </c>
      <c r="O6">
        <f t="shared" si="0"/>
        <v>1170</v>
      </c>
      <c r="S6" s="87">
        <v>0</v>
      </c>
      <c r="T6" s="87">
        <v>0</v>
      </c>
      <c r="U6" s="87">
        <v>43.496099999999998</v>
      </c>
      <c r="V6" s="87">
        <v>94.991</v>
      </c>
      <c r="W6" s="87">
        <v>69.194299999999998</v>
      </c>
      <c r="Z6" s="87">
        <v>2227.9299999999998</v>
      </c>
      <c r="AA6">
        <v>2174.4499999999998</v>
      </c>
      <c r="AB6" s="87">
        <v>0</v>
      </c>
      <c r="AC6" s="87">
        <v>0</v>
      </c>
      <c r="AD6" s="87">
        <v>0</v>
      </c>
    </row>
    <row r="7" spans="2:30" x14ac:dyDescent="0.2">
      <c r="B7" t="s">
        <v>2996</v>
      </c>
      <c r="C7">
        <v>60</v>
      </c>
      <c r="D7">
        <v>74</v>
      </c>
      <c r="E7">
        <v>230</v>
      </c>
      <c r="F7">
        <v>63</v>
      </c>
      <c r="G7">
        <v>93</v>
      </c>
      <c r="H7">
        <v>252</v>
      </c>
      <c r="I7">
        <v>69</v>
      </c>
      <c r="J7">
        <v>176</v>
      </c>
      <c r="K7">
        <v>271</v>
      </c>
      <c r="L7">
        <v>71</v>
      </c>
      <c r="M7">
        <v>17</v>
      </c>
      <c r="N7">
        <v>98</v>
      </c>
      <c r="O7">
        <f t="shared" si="0"/>
        <v>1474</v>
      </c>
      <c r="S7" s="88">
        <v>45704.852400000003</v>
      </c>
      <c r="T7" s="88">
        <v>27566.794900000001</v>
      </c>
      <c r="U7" s="88">
        <v>140097.96650000001</v>
      </c>
      <c r="V7" s="88">
        <v>177.19649999999999</v>
      </c>
      <c r="W7" s="88">
        <v>59251.9010000001</v>
      </c>
      <c r="Z7" s="88">
        <v>0</v>
      </c>
      <c r="AA7">
        <v>0</v>
      </c>
      <c r="AB7" s="88">
        <v>129756.75</v>
      </c>
      <c r="AC7" s="88">
        <v>0</v>
      </c>
      <c r="AD7" s="88">
        <v>22394.32</v>
      </c>
    </row>
    <row r="8" spans="2:30" x14ac:dyDescent="0.2">
      <c r="B8" t="s">
        <v>3006</v>
      </c>
      <c r="C8">
        <v>1</v>
      </c>
      <c r="D8">
        <v>7</v>
      </c>
      <c r="E8">
        <v>59</v>
      </c>
      <c r="F8">
        <v>6</v>
      </c>
      <c r="G8">
        <v>33</v>
      </c>
      <c r="H8">
        <v>39</v>
      </c>
      <c r="I8">
        <v>7</v>
      </c>
      <c r="J8">
        <v>22</v>
      </c>
      <c r="K8">
        <v>40</v>
      </c>
      <c r="L8">
        <v>32</v>
      </c>
      <c r="M8">
        <v>28</v>
      </c>
      <c r="N8">
        <v>24</v>
      </c>
      <c r="O8">
        <f t="shared" si="0"/>
        <v>298</v>
      </c>
      <c r="S8" s="87">
        <v>0</v>
      </c>
      <c r="T8" s="87">
        <v>0</v>
      </c>
      <c r="U8" s="87">
        <v>124643.2671</v>
      </c>
      <c r="V8" s="87">
        <v>41.586100000000002</v>
      </c>
      <c r="W8" s="87">
        <v>57737.786099999903</v>
      </c>
      <c r="Z8" s="87">
        <v>202635.3</v>
      </c>
      <c r="AA8">
        <v>1533.48</v>
      </c>
      <c r="AB8" s="87">
        <v>33276.18</v>
      </c>
      <c r="AC8" s="87">
        <v>0</v>
      </c>
      <c r="AD8" s="87">
        <v>32132.799999999999</v>
      </c>
    </row>
    <row r="9" spans="2:30" x14ac:dyDescent="0.2">
      <c r="B9" t="s">
        <v>3010</v>
      </c>
      <c r="C9">
        <v>73</v>
      </c>
      <c r="D9">
        <v>78</v>
      </c>
      <c r="E9">
        <v>174</v>
      </c>
      <c r="F9">
        <v>53</v>
      </c>
      <c r="G9">
        <v>259</v>
      </c>
      <c r="H9">
        <v>35</v>
      </c>
      <c r="I9">
        <v>173</v>
      </c>
      <c r="J9">
        <v>147</v>
      </c>
      <c r="K9">
        <v>248</v>
      </c>
      <c r="L9">
        <v>241</v>
      </c>
      <c r="M9">
        <v>219</v>
      </c>
      <c r="N9">
        <v>215</v>
      </c>
      <c r="O9">
        <f t="shared" si="0"/>
        <v>1915</v>
      </c>
      <c r="S9" s="88">
        <v>16956.723999999998</v>
      </c>
      <c r="T9" s="88">
        <v>41243.352400000098</v>
      </c>
      <c r="U9" s="88">
        <v>0</v>
      </c>
      <c r="V9" s="88">
        <v>231.15710000000001</v>
      </c>
      <c r="W9" s="88">
        <v>78832.451199999996</v>
      </c>
      <c r="Z9" s="88">
        <v>0</v>
      </c>
      <c r="AA9">
        <v>0</v>
      </c>
      <c r="AB9" s="88">
        <v>6856.05</v>
      </c>
      <c r="AC9" s="88">
        <v>0</v>
      </c>
      <c r="AD9" s="88">
        <v>18104.68</v>
      </c>
    </row>
    <row r="10" spans="2:30" x14ac:dyDescent="0.2">
      <c r="B10" s="12" t="s">
        <v>2997</v>
      </c>
      <c r="C10">
        <v>327</v>
      </c>
      <c r="D10">
        <v>235</v>
      </c>
      <c r="E10">
        <v>129</v>
      </c>
      <c r="F10">
        <v>307</v>
      </c>
      <c r="G10">
        <v>313</v>
      </c>
      <c r="H10">
        <v>374</v>
      </c>
      <c r="I10">
        <v>312</v>
      </c>
      <c r="J10">
        <v>400</v>
      </c>
      <c r="K10">
        <v>385</v>
      </c>
      <c r="L10">
        <v>542</v>
      </c>
      <c r="M10">
        <v>77</v>
      </c>
      <c r="N10">
        <v>67</v>
      </c>
      <c r="O10">
        <f t="shared" si="0"/>
        <v>3468</v>
      </c>
      <c r="P10">
        <v>4</v>
      </c>
      <c r="S10" s="87">
        <v>0</v>
      </c>
      <c r="T10" s="87">
        <v>0</v>
      </c>
      <c r="U10" s="87">
        <v>67239.908799999801</v>
      </c>
      <c r="V10" s="87">
        <v>0</v>
      </c>
      <c r="W10" s="87">
        <v>67513.527999999904</v>
      </c>
      <c r="Z10" s="87">
        <v>1029.53</v>
      </c>
      <c r="AA10">
        <v>2256.9499999999998</v>
      </c>
      <c r="AB10" s="87">
        <v>0</v>
      </c>
      <c r="AC10" s="87">
        <v>121.71</v>
      </c>
      <c r="AD10" s="87">
        <v>10850.27</v>
      </c>
    </row>
    <row r="11" spans="2:30" x14ac:dyDescent="0.2">
      <c r="B11" t="s">
        <v>2998</v>
      </c>
      <c r="C11">
        <v>247</v>
      </c>
      <c r="D11">
        <v>64</v>
      </c>
      <c r="E11">
        <v>3</v>
      </c>
      <c r="F11">
        <v>207</v>
      </c>
      <c r="G11">
        <v>75</v>
      </c>
      <c r="H11">
        <v>327</v>
      </c>
      <c r="I11">
        <v>102</v>
      </c>
      <c r="J11">
        <v>190</v>
      </c>
      <c r="K11">
        <v>355</v>
      </c>
      <c r="L11">
        <v>273</v>
      </c>
      <c r="M11">
        <v>262</v>
      </c>
      <c r="N11">
        <v>855</v>
      </c>
      <c r="O11">
        <f t="shared" si="0"/>
        <v>2960</v>
      </c>
      <c r="S11" s="88">
        <v>17866.1715</v>
      </c>
      <c r="T11" s="88">
        <v>40619.569599999901</v>
      </c>
      <c r="U11" s="88">
        <v>74841.980299999894</v>
      </c>
      <c r="V11" s="88">
        <v>60626.775900000102</v>
      </c>
      <c r="W11" s="88">
        <v>43535.777800000098</v>
      </c>
      <c r="Z11" s="88">
        <v>0</v>
      </c>
      <c r="AA11">
        <v>0</v>
      </c>
      <c r="AB11" s="88">
        <v>16304.8</v>
      </c>
      <c r="AC11" s="88">
        <v>29109.47</v>
      </c>
      <c r="AD11" s="88">
        <v>10265.379999999999</v>
      </c>
    </row>
    <row r="12" spans="2:30" x14ac:dyDescent="0.2">
      <c r="B12" s="12" t="s">
        <v>2995</v>
      </c>
      <c r="C12">
        <v>1120</v>
      </c>
      <c r="D12">
        <v>787</v>
      </c>
      <c r="E12">
        <v>412</v>
      </c>
      <c r="F12">
        <v>735</v>
      </c>
      <c r="G12">
        <v>1123</v>
      </c>
      <c r="H12">
        <v>1402</v>
      </c>
      <c r="I12">
        <v>985</v>
      </c>
      <c r="J12">
        <v>1240</v>
      </c>
      <c r="K12">
        <v>1432</v>
      </c>
      <c r="L12">
        <v>1715</v>
      </c>
      <c r="M12">
        <v>252</v>
      </c>
      <c r="N12">
        <v>15</v>
      </c>
      <c r="O12">
        <f t="shared" si="0"/>
        <v>11218</v>
      </c>
      <c r="P12">
        <v>2</v>
      </c>
      <c r="S12" s="87">
        <v>0</v>
      </c>
      <c r="T12" s="87">
        <v>0</v>
      </c>
      <c r="U12" s="87">
        <v>110784.84239999999</v>
      </c>
      <c r="V12" s="87">
        <v>48468.042599999899</v>
      </c>
      <c r="W12" s="87">
        <v>36457.738700000104</v>
      </c>
      <c r="Z12" s="87">
        <v>359.75</v>
      </c>
      <c r="AA12">
        <v>3999.65</v>
      </c>
      <c r="AB12" s="87">
        <v>34515.480000000003</v>
      </c>
      <c r="AC12" s="87">
        <v>13366.62</v>
      </c>
      <c r="AD12" s="87">
        <v>3191.4</v>
      </c>
    </row>
    <row r="13" spans="2:30" x14ac:dyDescent="0.2">
      <c r="B13" t="s">
        <v>2974</v>
      </c>
      <c r="C13">
        <v>6</v>
      </c>
      <c r="D13">
        <v>12</v>
      </c>
      <c r="E13">
        <v>50</v>
      </c>
      <c r="F13">
        <v>10</v>
      </c>
      <c r="G13">
        <v>14</v>
      </c>
      <c r="H13">
        <v>47</v>
      </c>
      <c r="I13">
        <v>5</v>
      </c>
      <c r="J13">
        <v>22</v>
      </c>
      <c r="K13">
        <v>58</v>
      </c>
      <c r="L13">
        <v>19</v>
      </c>
      <c r="M13">
        <v>1</v>
      </c>
      <c r="N13">
        <v>43</v>
      </c>
      <c r="O13">
        <f t="shared" si="0"/>
        <v>287</v>
      </c>
      <c r="S13" s="88">
        <v>23101.568599999999</v>
      </c>
      <c r="T13" s="88">
        <v>52288.773399999904</v>
      </c>
      <c r="U13" s="88">
        <v>88384.266499999998</v>
      </c>
      <c r="V13" s="88">
        <v>34716.817999999999</v>
      </c>
      <c r="W13" s="88">
        <v>81784.641399999906</v>
      </c>
      <c r="Z13" s="88">
        <v>0</v>
      </c>
      <c r="AA13">
        <v>0</v>
      </c>
      <c r="AB13" s="88">
        <v>33572.9</v>
      </c>
      <c r="AC13" s="88">
        <v>13678.03</v>
      </c>
      <c r="AD13" s="88">
        <v>18364.759999999998</v>
      </c>
    </row>
    <row r="14" spans="2:30" x14ac:dyDescent="0.2">
      <c r="B14" t="s">
        <v>2999</v>
      </c>
      <c r="C14">
        <v>28</v>
      </c>
      <c r="D14">
        <v>42</v>
      </c>
      <c r="E14">
        <v>183</v>
      </c>
      <c r="F14">
        <v>31</v>
      </c>
      <c r="G14">
        <v>44</v>
      </c>
      <c r="H14">
        <v>137</v>
      </c>
      <c r="I14">
        <v>52</v>
      </c>
      <c r="J14">
        <v>120</v>
      </c>
      <c r="K14">
        <v>117</v>
      </c>
      <c r="L14">
        <v>47</v>
      </c>
      <c r="M14">
        <v>4</v>
      </c>
      <c r="N14">
        <v>27</v>
      </c>
      <c r="O14">
        <f t="shared" si="0"/>
        <v>832</v>
      </c>
      <c r="S14" s="87">
        <v>0</v>
      </c>
      <c r="T14" s="87">
        <v>0</v>
      </c>
      <c r="U14" s="87">
        <v>60957.443399999902</v>
      </c>
      <c r="V14" s="87">
        <v>82247.570100000201</v>
      </c>
      <c r="W14" s="87">
        <v>79381.614400000093</v>
      </c>
      <c r="Z14" s="87">
        <v>96774.69</v>
      </c>
      <c r="AA14">
        <v>2774.03</v>
      </c>
      <c r="AB14" s="87">
        <v>11480.45</v>
      </c>
      <c r="AC14" s="87">
        <v>93458.42</v>
      </c>
      <c r="AD14" s="87">
        <v>46203.07</v>
      </c>
    </row>
    <row r="15" spans="2:30" x14ac:dyDescent="0.2">
      <c r="B15" t="s">
        <v>3000</v>
      </c>
      <c r="C15">
        <v>57</v>
      </c>
      <c r="D15">
        <v>9</v>
      </c>
      <c r="E15">
        <v>1</v>
      </c>
      <c r="F15">
        <v>46</v>
      </c>
      <c r="G15">
        <v>14</v>
      </c>
      <c r="H15">
        <v>36</v>
      </c>
      <c r="I15">
        <v>33</v>
      </c>
      <c r="J15">
        <v>31</v>
      </c>
      <c r="K15">
        <v>71</v>
      </c>
      <c r="L15">
        <v>85</v>
      </c>
      <c r="M15">
        <v>5</v>
      </c>
      <c r="N15">
        <v>40</v>
      </c>
      <c r="O15">
        <f t="shared" si="0"/>
        <v>428</v>
      </c>
      <c r="S15" s="88">
        <v>35967.757299999997</v>
      </c>
      <c r="T15" s="88">
        <v>46744.9413999998</v>
      </c>
      <c r="U15" s="88">
        <v>74234.418299999903</v>
      </c>
      <c r="V15" s="88">
        <v>0</v>
      </c>
      <c r="W15" s="88">
        <v>69046.922199999899</v>
      </c>
      <c r="Z15" s="88">
        <v>0</v>
      </c>
      <c r="AA15">
        <v>0</v>
      </c>
      <c r="AB15" s="88">
        <v>15127.42</v>
      </c>
      <c r="AC15" s="88">
        <v>42110.68</v>
      </c>
      <c r="AD15" s="88">
        <v>32052.07</v>
      </c>
    </row>
    <row r="16" spans="2:30" x14ac:dyDescent="0.2">
      <c r="B16" t="s">
        <v>3001</v>
      </c>
      <c r="C16">
        <v>176</v>
      </c>
      <c r="D16">
        <v>44</v>
      </c>
      <c r="E16">
        <v>87</v>
      </c>
      <c r="F16">
        <v>90</v>
      </c>
      <c r="G16">
        <v>116</v>
      </c>
      <c r="H16">
        <v>129</v>
      </c>
      <c r="I16">
        <v>183</v>
      </c>
      <c r="J16">
        <v>150</v>
      </c>
      <c r="K16">
        <v>363</v>
      </c>
      <c r="L16">
        <v>291</v>
      </c>
      <c r="M16">
        <v>172</v>
      </c>
      <c r="N16">
        <v>56</v>
      </c>
      <c r="O16">
        <f t="shared" si="0"/>
        <v>1857</v>
      </c>
      <c r="S16" s="87">
        <v>0</v>
      </c>
      <c r="T16" s="87">
        <v>0</v>
      </c>
      <c r="U16" s="87">
        <v>0</v>
      </c>
      <c r="V16" s="87">
        <v>67465.568400000004</v>
      </c>
      <c r="W16" s="87">
        <v>77966.711299999995</v>
      </c>
      <c r="Z16" s="87">
        <v>4170.01</v>
      </c>
      <c r="AA16">
        <v>3852.71</v>
      </c>
      <c r="AB16" s="87">
        <v>3513.67</v>
      </c>
      <c r="AC16" s="87">
        <v>0</v>
      </c>
      <c r="AD16" s="87">
        <v>38688.35</v>
      </c>
    </row>
    <row r="17" spans="2:30" x14ac:dyDescent="0.2">
      <c r="B17" t="s">
        <v>3011</v>
      </c>
      <c r="C17">
        <v>1</v>
      </c>
      <c r="D17">
        <v>2</v>
      </c>
      <c r="E17">
        <v>21</v>
      </c>
      <c r="F17">
        <v>3</v>
      </c>
      <c r="G17">
        <v>25</v>
      </c>
      <c r="H17">
        <v>3</v>
      </c>
      <c r="I17">
        <v>18</v>
      </c>
      <c r="J17">
        <v>9</v>
      </c>
      <c r="K17">
        <v>13</v>
      </c>
      <c r="L17">
        <v>20</v>
      </c>
      <c r="M17">
        <v>11</v>
      </c>
      <c r="N17">
        <v>0</v>
      </c>
      <c r="O17">
        <f t="shared" si="0"/>
        <v>126</v>
      </c>
      <c r="S17" s="88">
        <v>29174.958600000002</v>
      </c>
      <c r="T17" s="88">
        <v>50564.050300000003</v>
      </c>
      <c r="U17" s="88">
        <v>52121.565699999897</v>
      </c>
      <c r="V17" s="88">
        <v>85902.613000000201</v>
      </c>
      <c r="W17" s="88">
        <v>102590.0885</v>
      </c>
      <c r="Z17" s="88">
        <v>0</v>
      </c>
      <c r="AA17">
        <v>0</v>
      </c>
      <c r="AB17" s="88">
        <v>0</v>
      </c>
      <c r="AC17" s="88">
        <v>29461.26</v>
      </c>
      <c r="AD17" s="88">
        <v>41624.550000000003</v>
      </c>
    </row>
    <row r="18" spans="2:30" x14ac:dyDescent="0.2">
      <c r="B18" s="12" t="s">
        <v>3002</v>
      </c>
      <c r="C18">
        <v>306</v>
      </c>
      <c r="D18">
        <v>124</v>
      </c>
      <c r="E18">
        <v>12</v>
      </c>
      <c r="F18">
        <v>349</v>
      </c>
      <c r="G18">
        <v>93</v>
      </c>
      <c r="H18">
        <v>534</v>
      </c>
      <c r="I18">
        <v>213</v>
      </c>
      <c r="J18">
        <v>285</v>
      </c>
      <c r="K18">
        <v>448</v>
      </c>
      <c r="L18">
        <v>450</v>
      </c>
      <c r="M18">
        <v>392</v>
      </c>
      <c r="N18">
        <v>1</v>
      </c>
      <c r="O18">
        <f t="shared" si="0"/>
        <v>3207</v>
      </c>
      <c r="P18">
        <v>5</v>
      </c>
      <c r="S18" s="87">
        <v>0</v>
      </c>
      <c r="T18" s="87">
        <v>0</v>
      </c>
      <c r="U18" s="87">
        <v>0</v>
      </c>
      <c r="V18" s="87">
        <v>67016.043900000004</v>
      </c>
      <c r="W18" s="87">
        <v>100014.4032</v>
      </c>
      <c r="Z18" s="87">
        <v>14379.5</v>
      </c>
      <c r="AA18">
        <v>5327.67</v>
      </c>
      <c r="AB18" s="87">
        <v>0</v>
      </c>
      <c r="AC18" s="87">
        <v>53703</v>
      </c>
      <c r="AD18" s="87">
        <v>16907.099999999999</v>
      </c>
    </row>
    <row r="19" spans="2:30" x14ac:dyDescent="0.2">
      <c r="B19" t="s">
        <v>2986</v>
      </c>
      <c r="C19">
        <v>9</v>
      </c>
      <c r="D19">
        <v>51</v>
      </c>
      <c r="E19">
        <v>215</v>
      </c>
      <c r="F19">
        <v>19</v>
      </c>
      <c r="G19">
        <v>238</v>
      </c>
      <c r="H19">
        <v>35</v>
      </c>
      <c r="I19">
        <v>40</v>
      </c>
      <c r="J19">
        <v>136</v>
      </c>
      <c r="K19">
        <v>166</v>
      </c>
      <c r="L19">
        <v>177</v>
      </c>
      <c r="M19">
        <v>103</v>
      </c>
      <c r="N19">
        <v>294</v>
      </c>
      <c r="O19">
        <f t="shared" si="0"/>
        <v>1483</v>
      </c>
      <c r="S19" s="88">
        <v>37249.348899999997</v>
      </c>
      <c r="T19" s="88">
        <v>55064.527799999902</v>
      </c>
      <c r="U19" s="88">
        <v>565.22900000000004</v>
      </c>
      <c r="V19" s="88">
        <v>77328.733099999998</v>
      </c>
      <c r="W19" s="88">
        <v>171.0093</v>
      </c>
      <c r="Z19" s="88">
        <v>0</v>
      </c>
      <c r="AA19">
        <v>0</v>
      </c>
      <c r="AB19" s="88">
        <v>0</v>
      </c>
      <c r="AC19" s="88">
        <v>12576.38</v>
      </c>
      <c r="AD19" s="88">
        <v>0</v>
      </c>
    </row>
    <row r="20" spans="2:30" x14ac:dyDescent="0.2">
      <c r="B20" s="12" t="s">
        <v>3003</v>
      </c>
      <c r="C20">
        <v>515</v>
      </c>
      <c r="D20">
        <v>166</v>
      </c>
      <c r="E20">
        <v>18</v>
      </c>
      <c r="F20">
        <v>403</v>
      </c>
      <c r="G20">
        <v>215</v>
      </c>
      <c r="H20">
        <v>685</v>
      </c>
      <c r="I20">
        <v>297</v>
      </c>
      <c r="J20">
        <v>405</v>
      </c>
      <c r="K20">
        <v>652</v>
      </c>
      <c r="L20">
        <v>644</v>
      </c>
      <c r="M20">
        <v>129</v>
      </c>
      <c r="N20">
        <v>4</v>
      </c>
      <c r="O20">
        <f t="shared" si="0"/>
        <v>4133</v>
      </c>
      <c r="P20">
        <v>3</v>
      </c>
      <c r="S20" s="87">
        <v>51783.790099999998</v>
      </c>
      <c r="T20" s="87">
        <v>59341.469599999902</v>
      </c>
      <c r="U20" s="87">
        <v>764.91129999999998</v>
      </c>
      <c r="V20" s="87">
        <v>76841.958499999906</v>
      </c>
      <c r="W20" s="87">
        <v>112.0247</v>
      </c>
      <c r="Z20" s="87">
        <v>21423.83</v>
      </c>
      <c r="AA20">
        <v>8974.89</v>
      </c>
      <c r="AB20" s="87">
        <v>0</v>
      </c>
      <c r="AC20" s="87">
        <v>50093.18</v>
      </c>
      <c r="AD20" s="87">
        <v>0</v>
      </c>
    </row>
    <row r="21" spans="2:30" x14ac:dyDescent="0.2">
      <c r="B21" t="s">
        <v>2975</v>
      </c>
      <c r="C21">
        <v>45</v>
      </c>
      <c r="D21">
        <v>7</v>
      </c>
      <c r="E21">
        <v>6</v>
      </c>
      <c r="F21">
        <v>9</v>
      </c>
      <c r="G21">
        <v>25</v>
      </c>
      <c r="H21">
        <v>9</v>
      </c>
      <c r="I21">
        <v>26</v>
      </c>
      <c r="J21">
        <v>26</v>
      </c>
      <c r="K21">
        <v>42</v>
      </c>
      <c r="L21">
        <v>59</v>
      </c>
      <c r="M21">
        <v>17</v>
      </c>
      <c r="N21">
        <v>0</v>
      </c>
      <c r="O21">
        <f t="shared" si="0"/>
        <v>271</v>
      </c>
      <c r="S21" s="88">
        <v>0</v>
      </c>
      <c r="T21" s="88">
        <v>50898.5147</v>
      </c>
      <c r="U21" s="88">
        <v>264.08440000000002</v>
      </c>
      <c r="V21" s="88">
        <v>144930.68359999999</v>
      </c>
      <c r="W21" s="88">
        <v>92.837900000000005</v>
      </c>
      <c r="Z21" s="88">
        <v>4593.8599999999997</v>
      </c>
      <c r="AA21">
        <v>26111.11</v>
      </c>
      <c r="AB21" s="88">
        <v>0</v>
      </c>
      <c r="AC21" s="88">
        <v>65336.89</v>
      </c>
      <c r="AD21" s="88">
        <v>0</v>
      </c>
    </row>
    <row r="22" spans="2:30" x14ac:dyDescent="0.2">
      <c r="B22" t="s">
        <v>3012</v>
      </c>
      <c r="C22">
        <v>4497</v>
      </c>
      <c r="D22">
        <v>2731</v>
      </c>
      <c r="E22">
        <v>3030</v>
      </c>
      <c r="F22">
        <v>3143</v>
      </c>
      <c r="G22">
        <v>5135</v>
      </c>
      <c r="H22">
        <v>5727</v>
      </c>
      <c r="I22">
        <v>3978</v>
      </c>
      <c r="J22">
        <v>5119</v>
      </c>
      <c r="K22">
        <v>7386</v>
      </c>
      <c r="L22">
        <v>7436</v>
      </c>
      <c r="M22">
        <v>3382</v>
      </c>
      <c r="N22">
        <v>2149</v>
      </c>
      <c r="O22">
        <f>SUM(O4:O21)</f>
        <v>53713</v>
      </c>
      <c r="S22" s="87">
        <v>45169.658199999998</v>
      </c>
      <c r="T22" s="87">
        <v>62230.979699999902</v>
      </c>
      <c r="U22" s="87">
        <v>94.562600000000003</v>
      </c>
      <c r="V22" s="87">
        <v>103220.78479999999</v>
      </c>
      <c r="W22" s="87">
        <v>0</v>
      </c>
      <c r="Z22" s="87">
        <v>0</v>
      </c>
      <c r="AA22">
        <v>18001.45</v>
      </c>
      <c r="AB22" s="87">
        <v>0</v>
      </c>
      <c r="AC22" s="87">
        <v>63414.76</v>
      </c>
      <c r="AD22" s="87">
        <v>25</v>
      </c>
    </row>
    <row r="23" spans="2:30" x14ac:dyDescent="0.2">
      <c r="S23" s="88">
        <v>0</v>
      </c>
      <c r="T23" s="88">
        <v>0</v>
      </c>
      <c r="U23" s="88">
        <v>18.827999999999999</v>
      </c>
      <c r="V23" s="88">
        <v>88585.424700000105</v>
      </c>
      <c r="W23" s="88">
        <v>0</v>
      </c>
      <c r="Z23" s="88">
        <v>1572.32</v>
      </c>
      <c r="AA23">
        <v>5178.01</v>
      </c>
      <c r="AB23" s="88">
        <v>0</v>
      </c>
      <c r="AC23" s="88">
        <v>25722.63</v>
      </c>
    </row>
    <row r="24" spans="2:30" x14ac:dyDescent="0.2">
      <c r="S24" s="87">
        <v>34389.4211</v>
      </c>
      <c r="T24" s="87">
        <v>76079.437600000005</v>
      </c>
      <c r="U24" s="87">
        <v>0</v>
      </c>
      <c r="V24" s="87">
        <v>695.01679999999999</v>
      </c>
      <c r="Z24" s="87">
        <v>0</v>
      </c>
      <c r="AA24">
        <v>0</v>
      </c>
      <c r="AB24" s="87">
        <v>0</v>
      </c>
      <c r="AC24" s="87">
        <v>0</v>
      </c>
    </row>
    <row r="25" spans="2:30" x14ac:dyDescent="0.2">
      <c r="S25" s="88">
        <v>38432.275500000003</v>
      </c>
      <c r="T25" s="88">
        <v>67783.353199999998</v>
      </c>
      <c r="U25" s="88">
        <v>70.126199999999997</v>
      </c>
      <c r="V25" s="88">
        <v>0</v>
      </c>
      <c r="W25" s="32">
        <f>SUM(W2:W23)</f>
        <v>854665.32409999997</v>
      </c>
      <c r="Z25" s="88">
        <v>3327.16</v>
      </c>
      <c r="AA25">
        <v>12592.36</v>
      </c>
      <c r="AB25" s="88">
        <v>0</v>
      </c>
      <c r="AC25" s="88">
        <v>481.11</v>
      </c>
      <c r="AD25" s="32">
        <f>SUM(AD2:AD22)</f>
        <v>290803.75</v>
      </c>
    </row>
    <row r="26" spans="2:30" x14ac:dyDescent="0.2">
      <c r="S26" s="87">
        <v>0</v>
      </c>
      <c r="T26" s="87">
        <v>0</v>
      </c>
      <c r="U26" s="87">
        <v>88395.970500000098</v>
      </c>
      <c r="V26" s="87">
        <v>0</v>
      </c>
      <c r="Z26" s="87">
        <v>1330.85</v>
      </c>
      <c r="AA26">
        <v>47450.57</v>
      </c>
      <c r="AB26" s="87">
        <v>17211.07</v>
      </c>
    </row>
    <row r="27" spans="2:30" x14ac:dyDescent="0.2">
      <c r="S27" s="88">
        <v>24529.813099999999</v>
      </c>
      <c r="T27" s="88">
        <v>89500.176099999997</v>
      </c>
      <c r="U27" s="88">
        <v>0</v>
      </c>
      <c r="Z27" s="88">
        <v>0</v>
      </c>
      <c r="AA27">
        <v>0</v>
      </c>
    </row>
    <row r="28" spans="2:30" x14ac:dyDescent="0.2">
      <c r="S28" s="87">
        <v>0</v>
      </c>
      <c r="T28" s="87">
        <v>0</v>
      </c>
      <c r="V28" s="32">
        <f>SUM(V2:V26)</f>
        <v>938887.64010000043</v>
      </c>
      <c r="Z28" s="87">
        <v>3390.23</v>
      </c>
      <c r="AA28">
        <v>10815.87</v>
      </c>
      <c r="AB28" s="32">
        <f>SUM(AB2:AB26)</f>
        <v>305136.54999999993</v>
      </c>
      <c r="AC28" s="32">
        <f>SUM(AC2:AC25)</f>
        <v>492886.18</v>
      </c>
    </row>
    <row r="29" spans="2:30" ht="33" customHeight="1" x14ac:dyDescent="0.2">
      <c r="G29" s="85" t="s">
        <v>924</v>
      </c>
      <c r="H29" s="86" t="s">
        <v>925</v>
      </c>
      <c r="I29" s="85" t="s">
        <v>926</v>
      </c>
      <c r="J29" s="86"/>
      <c r="S29" s="88">
        <v>46534.635900000103</v>
      </c>
      <c r="T29" s="88">
        <v>59212.536800000104</v>
      </c>
      <c r="U29" s="32">
        <f>SUM(U2:U27)</f>
        <v>883566.11429999955</v>
      </c>
      <c r="Z29" s="88">
        <v>0</v>
      </c>
      <c r="AA29">
        <v>0</v>
      </c>
    </row>
    <row r="30" spans="2:30" x14ac:dyDescent="0.2">
      <c r="F30" t="s">
        <v>934</v>
      </c>
      <c r="S30" s="87">
        <v>0</v>
      </c>
      <c r="T30" s="87">
        <v>54159.681900000003</v>
      </c>
      <c r="Z30" s="87">
        <v>19032.27</v>
      </c>
      <c r="AA30">
        <v>6368.9</v>
      </c>
    </row>
    <row r="31" spans="2:30" x14ac:dyDescent="0.2">
      <c r="S31" s="88">
        <v>43927.019899999999</v>
      </c>
      <c r="T31" s="88">
        <v>72665.771399999896</v>
      </c>
      <c r="Z31" s="88">
        <v>0</v>
      </c>
      <c r="AA31">
        <v>9616.59</v>
      </c>
    </row>
    <row r="32" spans="2:30" x14ac:dyDescent="0.2">
      <c r="F32" t="s">
        <v>943</v>
      </c>
      <c r="S32" s="87">
        <v>119833.8798</v>
      </c>
      <c r="T32" s="87">
        <v>47650.880900000098</v>
      </c>
      <c r="Z32" s="87">
        <v>44620.47</v>
      </c>
      <c r="AA32">
        <v>2599.46</v>
      </c>
    </row>
    <row r="33" spans="6:27" x14ac:dyDescent="0.2">
      <c r="S33" s="88">
        <v>0</v>
      </c>
      <c r="T33" s="88">
        <v>0</v>
      </c>
      <c r="Z33" s="88">
        <v>23077.93</v>
      </c>
      <c r="AA33">
        <v>26.98</v>
      </c>
    </row>
    <row r="34" spans="6:27" x14ac:dyDescent="0.2">
      <c r="F34" t="s">
        <v>950</v>
      </c>
      <c r="S34" s="87">
        <v>41166.362699999998</v>
      </c>
      <c r="T34" s="87">
        <v>14835.8009</v>
      </c>
      <c r="Z34" s="87">
        <v>0</v>
      </c>
      <c r="AA34">
        <v>0</v>
      </c>
    </row>
    <row r="35" spans="6:27" x14ac:dyDescent="0.2">
      <c r="S35" s="88">
        <v>62912.309300000103</v>
      </c>
      <c r="T35" s="88">
        <v>31597.2291</v>
      </c>
      <c r="Z35" s="88">
        <v>15404.49</v>
      </c>
      <c r="AA35">
        <v>3747.81</v>
      </c>
    </row>
    <row r="36" spans="6:27" x14ac:dyDescent="0.2">
      <c r="F36" t="s">
        <v>953</v>
      </c>
      <c r="S36" s="87">
        <v>38727.082199999997</v>
      </c>
      <c r="T36" s="87">
        <v>0</v>
      </c>
      <c r="Z36" s="87">
        <v>29244.41</v>
      </c>
      <c r="AA36">
        <v>10400.34</v>
      </c>
    </row>
    <row r="37" spans="6:27" x14ac:dyDescent="0.2">
      <c r="S37" s="88">
        <v>78001.035200000304</v>
      </c>
      <c r="T37" s="88">
        <v>53392.115599999903</v>
      </c>
      <c r="Z37" s="88">
        <v>18716.64</v>
      </c>
      <c r="AA37">
        <v>0</v>
      </c>
    </row>
    <row r="38" spans="6:27" x14ac:dyDescent="0.2">
      <c r="F38" t="s">
        <v>956</v>
      </c>
      <c r="S38" s="87">
        <v>118351.0931</v>
      </c>
      <c r="T38" s="87">
        <v>0</v>
      </c>
      <c r="Z38" s="87">
        <v>43073.09</v>
      </c>
      <c r="AA38">
        <v>6815.37</v>
      </c>
    </row>
    <row r="39" spans="6:27" x14ac:dyDescent="0.2">
      <c r="S39" s="88">
        <v>59967.633300000001</v>
      </c>
      <c r="T39" s="88">
        <v>54491.1928999999</v>
      </c>
      <c r="Z39" s="88">
        <v>47344.93</v>
      </c>
      <c r="AA39">
        <v>0</v>
      </c>
    </row>
    <row r="40" spans="6:27" x14ac:dyDescent="0.2">
      <c r="S40" s="87">
        <v>67221.614200000098</v>
      </c>
      <c r="T40" s="87">
        <v>0</v>
      </c>
      <c r="Z40" s="87">
        <v>239893.12</v>
      </c>
      <c r="AA40">
        <v>7352.41</v>
      </c>
    </row>
    <row r="41" spans="6:27" x14ac:dyDescent="0.2">
      <c r="S41" s="88">
        <v>67436.167800000097</v>
      </c>
      <c r="T41" s="88">
        <v>64777.257400000097</v>
      </c>
      <c r="Z41" s="88">
        <v>53807.48</v>
      </c>
      <c r="AA41">
        <v>0</v>
      </c>
    </row>
    <row r="42" spans="6:27" x14ac:dyDescent="0.2">
      <c r="S42" s="87">
        <v>27045.101699999999</v>
      </c>
      <c r="T42" s="87">
        <v>92154.619600000093</v>
      </c>
      <c r="Z42" s="87">
        <v>17678.66</v>
      </c>
      <c r="AA42">
        <v>25570.16</v>
      </c>
    </row>
    <row r="43" spans="6:27" x14ac:dyDescent="0.2">
      <c r="S43" s="88">
        <v>0</v>
      </c>
      <c r="T43" s="88">
        <v>0</v>
      </c>
      <c r="Z43" s="88">
        <v>34954.18</v>
      </c>
      <c r="AA43">
        <v>14190.36</v>
      </c>
    </row>
    <row r="44" spans="6:27" x14ac:dyDescent="0.2">
      <c r="S44" s="87">
        <v>69620.792000000001</v>
      </c>
      <c r="T44" s="87">
        <v>45179.0501</v>
      </c>
      <c r="Z44" s="87">
        <v>0</v>
      </c>
      <c r="AA44">
        <v>0</v>
      </c>
    </row>
    <row r="45" spans="6:27" x14ac:dyDescent="0.2">
      <c r="S45" s="88">
        <v>24172.335500000001</v>
      </c>
      <c r="T45" s="88">
        <v>40066.7255</v>
      </c>
      <c r="Z45" s="88">
        <v>3053.03</v>
      </c>
      <c r="AA45">
        <v>16767.72</v>
      </c>
    </row>
    <row r="46" spans="6:27" x14ac:dyDescent="0.2">
      <c r="S46" s="87">
        <v>0</v>
      </c>
      <c r="T46" s="87">
        <v>83322.580300000103</v>
      </c>
      <c r="Z46" s="87">
        <v>21408.65</v>
      </c>
      <c r="AA46">
        <v>29975.46</v>
      </c>
    </row>
    <row r="47" spans="6:27" x14ac:dyDescent="0.2">
      <c r="S47" s="88">
        <v>49786.050399999898</v>
      </c>
      <c r="T47" s="88">
        <v>77725.744400000098</v>
      </c>
      <c r="Z47" s="88">
        <v>0</v>
      </c>
      <c r="AA47">
        <v>67092.72</v>
      </c>
    </row>
    <row r="48" spans="6:27" x14ac:dyDescent="0.2">
      <c r="S48" s="87">
        <v>0</v>
      </c>
      <c r="T48" s="87">
        <v>138.0009</v>
      </c>
      <c r="Z48" s="87">
        <v>48424.62</v>
      </c>
      <c r="AA48">
        <v>0</v>
      </c>
    </row>
    <row r="49" spans="19:27" x14ac:dyDescent="0.2">
      <c r="S49" s="88">
        <v>53978.008699999998</v>
      </c>
      <c r="T49" s="88">
        <v>0</v>
      </c>
      <c r="Z49" s="88">
        <v>0</v>
      </c>
      <c r="AA49">
        <v>0</v>
      </c>
    </row>
    <row r="50" spans="19:27" x14ac:dyDescent="0.2">
      <c r="S50" s="87">
        <v>0</v>
      </c>
      <c r="T50" s="87">
        <v>9.6715999999999998</v>
      </c>
      <c r="Z50" s="87">
        <v>7178.22</v>
      </c>
      <c r="AA50">
        <v>0</v>
      </c>
    </row>
    <row r="51" spans="19:27" x14ac:dyDescent="0.2">
      <c r="S51" s="88">
        <v>38030.339099999997</v>
      </c>
      <c r="T51" s="88">
        <v>38.472200000000001</v>
      </c>
      <c r="Z51" s="88">
        <v>0</v>
      </c>
      <c r="AA51">
        <v>0</v>
      </c>
    </row>
    <row r="52" spans="19:27" x14ac:dyDescent="0.2">
      <c r="S52" s="87">
        <v>0</v>
      </c>
      <c r="T52" s="87">
        <v>0</v>
      </c>
      <c r="Z52" s="87">
        <v>846.37</v>
      </c>
      <c r="AA52">
        <v>0</v>
      </c>
    </row>
    <row r="53" spans="19:27" x14ac:dyDescent="0.2">
      <c r="S53" s="88">
        <v>24351.613000000001</v>
      </c>
      <c r="T53" s="88">
        <v>0</v>
      </c>
      <c r="Z53" s="88">
        <v>0</v>
      </c>
      <c r="AA53">
        <v>26.37</v>
      </c>
    </row>
    <row r="54" spans="19:27" x14ac:dyDescent="0.2">
      <c r="S54" s="87">
        <v>0</v>
      </c>
      <c r="T54" s="87">
        <v>766.12699999999995</v>
      </c>
      <c r="Z54" s="87">
        <v>24518.83</v>
      </c>
      <c r="AA54">
        <v>0</v>
      </c>
    </row>
    <row r="55" spans="19:27" x14ac:dyDescent="0.2">
      <c r="S55" s="88">
        <v>64008.1363000001</v>
      </c>
      <c r="T55" s="88">
        <v>0</v>
      </c>
      <c r="Z55" s="88">
        <v>0</v>
      </c>
      <c r="AA55">
        <v>0</v>
      </c>
    </row>
    <row r="56" spans="19:27" x14ac:dyDescent="0.2">
      <c r="S56" s="87">
        <v>0</v>
      </c>
      <c r="T56" s="87">
        <v>0</v>
      </c>
      <c r="Z56" s="87">
        <v>2512.29</v>
      </c>
      <c r="AA56">
        <v>0</v>
      </c>
    </row>
    <row r="57" spans="19:27" x14ac:dyDescent="0.2">
      <c r="S57" s="88">
        <v>25510.301599999999</v>
      </c>
      <c r="T57" s="88">
        <v>0</v>
      </c>
      <c r="Z57" s="88">
        <v>0</v>
      </c>
      <c r="AA57">
        <v>0</v>
      </c>
    </row>
    <row r="58" spans="19:27" x14ac:dyDescent="0.2">
      <c r="S58" s="87">
        <v>0</v>
      </c>
      <c r="T58" s="87">
        <v>0.1389</v>
      </c>
      <c r="Z58" s="87">
        <v>106775.64</v>
      </c>
      <c r="AA58">
        <v>0</v>
      </c>
    </row>
    <row r="59" spans="19:27" x14ac:dyDescent="0.2">
      <c r="S59" s="88">
        <v>35070.078800000003</v>
      </c>
      <c r="T59" s="88">
        <v>19.053799999999999</v>
      </c>
      <c r="Z59" s="88">
        <v>0</v>
      </c>
      <c r="AA59">
        <v>0</v>
      </c>
    </row>
    <row r="60" spans="19:27" x14ac:dyDescent="0.2">
      <c r="S60" s="87">
        <v>0</v>
      </c>
      <c r="T60" s="87">
        <v>0</v>
      </c>
      <c r="Z60" s="87">
        <v>13413.06</v>
      </c>
      <c r="AA60">
        <v>0</v>
      </c>
    </row>
    <row r="61" spans="19:27" x14ac:dyDescent="0.2">
      <c r="S61" s="88">
        <v>26942.261399999999</v>
      </c>
      <c r="T61" s="88">
        <v>174.75399999999999</v>
      </c>
      <c r="Z61" s="88">
        <v>0</v>
      </c>
      <c r="AA61">
        <v>8.5</v>
      </c>
    </row>
    <row r="62" spans="19:27" x14ac:dyDescent="0.2">
      <c r="S62" s="87">
        <v>0</v>
      </c>
      <c r="T62" s="87">
        <v>541.58529999999996</v>
      </c>
      <c r="Z62" s="87">
        <v>8289.77</v>
      </c>
      <c r="AA62">
        <v>0</v>
      </c>
    </row>
    <row r="63" spans="19:27" x14ac:dyDescent="0.2">
      <c r="S63" s="88">
        <v>51549.295899999903</v>
      </c>
      <c r="T63" s="88">
        <v>433.71039999999999</v>
      </c>
      <c r="Z63" s="88">
        <v>0</v>
      </c>
      <c r="AA63">
        <v>0</v>
      </c>
    </row>
    <row r="64" spans="19:27" x14ac:dyDescent="0.2">
      <c r="S64" s="87">
        <v>0</v>
      </c>
      <c r="T64" s="87">
        <v>0</v>
      </c>
      <c r="Z64" s="87">
        <v>20133.349999999999</v>
      </c>
      <c r="AA64">
        <v>0</v>
      </c>
    </row>
    <row r="65" spans="19:27" x14ac:dyDescent="0.2">
      <c r="S65" s="88">
        <v>54299.358399999903</v>
      </c>
      <c r="T65" s="88">
        <v>0</v>
      </c>
      <c r="Z65" s="88">
        <v>0</v>
      </c>
      <c r="AA65">
        <v>0</v>
      </c>
    </row>
    <row r="66" spans="19:27" x14ac:dyDescent="0.2">
      <c r="S66" s="87">
        <v>255.44900000000001</v>
      </c>
      <c r="T66" s="87">
        <v>0</v>
      </c>
      <c r="Z66" s="87">
        <v>0</v>
      </c>
      <c r="AA66">
        <v>0</v>
      </c>
    </row>
    <row r="67" spans="19:27" x14ac:dyDescent="0.2">
      <c r="S67" s="88">
        <v>0</v>
      </c>
      <c r="T67" s="88">
        <v>22608.335299999999</v>
      </c>
      <c r="Z67" s="88">
        <v>0</v>
      </c>
      <c r="AA67">
        <v>0</v>
      </c>
    </row>
    <row r="68" spans="19:27" x14ac:dyDescent="0.2">
      <c r="S68" s="87">
        <v>0</v>
      </c>
      <c r="T68" s="87">
        <v>0</v>
      </c>
      <c r="Z68" s="87">
        <v>0</v>
      </c>
      <c r="AA68">
        <v>2918.62</v>
      </c>
    </row>
    <row r="69" spans="19:27" x14ac:dyDescent="0.2">
      <c r="S69" s="88">
        <v>0</v>
      </c>
      <c r="T69" s="88">
        <v>4781.3608999999997</v>
      </c>
      <c r="Z69" s="88">
        <v>0</v>
      </c>
      <c r="AA69">
        <v>0</v>
      </c>
    </row>
    <row r="70" spans="19:27" x14ac:dyDescent="0.2">
      <c r="S70" s="87">
        <v>71.845299999999995</v>
      </c>
      <c r="T70" s="87">
        <v>0</v>
      </c>
      <c r="Z70" s="87">
        <v>0</v>
      </c>
    </row>
    <row r="71" spans="19:27" x14ac:dyDescent="0.2">
      <c r="S71" s="88">
        <v>120.8455</v>
      </c>
      <c r="Z71" s="88">
        <v>0</v>
      </c>
      <c r="AA71">
        <f>SUM(AA2:AA69)</f>
        <v>354891.38</v>
      </c>
    </row>
    <row r="72" spans="19:27" x14ac:dyDescent="0.2">
      <c r="S72" s="87">
        <v>0</v>
      </c>
      <c r="T72" s="32">
        <f>SUM(T2:T70)</f>
        <v>1599417.5780999996</v>
      </c>
      <c r="Z72" s="87">
        <v>0</v>
      </c>
    </row>
    <row r="73" spans="19:27" x14ac:dyDescent="0.2">
      <c r="S73" s="88">
        <v>190.06890000000001</v>
      </c>
      <c r="Z73" s="88">
        <v>0</v>
      </c>
    </row>
    <row r="74" spans="19:27" x14ac:dyDescent="0.2">
      <c r="S74" s="87">
        <v>0</v>
      </c>
      <c r="Z74" s="87">
        <v>0</v>
      </c>
    </row>
    <row r="75" spans="19:27" x14ac:dyDescent="0.2">
      <c r="S75" s="88">
        <v>338.9221</v>
      </c>
      <c r="Z75" s="88">
        <v>5570.37</v>
      </c>
    </row>
    <row r="76" spans="19:27" x14ac:dyDescent="0.2">
      <c r="S76" s="87">
        <v>0</v>
      </c>
      <c r="Z76" s="87">
        <v>0</v>
      </c>
    </row>
    <row r="77" spans="19:27" x14ac:dyDescent="0.2">
      <c r="S77" s="88">
        <v>46248.605099999899</v>
      </c>
      <c r="Z77" s="88">
        <v>7200.74</v>
      </c>
    </row>
    <row r="78" spans="19:27" x14ac:dyDescent="0.2">
      <c r="S78" s="87">
        <v>0</v>
      </c>
      <c r="Z78" s="87">
        <v>275</v>
      </c>
    </row>
    <row r="79" spans="19:27" x14ac:dyDescent="0.2">
      <c r="S79" s="88">
        <v>0</v>
      </c>
      <c r="Z79" s="88">
        <v>913038.08950161596</v>
      </c>
    </row>
    <row r="81" spans="19:26" x14ac:dyDescent="0.2">
      <c r="S81" s="32">
        <f>SUM(S2:S79)</f>
        <v>1823871.2919000003</v>
      </c>
      <c r="Z81" s="32">
        <f>SUM(Z2:Z79)</f>
        <v>2137788.8095016163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417E-BAED-4CA4-80AE-577C5FAFF1A2}">
  <sheetPr>
    <tabColor theme="9" tint="0.79998168889431442"/>
  </sheetPr>
  <dimension ref="A1"/>
  <sheetViews>
    <sheetView workbookViewId="0"/>
  </sheetViews>
  <sheetFormatPr baseColWidth="10" defaultColWidth="8.83203125" defaultRowHeight="15" x14ac:dyDescent="0.2"/>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A2FE-968B-4E0F-944C-DA98E80379D0}">
  <sheetPr>
    <tabColor theme="9" tint="0.79998168889431442"/>
  </sheetPr>
  <dimension ref="A1:I836"/>
  <sheetViews>
    <sheetView workbookViewId="0">
      <selection activeCell="I3" sqref="I3"/>
    </sheetView>
  </sheetViews>
  <sheetFormatPr baseColWidth="10" defaultColWidth="8.83203125" defaultRowHeight="15" x14ac:dyDescent="0.2"/>
  <cols>
    <col min="1" max="1" width="50.83203125" bestFit="1" customWidth="1"/>
    <col min="2" max="2" width="34" bestFit="1" customWidth="1"/>
    <col min="3" max="3" width="33.83203125" bestFit="1" customWidth="1"/>
    <col min="5" max="5" width="33.5" bestFit="1" customWidth="1"/>
    <col min="6" max="6" width="15.6640625" customWidth="1"/>
    <col min="7" max="7" width="33.5" bestFit="1" customWidth="1"/>
    <col min="8" max="8" width="22.5" bestFit="1" customWidth="1"/>
    <col min="9" max="9" width="40.5" bestFit="1" customWidth="1"/>
  </cols>
  <sheetData>
    <row r="1" spans="1:9" x14ac:dyDescent="0.2">
      <c r="A1" s="10" t="s">
        <v>3013</v>
      </c>
      <c r="F1" s="10" t="s">
        <v>3014</v>
      </c>
    </row>
    <row r="2" spans="1:9" ht="16" x14ac:dyDescent="0.2">
      <c r="A2" t="s">
        <v>3015</v>
      </c>
      <c r="B2" t="s">
        <v>3016</v>
      </c>
      <c r="C2" t="s">
        <v>3017</v>
      </c>
      <c r="F2" s="82" t="s">
        <v>2711</v>
      </c>
      <c r="G2" t="s">
        <v>3018</v>
      </c>
      <c r="H2" t="s">
        <v>3019</v>
      </c>
      <c r="I2" t="s">
        <v>3020</v>
      </c>
    </row>
    <row r="3" spans="1:9" ht="64" x14ac:dyDescent="0.2">
      <c r="A3" s="12" t="s">
        <v>1013</v>
      </c>
      <c r="B3" s="12" t="s">
        <v>3021</v>
      </c>
      <c r="C3" s="12" t="s">
        <v>3022</v>
      </c>
      <c r="E3" s="12" t="s">
        <v>3023</v>
      </c>
      <c r="F3" s="4" t="s">
        <v>3024</v>
      </c>
      <c r="G3">
        <v>0.21624393504164685</v>
      </c>
      <c r="H3">
        <f>_xlfn.RANK.EQ(G3,$G$3:$G$825,1)/COUNT($G$3:$G$825)</f>
        <v>1.215066828675577E-3</v>
      </c>
      <c r="I3">
        <f t="shared" ref="I3:I66" si="0">IF(H3&lt;0.2,1,IF(H3&lt;0.4,2,IF(H3&lt;0.6,3,IF(H3&lt;0.8,4,5))))</f>
        <v>1</v>
      </c>
    </row>
    <row r="4" spans="1:9" ht="48" x14ac:dyDescent="0.2">
      <c r="A4" t="s">
        <v>3025</v>
      </c>
      <c r="B4">
        <v>9958</v>
      </c>
      <c r="C4">
        <v>433</v>
      </c>
      <c r="E4" t="s">
        <v>3026</v>
      </c>
      <c r="F4" s="4" t="s">
        <v>3027</v>
      </c>
      <c r="G4">
        <v>0.22600414044173112</v>
      </c>
      <c r="H4">
        <f t="shared" ref="H4:H67" si="1">_xlfn.RANK.EQ(G4,$G$3:$G$825,1)/COUNT($G$3:$G$825)</f>
        <v>2.4301336573511541E-3</v>
      </c>
      <c r="I4">
        <f t="shared" si="0"/>
        <v>1</v>
      </c>
    </row>
    <row r="5" spans="1:9" ht="48" x14ac:dyDescent="0.2">
      <c r="A5" t="s">
        <v>3028</v>
      </c>
      <c r="B5">
        <v>13410</v>
      </c>
      <c r="C5">
        <v>461</v>
      </c>
      <c r="E5" t="s">
        <v>3029</v>
      </c>
      <c r="F5" s="4" t="s">
        <v>3030</v>
      </c>
      <c r="G5">
        <v>0.22933890862992509</v>
      </c>
      <c r="H5">
        <f t="shared" si="1"/>
        <v>3.6452004860267314E-3</v>
      </c>
      <c r="I5">
        <f t="shared" si="0"/>
        <v>1</v>
      </c>
    </row>
    <row r="6" spans="1:9" ht="48" x14ac:dyDescent="0.2">
      <c r="A6" t="s">
        <v>3031</v>
      </c>
      <c r="B6">
        <v>15000</v>
      </c>
      <c r="C6">
        <v>440</v>
      </c>
      <c r="E6" t="s">
        <v>3032</v>
      </c>
      <c r="F6" s="4" t="s">
        <v>3033</v>
      </c>
      <c r="G6">
        <v>0.23717195751179948</v>
      </c>
      <c r="H6">
        <f t="shared" si="1"/>
        <v>4.8602673147023082E-3</v>
      </c>
      <c r="I6">
        <f t="shared" si="0"/>
        <v>1</v>
      </c>
    </row>
    <row r="7" spans="1:9" ht="48" x14ac:dyDescent="0.2">
      <c r="A7" t="s">
        <v>3034</v>
      </c>
      <c r="B7">
        <v>18304</v>
      </c>
      <c r="C7">
        <v>783</v>
      </c>
      <c r="F7" s="4" t="s">
        <v>3035</v>
      </c>
      <c r="G7">
        <v>0.23895081911537219</v>
      </c>
      <c r="H7">
        <f t="shared" si="1"/>
        <v>6.0753341433778859E-3</v>
      </c>
      <c r="I7">
        <f t="shared" si="0"/>
        <v>1</v>
      </c>
    </row>
    <row r="8" spans="1:9" ht="48" x14ac:dyDescent="0.2">
      <c r="A8" t="s">
        <v>3036</v>
      </c>
      <c r="B8">
        <v>19593</v>
      </c>
      <c r="C8">
        <v>715</v>
      </c>
      <c r="F8" s="4" t="s">
        <v>3037</v>
      </c>
      <c r="G8">
        <v>0.23973667228137396</v>
      </c>
      <c r="H8">
        <f t="shared" si="1"/>
        <v>7.2904009720534627E-3</v>
      </c>
      <c r="I8">
        <f t="shared" si="0"/>
        <v>1</v>
      </c>
    </row>
    <row r="9" spans="1:9" ht="64" x14ac:dyDescent="0.2">
      <c r="A9" t="s">
        <v>3038</v>
      </c>
      <c r="B9">
        <v>21633</v>
      </c>
      <c r="C9">
        <v>596</v>
      </c>
      <c r="F9" s="4" t="s">
        <v>3039</v>
      </c>
      <c r="G9">
        <v>0.24470854055047511</v>
      </c>
      <c r="H9">
        <f t="shared" si="1"/>
        <v>8.5054678007290396E-3</v>
      </c>
      <c r="I9">
        <f t="shared" si="0"/>
        <v>1</v>
      </c>
    </row>
    <row r="10" spans="1:9" ht="48" x14ac:dyDescent="0.2">
      <c r="A10" t="s">
        <v>3040</v>
      </c>
      <c r="B10">
        <v>21851</v>
      </c>
      <c r="C10">
        <v>1109</v>
      </c>
      <c r="F10" s="4" t="s">
        <v>3041</v>
      </c>
      <c r="G10">
        <v>0.24661990670556816</v>
      </c>
      <c r="H10">
        <f t="shared" si="1"/>
        <v>9.7205346294046164E-3</v>
      </c>
      <c r="I10">
        <f t="shared" si="0"/>
        <v>1</v>
      </c>
    </row>
    <row r="11" spans="1:9" ht="48" x14ac:dyDescent="0.2">
      <c r="A11" t="s">
        <v>3042</v>
      </c>
      <c r="B11">
        <v>21895</v>
      </c>
      <c r="C11">
        <v>1032</v>
      </c>
      <c r="F11" s="4" t="s">
        <v>3043</v>
      </c>
      <c r="G11">
        <v>0.24720569623716801</v>
      </c>
      <c r="H11">
        <f t="shared" si="1"/>
        <v>1.0935601458080195E-2</v>
      </c>
      <c r="I11">
        <f t="shared" si="0"/>
        <v>1</v>
      </c>
    </row>
    <row r="12" spans="1:9" ht="48" x14ac:dyDescent="0.2">
      <c r="A12" t="s">
        <v>3044</v>
      </c>
      <c r="B12">
        <v>22449</v>
      </c>
      <c r="C12">
        <v>937</v>
      </c>
      <c r="F12" s="4" t="s">
        <v>3045</v>
      </c>
      <c r="G12">
        <v>0.2491749834564127</v>
      </c>
      <c r="H12">
        <f t="shared" si="1"/>
        <v>1.2150668286755772E-2</v>
      </c>
      <c r="I12">
        <f t="shared" si="0"/>
        <v>1</v>
      </c>
    </row>
    <row r="13" spans="1:9" ht="48" x14ac:dyDescent="0.2">
      <c r="A13" t="s">
        <v>3046</v>
      </c>
      <c r="B13">
        <v>22454</v>
      </c>
      <c r="C13">
        <v>1004</v>
      </c>
      <c r="F13" s="4" t="s">
        <v>3047</v>
      </c>
      <c r="G13">
        <v>0.2492005231133782</v>
      </c>
      <c r="H13">
        <f t="shared" si="1"/>
        <v>1.3365735115431349E-2</v>
      </c>
      <c r="I13">
        <f t="shared" si="0"/>
        <v>1</v>
      </c>
    </row>
    <row r="14" spans="1:9" ht="48" x14ac:dyDescent="0.2">
      <c r="A14" t="s">
        <v>3048</v>
      </c>
      <c r="B14">
        <v>22778</v>
      </c>
      <c r="C14">
        <v>924</v>
      </c>
      <c r="F14" s="4" t="s">
        <v>3049</v>
      </c>
      <c r="G14">
        <v>0.25060377368293624</v>
      </c>
      <c r="H14">
        <f t="shared" si="1"/>
        <v>1.4580801944106925E-2</v>
      </c>
      <c r="I14">
        <f t="shared" si="0"/>
        <v>1</v>
      </c>
    </row>
    <row r="15" spans="1:9" ht="64" x14ac:dyDescent="0.2">
      <c r="A15" t="s">
        <v>3050</v>
      </c>
      <c r="B15">
        <v>23480</v>
      </c>
      <c r="C15">
        <v>859</v>
      </c>
      <c r="F15" s="4" t="s">
        <v>3051</v>
      </c>
      <c r="G15">
        <v>0.25095287837791619</v>
      </c>
      <c r="H15">
        <f t="shared" si="1"/>
        <v>1.5795868772782502E-2</v>
      </c>
      <c r="I15">
        <f t="shared" si="0"/>
        <v>1</v>
      </c>
    </row>
    <row r="16" spans="1:9" ht="64" x14ac:dyDescent="0.2">
      <c r="A16" t="s">
        <v>3052</v>
      </c>
      <c r="B16">
        <v>23500</v>
      </c>
      <c r="C16">
        <v>842</v>
      </c>
      <c r="F16" s="4" t="s">
        <v>3053</v>
      </c>
      <c r="G16">
        <v>0.25154601116626218</v>
      </c>
      <c r="H16">
        <f t="shared" si="1"/>
        <v>1.7010935601458079E-2</v>
      </c>
      <c r="I16">
        <f t="shared" si="0"/>
        <v>1</v>
      </c>
    </row>
    <row r="17" spans="1:9" ht="48" x14ac:dyDescent="0.2">
      <c r="A17" t="s">
        <v>3054</v>
      </c>
      <c r="B17">
        <v>23598</v>
      </c>
      <c r="C17">
        <v>974</v>
      </c>
      <c r="F17" s="4" t="s">
        <v>3055</v>
      </c>
      <c r="G17">
        <v>0.25168846074220735</v>
      </c>
      <c r="H17">
        <f t="shared" si="1"/>
        <v>1.8226002430133656E-2</v>
      </c>
      <c r="I17">
        <f t="shared" si="0"/>
        <v>1</v>
      </c>
    </row>
    <row r="18" spans="1:9" ht="48" x14ac:dyDescent="0.2">
      <c r="A18" t="s">
        <v>3056</v>
      </c>
      <c r="B18">
        <v>23608</v>
      </c>
      <c r="C18">
        <v>914</v>
      </c>
      <c r="F18" s="4" t="s">
        <v>3057</v>
      </c>
      <c r="G18">
        <v>0.25184078989251402</v>
      </c>
      <c r="H18">
        <f t="shared" si="1"/>
        <v>1.9441069258809233E-2</v>
      </c>
      <c r="I18">
        <f t="shared" si="0"/>
        <v>1</v>
      </c>
    </row>
    <row r="19" spans="1:9" ht="48" x14ac:dyDescent="0.2">
      <c r="A19" t="s">
        <v>3058</v>
      </c>
      <c r="B19">
        <v>24271</v>
      </c>
      <c r="C19">
        <v>1107</v>
      </c>
      <c r="F19" s="4" t="s">
        <v>3059</v>
      </c>
      <c r="G19">
        <v>0.25246258791089699</v>
      </c>
      <c r="H19">
        <f t="shared" si="1"/>
        <v>2.0656136087484813E-2</v>
      </c>
      <c r="I19">
        <f t="shared" si="0"/>
        <v>1</v>
      </c>
    </row>
    <row r="20" spans="1:9" ht="48" x14ac:dyDescent="0.2">
      <c r="A20" t="s">
        <v>3060</v>
      </c>
      <c r="B20">
        <v>24325</v>
      </c>
      <c r="C20">
        <v>879</v>
      </c>
      <c r="F20" s="4" t="s">
        <v>3061</v>
      </c>
      <c r="G20">
        <v>0.25483811717142513</v>
      </c>
      <c r="H20">
        <f t="shared" si="1"/>
        <v>2.187120291616039E-2</v>
      </c>
      <c r="I20">
        <f t="shared" si="0"/>
        <v>1</v>
      </c>
    </row>
    <row r="21" spans="1:9" ht="64" x14ac:dyDescent="0.2">
      <c r="A21" t="s">
        <v>3062</v>
      </c>
      <c r="B21">
        <v>24342</v>
      </c>
      <c r="C21">
        <v>1275</v>
      </c>
      <c r="F21" s="4" t="s">
        <v>3063</v>
      </c>
      <c r="G21">
        <v>0.25540551013338214</v>
      </c>
      <c r="H21">
        <f t="shared" si="1"/>
        <v>2.3086269744835967E-2</v>
      </c>
      <c r="I21">
        <f t="shared" si="0"/>
        <v>1</v>
      </c>
    </row>
    <row r="22" spans="1:9" ht="64" x14ac:dyDescent="0.2">
      <c r="A22" t="s">
        <v>3064</v>
      </c>
      <c r="B22">
        <v>24805</v>
      </c>
      <c r="C22">
        <v>1001</v>
      </c>
      <c r="F22" s="4" t="s">
        <v>3065</v>
      </c>
      <c r="G22">
        <v>0.25552108146033237</v>
      </c>
      <c r="H22">
        <f t="shared" si="1"/>
        <v>2.4301336573511544E-2</v>
      </c>
      <c r="I22">
        <f t="shared" si="0"/>
        <v>1</v>
      </c>
    </row>
    <row r="23" spans="1:9" ht="48" x14ac:dyDescent="0.2">
      <c r="A23" t="s">
        <v>3066</v>
      </c>
      <c r="B23">
        <v>24943</v>
      </c>
      <c r="C23">
        <v>996</v>
      </c>
      <c r="F23" s="4" t="s">
        <v>3067</v>
      </c>
      <c r="G23">
        <v>0.25584760480347701</v>
      </c>
      <c r="H23">
        <f t="shared" si="1"/>
        <v>2.551640340218712E-2</v>
      </c>
      <c r="I23">
        <f t="shared" si="0"/>
        <v>1</v>
      </c>
    </row>
    <row r="24" spans="1:9" ht="64" x14ac:dyDescent="0.2">
      <c r="A24" t="s">
        <v>3068</v>
      </c>
      <c r="B24">
        <v>25156</v>
      </c>
      <c r="C24">
        <v>869</v>
      </c>
      <c r="F24" s="4" t="s">
        <v>3069</v>
      </c>
      <c r="G24">
        <v>0.25730635543918445</v>
      </c>
      <c r="H24">
        <f t="shared" si="1"/>
        <v>2.6731470230862697E-2</v>
      </c>
      <c r="I24">
        <f t="shared" si="0"/>
        <v>1</v>
      </c>
    </row>
    <row r="25" spans="1:9" ht="48" x14ac:dyDescent="0.2">
      <c r="A25" t="s">
        <v>3070</v>
      </c>
      <c r="B25">
        <v>25648</v>
      </c>
      <c r="C25">
        <v>969</v>
      </c>
      <c r="F25" s="4" t="s">
        <v>3071</v>
      </c>
      <c r="G25">
        <v>0.25877993751706363</v>
      </c>
      <c r="H25">
        <f t="shared" si="1"/>
        <v>2.7946537059538274E-2</v>
      </c>
      <c r="I25">
        <f t="shared" si="0"/>
        <v>1</v>
      </c>
    </row>
    <row r="26" spans="1:9" ht="48" x14ac:dyDescent="0.2">
      <c r="A26" t="s">
        <v>3072</v>
      </c>
      <c r="B26">
        <v>25958</v>
      </c>
      <c r="C26">
        <v>976</v>
      </c>
      <c r="F26" s="4" t="s">
        <v>3073</v>
      </c>
      <c r="G26">
        <v>0.25878885165183613</v>
      </c>
      <c r="H26">
        <f t="shared" si="1"/>
        <v>2.9161603888213851E-2</v>
      </c>
      <c r="I26">
        <f t="shared" si="0"/>
        <v>1</v>
      </c>
    </row>
    <row r="27" spans="1:9" ht="64" x14ac:dyDescent="0.2">
      <c r="A27" t="s">
        <v>3074</v>
      </c>
      <c r="B27">
        <v>26250</v>
      </c>
      <c r="C27">
        <v>648</v>
      </c>
      <c r="F27" s="4" t="s">
        <v>3075</v>
      </c>
      <c r="G27">
        <v>0.25908674911061486</v>
      </c>
      <c r="H27">
        <f t="shared" si="1"/>
        <v>3.0376670716889428E-2</v>
      </c>
      <c r="I27">
        <f t="shared" si="0"/>
        <v>1</v>
      </c>
    </row>
    <row r="28" spans="1:9" ht="48" x14ac:dyDescent="0.2">
      <c r="A28" t="s">
        <v>3076</v>
      </c>
      <c r="B28">
        <v>26324</v>
      </c>
      <c r="C28">
        <v>1082</v>
      </c>
      <c r="F28" s="4" t="s">
        <v>3077</v>
      </c>
      <c r="G28">
        <v>0.2591016995931047</v>
      </c>
      <c r="H28">
        <f t="shared" si="1"/>
        <v>3.1591737545565005E-2</v>
      </c>
      <c r="I28">
        <f t="shared" si="0"/>
        <v>1</v>
      </c>
    </row>
    <row r="29" spans="1:9" ht="48" x14ac:dyDescent="0.2">
      <c r="A29" t="s">
        <v>3078</v>
      </c>
      <c r="B29">
        <v>26765</v>
      </c>
      <c r="C29">
        <v>946</v>
      </c>
      <c r="F29" s="4" t="s">
        <v>3079</v>
      </c>
      <c r="G29">
        <v>0.25911845835633757</v>
      </c>
      <c r="H29">
        <f t="shared" si="1"/>
        <v>3.2806804374240585E-2</v>
      </c>
      <c r="I29">
        <f t="shared" si="0"/>
        <v>1</v>
      </c>
    </row>
    <row r="30" spans="1:9" ht="48" x14ac:dyDescent="0.2">
      <c r="A30" t="s">
        <v>3080</v>
      </c>
      <c r="B30">
        <v>26840</v>
      </c>
      <c r="C30">
        <v>710</v>
      </c>
      <c r="F30" s="4" t="s">
        <v>3081</v>
      </c>
      <c r="G30">
        <v>0.25956366779442835</v>
      </c>
      <c r="H30">
        <f t="shared" si="1"/>
        <v>3.4021871202916158E-2</v>
      </c>
      <c r="I30">
        <f t="shared" si="0"/>
        <v>1</v>
      </c>
    </row>
    <row r="31" spans="1:9" ht="48" x14ac:dyDescent="0.2">
      <c r="A31" t="s">
        <v>3082</v>
      </c>
      <c r="B31">
        <v>27072</v>
      </c>
      <c r="C31">
        <v>1078</v>
      </c>
      <c r="F31" s="4" t="s">
        <v>3083</v>
      </c>
      <c r="G31">
        <v>0.25975982410793741</v>
      </c>
      <c r="H31">
        <f t="shared" si="1"/>
        <v>3.5236938031591739E-2</v>
      </c>
      <c r="I31">
        <f t="shared" si="0"/>
        <v>1</v>
      </c>
    </row>
    <row r="32" spans="1:9" ht="48" x14ac:dyDescent="0.2">
      <c r="A32" t="s">
        <v>3084</v>
      </c>
      <c r="B32">
        <v>27964</v>
      </c>
      <c r="C32">
        <v>1195</v>
      </c>
      <c r="F32" s="4" t="s">
        <v>3085</v>
      </c>
      <c r="G32">
        <v>0.25978991267138596</v>
      </c>
      <c r="H32">
        <f t="shared" si="1"/>
        <v>3.6452004860267312E-2</v>
      </c>
      <c r="I32">
        <f t="shared" si="0"/>
        <v>1</v>
      </c>
    </row>
    <row r="33" spans="1:9" ht="64" x14ac:dyDescent="0.2">
      <c r="A33" t="s">
        <v>3086</v>
      </c>
      <c r="B33">
        <v>28029</v>
      </c>
      <c r="C33">
        <v>986</v>
      </c>
      <c r="F33" s="4" t="s">
        <v>3087</v>
      </c>
      <c r="G33">
        <v>0.25981068042022387</v>
      </c>
      <c r="H33">
        <f t="shared" si="1"/>
        <v>3.7667071688942892E-2</v>
      </c>
      <c r="I33">
        <f t="shared" si="0"/>
        <v>1</v>
      </c>
    </row>
    <row r="34" spans="1:9" ht="48" x14ac:dyDescent="0.2">
      <c r="A34" t="s">
        <v>3088</v>
      </c>
      <c r="B34">
        <v>28032</v>
      </c>
      <c r="C34">
        <v>910</v>
      </c>
      <c r="F34" s="4" t="s">
        <v>3089</v>
      </c>
      <c r="G34">
        <v>0.261213047819704</v>
      </c>
      <c r="H34">
        <f t="shared" si="1"/>
        <v>3.8882138517618466E-2</v>
      </c>
      <c r="I34">
        <f t="shared" si="0"/>
        <v>1</v>
      </c>
    </row>
    <row r="35" spans="1:9" ht="48" x14ac:dyDescent="0.2">
      <c r="A35" t="s">
        <v>3090</v>
      </c>
      <c r="B35">
        <v>28438</v>
      </c>
      <c r="C35">
        <v>999</v>
      </c>
      <c r="F35" s="4" t="s">
        <v>3091</v>
      </c>
      <c r="G35">
        <v>0.26123049306854657</v>
      </c>
      <c r="H35">
        <f t="shared" si="1"/>
        <v>4.0097205346294046E-2</v>
      </c>
      <c r="I35">
        <f t="shared" si="0"/>
        <v>1</v>
      </c>
    </row>
    <row r="36" spans="1:9" ht="48" x14ac:dyDescent="0.2">
      <c r="A36" t="s">
        <v>3092</v>
      </c>
      <c r="B36">
        <v>28636</v>
      </c>
      <c r="C36">
        <v>887</v>
      </c>
      <c r="F36" s="4" t="s">
        <v>3093</v>
      </c>
      <c r="G36">
        <v>0.26148730312617408</v>
      </c>
      <c r="H36">
        <f t="shared" si="1"/>
        <v>4.1312272174969626E-2</v>
      </c>
      <c r="I36">
        <f t="shared" si="0"/>
        <v>1</v>
      </c>
    </row>
    <row r="37" spans="1:9" ht="48" x14ac:dyDescent="0.2">
      <c r="A37" t="s">
        <v>3094</v>
      </c>
      <c r="B37">
        <v>28782</v>
      </c>
      <c r="C37">
        <v>793</v>
      </c>
      <c r="F37" s="4" t="s">
        <v>3095</v>
      </c>
      <c r="G37">
        <v>0.26167719888565338</v>
      </c>
      <c r="H37">
        <f t="shared" si="1"/>
        <v>4.25273390036452E-2</v>
      </c>
      <c r="I37">
        <f t="shared" si="0"/>
        <v>1</v>
      </c>
    </row>
    <row r="38" spans="1:9" ht="64" x14ac:dyDescent="0.2">
      <c r="A38" t="s">
        <v>3096</v>
      </c>
      <c r="B38">
        <v>29167</v>
      </c>
      <c r="C38">
        <v>1084</v>
      </c>
      <c r="F38" s="4" t="s">
        <v>3097</v>
      </c>
      <c r="G38">
        <v>0.26315689993963531</v>
      </c>
      <c r="H38">
        <f t="shared" si="1"/>
        <v>4.374240583232078E-2</v>
      </c>
      <c r="I38">
        <f t="shared" si="0"/>
        <v>1</v>
      </c>
    </row>
    <row r="39" spans="1:9" ht="48" x14ac:dyDescent="0.2">
      <c r="A39" t="s">
        <v>3098</v>
      </c>
      <c r="B39">
        <v>29281</v>
      </c>
      <c r="C39">
        <v>1166</v>
      </c>
      <c r="F39" s="4" t="s">
        <v>3099</v>
      </c>
      <c r="G39">
        <v>0.26354237295946542</v>
      </c>
      <c r="H39">
        <f t="shared" si="1"/>
        <v>4.4957472660996353E-2</v>
      </c>
      <c r="I39">
        <f t="shared" si="0"/>
        <v>1</v>
      </c>
    </row>
    <row r="40" spans="1:9" ht="48" x14ac:dyDescent="0.2">
      <c r="A40" t="s">
        <v>3100</v>
      </c>
      <c r="B40">
        <v>29755</v>
      </c>
      <c r="C40">
        <v>803</v>
      </c>
      <c r="F40" s="4" t="s">
        <v>3101</v>
      </c>
      <c r="G40">
        <v>0.26395760072685076</v>
      </c>
      <c r="H40">
        <f t="shared" si="1"/>
        <v>4.6172539489671933E-2</v>
      </c>
      <c r="I40">
        <f t="shared" si="0"/>
        <v>1</v>
      </c>
    </row>
    <row r="41" spans="1:9" ht="48" x14ac:dyDescent="0.2">
      <c r="A41" t="s">
        <v>3102</v>
      </c>
      <c r="B41">
        <v>30034</v>
      </c>
      <c r="C41">
        <v>902</v>
      </c>
      <c r="F41" s="4" t="s">
        <v>3103</v>
      </c>
      <c r="G41">
        <v>0.26501380717953893</v>
      </c>
      <c r="H41">
        <f t="shared" si="1"/>
        <v>4.7387606318347507E-2</v>
      </c>
      <c r="I41">
        <f t="shared" si="0"/>
        <v>1</v>
      </c>
    </row>
    <row r="42" spans="1:9" ht="48" x14ac:dyDescent="0.2">
      <c r="A42" t="s">
        <v>3104</v>
      </c>
      <c r="B42">
        <v>30125</v>
      </c>
      <c r="C42">
        <v>1975</v>
      </c>
      <c r="F42" s="4" t="s">
        <v>3105</v>
      </c>
      <c r="G42">
        <v>0.26507407227969793</v>
      </c>
      <c r="H42">
        <f t="shared" si="1"/>
        <v>4.8602673147023087E-2</v>
      </c>
      <c r="I42">
        <f t="shared" si="0"/>
        <v>1</v>
      </c>
    </row>
    <row r="43" spans="1:9" ht="64" x14ac:dyDescent="0.2">
      <c r="A43" t="s">
        <v>3106</v>
      </c>
      <c r="B43">
        <v>30206</v>
      </c>
      <c r="C43">
        <v>843</v>
      </c>
      <c r="F43" s="4" t="s">
        <v>3107</v>
      </c>
      <c r="G43">
        <v>0.26521200509430248</v>
      </c>
      <c r="H43">
        <f t="shared" si="1"/>
        <v>4.9817739975698661E-2</v>
      </c>
      <c r="I43">
        <f t="shared" si="0"/>
        <v>1</v>
      </c>
    </row>
    <row r="44" spans="1:9" ht="64" x14ac:dyDescent="0.2">
      <c r="A44" t="s">
        <v>3108</v>
      </c>
      <c r="B44">
        <v>30293</v>
      </c>
      <c r="C44">
        <v>1025</v>
      </c>
      <c r="F44" s="4" t="s">
        <v>3109</v>
      </c>
      <c r="G44">
        <v>0.26528146991630858</v>
      </c>
      <c r="H44">
        <f t="shared" si="1"/>
        <v>5.1032806804374241E-2</v>
      </c>
      <c r="I44">
        <f t="shared" si="0"/>
        <v>1</v>
      </c>
    </row>
    <row r="45" spans="1:9" ht="48" x14ac:dyDescent="0.2">
      <c r="A45" t="s">
        <v>3110</v>
      </c>
      <c r="B45">
        <v>30383</v>
      </c>
      <c r="C45">
        <v>1040</v>
      </c>
      <c r="F45" s="4" t="s">
        <v>3111</v>
      </c>
      <c r="G45">
        <v>0.26540599892972838</v>
      </c>
      <c r="H45">
        <f t="shared" si="1"/>
        <v>5.2247873633049821E-2</v>
      </c>
      <c r="I45">
        <f t="shared" si="0"/>
        <v>1</v>
      </c>
    </row>
    <row r="46" spans="1:9" ht="48" x14ac:dyDescent="0.2">
      <c r="A46" t="s">
        <v>3112</v>
      </c>
      <c r="B46">
        <v>30417</v>
      </c>
      <c r="C46">
        <v>874</v>
      </c>
      <c r="F46" s="4" t="s">
        <v>3113</v>
      </c>
      <c r="G46">
        <v>0.26570555899536247</v>
      </c>
      <c r="H46">
        <f t="shared" si="1"/>
        <v>5.3462940461725394E-2</v>
      </c>
      <c r="I46">
        <f t="shared" si="0"/>
        <v>1</v>
      </c>
    </row>
    <row r="47" spans="1:9" ht="48" x14ac:dyDescent="0.2">
      <c r="A47" t="s">
        <v>3114</v>
      </c>
      <c r="B47">
        <v>30563</v>
      </c>
      <c r="C47">
        <v>947</v>
      </c>
      <c r="F47" s="4" t="s">
        <v>3115</v>
      </c>
      <c r="G47">
        <v>0.26574396626976327</v>
      </c>
      <c r="H47">
        <f t="shared" si="1"/>
        <v>5.4678007290400975E-2</v>
      </c>
      <c r="I47">
        <f t="shared" si="0"/>
        <v>1</v>
      </c>
    </row>
    <row r="48" spans="1:9" ht="48" x14ac:dyDescent="0.2">
      <c r="A48" t="s">
        <v>3116</v>
      </c>
      <c r="B48">
        <v>30855</v>
      </c>
      <c r="C48">
        <v>710</v>
      </c>
      <c r="F48" s="4" t="s">
        <v>3117</v>
      </c>
      <c r="G48">
        <v>0.26611780339498742</v>
      </c>
      <c r="H48">
        <f t="shared" si="1"/>
        <v>5.5893074119076548E-2</v>
      </c>
      <c r="I48">
        <f t="shared" si="0"/>
        <v>1</v>
      </c>
    </row>
    <row r="49" spans="1:9" ht="48" x14ac:dyDescent="0.2">
      <c r="A49" t="s">
        <v>3118</v>
      </c>
      <c r="B49">
        <v>30987</v>
      </c>
      <c r="C49">
        <v>1018</v>
      </c>
      <c r="F49" s="4" t="s">
        <v>3119</v>
      </c>
      <c r="G49">
        <v>0.26646727701344997</v>
      </c>
      <c r="H49">
        <f t="shared" si="1"/>
        <v>5.7108140947752128E-2</v>
      </c>
      <c r="I49">
        <f t="shared" si="0"/>
        <v>1</v>
      </c>
    </row>
    <row r="50" spans="1:9" ht="64" x14ac:dyDescent="0.2">
      <c r="A50" t="s">
        <v>3120</v>
      </c>
      <c r="B50">
        <v>30995</v>
      </c>
      <c r="C50">
        <v>1050</v>
      </c>
      <c r="F50" s="4" t="s">
        <v>3121</v>
      </c>
      <c r="G50">
        <v>0.26690338715535256</v>
      </c>
      <c r="H50">
        <f t="shared" si="1"/>
        <v>5.8323207776427702E-2</v>
      </c>
      <c r="I50">
        <f t="shared" si="0"/>
        <v>1</v>
      </c>
    </row>
    <row r="51" spans="1:9" ht="64" x14ac:dyDescent="0.2">
      <c r="A51" t="s">
        <v>3122</v>
      </c>
      <c r="B51">
        <v>31179</v>
      </c>
      <c r="C51">
        <v>1114</v>
      </c>
      <c r="F51" s="4" t="s">
        <v>3123</v>
      </c>
      <c r="G51">
        <v>0.26820023893743117</v>
      </c>
      <c r="H51">
        <f t="shared" si="1"/>
        <v>5.9538274605103282E-2</v>
      </c>
      <c r="I51">
        <f t="shared" si="0"/>
        <v>1</v>
      </c>
    </row>
    <row r="52" spans="1:9" ht="48" x14ac:dyDescent="0.2">
      <c r="A52" t="s">
        <v>3124</v>
      </c>
      <c r="B52">
        <v>31309</v>
      </c>
      <c r="C52">
        <v>1024</v>
      </c>
      <c r="F52" s="4" t="s">
        <v>3125</v>
      </c>
      <c r="G52">
        <v>0.2687601053826687</v>
      </c>
      <c r="H52">
        <f t="shared" si="1"/>
        <v>6.0753341433778855E-2</v>
      </c>
      <c r="I52">
        <f t="shared" si="0"/>
        <v>1</v>
      </c>
    </row>
    <row r="53" spans="1:9" ht="48" x14ac:dyDescent="0.2">
      <c r="A53" t="s">
        <v>3126</v>
      </c>
      <c r="B53">
        <v>31618</v>
      </c>
      <c r="C53">
        <v>927</v>
      </c>
      <c r="F53" s="4" t="s">
        <v>3127</v>
      </c>
      <c r="G53">
        <v>0.26907153890270991</v>
      </c>
      <c r="H53">
        <f t="shared" si="1"/>
        <v>6.1968408262454436E-2</v>
      </c>
      <c r="I53">
        <f t="shared" si="0"/>
        <v>1</v>
      </c>
    </row>
    <row r="54" spans="1:9" ht="48" x14ac:dyDescent="0.2">
      <c r="A54" t="s">
        <v>3128</v>
      </c>
      <c r="B54">
        <v>31838</v>
      </c>
      <c r="C54">
        <v>1313</v>
      </c>
      <c r="F54" s="4" t="s">
        <v>3129</v>
      </c>
      <c r="G54">
        <v>0.26926439587687379</v>
      </c>
      <c r="H54">
        <f t="shared" si="1"/>
        <v>6.3183475091130009E-2</v>
      </c>
      <c r="I54">
        <f t="shared" si="0"/>
        <v>1</v>
      </c>
    </row>
    <row r="55" spans="1:9" ht="64" x14ac:dyDescent="0.2">
      <c r="A55" t="s">
        <v>3130</v>
      </c>
      <c r="B55">
        <v>31972</v>
      </c>
      <c r="C55">
        <v>998</v>
      </c>
      <c r="F55" s="4" t="s">
        <v>3131</v>
      </c>
      <c r="G55">
        <v>0.269987849112237</v>
      </c>
      <c r="H55">
        <f t="shared" si="1"/>
        <v>6.4398541919805583E-2</v>
      </c>
      <c r="I55">
        <f t="shared" si="0"/>
        <v>1</v>
      </c>
    </row>
    <row r="56" spans="1:9" ht="48" x14ac:dyDescent="0.2">
      <c r="A56" t="s">
        <v>3132</v>
      </c>
      <c r="B56">
        <v>32052</v>
      </c>
      <c r="C56">
        <v>903</v>
      </c>
      <c r="F56" s="4" t="s">
        <v>3133</v>
      </c>
      <c r="G56">
        <v>0.26999295057570299</v>
      </c>
      <c r="H56">
        <f t="shared" si="1"/>
        <v>6.561360874848117E-2</v>
      </c>
      <c r="I56">
        <f t="shared" si="0"/>
        <v>1</v>
      </c>
    </row>
    <row r="57" spans="1:9" ht="64" x14ac:dyDescent="0.2">
      <c r="A57" t="s">
        <v>3134</v>
      </c>
      <c r="B57">
        <v>32110</v>
      </c>
      <c r="C57">
        <v>1067</v>
      </c>
      <c r="F57" s="4" t="s">
        <v>3135</v>
      </c>
      <c r="G57">
        <v>0.27136483937065708</v>
      </c>
      <c r="H57">
        <f t="shared" si="1"/>
        <v>6.6828675577156743E-2</v>
      </c>
      <c r="I57">
        <f t="shared" si="0"/>
        <v>1</v>
      </c>
    </row>
    <row r="58" spans="1:9" ht="48" x14ac:dyDescent="0.2">
      <c r="A58" t="s">
        <v>3136</v>
      </c>
      <c r="B58">
        <v>32378</v>
      </c>
      <c r="C58">
        <v>1254</v>
      </c>
      <c r="F58" s="4" t="s">
        <v>3137</v>
      </c>
      <c r="G58">
        <v>0.27182426107393926</v>
      </c>
      <c r="H58">
        <f t="shared" si="1"/>
        <v>6.8043742405832316E-2</v>
      </c>
      <c r="I58">
        <f t="shared" si="0"/>
        <v>1</v>
      </c>
    </row>
    <row r="59" spans="1:9" ht="64" x14ac:dyDescent="0.2">
      <c r="A59" t="s">
        <v>3138</v>
      </c>
      <c r="B59">
        <v>32444</v>
      </c>
      <c r="C59">
        <v>1213</v>
      </c>
      <c r="F59" s="4" t="s">
        <v>3139</v>
      </c>
      <c r="G59">
        <v>0.27248203786018471</v>
      </c>
      <c r="H59">
        <f t="shared" si="1"/>
        <v>6.9258809234507904E-2</v>
      </c>
      <c r="I59">
        <f t="shared" si="0"/>
        <v>1</v>
      </c>
    </row>
    <row r="60" spans="1:9" ht="64" x14ac:dyDescent="0.2">
      <c r="A60" t="s">
        <v>3140</v>
      </c>
      <c r="B60">
        <v>33049</v>
      </c>
      <c r="C60">
        <v>1054</v>
      </c>
      <c r="F60" s="4" t="s">
        <v>3141</v>
      </c>
      <c r="G60">
        <v>0.27311825299948678</v>
      </c>
      <c r="H60">
        <f t="shared" si="1"/>
        <v>7.0473876063183477E-2</v>
      </c>
      <c r="I60">
        <f t="shared" si="0"/>
        <v>1</v>
      </c>
    </row>
    <row r="61" spans="1:9" ht="64" x14ac:dyDescent="0.2">
      <c r="A61" t="s">
        <v>3142</v>
      </c>
      <c r="B61">
        <v>33056</v>
      </c>
      <c r="C61">
        <v>1190</v>
      </c>
      <c r="F61" s="4" t="s">
        <v>3143</v>
      </c>
      <c r="G61">
        <v>0.27458913393235673</v>
      </c>
      <c r="H61">
        <f t="shared" si="1"/>
        <v>7.168894289185905E-2</v>
      </c>
      <c r="I61">
        <f t="shared" si="0"/>
        <v>1</v>
      </c>
    </row>
    <row r="62" spans="1:9" ht="48" x14ac:dyDescent="0.2">
      <c r="A62" t="s">
        <v>3144</v>
      </c>
      <c r="B62">
        <v>33221</v>
      </c>
      <c r="C62">
        <v>1213</v>
      </c>
      <c r="F62" s="4" t="s">
        <v>3145</v>
      </c>
      <c r="G62">
        <v>0.2747427564034331</v>
      </c>
      <c r="H62">
        <f t="shared" si="1"/>
        <v>7.2904009720534624E-2</v>
      </c>
      <c r="I62">
        <f t="shared" si="0"/>
        <v>1</v>
      </c>
    </row>
    <row r="63" spans="1:9" ht="48" x14ac:dyDescent="0.2">
      <c r="A63" t="s">
        <v>3146</v>
      </c>
      <c r="B63">
        <v>33750</v>
      </c>
      <c r="C63">
        <v>1069</v>
      </c>
      <c r="F63" s="4" t="s">
        <v>3147</v>
      </c>
      <c r="G63">
        <v>0.27559516193865163</v>
      </c>
      <c r="H63">
        <f t="shared" si="1"/>
        <v>7.4119076549210211E-2</v>
      </c>
      <c r="I63">
        <f t="shared" si="0"/>
        <v>1</v>
      </c>
    </row>
    <row r="64" spans="1:9" ht="48" x14ac:dyDescent="0.2">
      <c r="A64" t="s">
        <v>3148</v>
      </c>
      <c r="B64">
        <v>33942</v>
      </c>
      <c r="C64">
        <v>1146</v>
      </c>
      <c r="F64" s="4" t="s">
        <v>3149</v>
      </c>
      <c r="G64">
        <v>0.27575696739340916</v>
      </c>
      <c r="H64">
        <f t="shared" si="1"/>
        <v>7.5334143377885784E-2</v>
      </c>
      <c r="I64">
        <f t="shared" si="0"/>
        <v>1</v>
      </c>
    </row>
    <row r="65" spans="1:9" ht="48" x14ac:dyDescent="0.2">
      <c r="A65" t="s">
        <v>3150</v>
      </c>
      <c r="B65">
        <v>33958</v>
      </c>
      <c r="C65">
        <v>896</v>
      </c>
      <c r="F65" s="4" t="s">
        <v>3151</v>
      </c>
      <c r="G65">
        <v>0.27602744201794238</v>
      </c>
      <c r="H65">
        <f t="shared" si="1"/>
        <v>7.6549210206561358E-2</v>
      </c>
      <c r="I65">
        <f t="shared" si="0"/>
        <v>1</v>
      </c>
    </row>
    <row r="66" spans="1:9" ht="48" x14ac:dyDescent="0.2">
      <c r="A66" t="s">
        <v>3152</v>
      </c>
      <c r="B66">
        <v>34172</v>
      </c>
      <c r="C66">
        <v>1125</v>
      </c>
      <c r="F66" s="4" t="s">
        <v>3153</v>
      </c>
      <c r="G66">
        <v>0.27641758456435234</v>
      </c>
      <c r="H66">
        <f t="shared" si="1"/>
        <v>7.7764277035236931E-2</v>
      </c>
      <c r="I66">
        <f t="shared" si="0"/>
        <v>1</v>
      </c>
    </row>
    <row r="67" spans="1:9" ht="48" x14ac:dyDescent="0.2">
      <c r="A67" t="s">
        <v>3154</v>
      </c>
      <c r="B67">
        <v>34450</v>
      </c>
      <c r="C67">
        <v>1202</v>
      </c>
      <c r="F67" s="4" t="s">
        <v>3155</v>
      </c>
      <c r="G67">
        <v>0.27666386566212431</v>
      </c>
      <c r="H67">
        <f t="shared" si="1"/>
        <v>7.8979343863912518E-2</v>
      </c>
      <c r="I67">
        <f t="shared" ref="I67:I130" si="2">IF(H67&lt;0.2,1,IF(H67&lt;0.4,2,IF(H67&lt;0.6,3,IF(H67&lt;0.8,4,5))))</f>
        <v>1</v>
      </c>
    </row>
    <row r="68" spans="1:9" ht="64" x14ac:dyDescent="0.2">
      <c r="A68" t="s">
        <v>3156</v>
      </c>
      <c r="B68">
        <v>34507</v>
      </c>
      <c r="C68">
        <v>965</v>
      </c>
      <c r="F68" s="4" t="s">
        <v>3157</v>
      </c>
      <c r="G68">
        <v>0.27902813555377048</v>
      </c>
      <c r="H68">
        <f t="shared" ref="H68:H131" si="3">_xlfn.RANK.EQ(G68,$G$3:$G$825,1)/COUNT($G$3:$G$825)</f>
        <v>8.0194410692588092E-2</v>
      </c>
      <c r="I68">
        <f t="shared" si="2"/>
        <v>1</v>
      </c>
    </row>
    <row r="69" spans="1:9" ht="48" x14ac:dyDescent="0.2">
      <c r="A69" t="s">
        <v>3158</v>
      </c>
      <c r="B69">
        <v>34788</v>
      </c>
      <c r="C69">
        <v>1092</v>
      </c>
      <c r="F69" s="4" t="s">
        <v>3159</v>
      </c>
      <c r="G69">
        <v>0.28044039568323587</v>
      </c>
      <c r="H69">
        <f t="shared" si="3"/>
        <v>8.1409477521263665E-2</v>
      </c>
      <c r="I69">
        <f t="shared" si="2"/>
        <v>1</v>
      </c>
    </row>
    <row r="70" spans="1:9" ht="64" x14ac:dyDescent="0.2">
      <c r="A70" t="s">
        <v>3160</v>
      </c>
      <c r="B70">
        <v>35030</v>
      </c>
      <c r="C70">
        <v>1127</v>
      </c>
      <c r="F70" s="4" t="s">
        <v>3161</v>
      </c>
      <c r="G70">
        <v>0.28162994318540802</v>
      </c>
      <c r="H70">
        <f t="shared" si="3"/>
        <v>8.2624544349939252E-2</v>
      </c>
      <c r="I70">
        <f t="shared" si="2"/>
        <v>1</v>
      </c>
    </row>
    <row r="71" spans="1:9" ht="64" x14ac:dyDescent="0.2">
      <c r="A71" t="s">
        <v>3162</v>
      </c>
      <c r="B71">
        <v>35163</v>
      </c>
      <c r="C71">
        <v>1256</v>
      </c>
      <c r="F71" s="4" t="s">
        <v>3163</v>
      </c>
      <c r="G71">
        <v>0.28202178694760693</v>
      </c>
      <c r="H71">
        <f t="shared" si="3"/>
        <v>8.3839611178614826E-2</v>
      </c>
      <c r="I71">
        <f t="shared" si="2"/>
        <v>1</v>
      </c>
    </row>
    <row r="72" spans="1:9" ht="64" x14ac:dyDescent="0.2">
      <c r="A72" t="s">
        <v>3164</v>
      </c>
      <c r="B72">
        <v>35234</v>
      </c>
      <c r="C72">
        <v>1033</v>
      </c>
      <c r="F72" s="4" t="s">
        <v>3165</v>
      </c>
      <c r="G72">
        <v>0.28235574391302404</v>
      </c>
      <c r="H72">
        <f t="shared" si="3"/>
        <v>8.5054678007290399E-2</v>
      </c>
      <c r="I72">
        <f t="shared" si="2"/>
        <v>1</v>
      </c>
    </row>
    <row r="73" spans="1:9" ht="64" x14ac:dyDescent="0.2">
      <c r="A73" t="s">
        <v>3166</v>
      </c>
      <c r="B73">
        <v>35313</v>
      </c>
      <c r="C73">
        <v>912</v>
      </c>
      <c r="F73" s="4" t="s">
        <v>3167</v>
      </c>
      <c r="G73">
        <v>0.28270133566461475</v>
      </c>
      <c r="H73">
        <f t="shared" si="3"/>
        <v>8.6269744835965972E-2</v>
      </c>
      <c r="I73">
        <f t="shared" si="2"/>
        <v>1</v>
      </c>
    </row>
    <row r="74" spans="1:9" ht="64" x14ac:dyDescent="0.2">
      <c r="A74" t="s">
        <v>3168</v>
      </c>
      <c r="B74">
        <v>35460</v>
      </c>
      <c r="C74">
        <v>859</v>
      </c>
      <c r="F74" s="4" t="s">
        <v>3169</v>
      </c>
      <c r="G74">
        <v>0.28283723074183525</v>
      </c>
      <c r="H74">
        <f t="shared" si="3"/>
        <v>8.748481166464156E-2</v>
      </c>
      <c r="I74">
        <f t="shared" si="2"/>
        <v>1</v>
      </c>
    </row>
    <row r="75" spans="1:9" ht="64" x14ac:dyDescent="0.2">
      <c r="A75" t="s">
        <v>3170</v>
      </c>
      <c r="B75">
        <v>35463</v>
      </c>
      <c r="C75">
        <v>998</v>
      </c>
      <c r="F75" s="4" t="s">
        <v>3171</v>
      </c>
      <c r="G75">
        <v>0.28304750326493533</v>
      </c>
      <c r="H75">
        <f t="shared" si="3"/>
        <v>8.8699878493317133E-2</v>
      </c>
      <c r="I75">
        <f t="shared" si="2"/>
        <v>1</v>
      </c>
    </row>
    <row r="76" spans="1:9" ht="48" x14ac:dyDescent="0.2">
      <c r="A76" t="s">
        <v>3172</v>
      </c>
      <c r="B76">
        <v>35492</v>
      </c>
      <c r="C76">
        <v>1228</v>
      </c>
      <c r="F76" s="4" t="s">
        <v>3173</v>
      </c>
      <c r="G76">
        <v>0.28310806380765913</v>
      </c>
      <c r="H76">
        <f t="shared" si="3"/>
        <v>8.9914945321992706E-2</v>
      </c>
      <c r="I76">
        <f t="shared" si="2"/>
        <v>1</v>
      </c>
    </row>
    <row r="77" spans="1:9" ht="64" x14ac:dyDescent="0.2">
      <c r="A77" t="s">
        <v>3174</v>
      </c>
      <c r="B77">
        <v>35799</v>
      </c>
      <c r="C77">
        <v>963</v>
      </c>
      <c r="F77" s="4" t="s">
        <v>3175</v>
      </c>
      <c r="G77">
        <v>0.28312886534334947</v>
      </c>
      <c r="H77">
        <f t="shared" si="3"/>
        <v>9.1130012150668294E-2</v>
      </c>
      <c r="I77">
        <f t="shared" si="2"/>
        <v>1</v>
      </c>
    </row>
    <row r="78" spans="1:9" ht="48" x14ac:dyDescent="0.2">
      <c r="A78" t="s">
        <v>3176</v>
      </c>
      <c r="B78">
        <v>36058</v>
      </c>
      <c r="C78">
        <v>1247</v>
      </c>
      <c r="F78" s="4" t="s">
        <v>3177</v>
      </c>
      <c r="G78">
        <v>0.28315219635447619</v>
      </c>
      <c r="H78">
        <f t="shared" si="3"/>
        <v>9.2345078979343867E-2</v>
      </c>
      <c r="I78">
        <f t="shared" si="2"/>
        <v>1</v>
      </c>
    </row>
    <row r="79" spans="1:9" ht="64" x14ac:dyDescent="0.2">
      <c r="A79" t="s">
        <v>3178</v>
      </c>
      <c r="B79">
        <v>36120</v>
      </c>
      <c r="C79">
        <v>1020</v>
      </c>
      <c r="F79" s="4" t="s">
        <v>3179</v>
      </c>
      <c r="G79">
        <v>0.28327930519918321</v>
      </c>
      <c r="H79">
        <f t="shared" si="3"/>
        <v>9.356014580801944E-2</v>
      </c>
      <c r="I79">
        <f t="shared" si="2"/>
        <v>1</v>
      </c>
    </row>
    <row r="80" spans="1:9" ht="48" x14ac:dyDescent="0.2">
      <c r="A80" t="s">
        <v>3180</v>
      </c>
      <c r="B80">
        <v>36304</v>
      </c>
      <c r="C80">
        <v>1165</v>
      </c>
      <c r="F80" s="4" t="s">
        <v>3181</v>
      </c>
      <c r="G80">
        <v>0.28330410573503295</v>
      </c>
      <c r="H80">
        <f t="shared" si="3"/>
        <v>9.4775212636695014E-2</v>
      </c>
      <c r="I80">
        <f t="shared" si="2"/>
        <v>1</v>
      </c>
    </row>
    <row r="81" spans="1:9" ht="48" x14ac:dyDescent="0.2">
      <c r="A81" t="s">
        <v>3182</v>
      </c>
      <c r="B81">
        <v>36495</v>
      </c>
      <c r="C81">
        <v>1081</v>
      </c>
      <c r="F81" s="4" t="s">
        <v>3183</v>
      </c>
      <c r="G81">
        <v>0.28350983409654734</v>
      </c>
      <c r="H81">
        <f t="shared" si="3"/>
        <v>9.5990279465370601E-2</v>
      </c>
      <c r="I81">
        <f t="shared" si="2"/>
        <v>1</v>
      </c>
    </row>
    <row r="82" spans="1:9" ht="64" x14ac:dyDescent="0.2">
      <c r="A82" t="s">
        <v>3184</v>
      </c>
      <c r="B82">
        <v>36540</v>
      </c>
      <c r="C82">
        <v>1129</v>
      </c>
      <c r="F82" s="4" t="s">
        <v>3185</v>
      </c>
      <c r="G82">
        <v>0.2843667206804098</v>
      </c>
      <c r="H82">
        <f t="shared" si="3"/>
        <v>9.7205346294046174E-2</v>
      </c>
      <c r="I82">
        <f t="shared" si="2"/>
        <v>1</v>
      </c>
    </row>
    <row r="83" spans="1:9" ht="64" x14ac:dyDescent="0.2">
      <c r="A83" t="s">
        <v>3186</v>
      </c>
      <c r="B83">
        <v>36743</v>
      </c>
      <c r="C83">
        <v>1060</v>
      </c>
      <c r="F83" s="4" t="s">
        <v>3187</v>
      </c>
      <c r="G83">
        <v>0.28436681519564577</v>
      </c>
      <c r="H83">
        <f t="shared" si="3"/>
        <v>9.8420413122721748E-2</v>
      </c>
      <c r="I83">
        <f t="shared" si="2"/>
        <v>1</v>
      </c>
    </row>
    <row r="84" spans="1:9" ht="64" x14ac:dyDescent="0.2">
      <c r="A84" t="s">
        <v>3188</v>
      </c>
      <c r="B84">
        <v>37353</v>
      </c>
      <c r="C84">
        <v>1097</v>
      </c>
      <c r="F84" s="4" t="s">
        <v>3189</v>
      </c>
      <c r="G84">
        <v>0.28468205929741891</v>
      </c>
      <c r="H84">
        <f t="shared" si="3"/>
        <v>9.9635479951397321E-2</v>
      </c>
      <c r="I84">
        <f t="shared" si="2"/>
        <v>1</v>
      </c>
    </row>
    <row r="85" spans="1:9" ht="48" x14ac:dyDescent="0.2">
      <c r="A85" t="s">
        <v>3190</v>
      </c>
      <c r="B85">
        <v>37403</v>
      </c>
      <c r="C85">
        <v>1017</v>
      </c>
      <c r="F85" s="4" t="s">
        <v>3191</v>
      </c>
      <c r="G85">
        <v>0.28490943189667983</v>
      </c>
      <c r="H85">
        <f t="shared" si="3"/>
        <v>0.10085054678007291</v>
      </c>
      <c r="I85">
        <f t="shared" si="2"/>
        <v>1</v>
      </c>
    </row>
    <row r="86" spans="1:9" ht="48" x14ac:dyDescent="0.2">
      <c r="A86" t="s">
        <v>3192</v>
      </c>
      <c r="B86">
        <v>37463</v>
      </c>
      <c r="C86">
        <v>946</v>
      </c>
      <c r="F86" s="4" t="s">
        <v>3193</v>
      </c>
      <c r="G86">
        <v>0.28513017385227096</v>
      </c>
      <c r="H86">
        <f t="shared" si="3"/>
        <v>0.10206561360874848</v>
      </c>
      <c r="I86">
        <f t="shared" si="2"/>
        <v>1</v>
      </c>
    </row>
    <row r="87" spans="1:9" ht="48" x14ac:dyDescent="0.2">
      <c r="A87" t="s">
        <v>3194</v>
      </c>
      <c r="B87">
        <v>37481</v>
      </c>
      <c r="C87">
        <v>1269</v>
      </c>
      <c r="F87" s="4" t="s">
        <v>3195</v>
      </c>
      <c r="G87">
        <v>0.28581149186523569</v>
      </c>
      <c r="H87">
        <f t="shared" si="3"/>
        <v>0.10328068043742406</v>
      </c>
      <c r="I87">
        <f t="shared" si="2"/>
        <v>1</v>
      </c>
    </row>
    <row r="88" spans="1:9" ht="48" x14ac:dyDescent="0.2">
      <c r="A88" t="s">
        <v>3196</v>
      </c>
      <c r="B88">
        <v>37688</v>
      </c>
      <c r="C88">
        <v>970</v>
      </c>
      <c r="F88" s="4" t="s">
        <v>3197</v>
      </c>
      <c r="G88">
        <v>0.28648356730362845</v>
      </c>
      <c r="H88">
        <f t="shared" si="3"/>
        <v>0.10449574726609964</v>
      </c>
      <c r="I88">
        <f t="shared" si="2"/>
        <v>1</v>
      </c>
    </row>
    <row r="89" spans="1:9" ht="48" x14ac:dyDescent="0.2">
      <c r="A89" t="s">
        <v>3198</v>
      </c>
      <c r="B89">
        <v>37802</v>
      </c>
      <c r="C89">
        <v>1162</v>
      </c>
      <c r="F89" s="4" t="s">
        <v>3199</v>
      </c>
      <c r="G89">
        <v>0.28742175784443358</v>
      </c>
      <c r="H89">
        <f t="shared" si="3"/>
        <v>0.10571081409477522</v>
      </c>
      <c r="I89">
        <f t="shared" si="2"/>
        <v>1</v>
      </c>
    </row>
    <row r="90" spans="1:9" ht="48" x14ac:dyDescent="0.2">
      <c r="A90" t="s">
        <v>3200</v>
      </c>
      <c r="B90">
        <v>38560</v>
      </c>
      <c r="C90">
        <v>1230</v>
      </c>
      <c r="F90" s="4" t="s">
        <v>3201</v>
      </c>
      <c r="G90">
        <v>0.28743560748271829</v>
      </c>
      <c r="H90">
        <f t="shared" si="3"/>
        <v>0.10692588092345079</v>
      </c>
      <c r="I90">
        <f t="shared" si="2"/>
        <v>1</v>
      </c>
    </row>
    <row r="91" spans="1:9" ht="64" x14ac:dyDescent="0.2">
      <c r="A91" t="s">
        <v>3202</v>
      </c>
      <c r="B91">
        <v>39167</v>
      </c>
      <c r="C91">
        <v>1130</v>
      </c>
      <c r="F91" s="4" t="s">
        <v>3203</v>
      </c>
      <c r="G91">
        <v>0.28783845139375291</v>
      </c>
      <c r="H91">
        <f t="shared" si="3"/>
        <v>0.10814094775212636</v>
      </c>
      <c r="I91">
        <f t="shared" si="2"/>
        <v>1</v>
      </c>
    </row>
    <row r="92" spans="1:9" ht="64" x14ac:dyDescent="0.2">
      <c r="A92" t="s">
        <v>3204</v>
      </c>
      <c r="B92">
        <v>39196</v>
      </c>
      <c r="C92">
        <v>1097</v>
      </c>
      <c r="F92" s="4" t="s">
        <v>3205</v>
      </c>
      <c r="G92">
        <v>0.28786256020181056</v>
      </c>
      <c r="H92">
        <f t="shared" si="3"/>
        <v>0.10935601458080195</v>
      </c>
      <c r="I92">
        <f t="shared" si="2"/>
        <v>1</v>
      </c>
    </row>
    <row r="93" spans="1:9" ht="64" x14ac:dyDescent="0.2">
      <c r="A93" t="s">
        <v>3206</v>
      </c>
      <c r="B93">
        <v>39545</v>
      </c>
      <c r="C93">
        <v>1034</v>
      </c>
      <c r="F93" s="4" t="s">
        <v>3207</v>
      </c>
      <c r="G93">
        <v>0.28881289613941058</v>
      </c>
      <c r="H93">
        <f t="shared" si="3"/>
        <v>0.11057108140947752</v>
      </c>
      <c r="I93">
        <f t="shared" si="2"/>
        <v>1</v>
      </c>
    </row>
    <row r="94" spans="1:9" ht="48" x14ac:dyDescent="0.2">
      <c r="A94" t="s">
        <v>3208</v>
      </c>
      <c r="B94">
        <v>39737</v>
      </c>
      <c r="C94">
        <v>1228</v>
      </c>
      <c r="F94" s="4" t="s">
        <v>3209</v>
      </c>
      <c r="G94">
        <v>0.2891563083263064</v>
      </c>
      <c r="H94">
        <f t="shared" si="3"/>
        <v>0.1117861482381531</v>
      </c>
      <c r="I94">
        <f t="shared" si="2"/>
        <v>1</v>
      </c>
    </row>
    <row r="95" spans="1:9" ht="64" x14ac:dyDescent="0.2">
      <c r="A95" t="s">
        <v>3210</v>
      </c>
      <c r="B95">
        <v>40066</v>
      </c>
      <c r="C95">
        <v>1014</v>
      </c>
      <c r="F95" s="4" t="s">
        <v>3211</v>
      </c>
      <c r="G95">
        <v>0.28916231012420829</v>
      </c>
      <c r="H95">
        <f t="shared" si="3"/>
        <v>0.11300121506682867</v>
      </c>
      <c r="I95">
        <f t="shared" si="2"/>
        <v>1</v>
      </c>
    </row>
    <row r="96" spans="1:9" ht="48" x14ac:dyDescent="0.2">
      <c r="A96" t="s">
        <v>3212</v>
      </c>
      <c r="B96">
        <v>40075</v>
      </c>
      <c r="C96">
        <v>1314</v>
      </c>
      <c r="F96" s="4" t="s">
        <v>3213</v>
      </c>
      <c r="G96">
        <v>0.28944071649941455</v>
      </c>
      <c r="H96">
        <f t="shared" si="3"/>
        <v>0.11421628189550426</v>
      </c>
      <c r="I96">
        <f t="shared" si="2"/>
        <v>1</v>
      </c>
    </row>
    <row r="97" spans="1:9" ht="64" x14ac:dyDescent="0.2">
      <c r="A97" t="s">
        <v>3214</v>
      </c>
      <c r="B97">
        <v>40169</v>
      </c>
      <c r="C97">
        <v>1058</v>
      </c>
      <c r="F97" s="4" t="s">
        <v>3215</v>
      </c>
      <c r="G97">
        <v>0.28960118187146189</v>
      </c>
      <c r="H97">
        <f t="shared" si="3"/>
        <v>0.11543134872417983</v>
      </c>
      <c r="I97">
        <f t="shared" si="2"/>
        <v>1</v>
      </c>
    </row>
    <row r="98" spans="1:9" ht="64" x14ac:dyDescent="0.2">
      <c r="A98" t="s">
        <v>3216</v>
      </c>
      <c r="B98">
        <v>40245</v>
      </c>
      <c r="C98">
        <v>1131</v>
      </c>
      <c r="F98" s="4" t="s">
        <v>3217</v>
      </c>
      <c r="G98">
        <v>0.28971250432975404</v>
      </c>
      <c r="H98">
        <f t="shared" si="3"/>
        <v>0.1166464155528554</v>
      </c>
      <c r="I98">
        <f t="shared" si="2"/>
        <v>1</v>
      </c>
    </row>
    <row r="99" spans="1:9" ht="48" x14ac:dyDescent="0.2">
      <c r="A99" t="s">
        <v>3218</v>
      </c>
      <c r="B99">
        <v>40625</v>
      </c>
      <c r="C99">
        <v>1226</v>
      </c>
      <c r="F99" s="4" t="s">
        <v>3219</v>
      </c>
      <c r="G99">
        <v>0.28975975094672807</v>
      </c>
      <c r="H99">
        <f t="shared" si="3"/>
        <v>0.11786148238153099</v>
      </c>
      <c r="I99">
        <f t="shared" si="2"/>
        <v>1</v>
      </c>
    </row>
    <row r="100" spans="1:9" ht="48" x14ac:dyDescent="0.2">
      <c r="A100" t="s">
        <v>3220</v>
      </c>
      <c r="B100">
        <v>40637</v>
      </c>
      <c r="C100">
        <v>1182</v>
      </c>
      <c r="F100" s="4" t="s">
        <v>3221</v>
      </c>
      <c r="G100">
        <v>0.29014657414887463</v>
      </c>
      <c r="H100">
        <f t="shared" si="3"/>
        <v>0.11907654921020656</v>
      </c>
      <c r="I100">
        <f t="shared" si="2"/>
        <v>1</v>
      </c>
    </row>
    <row r="101" spans="1:9" ht="64" x14ac:dyDescent="0.2">
      <c r="A101" t="s">
        <v>3222</v>
      </c>
      <c r="B101">
        <v>40913</v>
      </c>
      <c r="C101">
        <v>1104</v>
      </c>
      <c r="F101" s="4" t="s">
        <v>3223</v>
      </c>
      <c r="G101">
        <v>0.29043440817806582</v>
      </c>
      <c r="H101">
        <f t="shared" si="3"/>
        <v>0.12029161603888214</v>
      </c>
      <c r="I101">
        <f t="shared" si="2"/>
        <v>1</v>
      </c>
    </row>
    <row r="102" spans="1:9" ht="48" x14ac:dyDescent="0.2">
      <c r="A102" t="s">
        <v>3224</v>
      </c>
      <c r="B102">
        <v>41218</v>
      </c>
      <c r="C102">
        <v>1185</v>
      </c>
      <c r="F102" s="4" t="s">
        <v>3225</v>
      </c>
      <c r="G102">
        <v>0.29107585173369593</v>
      </c>
      <c r="H102">
        <f t="shared" si="3"/>
        <v>0.12150668286755771</v>
      </c>
      <c r="I102">
        <f t="shared" si="2"/>
        <v>1</v>
      </c>
    </row>
    <row r="103" spans="1:9" ht="48" x14ac:dyDescent="0.2">
      <c r="A103" t="s">
        <v>3226</v>
      </c>
      <c r="B103">
        <v>41467</v>
      </c>
      <c r="C103">
        <v>1077</v>
      </c>
      <c r="F103" s="4" t="s">
        <v>3227</v>
      </c>
      <c r="G103">
        <v>0.29115080313101643</v>
      </c>
      <c r="H103">
        <f t="shared" si="3"/>
        <v>0.1227217496962333</v>
      </c>
      <c r="I103">
        <f t="shared" si="2"/>
        <v>1</v>
      </c>
    </row>
    <row r="104" spans="1:9" ht="48" x14ac:dyDescent="0.2">
      <c r="A104" t="s">
        <v>3228</v>
      </c>
      <c r="B104">
        <v>41477</v>
      </c>
      <c r="C104">
        <v>1263</v>
      </c>
      <c r="F104" s="4" t="s">
        <v>3229</v>
      </c>
      <c r="G104">
        <v>0.29121531903903208</v>
      </c>
      <c r="H104">
        <f t="shared" si="3"/>
        <v>0.12393681652490887</v>
      </c>
      <c r="I104">
        <f t="shared" si="2"/>
        <v>1</v>
      </c>
    </row>
    <row r="105" spans="1:9" ht="48" x14ac:dyDescent="0.2">
      <c r="A105" t="s">
        <v>3230</v>
      </c>
      <c r="B105">
        <v>41616</v>
      </c>
      <c r="C105">
        <v>886</v>
      </c>
      <c r="F105" s="4" t="s">
        <v>3231</v>
      </c>
      <c r="G105">
        <v>0.29135966901424698</v>
      </c>
      <c r="H105">
        <f t="shared" si="3"/>
        <v>0.12515188335358446</v>
      </c>
      <c r="I105">
        <f t="shared" si="2"/>
        <v>1</v>
      </c>
    </row>
    <row r="106" spans="1:9" ht="64" x14ac:dyDescent="0.2">
      <c r="A106" t="s">
        <v>3232</v>
      </c>
      <c r="B106">
        <v>41881</v>
      </c>
      <c r="C106">
        <v>1365</v>
      </c>
      <c r="F106" s="4" t="s">
        <v>3233</v>
      </c>
      <c r="G106">
        <v>0.29186377763903926</v>
      </c>
      <c r="H106">
        <f t="shared" si="3"/>
        <v>0.12636695018226002</v>
      </c>
      <c r="I106">
        <f t="shared" si="2"/>
        <v>1</v>
      </c>
    </row>
    <row r="107" spans="1:9" ht="48" x14ac:dyDescent="0.2">
      <c r="A107" t="s">
        <v>3234</v>
      </c>
      <c r="B107">
        <v>42021</v>
      </c>
      <c r="C107">
        <v>1142</v>
      </c>
      <c r="F107" s="4" t="s">
        <v>3235</v>
      </c>
      <c r="G107">
        <v>0.29187064657520939</v>
      </c>
      <c r="H107">
        <f t="shared" si="3"/>
        <v>0.12758201701093561</v>
      </c>
      <c r="I107">
        <f t="shared" si="2"/>
        <v>1</v>
      </c>
    </row>
    <row r="108" spans="1:9" ht="64" x14ac:dyDescent="0.2">
      <c r="A108" t="s">
        <v>3236</v>
      </c>
      <c r="B108">
        <v>42095</v>
      </c>
      <c r="C108">
        <v>1195</v>
      </c>
      <c r="F108" s="4" t="s">
        <v>3237</v>
      </c>
      <c r="G108">
        <v>0.29205594022133119</v>
      </c>
      <c r="H108">
        <f t="shared" si="3"/>
        <v>0.12879708383961117</v>
      </c>
      <c r="I108">
        <f t="shared" si="2"/>
        <v>1</v>
      </c>
    </row>
    <row r="109" spans="1:9" ht="48" x14ac:dyDescent="0.2">
      <c r="A109" t="s">
        <v>3238</v>
      </c>
      <c r="B109">
        <v>42188</v>
      </c>
      <c r="C109">
        <v>882</v>
      </c>
      <c r="F109" s="4" t="s">
        <v>3239</v>
      </c>
      <c r="G109">
        <v>0.29224151485056427</v>
      </c>
      <c r="H109">
        <f t="shared" si="3"/>
        <v>0.13001215066828675</v>
      </c>
      <c r="I109">
        <f t="shared" si="2"/>
        <v>1</v>
      </c>
    </row>
    <row r="110" spans="1:9" ht="64" x14ac:dyDescent="0.2">
      <c r="A110" t="s">
        <v>3240</v>
      </c>
      <c r="B110">
        <v>42476</v>
      </c>
      <c r="C110">
        <v>1025</v>
      </c>
      <c r="F110" s="4" t="s">
        <v>3241</v>
      </c>
      <c r="G110">
        <v>0.29241913580413886</v>
      </c>
      <c r="H110">
        <f t="shared" si="3"/>
        <v>0.13122721749696234</v>
      </c>
      <c r="I110">
        <f t="shared" si="2"/>
        <v>1</v>
      </c>
    </row>
    <row r="111" spans="1:9" ht="64" x14ac:dyDescent="0.2">
      <c r="A111" t="s">
        <v>3242</v>
      </c>
      <c r="B111">
        <v>42688</v>
      </c>
      <c r="C111">
        <v>1292</v>
      </c>
      <c r="F111" s="4" t="s">
        <v>3243</v>
      </c>
      <c r="G111">
        <v>0.29246739877959177</v>
      </c>
      <c r="H111">
        <f t="shared" si="3"/>
        <v>0.1324422843256379</v>
      </c>
      <c r="I111">
        <f t="shared" si="2"/>
        <v>1</v>
      </c>
    </row>
    <row r="112" spans="1:9" ht="64" x14ac:dyDescent="0.2">
      <c r="A112" t="s">
        <v>3244</v>
      </c>
      <c r="B112">
        <v>42826</v>
      </c>
      <c r="C112">
        <v>1318</v>
      </c>
      <c r="F112" s="4" t="s">
        <v>3245</v>
      </c>
      <c r="G112">
        <v>0.29253999403542535</v>
      </c>
      <c r="H112">
        <f t="shared" si="3"/>
        <v>0.13365735115431349</v>
      </c>
      <c r="I112">
        <f t="shared" si="2"/>
        <v>1</v>
      </c>
    </row>
    <row r="113" spans="1:9" ht="48" x14ac:dyDescent="0.2">
      <c r="A113" t="s">
        <v>3246</v>
      </c>
      <c r="B113">
        <v>42969</v>
      </c>
      <c r="C113">
        <v>1287</v>
      </c>
      <c r="F113" s="4" t="s">
        <v>3247</v>
      </c>
      <c r="G113">
        <v>0.29277080566342351</v>
      </c>
      <c r="H113">
        <f t="shared" si="3"/>
        <v>0.13487241798298907</v>
      </c>
      <c r="I113">
        <f t="shared" si="2"/>
        <v>1</v>
      </c>
    </row>
    <row r="114" spans="1:9" ht="64" x14ac:dyDescent="0.2">
      <c r="A114" t="s">
        <v>3248</v>
      </c>
      <c r="B114">
        <v>43175</v>
      </c>
      <c r="C114">
        <v>1238</v>
      </c>
      <c r="F114" s="4" t="s">
        <v>3249</v>
      </c>
      <c r="G114">
        <v>0.29281309437028569</v>
      </c>
      <c r="H114">
        <f t="shared" si="3"/>
        <v>0.13608748481166463</v>
      </c>
      <c r="I114">
        <f t="shared" si="2"/>
        <v>1</v>
      </c>
    </row>
    <row r="115" spans="1:9" ht="48" x14ac:dyDescent="0.2">
      <c r="A115" t="s">
        <v>3250</v>
      </c>
      <c r="B115">
        <v>43357</v>
      </c>
      <c r="C115">
        <v>1564</v>
      </c>
      <c r="F115" s="4" t="s">
        <v>3251</v>
      </c>
      <c r="G115">
        <v>0.29305264239059736</v>
      </c>
      <c r="H115">
        <f t="shared" si="3"/>
        <v>0.13730255164034022</v>
      </c>
      <c r="I115">
        <f t="shared" si="2"/>
        <v>1</v>
      </c>
    </row>
    <row r="116" spans="1:9" ht="64" x14ac:dyDescent="0.2">
      <c r="A116" t="s">
        <v>3252</v>
      </c>
      <c r="B116">
        <v>43393</v>
      </c>
      <c r="C116">
        <v>1098</v>
      </c>
      <c r="F116" s="4" t="s">
        <v>3253</v>
      </c>
      <c r="G116">
        <v>0.29321319762575693</v>
      </c>
      <c r="H116">
        <f t="shared" si="3"/>
        <v>0.13851761846901581</v>
      </c>
      <c r="I116">
        <f t="shared" si="2"/>
        <v>1</v>
      </c>
    </row>
    <row r="117" spans="1:9" ht="48" x14ac:dyDescent="0.2">
      <c r="A117" t="s">
        <v>3254</v>
      </c>
      <c r="B117">
        <v>43600</v>
      </c>
      <c r="C117">
        <v>1171</v>
      </c>
      <c r="F117" s="4" t="s">
        <v>3255</v>
      </c>
      <c r="G117">
        <v>0.29352712752878851</v>
      </c>
      <c r="H117">
        <f t="shared" si="3"/>
        <v>0.13973268529769137</v>
      </c>
      <c r="I117">
        <f t="shared" si="2"/>
        <v>1</v>
      </c>
    </row>
    <row r="118" spans="1:9" ht="48" x14ac:dyDescent="0.2">
      <c r="A118" t="s">
        <v>3256</v>
      </c>
      <c r="B118">
        <v>43716</v>
      </c>
      <c r="C118">
        <v>977</v>
      </c>
      <c r="F118" s="4" t="s">
        <v>3257</v>
      </c>
      <c r="G118">
        <v>0.29418294039993387</v>
      </c>
      <c r="H118">
        <f t="shared" si="3"/>
        <v>0.14094775212636695</v>
      </c>
      <c r="I118">
        <f t="shared" si="2"/>
        <v>1</v>
      </c>
    </row>
    <row r="119" spans="1:9" ht="64" x14ac:dyDescent="0.2">
      <c r="A119" t="s">
        <v>3258</v>
      </c>
      <c r="B119">
        <v>43750</v>
      </c>
      <c r="C119">
        <v>958</v>
      </c>
      <c r="F119" s="4" t="s">
        <v>3259</v>
      </c>
      <c r="G119">
        <v>0.29459374271905336</v>
      </c>
      <c r="H119">
        <f t="shared" si="3"/>
        <v>0.14216281895504251</v>
      </c>
      <c r="I119">
        <f t="shared" si="2"/>
        <v>1</v>
      </c>
    </row>
    <row r="120" spans="1:9" ht="64" x14ac:dyDescent="0.2">
      <c r="A120" t="s">
        <v>3260</v>
      </c>
      <c r="B120">
        <v>44015</v>
      </c>
      <c r="C120">
        <v>1189</v>
      </c>
      <c r="F120" s="4" t="s">
        <v>3261</v>
      </c>
      <c r="G120">
        <v>0.29487611761559834</v>
      </c>
      <c r="H120">
        <f t="shared" si="3"/>
        <v>0.1433778857837181</v>
      </c>
      <c r="I120">
        <f t="shared" si="2"/>
        <v>1</v>
      </c>
    </row>
    <row r="121" spans="1:9" ht="64" x14ac:dyDescent="0.2">
      <c r="A121" t="s">
        <v>3262</v>
      </c>
      <c r="B121">
        <v>44352</v>
      </c>
      <c r="C121">
        <v>1015</v>
      </c>
      <c r="F121" s="4" t="s">
        <v>3263</v>
      </c>
      <c r="G121">
        <v>0.29551044493366496</v>
      </c>
      <c r="H121">
        <f t="shared" si="3"/>
        <v>0.14459295261239369</v>
      </c>
      <c r="I121">
        <f t="shared" si="2"/>
        <v>1</v>
      </c>
    </row>
    <row r="122" spans="1:9" ht="64" x14ac:dyDescent="0.2">
      <c r="A122" t="s">
        <v>3264</v>
      </c>
      <c r="B122">
        <v>44473</v>
      </c>
      <c r="C122">
        <v>1045</v>
      </c>
      <c r="F122" s="4" t="s">
        <v>3265</v>
      </c>
      <c r="G122">
        <v>0.29582489196913447</v>
      </c>
      <c r="H122">
        <f t="shared" si="3"/>
        <v>0.14580801944106925</v>
      </c>
      <c r="I122">
        <f t="shared" si="2"/>
        <v>1</v>
      </c>
    </row>
    <row r="123" spans="1:9" ht="64" x14ac:dyDescent="0.2">
      <c r="A123" t="s">
        <v>3266</v>
      </c>
      <c r="B123">
        <v>44635</v>
      </c>
      <c r="C123">
        <v>1345</v>
      </c>
      <c r="F123" s="4" t="s">
        <v>3267</v>
      </c>
      <c r="G123">
        <v>0.29586223477685852</v>
      </c>
      <c r="H123">
        <f t="shared" si="3"/>
        <v>0.14702308626974483</v>
      </c>
      <c r="I123">
        <f t="shared" si="2"/>
        <v>1</v>
      </c>
    </row>
    <row r="124" spans="1:9" ht="64" x14ac:dyDescent="0.2">
      <c r="A124" t="s">
        <v>3268</v>
      </c>
      <c r="B124">
        <v>44815</v>
      </c>
      <c r="C124">
        <v>1308</v>
      </c>
      <c r="F124" s="4" t="s">
        <v>3269</v>
      </c>
      <c r="G124">
        <v>0.29602642846588534</v>
      </c>
      <c r="H124">
        <f t="shared" si="3"/>
        <v>0.14823815309842042</v>
      </c>
      <c r="I124">
        <f t="shared" si="2"/>
        <v>1</v>
      </c>
    </row>
    <row r="125" spans="1:9" ht="48" x14ac:dyDescent="0.2">
      <c r="A125" t="s">
        <v>3270</v>
      </c>
      <c r="B125">
        <v>44915</v>
      </c>
      <c r="C125">
        <v>1226</v>
      </c>
      <c r="F125" s="4" t="s">
        <v>3271</v>
      </c>
      <c r="G125">
        <v>0.29614466494649394</v>
      </c>
      <c r="H125">
        <f t="shared" si="3"/>
        <v>0.14945321992709598</v>
      </c>
      <c r="I125">
        <f t="shared" si="2"/>
        <v>1</v>
      </c>
    </row>
    <row r="126" spans="1:9" ht="48" x14ac:dyDescent="0.2">
      <c r="A126" t="s">
        <v>3272</v>
      </c>
      <c r="B126">
        <v>45278</v>
      </c>
      <c r="C126">
        <v>1049</v>
      </c>
      <c r="F126" s="4" t="s">
        <v>3273</v>
      </c>
      <c r="G126">
        <v>0.29630470645609686</v>
      </c>
      <c r="H126">
        <f t="shared" si="3"/>
        <v>0.15066828675577157</v>
      </c>
      <c r="I126">
        <f t="shared" si="2"/>
        <v>1</v>
      </c>
    </row>
    <row r="127" spans="1:9" ht="48" x14ac:dyDescent="0.2">
      <c r="A127" t="s">
        <v>3274</v>
      </c>
      <c r="B127">
        <v>45481</v>
      </c>
      <c r="C127">
        <v>1051</v>
      </c>
      <c r="F127" s="4" t="s">
        <v>3275</v>
      </c>
      <c r="G127">
        <v>0.29659216019747014</v>
      </c>
      <c r="H127">
        <f t="shared" si="3"/>
        <v>0.15188335358444716</v>
      </c>
      <c r="I127">
        <f t="shared" si="2"/>
        <v>1</v>
      </c>
    </row>
    <row r="128" spans="1:9" ht="64" x14ac:dyDescent="0.2">
      <c r="A128" t="s">
        <v>3276</v>
      </c>
      <c r="B128">
        <v>45828</v>
      </c>
      <c r="C128">
        <v>1129</v>
      </c>
      <c r="F128" s="4" t="s">
        <v>3277</v>
      </c>
      <c r="G128">
        <v>0.29675591711481142</v>
      </c>
      <c r="H128">
        <f t="shared" si="3"/>
        <v>0.15309842041312272</v>
      </c>
      <c r="I128">
        <f t="shared" si="2"/>
        <v>1</v>
      </c>
    </row>
    <row r="129" spans="1:9" ht="48" x14ac:dyDescent="0.2">
      <c r="A129" t="s">
        <v>3278</v>
      </c>
      <c r="B129">
        <v>45875</v>
      </c>
      <c r="C129">
        <v>1230</v>
      </c>
      <c r="F129" s="4" t="s">
        <v>3279</v>
      </c>
      <c r="G129">
        <v>0.2970529111581644</v>
      </c>
      <c r="H129">
        <f t="shared" si="3"/>
        <v>0.1543134872417983</v>
      </c>
      <c r="I129">
        <f t="shared" si="2"/>
        <v>1</v>
      </c>
    </row>
    <row r="130" spans="1:9" ht="64" x14ac:dyDescent="0.2">
      <c r="A130" t="s">
        <v>3280</v>
      </c>
      <c r="B130">
        <v>45903</v>
      </c>
      <c r="C130">
        <v>993</v>
      </c>
      <c r="F130" s="4" t="s">
        <v>3281</v>
      </c>
      <c r="G130">
        <v>0.29746571029271401</v>
      </c>
      <c r="H130">
        <f t="shared" si="3"/>
        <v>0.15552855407047386</v>
      </c>
      <c r="I130">
        <f t="shared" si="2"/>
        <v>1</v>
      </c>
    </row>
    <row r="131" spans="1:9" ht="64" x14ac:dyDescent="0.2">
      <c r="A131" t="s">
        <v>3282</v>
      </c>
      <c r="B131">
        <v>46155</v>
      </c>
      <c r="C131">
        <v>1123</v>
      </c>
      <c r="F131" s="4" t="s">
        <v>3283</v>
      </c>
      <c r="G131">
        <v>0.29775239942048765</v>
      </c>
      <c r="H131">
        <f t="shared" si="3"/>
        <v>0.15674362089914945</v>
      </c>
      <c r="I131">
        <f t="shared" ref="I131:I194" si="4">IF(H131&lt;0.2,1,IF(H131&lt;0.4,2,IF(H131&lt;0.6,3,IF(H131&lt;0.8,4,5))))</f>
        <v>1</v>
      </c>
    </row>
    <row r="132" spans="1:9" ht="64" x14ac:dyDescent="0.2">
      <c r="A132" t="s">
        <v>3284</v>
      </c>
      <c r="B132">
        <v>46176</v>
      </c>
      <c r="C132">
        <v>1108</v>
      </c>
      <c r="F132" s="4" t="s">
        <v>3285</v>
      </c>
      <c r="G132">
        <v>0.29796791814594797</v>
      </c>
      <c r="H132">
        <f t="shared" ref="H132:H195" si="5">_xlfn.RANK.EQ(G132,$G$3:$G$825,1)/COUNT($G$3:$G$825)</f>
        <v>0.15795868772782504</v>
      </c>
      <c r="I132">
        <f t="shared" si="4"/>
        <v>1</v>
      </c>
    </row>
    <row r="133" spans="1:9" ht="48" x14ac:dyDescent="0.2">
      <c r="A133" t="s">
        <v>3286</v>
      </c>
      <c r="B133">
        <v>46184</v>
      </c>
      <c r="C133">
        <v>1164</v>
      </c>
      <c r="F133" s="4" t="s">
        <v>3287</v>
      </c>
      <c r="G133">
        <v>0.29827913799228423</v>
      </c>
      <c r="H133">
        <f t="shared" si="5"/>
        <v>0.1591737545565006</v>
      </c>
      <c r="I133">
        <f t="shared" si="4"/>
        <v>1</v>
      </c>
    </row>
    <row r="134" spans="1:9" ht="48" x14ac:dyDescent="0.2">
      <c r="A134" t="s">
        <v>3288</v>
      </c>
      <c r="B134">
        <v>46326</v>
      </c>
      <c r="C134">
        <v>1198</v>
      </c>
      <c r="F134" s="4" t="s">
        <v>3289</v>
      </c>
      <c r="G134">
        <v>0.29831394513828041</v>
      </c>
      <c r="H134">
        <f t="shared" si="5"/>
        <v>0.16038882138517618</v>
      </c>
      <c r="I134">
        <f t="shared" si="4"/>
        <v>1</v>
      </c>
    </row>
    <row r="135" spans="1:9" ht="48" x14ac:dyDescent="0.2">
      <c r="A135" t="s">
        <v>3290</v>
      </c>
      <c r="B135">
        <v>46326</v>
      </c>
      <c r="C135">
        <v>1172</v>
      </c>
      <c r="F135" s="4" t="s">
        <v>3291</v>
      </c>
      <c r="G135">
        <v>0.29834345933845213</v>
      </c>
      <c r="H135">
        <f t="shared" si="5"/>
        <v>0.16160388821385177</v>
      </c>
      <c r="I135">
        <f t="shared" si="4"/>
        <v>1</v>
      </c>
    </row>
    <row r="136" spans="1:9" ht="48" x14ac:dyDescent="0.2">
      <c r="A136" t="s">
        <v>3292</v>
      </c>
      <c r="B136">
        <v>46429</v>
      </c>
      <c r="C136">
        <v>1233</v>
      </c>
      <c r="F136" s="4" t="s">
        <v>3293</v>
      </c>
      <c r="G136">
        <v>0.29847933262812232</v>
      </c>
      <c r="H136">
        <f t="shared" si="5"/>
        <v>0.16281895504252733</v>
      </c>
      <c r="I136">
        <f t="shared" si="4"/>
        <v>1</v>
      </c>
    </row>
    <row r="137" spans="1:9" ht="48" x14ac:dyDescent="0.2">
      <c r="A137" t="s">
        <v>3294</v>
      </c>
      <c r="B137">
        <v>46566</v>
      </c>
      <c r="C137">
        <v>1793</v>
      </c>
      <c r="F137" s="4" t="s">
        <v>3295</v>
      </c>
      <c r="G137">
        <v>0.29854865729513141</v>
      </c>
      <c r="H137">
        <f t="shared" si="5"/>
        <v>0.16403402187120292</v>
      </c>
      <c r="I137">
        <f t="shared" si="4"/>
        <v>1</v>
      </c>
    </row>
    <row r="138" spans="1:9" ht="64" x14ac:dyDescent="0.2">
      <c r="A138" t="s">
        <v>3296</v>
      </c>
      <c r="B138">
        <v>46646</v>
      </c>
      <c r="C138">
        <v>1166</v>
      </c>
      <c r="F138" s="4" t="s">
        <v>3297</v>
      </c>
      <c r="G138">
        <v>0.29855194210171798</v>
      </c>
      <c r="H138">
        <f t="shared" si="5"/>
        <v>0.1652490886998785</v>
      </c>
      <c r="I138">
        <f t="shared" si="4"/>
        <v>1</v>
      </c>
    </row>
    <row r="139" spans="1:9" ht="64" x14ac:dyDescent="0.2">
      <c r="A139" t="s">
        <v>3298</v>
      </c>
      <c r="B139">
        <v>46716</v>
      </c>
      <c r="C139">
        <v>1203</v>
      </c>
      <c r="F139" s="4" t="s">
        <v>3299</v>
      </c>
      <c r="G139">
        <v>0.29902240924936702</v>
      </c>
      <c r="H139">
        <f t="shared" si="5"/>
        <v>0.16646415552855406</v>
      </c>
      <c r="I139">
        <f t="shared" si="4"/>
        <v>1</v>
      </c>
    </row>
    <row r="140" spans="1:9" ht="48" x14ac:dyDescent="0.2">
      <c r="A140" t="s">
        <v>3300</v>
      </c>
      <c r="B140">
        <v>46801</v>
      </c>
      <c r="C140">
        <v>1073</v>
      </c>
      <c r="F140" s="4" t="s">
        <v>3301</v>
      </c>
      <c r="G140">
        <v>0.29953201810500024</v>
      </c>
      <c r="H140">
        <f t="shared" si="5"/>
        <v>0.16767922235722965</v>
      </c>
      <c r="I140">
        <f t="shared" si="4"/>
        <v>1</v>
      </c>
    </row>
    <row r="141" spans="1:9" ht="48" x14ac:dyDescent="0.2">
      <c r="A141" t="s">
        <v>3302</v>
      </c>
      <c r="B141">
        <v>47036</v>
      </c>
      <c r="C141">
        <v>1102</v>
      </c>
      <c r="F141" s="4" t="s">
        <v>3303</v>
      </c>
      <c r="G141">
        <v>0.29960705892642281</v>
      </c>
      <c r="H141">
        <f t="shared" si="5"/>
        <v>0.16889428918590524</v>
      </c>
      <c r="I141">
        <f t="shared" si="4"/>
        <v>1</v>
      </c>
    </row>
    <row r="142" spans="1:9" ht="48" x14ac:dyDescent="0.2">
      <c r="A142" t="s">
        <v>3304</v>
      </c>
      <c r="B142">
        <v>47183</v>
      </c>
      <c r="C142">
        <v>1210</v>
      </c>
      <c r="F142" s="4" t="s">
        <v>3305</v>
      </c>
      <c r="G142">
        <v>0.30017721976643613</v>
      </c>
      <c r="H142">
        <f t="shared" si="5"/>
        <v>0.1701093560145808</v>
      </c>
      <c r="I142">
        <f t="shared" si="4"/>
        <v>1</v>
      </c>
    </row>
    <row r="143" spans="1:9" ht="48" x14ac:dyDescent="0.2">
      <c r="A143" t="s">
        <v>3306</v>
      </c>
      <c r="B143">
        <v>47578</v>
      </c>
      <c r="C143">
        <v>992</v>
      </c>
      <c r="F143" s="4" t="s">
        <v>3307</v>
      </c>
      <c r="G143">
        <v>0.30019047532537879</v>
      </c>
      <c r="H143">
        <f t="shared" si="5"/>
        <v>0.17132442284325639</v>
      </c>
      <c r="I143">
        <f t="shared" si="4"/>
        <v>1</v>
      </c>
    </row>
    <row r="144" spans="1:9" ht="48" x14ac:dyDescent="0.2">
      <c r="A144" t="s">
        <v>3308</v>
      </c>
      <c r="B144">
        <v>48022</v>
      </c>
      <c r="C144">
        <v>1005</v>
      </c>
      <c r="F144" s="4" t="s">
        <v>3309</v>
      </c>
      <c r="G144">
        <v>0.30025538398003881</v>
      </c>
      <c r="H144">
        <f t="shared" si="5"/>
        <v>0.17253948967193194</v>
      </c>
      <c r="I144">
        <f t="shared" si="4"/>
        <v>1</v>
      </c>
    </row>
    <row r="145" spans="1:9" ht="48" x14ac:dyDescent="0.2">
      <c r="A145" t="s">
        <v>3310</v>
      </c>
      <c r="B145">
        <v>48148</v>
      </c>
      <c r="C145">
        <v>1323</v>
      </c>
      <c r="F145" s="4" t="s">
        <v>3311</v>
      </c>
      <c r="G145">
        <v>0.30060524455510484</v>
      </c>
      <c r="H145">
        <f t="shared" si="5"/>
        <v>0.17375455650060753</v>
      </c>
      <c r="I145">
        <f t="shared" si="4"/>
        <v>1</v>
      </c>
    </row>
    <row r="146" spans="1:9" ht="64" x14ac:dyDescent="0.2">
      <c r="A146" t="s">
        <v>3312</v>
      </c>
      <c r="B146">
        <v>48477</v>
      </c>
      <c r="C146">
        <v>1350</v>
      </c>
      <c r="F146" s="4" t="s">
        <v>3313</v>
      </c>
      <c r="G146">
        <v>0.30060584574914706</v>
      </c>
      <c r="H146">
        <f t="shared" si="5"/>
        <v>0.17496962332928312</v>
      </c>
      <c r="I146">
        <f t="shared" si="4"/>
        <v>1</v>
      </c>
    </row>
    <row r="147" spans="1:9" ht="48" x14ac:dyDescent="0.2">
      <c r="A147" t="s">
        <v>3314</v>
      </c>
      <c r="B147">
        <v>48500</v>
      </c>
      <c r="C147">
        <v>1271</v>
      </c>
      <c r="F147" s="4" t="s">
        <v>3315</v>
      </c>
      <c r="G147">
        <v>0.30061503451799521</v>
      </c>
      <c r="H147">
        <f t="shared" si="5"/>
        <v>0.17618469015795868</v>
      </c>
      <c r="I147">
        <f t="shared" si="4"/>
        <v>1</v>
      </c>
    </row>
    <row r="148" spans="1:9" ht="48" x14ac:dyDescent="0.2">
      <c r="A148" t="s">
        <v>3316</v>
      </c>
      <c r="B148">
        <v>48519</v>
      </c>
      <c r="C148">
        <v>1124</v>
      </c>
      <c r="F148" s="4" t="s">
        <v>3317</v>
      </c>
      <c r="G148">
        <v>0.30082122679850148</v>
      </c>
      <c r="H148">
        <f t="shared" si="5"/>
        <v>0.17739975698663427</v>
      </c>
      <c r="I148">
        <f t="shared" si="4"/>
        <v>1</v>
      </c>
    </row>
    <row r="149" spans="1:9" ht="64" x14ac:dyDescent="0.2">
      <c r="A149" t="s">
        <v>3318</v>
      </c>
      <c r="B149">
        <v>48750</v>
      </c>
      <c r="C149">
        <v>1284</v>
      </c>
      <c r="F149" s="4" t="s">
        <v>3319</v>
      </c>
      <c r="G149">
        <v>0.30092148924521572</v>
      </c>
      <c r="H149">
        <f t="shared" si="5"/>
        <v>0.17861482381530985</v>
      </c>
      <c r="I149">
        <f t="shared" si="4"/>
        <v>1</v>
      </c>
    </row>
    <row r="150" spans="1:9" ht="48" x14ac:dyDescent="0.2">
      <c r="A150" t="s">
        <v>3320</v>
      </c>
      <c r="B150">
        <v>48824</v>
      </c>
      <c r="C150">
        <v>1157</v>
      </c>
      <c r="F150" s="4" t="s">
        <v>3321</v>
      </c>
      <c r="G150">
        <v>0.30123517581394188</v>
      </c>
      <c r="H150">
        <f t="shared" si="5"/>
        <v>0.17982989064398541</v>
      </c>
      <c r="I150">
        <f t="shared" si="4"/>
        <v>1</v>
      </c>
    </row>
    <row r="151" spans="1:9" ht="48" x14ac:dyDescent="0.2">
      <c r="A151" t="s">
        <v>3322</v>
      </c>
      <c r="B151">
        <v>48981</v>
      </c>
      <c r="C151">
        <v>1052</v>
      </c>
      <c r="F151" s="4" t="s">
        <v>3323</v>
      </c>
      <c r="G151">
        <v>0.30182204678350133</v>
      </c>
      <c r="H151">
        <f t="shared" si="5"/>
        <v>0.181044957472661</v>
      </c>
      <c r="I151">
        <f t="shared" si="4"/>
        <v>1</v>
      </c>
    </row>
    <row r="152" spans="1:9" ht="64" x14ac:dyDescent="0.2">
      <c r="A152" t="s">
        <v>3324</v>
      </c>
      <c r="B152">
        <v>49074</v>
      </c>
      <c r="C152">
        <v>1170</v>
      </c>
      <c r="F152" s="4" t="s">
        <v>3325</v>
      </c>
      <c r="G152">
        <v>0.30192435035313608</v>
      </c>
      <c r="H152">
        <f t="shared" si="5"/>
        <v>0.18226002430133659</v>
      </c>
      <c r="I152">
        <f t="shared" si="4"/>
        <v>1</v>
      </c>
    </row>
    <row r="153" spans="1:9" ht="64" x14ac:dyDescent="0.2">
      <c r="A153" t="s">
        <v>3326</v>
      </c>
      <c r="B153">
        <v>49125</v>
      </c>
      <c r="C153">
        <v>1072</v>
      </c>
      <c r="F153" s="4" t="s">
        <v>3327</v>
      </c>
      <c r="G153">
        <v>0.30197716300130456</v>
      </c>
      <c r="H153">
        <f t="shared" si="5"/>
        <v>0.18347509113001215</v>
      </c>
      <c r="I153">
        <f t="shared" si="4"/>
        <v>1</v>
      </c>
    </row>
    <row r="154" spans="1:9" ht="64" x14ac:dyDescent="0.2">
      <c r="A154" t="s">
        <v>3328</v>
      </c>
      <c r="B154">
        <v>49183</v>
      </c>
      <c r="C154">
        <v>1165</v>
      </c>
      <c r="F154" s="4" t="s">
        <v>3329</v>
      </c>
      <c r="G154">
        <v>0.30199312080309443</v>
      </c>
      <c r="H154">
        <f t="shared" si="5"/>
        <v>0.18469015795868773</v>
      </c>
      <c r="I154">
        <f t="shared" si="4"/>
        <v>1</v>
      </c>
    </row>
    <row r="155" spans="1:9" ht="64" x14ac:dyDescent="0.2">
      <c r="A155" t="s">
        <v>3330</v>
      </c>
      <c r="B155">
        <v>49309</v>
      </c>
      <c r="C155">
        <v>1259</v>
      </c>
      <c r="F155" s="4" t="s">
        <v>3331</v>
      </c>
      <c r="G155">
        <v>0.30203061401843023</v>
      </c>
      <c r="H155">
        <f t="shared" si="5"/>
        <v>0.18590522478736329</v>
      </c>
      <c r="I155">
        <f t="shared" si="4"/>
        <v>1</v>
      </c>
    </row>
    <row r="156" spans="1:9" ht="48" x14ac:dyDescent="0.2">
      <c r="A156" t="s">
        <v>3332</v>
      </c>
      <c r="B156">
        <v>49375</v>
      </c>
      <c r="C156">
        <v>1510</v>
      </c>
      <c r="F156" s="4" t="s">
        <v>3333</v>
      </c>
      <c r="G156">
        <v>0.30218678408854244</v>
      </c>
      <c r="H156">
        <f t="shared" si="5"/>
        <v>0.18712029161603888</v>
      </c>
      <c r="I156">
        <f t="shared" si="4"/>
        <v>1</v>
      </c>
    </row>
    <row r="157" spans="1:9" ht="48" x14ac:dyDescent="0.2">
      <c r="A157" t="s">
        <v>3334</v>
      </c>
      <c r="B157">
        <v>49402</v>
      </c>
      <c r="C157">
        <v>1641</v>
      </c>
      <c r="F157" s="4" t="s">
        <v>3335</v>
      </c>
      <c r="G157">
        <v>0.30221312543716788</v>
      </c>
      <c r="H157">
        <f t="shared" si="5"/>
        <v>0.18833535844471447</v>
      </c>
      <c r="I157">
        <f t="shared" si="4"/>
        <v>1</v>
      </c>
    </row>
    <row r="158" spans="1:9" ht="64" x14ac:dyDescent="0.2">
      <c r="A158" t="s">
        <v>3129</v>
      </c>
      <c r="B158">
        <v>49446</v>
      </c>
      <c r="C158">
        <v>730</v>
      </c>
      <c r="F158" s="4" t="s">
        <v>3336</v>
      </c>
      <c r="G158">
        <v>0.30275930730877793</v>
      </c>
      <c r="H158">
        <f t="shared" si="5"/>
        <v>0.18955042527339003</v>
      </c>
      <c r="I158">
        <f t="shared" si="4"/>
        <v>1</v>
      </c>
    </row>
    <row r="159" spans="1:9" ht="64" x14ac:dyDescent="0.2">
      <c r="A159" t="s">
        <v>3337</v>
      </c>
      <c r="B159">
        <v>49583</v>
      </c>
      <c r="C159">
        <v>1087</v>
      </c>
      <c r="F159" s="4" t="s">
        <v>3338</v>
      </c>
      <c r="G159">
        <v>0.30286198100144779</v>
      </c>
      <c r="H159">
        <f t="shared" si="5"/>
        <v>0.19076549210206561</v>
      </c>
      <c r="I159">
        <f t="shared" si="4"/>
        <v>1</v>
      </c>
    </row>
    <row r="160" spans="1:9" ht="48" x14ac:dyDescent="0.2">
      <c r="A160" t="s">
        <v>3339</v>
      </c>
      <c r="B160">
        <v>49643</v>
      </c>
      <c r="C160">
        <v>1218</v>
      </c>
      <c r="F160" s="4" t="s">
        <v>3340</v>
      </c>
      <c r="G160">
        <v>0.30289827688144183</v>
      </c>
      <c r="H160">
        <f t="shared" si="5"/>
        <v>0.1919805589307412</v>
      </c>
      <c r="I160">
        <f t="shared" si="4"/>
        <v>1</v>
      </c>
    </row>
    <row r="161" spans="1:9" ht="64" x14ac:dyDescent="0.2">
      <c r="A161" t="s">
        <v>3341</v>
      </c>
      <c r="B161">
        <v>49783</v>
      </c>
      <c r="C161">
        <v>999</v>
      </c>
      <c r="F161" s="4" t="s">
        <v>3342</v>
      </c>
      <c r="G161">
        <v>0.30304567336148824</v>
      </c>
      <c r="H161">
        <f t="shared" si="5"/>
        <v>0.19319562575941676</v>
      </c>
      <c r="I161">
        <f t="shared" si="4"/>
        <v>1</v>
      </c>
    </row>
    <row r="162" spans="1:9" ht="64" x14ac:dyDescent="0.2">
      <c r="A162" t="s">
        <v>3343</v>
      </c>
      <c r="B162">
        <v>50000</v>
      </c>
      <c r="C162">
        <v>1359</v>
      </c>
      <c r="F162" s="4" t="s">
        <v>3344</v>
      </c>
      <c r="G162">
        <v>0.30314518075628494</v>
      </c>
      <c r="H162">
        <f t="shared" si="5"/>
        <v>0.19441069258809235</v>
      </c>
      <c r="I162">
        <f t="shared" si="4"/>
        <v>1</v>
      </c>
    </row>
    <row r="163" spans="1:9" ht="48" x14ac:dyDescent="0.2">
      <c r="A163" t="s">
        <v>3345</v>
      </c>
      <c r="B163">
        <v>50000</v>
      </c>
      <c r="C163">
        <v>1248</v>
      </c>
      <c r="F163" s="4" t="s">
        <v>3346</v>
      </c>
      <c r="G163">
        <v>0.30365394918759459</v>
      </c>
      <c r="H163">
        <f t="shared" si="5"/>
        <v>0.19562575941676794</v>
      </c>
      <c r="I163">
        <f t="shared" si="4"/>
        <v>1</v>
      </c>
    </row>
    <row r="164" spans="1:9" ht="48" x14ac:dyDescent="0.2">
      <c r="A164" t="s">
        <v>3347</v>
      </c>
      <c r="B164">
        <v>50561</v>
      </c>
      <c r="C164">
        <v>1058</v>
      </c>
      <c r="F164" s="4" t="s">
        <v>3348</v>
      </c>
      <c r="G164">
        <v>0.3040535188530426</v>
      </c>
      <c r="H164">
        <f t="shared" si="5"/>
        <v>0.1968408262454435</v>
      </c>
      <c r="I164">
        <f t="shared" si="4"/>
        <v>1</v>
      </c>
    </row>
    <row r="165" spans="1:9" ht="48" x14ac:dyDescent="0.2">
      <c r="A165" t="s">
        <v>3349</v>
      </c>
      <c r="B165">
        <v>50583</v>
      </c>
      <c r="C165">
        <v>1038</v>
      </c>
      <c r="F165" s="4" t="s">
        <v>3350</v>
      </c>
      <c r="G165">
        <v>0.30418956573820871</v>
      </c>
      <c r="H165">
        <f t="shared" si="5"/>
        <v>0.19805589307411908</v>
      </c>
      <c r="I165">
        <f t="shared" si="4"/>
        <v>1</v>
      </c>
    </row>
    <row r="166" spans="1:9" ht="64" x14ac:dyDescent="0.2">
      <c r="A166" t="s">
        <v>3351</v>
      </c>
      <c r="B166">
        <v>50729</v>
      </c>
      <c r="C166">
        <v>1422</v>
      </c>
      <c r="F166" s="4" t="s">
        <v>3352</v>
      </c>
      <c r="G166">
        <v>0.30431279329179572</v>
      </c>
      <c r="H166">
        <f t="shared" si="5"/>
        <v>0.19927095990279464</v>
      </c>
      <c r="I166">
        <f t="shared" si="4"/>
        <v>1</v>
      </c>
    </row>
    <row r="167" spans="1:9" ht="48" x14ac:dyDescent="0.2">
      <c r="A167" t="s">
        <v>3353</v>
      </c>
      <c r="B167">
        <v>50799</v>
      </c>
      <c r="C167">
        <v>1107</v>
      </c>
      <c r="F167" s="4" t="s">
        <v>3354</v>
      </c>
      <c r="G167">
        <v>0.30459222706594302</v>
      </c>
      <c r="H167">
        <f t="shared" si="5"/>
        <v>0.20048602673147023</v>
      </c>
      <c r="I167">
        <f t="shared" si="4"/>
        <v>2</v>
      </c>
    </row>
    <row r="168" spans="1:9" ht="48" x14ac:dyDescent="0.2">
      <c r="A168" t="s">
        <v>3355</v>
      </c>
      <c r="B168">
        <v>50915</v>
      </c>
      <c r="C168">
        <v>1269</v>
      </c>
      <c r="F168" s="4" t="s">
        <v>3356</v>
      </c>
      <c r="G168">
        <v>0.30494473290806384</v>
      </c>
      <c r="H168">
        <f t="shared" si="5"/>
        <v>0.20170109356014582</v>
      </c>
      <c r="I168">
        <f t="shared" si="4"/>
        <v>2</v>
      </c>
    </row>
    <row r="169" spans="1:9" ht="64" x14ac:dyDescent="0.2">
      <c r="A169" t="s">
        <v>3357</v>
      </c>
      <c r="B169">
        <v>51094</v>
      </c>
      <c r="C169">
        <v>1131</v>
      </c>
      <c r="F169" s="4" t="s">
        <v>3358</v>
      </c>
      <c r="G169">
        <v>0.30556608955907844</v>
      </c>
      <c r="H169">
        <f t="shared" si="5"/>
        <v>0.20291616038882138</v>
      </c>
      <c r="I169">
        <f t="shared" si="4"/>
        <v>2</v>
      </c>
    </row>
    <row r="170" spans="1:9" ht="48" x14ac:dyDescent="0.2">
      <c r="A170" t="s">
        <v>3359</v>
      </c>
      <c r="B170">
        <v>51138</v>
      </c>
      <c r="C170">
        <v>1446</v>
      </c>
      <c r="F170" s="4" t="s">
        <v>3360</v>
      </c>
      <c r="G170">
        <v>0.30564684704364414</v>
      </c>
      <c r="H170">
        <f t="shared" si="5"/>
        <v>0.20413122721749696</v>
      </c>
      <c r="I170">
        <f t="shared" si="4"/>
        <v>2</v>
      </c>
    </row>
    <row r="171" spans="1:9" ht="64" x14ac:dyDescent="0.2">
      <c r="A171" t="s">
        <v>3361</v>
      </c>
      <c r="B171">
        <v>51426</v>
      </c>
      <c r="C171">
        <v>1264</v>
      </c>
      <c r="F171" s="4" t="s">
        <v>3362</v>
      </c>
      <c r="G171">
        <v>0.30573256529870491</v>
      </c>
      <c r="H171">
        <f t="shared" si="5"/>
        <v>0.20534629404617255</v>
      </c>
      <c r="I171">
        <f t="shared" si="4"/>
        <v>2</v>
      </c>
    </row>
    <row r="172" spans="1:9" ht="48" x14ac:dyDescent="0.2">
      <c r="A172" t="s">
        <v>3363</v>
      </c>
      <c r="B172">
        <v>51489</v>
      </c>
      <c r="C172">
        <v>1400</v>
      </c>
      <c r="F172" s="4" t="s">
        <v>3364</v>
      </c>
      <c r="G172">
        <v>0.30582479823753517</v>
      </c>
      <c r="H172">
        <f t="shared" si="5"/>
        <v>0.20656136087484811</v>
      </c>
      <c r="I172">
        <f t="shared" si="4"/>
        <v>2</v>
      </c>
    </row>
    <row r="173" spans="1:9" ht="48" x14ac:dyDescent="0.2">
      <c r="A173" t="s">
        <v>3365</v>
      </c>
      <c r="B173">
        <v>51875</v>
      </c>
      <c r="C173">
        <v>1494</v>
      </c>
      <c r="F173" s="4" t="s">
        <v>3366</v>
      </c>
      <c r="G173">
        <v>0.30591747327275765</v>
      </c>
      <c r="H173">
        <f t="shared" si="5"/>
        <v>0.2077764277035237</v>
      </c>
      <c r="I173">
        <f t="shared" si="4"/>
        <v>2</v>
      </c>
    </row>
    <row r="174" spans="1:9" ht="48" x14ac:dyDescent="0.2">
      <c r="A174" t="s">
        <v>3367</v>
      </c>
      <c r="B174">
        <v>52352</v>
      </c>
      <c r="C174">
        <v>1418</v>
      </c>
      <c r="F174" s="4" t="s">
        <v>3368</v>
      </c>
      <c r="G174">
        <v>0.30643642155300177</v>
      </c>
      <c r="H174">
        <f t="shared" si="5"/>
        <v>0.20899149453219928</v>
      </c>
      <c r="I174">
        <f t="shared" si="4"/>
        <v>2</v>
      </c>
    </row>
    <row r="175" spans="1:9" ht="48" x14ac:dyDescent="0.2">
      <c r="A175" t="s">
        <v>3369</v>
      </c>
      <c r="B175">
        <v>52377</v>
      </c>
      <c r="C175">
        <v>1109</v>
      </c>
      <c r="F175" s="4" t="s">
        <v>3370</v>
      </c>
      <c r="G175">
        <v>0.30701979758126979</v>
      </c>
      <c r="H175">
        <f t="shared" si="5"/>
        <v>0.21020656136087484</v>
      </c>
      <c r="I175">
        <f t="shared" si="4"/>
        <v>2</v>
      </c>
    </row>
    <row r="176" spans="1:9" ht="64" x14ac:dyDescent="0.2">
      <c r="A176" t="s">
        <v>3371</v>
      </c>
      <c r="B176">
        <v>52586</v>
      </c>
      <c r="C176">
        <v>1151</v>
      </c>
      <c r="F176" s="4" t="s">
        <v>3372</v>
      </c>
      <c r="G176">
        <v>0.30723978778984917</v>
      </c>
      <c r="H176">
        <f t="shared" si="5"/>
        <v>0.21142162818955043</v>
      </c>
      <c r="I176">
        <f t="shared" si="4"/>
        <v>2</v>
      </c>
    </row>
    <row r="177" spans="1:9" ht="48" x14ac:dyDescent="0.2">
      <c r="A177" t="s">
        <v>3373</v>
      </c>
      <c r="B177">
        <v>52607</v>
      </c>
      <c r="C177">
        <v>1137</v>
      </c>
      <c r="F177" s="4" t="s">
        <v>3374</v>
      </c>
      <c r="G177">
        <v>0.30745703229405136</v>
      </c>
      <c r="H177">
        <f t="shared" si="5"/>
        <v>0.21263669501822599</v>
      </c>
      <c r="I177">
        <f t="shared" si="4"/>
        <v>2</v>
      </c>
    </row>
    <row r="178" spans="1:9" ht="48" x14ac:dyDescent="0.2">
      <c r="A178" t="s">
        <v>3375</v>
      </c>
      <c r="B178">
        <v>52860</v>
      </c>
      <c r="C178">
        <v>1123</v>
      </c>
      <c r="F178" s="4" t="s">
        <v>3376</v>
      </c>
      <c r="G178">
        <v>0.30752059511423957</v>
      </c>
      <c r="H178">
        <f t="shared" si="5"/>
        <v>0.21385176184690158</v>
      </c>
      <c r="I178">
        <f t="shared" si="4"/>
        <v>2</v>
      </c>
    </row>
    <row r="179" spans="1:9" ht="48" x14ac:dyDescent="0.2">
      <c r="A179" t="s">
        <v>3377</v>
      </c>
      <c r="B179">
        <v>52909</v>
      </c>
      <c r="C179">
        <v>1386</v>
      </c>
      <c r="F179" s="4" t="s">
        <v>3378</v>
      </c>
      <c r="G179">
        <v>0.30756328363369084</v>
      </c>
      <c r="H179">
        <f t="shared" si="5"/>
        <v>0.21506682867557717</v>
      </c>
      <c r="I179">
        <f t="shared" si="4"/>
        <v>2</v>
      </c>
    </row>
    <row r="180" spans="1:9" ht="48" x14ac:dyDescent="0.2">
      <c r="A180" t="s">
        <v>3379</v>
      </c>
      <c r="B180">
        <v>52917</v>
      </c>
      <c r="C180">
        <v>1497</v>
      </c>
      <c r="F180" s="4" t="s">
        <v>3380</v>
      </c>
      <c r="G180">
        <v>0.30799983735642056</v>
      </c>
      <c r="H180">
        <f t="shared" si="5"/>
        <v>0.21628189550425272</v>
      </c>
      <c r="I180">
        <f t="shared" si="4"/>
        <v>2</v>
      </c>
    </row>
    <row r="181" spans="1:9" ht="48" x14ac:dyDescent="0.2">
      <c r="A181" t="s">
        <v>3381</v>
      </c>
      <c r="B181">
        <v>52932</v>
      </c>
      <c r="C181">
        <v>1268</v>
      </c>
      <c r="F181" s="4" t="s">
        <v>3382</v>
      </c>
      <c r="G181">
        <v>0.30854853069382188</v>
      </c>
      <c r="H181">
        <f t="shared" si="5"/>
        <v>0.21749696233292831</v>
      </c>
      <c r="I181">
        <f t="shared" si="4"/>
        <v>2</v>
      </c>
    </row>
    <row r="182" spans="1:9" ht="64" x14ac:dyDescent="0.2">
      <c r="A182" t="s">
        <v>3383</v>
      </c>
      <c r="B182">
        <v>53083</v>
      </c>
      <c r="C182">
        <v>1192</v>
      </c>
      <c r="F182" s="4" t="s">
        <v>3384</v>
      </c>
      <c r="G182">
        <v>0.30861567735258855</v>
      </c>
      <c r="H182">
        <f t="shared" si="5"/>
        <v>0.2187120291616039</v>
      </c>
      <c r="I182">
        <f t="shared" si="4"/>
        <v>2</v>
      </c>
    </row>
    <row r="183" spans="1:9" ht="64" x14ac:dyDescent="0.2">
      <c r="A183" t="s">
        <v>3385</v>
      </c>
      <c r="B183">
        <v>53138</v>
      </c>
      <c r="C183">
        <v>1128</v>
      </c>
      <c r="F183" s="4" t="s">
        <v>3386</v>
      </c>
      <c r="G183">
        <v>0.30903607969291419</v>
      </c>
      <c r="H183">
        <f t="shared" si="5"/>
        <v>0.21992709599027946</v>
      </c>
      <c r="I183">
        <f t="shared" si="4"/>
        <v>2</v>
      </c>
    </row>
    <row r="184" spans="1:9" ht="48" x14ac:dyDescent="0.2">
      <c r="A184" t="s">
        <v>3387</v>
      </c>
      <c r="B184">
        <v>53147</v>
      </c>
      <c r="C184">
        <v>1138</v>
      </c>
      <c r="F184" s="4" t="s">
        <v>3388</v>
      </c>
      <c r="G184">
        <v>0.30906500705865797</v>
      </c>
      <c r="H184">
        <f t="shared" si="5"/>
        <v>0.22114216281895505</v>
      </c>
      <c r="I184">
        <f t="shared" si="4"/>
        <v>2</v>
      </c>
    </row>
    <row r="185" spans="1:9" ht="48" x14ac:dyDescent="0.2">
      <c r="A185" t="s">
        <v>3389</v>
      </c>
      <c r="B185">
        <v>53162</v>
      </c>
      <c r="C185">
        <v>1289</v>
      </c>
      <c r="F185" s="4" t="s">
        <v>3390</v>
      </c>
      <c r="G185">
        <v>0.30908807446306108</v>
      </c>
      <c r="H185">
        <f t="shared" si="5"/>
        <v>0.22235722964763063</v>
      </c>
      <c r="I185">
        <f t="shared" si="4"/>
        <v>2</v>
      </c>
    </row>
    <row r="186" spans="1:9" ht="48" x14ac:dyDescent="0.2">
      <c r="A186" t="s">
        <v>3391</v>
      </c>
      <c r="B186">
        <v>53237</v>
      </c>
      <c r="C186">
        <v>1201</v>
      </c>
      <c r="F186" s="4" t="s">
        <v>3392</v>
      </c>
      <c r="G186">
        <v>0.30909415495628606</v>
      </c>
      <c r="H186">
        <f t="shared" si="5"/>
        <v>0.22357229647630619</v>
      </c>
      <c r="I186">
        <f t="shared" si="4"/>
        <v>2</v>
      </c>
    </row>
    <row r="187" spans="1:9" ht="48" x14ac:dyDescent="0.2">
      <c r="A187" t="s">
        <v>3393</v>
      </c>
      <c r="B187">
        <v>53333</v>
      </c>
      <c r="C187">
        <v>1127</v>
      </c>
      <c r="F187" s="4" t="s">
        <v>3394</v>
      </c>
      <c r="G187">
        <v>0.30929620762458643</v>
      </c>
      <c r="H187">
        <f t="shared" si="5"/>
        <v>0.22478736330498178</v>
      </c>
      <c r="I187">
        <f t="shared" si="4"/>
        <v>2</v>
      </c>
    </row>
    <row r="188" spans="1:9" ht="48" x14ac:dyDescent="0.2">
      <c r="A188" t="s">
        <v>3395</v>
      </c>
      <c r="B188">
        <v>53607</v>
      </c>
      <c r="C188">
        <v>1342</v>
      </c>
      <c r="F188" s="4" t="s">
        <v>3396</v>
      </c>
      <c r="G188">
        <v>0.30987761424459503</v>
      </c>
      <c r="H188">
        <f t="shared" si="5"/>
        <v>0.22600243013365734</v>
      </c>
      <c r="I188">
        <f t="shared" si="4"/>
        <v>2</v>
      </c>
    </row>
    <row r="189" spans="1:9" ht="48" x14ac:dyDescent="0.2">
      <c r="A189" t="s">
        <v>3397</v>
      </c>
      <c r="B189">
        <v>53617</v>
      </c>
      <c r="C189">
        <v>1244</v>
      </c>
      <c r="F189" s="4" t="s">
        <v>3398</v>
      </c>
      <c r="G189">
        <v>0.30998904804152194</v>
      </c>
      <c r="H189">
        <f t="shared" si="5"/>
        <v>0.22721749696233293</v>
      </c>
      <c r="I189">
        <f t="shared" si="4"/>
        <v>2</v>
      </c>
    </row>
    <row r="190" spans="1:9" ht="48" x14ac:dyDescent="0.2">
      <c r="A190" t="s">
        <v>3399</v>
      </c>
      <c r="B190">
        <v>53648</v>
      </c>
      <c r="C190">
        <v>1119</v>
      </c>
      <c r="F190" s="4" t="s">
        <v>3400</v>
      </c>
      <c r="G190">
        <v>0.31075408344342553</v>
      </c>
      <c r="H190">
        <f t="shared" si="5"/>
        <v>0.22843256379100851</v>
      </c>
      <c r="I190">
        <f t="shared" si="4"/>
        <v>2</v>
      </c>
    </row>
    <row r="191" spans="1:9" ht="48" x14ac:dyDescent="0.2">
      <c r="A191" t="s">
        <v>3401</v>
      </c>
      <c r="B191">
        <v>53857</v>
      </c>
      <c r="C191">
        <v>1156</v>
      </c>
      <c r="F191" s="4" t="s">
        <v>3402</v>
      </c>
      <c r="G191">
        <v>0.31115834655761238</v>
      </c>
      <c r="H191">
        <f t="shared" si="5"/>
        <v>0.22964763061968407</v>
      </c>
      <c r="I191">
        <f t="shared" si="4"/>
        <v>2</v>
      </c>
    </row>
    <row r="192" spans="1:9" ht="48" x14ac:dyDescent="0.2">
      <c r="A192" t="s">
        <v>3403</v>
      </c>
      <c r="B192">
        <v>53904</v>
      </c>
      <c r="C192">
        <v>1120</v>
      </c>
      <c r="F192" s="4" t="s">
        <v>3404</v>
      </c>
      <c r="G192">
        <v>0.31117553075929433</v>
      </c>
      <c r="H192">
        <f t="shared" si="5"/>
        <v>0.23086269744835966</v>
      </c>
      <c r="I192">
        <f t="shared" si="4"/>
        <v>2</v>
      </c>
    </row>
    <row r="193" spans="1:9" ht="64" x14ac:dyDescent="0.2">
      <c r="A193" t="s">
        <v>3405</v>
      </c>
      <c r="B193">
        <v>54038</v>
      </c>
      <c r="C193">
        <v>1575</v>
      </c>
      <c r="F193" s="4" t="s">
        <v>3406</v>
      </c>
      <c r="G193">
        <v>0.31121080060412054</v>
      </c>
      <c r="H193">
        <f t="shared" si="5"/>
        <v>0.23207776427703525</v>
      </c>
      <c r="I193">
        <f t="shared" si="4"/>
        <v>2</v>
      </c>
    </row>
    <row r="194" spans="1:9" ht="64" x14ac:dyDescent="0.2">
      <c r="A194" t="s">
        <v>3407</v>
      </c>
      <c r="B194">
        <v>54167</v>
      </c>
      <c r="C194">
        <v>1373</v>
      </c>
      <c r="F194" s="4" t="s">
        <v>3408</v>
      </c>
      <c r="G194">
        <v>0.31143212370189016</v>
      </c>
      <c r="H194">
        <f t="shared" si="5"/>
        <v>0.23329283110571081</v>
      </c>
      <c r="I194">
        <f t="shared" si="4"/>
        <v>2</v>
      </c>
    </row>
    <row r="195" spans="1:9" ht="48" x14ac:dyDescent="0.2">
      <c r="A195" t="s">
        <v>3409</v>
      </c>
      <c r="B195">
        <v>54216</v>
      </c>
      <c r="C195">
        <v>1492</v>
      </c>
      <c r="F195" s="4" t="s">
        <v>3410</v>
      </c>
      <c r="G195">
        <v>0.31168644944665713</v>
      </c>
      <c r="H195">
        <f t="shared" si="5"/>
        <v>0.23450789793438639</v>
      </c>
      <c r="I195">
        <f t="shared" ref="I195:I258" si="6">IF(H195&lt;0.2,1,IF(H195&lt;0.4,2,IF(H195&lt;0.6,3,IF(H195&lt;0.8,4,5))))</f>
        <v>2</v>
      </c>
    </row>
    <row r="196" spans="1:9" ht="64" x14ac:dyDescent="0.2">
      <c r="A196" t="s">
        <v>3411</v>
      </c>
      <c r="B196">
        <v>54280</v>
      </c>
      <c r="C196">
        <v>1185</v>
      </c>
      <c r="F196" s="4" t="s">
        <v>3412</v>
      </c>
      <c r="G196">
        <v>0.31182562348544129</v>
      </c>
      <c r="H196">
        <f t="shared" ref="H196:H259" si="7">_xlfn.RANK.EQ(G196,$G$3:$G$825,1)/COUNT($G$3:$G$825)</f>
        <v>0.23572296476306198</v>
      </c>
      <c r="I196">
        <f t="shared" si="6"/>
        <v>2</v>
      </c>
    </row>
    <row r="197" spans="1:9" ht="64" x14ac:dyDescent="0.2">
      <c r="A197" t="s">
        <v>3413</v>
      </c>
      <c r="B197">
        <v>54482</v>
      </c>
      <c r="C197">
        <v>1230</v>
      </c>
      <c r="F197" s="4" t="s">
        <v>3414</v>
      </c>
      <c r="G197">
        <v>0.31183811914416371</v>
      </c>
      <c r="H197">
        <f t="shared" si="7"/>
        <v>0.23693803159173754</v>
      </c>
      <c r="I197">
        <f t="shared" si="6"/>
        <v>2</v>
      </c>
    </row>
    <row r="198" spans="1:9" ht="64" x14ac:dyDescent="0.2">
      <c r="A198" t="s">
        <v>3415</v>
      </c>
      <c r="B198">
        <v>54908</v>
      </c>
      <c r="C198">
        <v>1182</v>
      </c>
      <c r="F198" s="4" t="s">
        <v>3416</v>
      </c>
      <c r="G198">
        <v>0.31203439244681813</v>
      </c>
      <c r="H198">
        <f t="shared" si="7"/>
        <v>0.23815309842041313</v>
      </c>
      <c r="I198">
        <f t="shared" si="6"/>
        <v>2</v>
      </c>
    </row>
    <row r="199" spans="1:9" ht="64" x14ac:dyDescent="0.2">
      <c r="A199" t="s">
        <v>3417</v>
      </c>
      <c r="B199">
        <v>55399</v>
      </c>
      <c r="C199">
        <v>1198</v>
      </c>
      <c r="F199" s="4" t="s">
        <v>3418</v>
      </c>
      <c r="G199">
        <v>0.31216076501635287</v>
      </c>
      <c r="H199">
        <f t="shared" si="7"/>
        <v>0.23936816524908869</v>
      </c>
      <c r="I199">
        <f t="shared" si="6"/>
        <v>2</v>
      </c>
    </row>
    <row r="200" spans="1:9" ht="48" x14ac:dyDescent="0.2">
      <c r="A200" t="s">
        <v>3419</v>
      </c>
      <c r="B200">
        <v>55565</v>
      </c>
      <c r="C200">
        <v>1268</v>
      </c>
      <c r="F200" s="4" t="s">
        <v>3420</v>
      </c>
      <c r="G200">
        <v>0.31247712461866167</v>
      </c>
      <c r="H200">
        <f t="shared" si="7"/>
        <v>0.24058323207776428</v>
      </c>
      <c r="I200">
        <f t="shared" si="6"/>
        <v>2</v>
      </c>
    </row>
    <row r="201" spans="1:9" ht="48" x14ac:dyDescent="0.2">
      <c r="A201" t="s">
        <v>3421</v>
      </c>
      <c r="B201">
        <v>55982</v>
      </c>
      <c r="C201">
        <v>1617</v>
      </c>
      <c r="F201" s="4" t="s">
        <v>3422</v>
      </c>
      <c r="G201">
        <v>0.31279617201043897</v>
      </c>
      <c r="H201">
        <f t="shared" si="7"/>
        <v>0.24179829890643986</v>
      </c>
      <c r="I201">
        <f t="shared" si="6"/>
        <v>2</v>
      </c>
    </row>
    <row r="202" spans="1:9" ht="48" x14ac:dyDescent="0.2">
      <c r="A202" t="s">
        <v>3423</v>
      </c>
      <c r="B202">
        <v>56009</v>
      </c>
      <c r="C202">
        <v>1463</v>
      </c>
      <c r="F202" s="4" t="s">
        <v>3424</v>
      </c>
      <c r="G202">
        <v>0.31285165271968907</v>
      </c>
      <c r="H202">
        <f t="shared" si="7"/>
        <v>0.24301336573511542</v>
      </c>
      <c r="I202">
        <f t="shared" si="6"/>
        <v>2</v>
      </c>
    </row>
    <row r="203" spans="1:9" ht="48" x14ac:dyDescent="0.2">
      <c r="A203" t="s">
        <v>3425</v>
      </c>
      <c r="B203">
        <v>56020</v>
      </c>
      <c r="C203">
        <v>1254</v>
      </c>
      <c r="F203" s="4" t="s">
        <v>3426</v>
      </c>
      <c r="G203">
        <v>0.31329719239344112</v>
      </c>
      <c r="H203">
        <f t="shared" si="7"/>
        <v>0.24422843256379101</v>
      </c>
      <c r="I203">
        <f t="shared" si="6"/>
        <v>2</v>
      </c>
    </row>
    <row r="204" spans="1:9" ht="48" x14ac:dyDescent="0.2">
      <c r="A204" t="s">
        <v>3427</v>
      </c>
      <c r="B204">
        <v>56292</v>
      </c>
      <c r="C204">
        <v>1185</v>
      </c>
      <c r="F204" s="4" t="s">
        <v>3428</v>
      </c>
      <c r="G204">
        <v>0.31338685061735111</v>
      </c>
      <c r="H204">
        <f t="shared" si="7"/>
        <v>0.2454434993924666</v>
      </c>
      <c r="I204">
        <f t="shared" si="6"/>
        <v>2</v>
      </c>
    </row>
    <row r="205" spans="1:9" ht="48" x14ac:dyDescent="0.2">
      <c r="A205" t="s">
        <v>3429</v>
      </c>
      <c r="B205">
        <v>56438</v>
      </c>
      <c r="C205">
        <v>1270</v>
      </c>
      <c r="F205" s="4" t="s">
        <v>3430</v>
      </c>
      <c r="G205">
        <v>0.31359155894245139</v>
      </c>
      <c r="H205">
        <f t="shared" si="7"/>
        <v>0.24665856622114216</v>
      </c>
      <c r="I205">
        <f t="shared" si="6"/>
        <v>2</v>
      </c>
    </row>
    <row r="206" spans="1:9" ht="48" x14ac:dyDescent="0.2">
      <c r="A206" t="s">
        <v>3431</v>
      </c>
      <c r="B206">
        <v>56714</v>
      </c>
      <c r="C206">
        <v>1007</v>
      </c>
      <c r="F206" s="4" t="s">
        <v>3432</v>
      </c>
      <c r="G206">
        <v>0.31372149532666094</v>
      </c>
      <c r="H206">
        <f t="shared" si="7"/>
        <v>0.24787363304981774</v>
      </c>
      <c r="I206">
        <f t="shared" si="6"/>
        <v>2</v>
      </c>
    </row>
    <row r="207" spans="1:9" ht="48" x14ac:dyDescent="0.2">
      <c r="A207" t="s">
        <v>3433</v>
      </c>
      <c r="B207">
        <v>56932</v>
      </c>
      <c r="C207">
        <v>1483</v>
      </c>
      <c r="F207" s="4" t="s">
        <v>3434</v>
      </c>
      <c r="G207">
        <v>0.31376620303183339</v>
      </c>
      <c r="H207">
        <f t="shared" si="7"/>
        <v>0.24908869987849333</v>
      </c>
      <c r="I207">
        <f t="shared" si="6"/>
        <v>2</v>
      </c>
    </row>
    <row r="208" spans="1:9" ht="64" x14ac:dyDescent="0.2">
      <c r="A208" t="s">
        <v>3435</v>
      </c>
      <c r="B208">
        <v>57072</v>
      </c>
      <c r="C208">
        <v>1136</v>
      </c>
      <c r="F208" s="4" t="s">
        <v>3436</v>
      </c>
      <c r="G208">
        <v>0.31391185590461124</v>
      </c>
      <c r="H208">
        <f t="shared" si="7"/>
        <v>0.25030376670716892</v>
      </c>
      <c r="I208">
        <f t="shared" si="6"/>
        <v>2</v>
      </c>
    </row>
    <row r="209" spans="1:9" ht="48" x14ac:dyDescent="0.2">
      <c r="A209" t="s">
        <v>3437</v>
      </c>
      <c r="B209">
        <v>57218</v>
      </c>
      <c r="C209">
        <v>1035</v>
      </c>
      <c r="F209" s="4" t="s">
        <v>3438</v>
      </c>
      <c r="G209">
        <v>0.31402858162950398</v>
      </c>
      <c r="H209">
        <f t="shared" si="7"/>
        <v>0.25151883353584448</v>
      </c>
      <c r="I209">
        <f t="shared" si="6"/>
        <v>2</v>
      </c>
    </row>
    <row r="210" spans="1:9" ht="48" x14ac:dyDescent="0.2">
      <c r="A210" t="s">
        <v>3439</v>
      </c>
      <c r="B210">
        <v>57286</v>
      </c>
      <c r="C210">
        <v>1094</v>
      </c>
      <c r="F210" s="4" t="s">
        <v>3440</v>
      </c>
      <c r="G210">
        <v>0.3141311101041438</v>
      </c>
      <c r="H210">
        <f t="shared" si="7"/>
        <v>0.25273390036452004</v>
      </c>
      <c r="I210">
        <f t="shared" si="6"/>
        <v>2</v>
      </c>
    </row>
    <row r="211" spans="1:9" ht="64" x14ac:dyDescent="0.2">
      <c r="A211" t="s">
        <v>3441</v>
      </c>
      <c r="B211">
        <v>57358</v>
      </c>
      <c r="C211">
        <v>1120</v>
      </c>
      <c r="F211" s="4" t="s">
        <v>3442</v>
      </c>
      <c r="G211">
        <v>0.31414167129815956</v>
      </c>
      <c r="H211">
        <f t="shared" si="7"/>
        <v>0.25394896719319565</v>
      </c>
      <c r="I211">
        <f t="shared" si="6"/>
        <v>2</v>
      </c>
    </row>
    <row r="212" spans="1:9" ht="48" x14ac:dyDescent="0.2">
      <c r="A212" t="s">
        <v>3443</v>
      </c>
      <c r="B212">
        <v>57587</v>
      </c>
      <c r="C212">
        <v>1181</v>
      </c>
      <c r="F212" s="4" t="s">
        <v>3444</v>
      </c>
      <c r="G212">
        <v>0.31490846611871581</v>
      </c>
      <c r="H212">
        <f t="shared" si="7"/>
        <v>0.25516403402187121</v>
      </c>
      <c r="I212">
        <f t="shared" si="6"/>
        <v>2</v>
      </c>
    </row>
    <row r="213" spans="1:9" ht="48" x14ac:dyDescent="0.2">
      <c r="A213" t="s">
        <v>3445</v>
      </c>
      <c r="B213">
        <v>57778</v>
      </c>
      <c r="C213">
        <v>1109</v>
      </c>
      <c r="F213" s="4" t="s">
        <v>3446</v>
      </c>
      <c r="G213">
        <v>0.31534137192204353</v>
      </c>
      <c r="H213">
        <f t="shared" si="7"/>
        <v>0.25637910085054677</v>
      </c>
      <c r="I213">
        <f t="shared" si="6"/>
        <v>2</v>
      </c>
    </row>
    <row r="214" spans="1:9" ht="48" x14ac:dyDescent="0.2">
      <c r="A214" t="s">
        <v>3447</v>
      </c>
      <c r="B214">
        <v>57917</v>
      </c>
      <c r="C214">
        <v>1032</v>
      </c>
      <c r="F214" s="4" t="s">
        <v>3448</v>
      </c>
      <c r="G214">
        <v>0.31548150879109338</v>
      </c>
      <c r="H214">
        <f t="shared" si="7"/>
        <v>0.25759416767922233</v>
      </c>
      <c r="I214">
        <f t="shared" si="6"/>
        <v>2</v>
      </c>
    </row>
    <row r="215" spans="1:9" ht="48" x14ac:dyDescent="0.2">
      <c r="A215" t="s">
        <v>3449</v>
      </c>
      <c r="B215">
        <v>57917</v>
      </c>
      <c r="C215">
        <v>1077</v>
      </c>
      <c r="F215" s="4" t="s">
        <v>3450</v>
      </c>
      <c r="G215">
        <v>0.31548756124033872</v>
      </c>
      <c r="H215">
        <f t="shared" si="7"/>
        <v>0.25880923450789795</v>
      </c>
      <c r="I215">
        <f t="shared" si="6"/>
        <v>2</v>
      </c>
    </row>
    <row r="216" spans="1:9" ht="48" x14ac:dyDescent="0.2">
      <c r="A216" t="s">
        <v>3451</v>
      </c>
      <c r="B216">
        <v>57955</v>
      </c>
      <c r="C216">
        <v>1260</v>
      </c>
      <c r="F216" s="4" t="s">
        <v>3452</v>
      </c>
      <c r="G216">
        <v>0.31620976342906537</v>
      </c>
      <c r="H216">
        <f t="shared" si="7"/>
        <v>0.2600243013365735</v>
      </c>
      <c r="I216">
        <f t="shared" si="6"/>
        <v>2</v>
      </c>
    </row>
    <row r="217" spans="1:9" ht="48" x14ac:dyDescent="0.2">
      <c r="A217" t="s">
        <v>3453</v>
      </c>
      <c r="B217">
        <v>58000</v>
      </c>
      <c r="C217">
        <v>964</v>
      </c>
      <c r="F217" s="4" t="s">
        <v>3454</v>
      </c>
      <c r="G217">
        <v>0.31636725932255766</v>
      </c>
      <c r="H217">
        <f t="shared" si="7"/>
        <v>0.26123936816524906</v>
      </c>
      <c r="I217">
        <f t="shared" si="6"/>
        <v>2</v>
      </c>
    </row>
    <row r="218" spans="1:9" ht="64" x14ac:dyDescent="0.2">
      <c r="A218" t="s">
        <v>3455</v>
      </c>
      <c r="B218">
        <v>58029</v>
      </c>
      <c r="C218">
        <v>1201</v>
      </c>
      <c r="F218" s="4" t="s">
        <v>3456</v>
      </c>
      <c r="G218">
        <v>0.31664786938082579</v>
      </c>
      <c r="H218">
        <f t="shared" si="7"/>
        <v>0.26245443499392468</v>
      </c>
      <c r="I218">
        <f t="shared" si="6"/>
        <v>2</v>
      </c>
    </row>
    <row r="219" spans="1:9" ht="64" x14ac:dyDescent="0.2">
      <c r="A219" t="s">
        <v>3457</v>
      </c>
      <c r="B219">
        <v>58229</v>
      </c>
      <c r="C219">
        <v>1130</v>
      </c>
      <c r="F219" s="4" t="s">
        <v>3445</v>
      </c>
      <c r="G219">
        <v>0.31665123757384633</v>
      </c>
      <c r="H219">
        <f t="shared" si="7"/>
        <v>0.26366950182260024</v>
      </c>
      <c r="I219">
        <f t="shared" si="6"/>
        <v>2</v>
      </c>
    </row>
    <row r="220" spans="1:9" ht="48" x14ac:dyDescent="0.2">
      <c r="A220" t="s">
        <v>3458</v>
      </c>
      <c r="B220">
        <v>58273</v>
      </c>
      <c r="C220">
        <v>1834</v>
      </c>
      <c r="F220" s="4" t="s">
        <v>3459</v>
      </c>
      <c r="G220">
        <v>0.31699323812396291</v>
      </c>
      <c r="H220">
        <f t="shared" si="7"/>
        <v>0.2648845686512758</v>
      </c>
      <c r="I220">
        <f t="shared" si="6"/>
        <v>2</v>
      </c>
    </row>
    <row r="221" spans="1:9" ht="48" x14ac:dyDescent="0.2">
      <c r="A221" t="s">
        <v>3460</v>
      </c>
      <c r="B221">
        <v>58278</v>
      </c>
      <c r="C221">
        <v>1191</v>
      </c>
      <c r="F221" s="4" t="s">
        <v>3461</v>
      </c>
      <c r="G221">
        <v>0.31712037237468016</v>
      </c>
      <c r="H221">
        <f t="shared" si="7"/>
        <v>0.26609963547995141</v>
      </c>
      <c r="I221">
        <f t="shared" si="6"/>
        <v>2</v>
      </c>
    </row>
    <row r="222" spans="1:9" ht="48" x14ac:dyDescent="0.2">
      <c r="A222" t="s">
        <v>3462</v>
      </c>
      <c r="B222">
        <v>58516</v>
      </c>
      <c r="C222">
        <v>1264</v>
      </c>
      <c r="F222" s="4" t="s">
        <v>3463</v>
      </c>
      <c r="G222">
        <v>0.31717379361897913</v>
      </c>
      <c r="H222">
        <f t="shared" si="7"/>
        <v>0.26731470230862697</v>
      </c>
      <c r="I222">
        <f t="shared" si="6"/>
        <v>2</v>
      </c>
    </row>
    <row r="223" spans="1:9" ht="48" x14ac:dyDescent="0.2">
      <c r="A223" t="s">
        <v>3464</v>
      </c>
      <c r="B223">
        <v>58875</v>
      </c>
      <c r="C223">
        <v>1410</v>
      </c>
      <c r="F223" s="4" t="s">
        <v>3465</v>
      </c>
      <c r="G223">
        <v>0.31743041650885312</v>
      </c>
      <c r="H223">
        <f t="shared" si="7"/>
        <v>0.26852976913730253</v>
      </c>
      <c r="I223">
        <f t="shared" si="6"/>
        <v>2</v>
      </c>
    </row>
    <row r="224" spans="1:9" ht="48" x14ac:dyDescent="0.2">
      <c r="A224" t="s">
        <v>3466</v>
      </c>
      <c r="B224">
        <v>58889</v>
      </c>
      <c r="C224">
        <v>1280</v>
      </c>
      <c r="F224" s="4" t="s">
        <v>3467</v>
      </c>
      <c r="G224">
        <v>0.3174711306376079</v>
      </c>
      <c r="H224">
        <f t="shared" si="7"/>
        <v>0.26974483596597815</v>
      </c>
      <c r="I224">
        <f t="shared" si="6"/>
        <v>2</v>
      </c>
    </row>
    <row r="225" spans="1:9" ht="48" x14ac:dyDescent="0.2">
      <c r="A225" t="s">
        <v>3468</v>
      </c>
      <c r="B225">
        <v>59014</v>
      </c>
      <c r="C225">
        <v>1532</v>
      </c>
      <c r="F225" s="4" t="s">
        <v>3469</v>
      </c>
      <c r="G225">
        <v>0.31771023477661559</v>
      </c>
      <c r="H225">
        <f t="shared" si="7"/>
        <v>0.27095990279465371</v>
      </c>
      <c r="I225">
        <f t="shared" si="6"/>
        <v>2</v>
      </c>
    </row>
    <row r="226" spans="1:9" ht="64" x14ac:dyDescent="0.2">
      <c r="A226" t="s">
        <v>3470</v>
      </c>
      <c r="B226">
        <v>59018</v>
      </c>
      <c r="C226">
        <v>1070</v>
      </c>
      <c r="F226" s="4" t="s">
        <v>3471</v>
      </c>
      <c r="G226">
        <v>0.3177152575730845</v>
      </c>
      <c r="H226">
        <f t="shared" si="7"/>
        <v>0.27217496962332927</v>
      </c>
      <c r="I226">
        <f t="shared" si="6"/>
        <v>2</v>
      </c>
    </row>
    <row r="227" spans="1:9" ht="48" x14ac:dyDescent="0.2">
      <c r="A227" t="s">
        <v>3472</v>
      </c>
      <c r="B227">
        <v>59266</v>
      </c>
      <c r="C227">
        <v>1446</v>
      </c>
      <c r="F227" s="4" t="s">
        <v>3473</v>
      </c>
      <c r="G227">
        <v>0.31779434682333413</v>
      </c>
      <c r="H227">
        <f t="shared" si="7"/>
        <v>0.27339003645200488</v>
      </c>
      <c r="I227">
        <f t="shared" si="6"/>
        <v>2</v>
      </c>
    </row>
    <row r="228" spans="1:9" ht="48" x14ac:dyDescent="0.2">
      <c r="A228" t="s">
        <v>3474</v>
      </c>
      <c r="B228">
        <v>59402</v>
      </c>
      <c r="C228">
        <v>1195</v>
      </c>
      <c r="F228" s="4" t="s">
        <v>3475</v>
      </c>
      <c r="G228">
        <v>0.31804038177043781</v>
      </c>
      <c r="H228">
        <f t="shared" si="7"/>
        <v>0.27460510328068044</v>
      </c>
      <c r="I228">
        <f t="shared" si="6"/>
        <v>2</v>
      </c>
    </row>
    <row r="229" spans="1:9" ht="48" x14ac:dyDescent="0.2">
      <c r="A229" t="s">
        <v>3476</v>
      </c>
      <c r="B229">
        <v>59552</v>
      </c>
      <c r="C229">
        <v>1164</v>
      </c>
      <c r="F229" s="4" t="s">
        <v>3477</v>
      </c>
      <c r="G229">
        <v>0.31818401514086436</v>
      </c>
      <c r="H229">
        <f t="shared" si="7"/>
        <v>0.275820170109356</v>
      </c>
      <c r="I229">
        <f t="shared" si="6"/>
        <v>2</v>
      </c>
    </row>
    <row r="230" spans="1:9" ht="48" x14ac:dyDescent="0.2">
      <c r="A230" t="s">
        <v>3478</v>
      </c>
      <c r="B230">
        <v>59771</v>
      </c>
      <c r="C230">
        <v>1209</v>
      </c>
      <c r="F230" s="4" t="s">
        <v>3479</v>
      </c>
      <c r="G230">
        <v>0.31825468473660468</v>
      </c>
      <c r="H230">
        <f t="shared" si="7"/>
        <v>0.27703523693803161</v>
      </c>
      <c r="I230">
        <f t="shared" si="6"/>
        <v>2</v>
      </c>
    </row>
    <row r="231" spans="1:9" ht="64" x14ac:dyDescent="0.2">
      <c r="A231" t="s">
        <v>3480</v>
      </c>
      <c r="B231">
        <v>59914</v>
      </c>
      <c r="C231">
        <v>1260</v>
      </c>
      <c r="F231" s="4" t="s">
        <v>3481</v>
      </c>
      <c r="G231">
        <v>0.31836749748170623</v>
      </c>
      <c r="H231">
        <f t="shared" si="7"/>
        <v>0.27825030376670717</v>
      </c>
      <c r="I231">
        <f t="shared" si="6"/>
        <v>2</v>
      </c>
    </row>
    <row r="232" spans="1:9" ht="48" x14ac:dyDescent="0.2">
      <c r="A232" t="s">
        <v>3392</v>
      </c>
      <c r="B232">
        <v>60160</v>
      </c>
      <c r="C232">
        <v>1013</v>
      </c>
      <c r="F232" s="4" t="s">
        <v>3482</v>
      </c>
      <c r="G232">
        <v>0.31863009474291487</v>
      </c>
      <c r="H232">
        <f t="shared" si="7"/>
        <v>0.27946537059538273</v>
      </c>
      <c r="I232">
        <f t="shared" si="6"/>
        <v>2</v>
      </c>
    </row>
    <row r="233" spans="1:9" ht="48" x14ac:dyDescent="0.2">
      <c r="A233" t="s">
        <v>3438</v>
      </c>
      <c r="B233">
        <v>60694</v>
      </c>
      <c r="C233">
        <v>1066</v>
      </c>
      <c r="F233" s="4" t="s">
        <v>3483</v>
      </c>
      <c r="G233">
        <v>0.318704750267298</v>
      </c>
      <c r="H233">
        <f t="shared" si="7"/>
        <v>0.28068043742405835</v>
      </c>
      <c r="I233">
        <f t="shared" si="6"/>
        <v>2</v>
      </c>
    </row>
    <row r="234" spans="1:9" ht="64" x14ac:dyDescent="0.2">
      <c r="A234" t="s">
        <v>3484</v>
      </c>
      <c r="B234">
        <v>60725</v>
      </c>
      <c r="C234">
        <v>1634</v>
      </c>
      <c r="F234" s="4" t="s">
        <v>3485</v>
      </c>
      <c r="G234">
        <v>0.31897544066576522</v>
      </c>
      <c r="H234">
        <f t="shared" si="7"/>
        <v>0.28189550425273391</v>
      </c>
      <c r="I234">
        <f t="shared" si="6"/>
        <v>2</v>
      </c>
    </row>
    <row r="235" spans="1:9" ht="64" x14ac:dyDescent="0.2">
      <c r="A235" t="s">
        <v>3364</v>
      </c>
      <c r="B235">
        <v>61048</v>
      </c>
      <c r="C235">
        <v>1084</v>
      </c>
      <c r="F235" s="4" t="s">
        <v>3486</v>
      </c>
      <c r="G235">
        <v>0.3190856938076071</v>
      </c>
      <c r="H235">
        <f t="shared" si="7"/>
        <v>0.28311057108140947</v>
      </c>
      <c r="I235">
        <f t="shared" si="6"/>
        <v>2</v>
      </c>
    </row>
    <row r="236" spans="1:9" ht="48" x14ac:dyDescent="0.2">
      <c r="A236" t="s">
        <v>3487</v>
      </c>
      <c r="B236">
        <v>61071</v>
      </c>
      <c r="C236">
        <v>1124</v>
      </c>
      <c r="F236" s="4" t="s">
        <v>3488</v>
      </c>
      <c r="G236">
        <v>0.31921750327950382</v>
      </c>
      <c r="H236">
        <f t="shared" si="7"/>
        <v>0.28432563791008503</v>
      </c>
      <c r="I236">
        <f t="shared" si="6"/>
        <v>2</v>
      </c>
    </row>
    <row r="237" spans="1:9" ht="64" x14ac:dyDescent="0.2">
      <c r="A237" t="s">
        <v>3489</v>
      </c>
      <c r="B237">
        <v>61196</v>
      </c>
      <c r="C237">
        <v>1454</v>
      </c>
      <c r="F237" s="4" t="s">
        <v>3490</v>
      </c>
      <c r="G237">
        <v>0.3192307689925763</v>
      </c>
      <c r="H237">
        <f t="shared" si="7"/>
        <v>0.28554070473876064</v>
      </c>
      <c r="I237">
        <f t="shared" si="6"/>
        <v>2</v>
      </c>
    </row>
    <row r="238" spans="1:9" ht="64" x14ac:dyDescent="0.2">
      <c r="A238" t="s">
        <v>3491</v>
      </c>
      <c r="B238">
        <v>61667</v>
      </c>
      <c r="C238">
        <v>1586</v>
      </c>
      <c r="F238" s="4" t="s">
        <v>3492</v>
      </c>
      <c r="G238">
        <v>0.3197974746963656</v>
      </c>
      <c r="H238">
        <f t="shared" si="7"/>
        <v>0.2867557715674362</v>
      </c>
      <c r="I238">
        <f t="shared" si="6"/>
        <v>2</v>
      </c>
    </row>
    <row r="239" spans="1:9" ht="48" x14ac:dyDescent="0.2">
      <c r="A239" t="s">
        <v>3493</v>
      </c>
      <c r="B239">
        <v>61675</v>
      </c>
      <c r="C239">
        <v>1167</v>
      </c>
      <c r="F239" s="4" t="s">
        <v>3494</v>
      </c>
      <c r="G239">
        <v>0.31984167261235935</v>
      </c>
      <c r="H239">
        <f t="shared" si="7"/>
        <v>0.28797083839611176</v>
      </c>
      <c r="I239">
        <f t="shared" si="6"/>
        <v>2</v>
      </c>
    </row>
    <row r="240" spans="1:9" ht="48" x14ac:dyDescent="0.2">
      <c r="A240" t="s">
        <v>3495</v>
      </c>
      <c r="B240">
        <v>61755</v>
      </c>
      <c r="C240">
        <v>1320</v>
      </c>
      <c r="F240" s="4" t="s">
        <v>3496</v>
      </c>
      <c r="G240">
        <v>0.32017063404654872</v>
      </c>
      <c r="H240">
        <f t="shared" si="7"/>
        <v>0.28918590522478738</v>
      </c>
      <c r="I240">
        <f t="shared" si="6"/>
        <v>2</v>
      </c>
    </row>
    <row r="241" spans="1:9" ht="64" x14ac:dyDescent="0.2">
      <c r="A241" t="s">
        <v>3497</v>
      </c>
      <c r="B241">
        <v>61844</v>
      </c>
      <c r="C241">
        <v>1541</v>
      </c>
      <c r="F241" s="4" t="s">
        <v>3498</v>
      </c>
      <c r="G241">
        <v>0.32027777488112796</v>
      </c>
      <c r="H241">
        <f t="shared" si="7"/>
        <v>0.29040097205346294</v>
      </c>
      <c r="I241">
        <f t="shared" si="6"/>
        <v>2</v>
      </c>
    </row>
    <row r="242" spans="1:9" ht="48" x14ac:dyDescent="0.2">
      <c r="A242" t="s">
        <v>3499</v>
      </c>
      <c r="B242">
        <v>62054</v>
      </c>
      <c r="C242">
        <v>1097</v>
      </c>
      <c r="F242" s="4" t="s">
        <v>3500</v>
      </c>
      <c r="G242">
        <v>0.32038307943963668</v>
      </c>
      <c r="H242">
        <f t="shared" si="7"/>
        <v>0.2916160388821385</v>
      </c>
      <c r="I242">
        <f t="shared" si="6"/>
        <v>2</v>
      </c>
    </row>
    <row r="243" spans="1:9" ht="48" x14ac:dyDescent="0.2">
      <c r="A243" t="s">
        <v>3501</v>
      </c>
      <c r="B243">
        <v>62060</v>
      </c>
      <c r="C243">
        <v>1181</v>
      </c>
      <c r="F243" s="4" t="s">
        <v>3502</v>
      </c>
      <c r="G243">
        <v>0.32040617197411492</v>
      </c>
      <c r="H243">
        <f t="shared" si="7"/>
        <v>0.29283110571081411</v>
      </c>
      <c r="I243">
        <f t="shared" si="6"/>
        <v>2</v>
      </c>
    </row>
    <row r="244" spans="1:9" ht="48" x14ac:dyDescent="0.2">
      <c r="A244" t="s">
        <v>3503</v>
      </c>
      <c r="B244">
        <v>62120</v>
      </c>
      <c r="C244">
        <v>1268</v>
      </c>
      <c r="F244" s="4" t="s">
        <v>3504</v>
      </c>
      <c r="G244">
        <v>0.32041465096277705</v>
      </c>
      <c r="H244">
        <f t="shared" si="7"/>
        <v>0.29404617253948967</v>
      </c>
      <c r="I244">
        <f t="shared" si="6"/>
        <v>2</v>
      </c>
    </row>
    <row r="245" spans="1:9" ht="64" x14ac:dyDescent="0.2">
      <c r="A245" t="s">
        <v>3189</v>
      </c>
      <c r="B245">
        <v>62212</v>
      </c>
      <c r="C245">
        <v>1094</v>
      </c>
      <c r="F245" s="4" t="s">
        <v>3505</v>
      </c>
      <c r="G245">
        <v>0.32064523625587471</v>
      </c>
      <c r="H245">
        <f t="shared" si="7"/>
        <v>0.29526123936816523</v>
      </c>
      <c r="I245">
        <f t="shared" si="6"/>
        <v>2</v>
      </c>
    </row>
    <row r="246" spans="1:9" ht="48" x14ac:dyDescent="0.2">
      <c r="A246" t="s">
        <v>3506</v>
      </c>
      <c r="B246">
        <v>62432</v>
      </c>
      <c r="C246">
        <v>1290</v>
      </c>
      <c r="F246" s="4" t="s">
        <v>3507</v>
      </c>
      <c r="G246">
        <v>0.32067216425926154</v>
      </c>
      <c r="H246">
        <f t="shared" si="7"/>
        <v>0.29647630619684084</v>
      </c>
      <c r="I246">
        <f t="shared" si="6"/>
        <v>2</v>
      </c>
    </row>
    <row r="247" spans="1:9" ht="48" x14ac:dyDescent="0.2">
      <c r="A247" t="s">
        <v>3508</v>
      </c>
      <c r="B247">
        <v>62462</v>
      </c>
      <c r="C247">
        <v>1116</v>
      </c>
      <c r="F247" s="4" t="s">
        <v>3509</v>
      </c>
      <c r="G247">
        <v>0.32068486542400704</v>
      </c>
      <c r="H247">
        <f t="shared" si="7"/>
        <v>0.2976913730255164</v>
      </c>
      <c r="I247">
        <f t="shared" si="6"/>
        <v>2</v>
      </c>
    </row>
    <row r="248" spans="1:9" ht="48" x14ac:dyDescent="0.2">
      <c r="A248" t="s">
        <v>3510</v>
      </c>
      <c r="B248">
        <v>62700</v>
      </c>
      <c r="C248">
        <v>1198</v>
      </c>
      <c r="F248" s="4" t="s">
        <v>3511</v>
      </c>
      <c r="G248">
        <v>0.32071269487750553</v>
      </c>
      <c r="H248">
        <f t="shared" si="7"/>
        <v>0.29890643985419196</v>
      </c>
      <c r="I248">
        <f t="shared" si="6"/>
        <v>2</v>
      </c>
    </row>
    <row r="249" spans="1:9" ht="48" x14ac:dyDescent="0.2">
      <c r="A249" t="s">
        <v>3512</v>
      </c>
      <c r="B249">
        <v>62788</v>
      </c>
      <c r="C249">
        <v>1102</v>
      </c>
      <c r="F249" s="4" t="s">
        <v>3513</v>
      </c>
      <c r="G249">
        <v>0.32089017014005938</v>
      </c>
      <c r="H249">
        <f t="shared" si="7"/>
        <v>0.30012150668286758</v>
      </c>
      <c r="I249">
        <f t="shared" si="6"/>
        <v>2</v>
      </c>
    </row>
    <row r="250" spans="1:9" ht="48" x14ac:dyDescent="0.2">
      <c r="A250" t="s">
        <v>3514</v>
      </c>
      <c r="B250">
        <v>62843</v>
      </c>
      <c r="C250">
        <v>1099</v>
      </c>
      <c r="F250" s="4" t="s">
        <v>3453</v>
      </c>
      <c r="G250">
        <v>0.32098162281954956</v>
      </c>
      <c r="H250">
        <f t="shared" si="7"/>
        <v>0.30133657351154314</v>
      </c>
      <c r="I250">
        <f t="shared" si="6"/>
        <v>2</v>
      </c>
    </row>
    <row r="251" spans="1:9" ht="64" x14ac:dyDescent="0.2">
      <c r="A251" t="s">
        <v>3515</v>
      </c>
      <c r="B251">
        <v>62927</v>
      </c>
      <c r="C251">
        <v>1377</v>
      </c>
      <c r="F251" s="4" t="s">
        <v>3516</v>
      </c>
      <c r="G251">
        <v>0.32101152019284146</v>
      </c>
      <c r="H251">
        <f t="shared" si="7"/>
        <v>0.3025516403402187</v>
      </c>
      <c r="I251">
        <f t="shared" si="6"/>
        <v>2</v>
      </c>
    </row>
    <row r="252" spans="1:9" ht="48" x14ac:dyDescent="0.2">
      <c r="A252" t="s">
        <v>3517</v>
      </c>
      <c r="B252">
        <v>63036</v>
      </c>
      <c r="C252">
        <v>1161</v>
      </c>
      <c r="F252" s="4" t="s">
        <v>3518</v>
      </c>
      <c r="G252">
        <v>0.32102685228198663</v>
      </c>
      <c r="H252">
        <f t="shared" si="7"/>
        <v>0.30376670716889431</v>
      </c>
      <c r="I252">
        <f t="shared" si="6"/>
        <v>2</v>
      </c>
    </row>
    <row r="253" spans="1:9" ht="48" x14ac:dyDescent="0.2">
      <c r="A253" t="s">
        <v>3519</v>
      </c>
      <c r="B253">
        <v>63044</v>
      </c>
      <c r="C253">
        <v>1285</v>
      </c>
      <c r="F253" s="4" t="s">
        <v>3520</v>
      </c>
      <c r="G253">
        <v>0.32122370635701036</v>
      </c>
      <c r="H253">
        <f t="shared" si="7"/>
        <v>0.30498177399756987</v>
      </c>
      <c r="I253">
        <f t="shared" si="6"/>
        <v>2</v>
      </c>
    </row>
    <row r="254" spans="1:9" ht="48" x14ac:dyDescent="0.2">
      <c r="A254" t="s">
        <v>3521</v>
      </c>
      <c r="B254">
        <v>63141</v>
      </c>
      <c r="C254">
        <v>1526</v>
      </c>
      <c r="F254" s="4" t="s">
        <v>3522</v>
      </c>
      <c r="G254">
        <v>0.32140664359481436</v>
      </c>
      <c r="H254">
        <f t="shared" si="7"/>
        <v>0.30619684082624543</v>
      </c>
      <c r="I254">
        <f t="shared" si="6"/>
        <v>2</v>
      </c>
    </row>
    <row r="255" spans="1:9" ht="48" x14ac:dyDescent="0.2">
      <c r="A255" t="s">
        <v>3523</v>
      </c>
      <c r="B255">
        <v>63167</v>
      </c>
      <c r="C255">
        <v>1345</v>
      </c>
      <c r="F255" s="4" t="s">
        <v>3524</v>
      </c>
      <c r="G255">
        <v>0.32145842057829394</v>
      </c>
      <c r="H255">
        <f t="shared" si="7"/>
        <v>0.30741190765492105</v>
      </c>
      <c r="I255">
        <f t="shared" si="6"/>
        <v>2</v>
      </c>
    </row>
    <row r="256" spans="1:9" ht="48" x14ac:dyDescent="0.2">
      <c r="A256" t="s">
        <v>3525</v>
      </c>
      <c r="B256">
        <v>63190</v>
      </c>
      <c r="C256">
        <v>1310</v>
      </c>
      <c r="F256" s="4" t="s">
        <v>3526</v>
      </c>
      <c r="G256">
        <v>0.32146216282121254</v>
      </c>
      <c r="H256">
        <f t="shared" si="7"/>
        <v>0.30862697448359661</v>
      </c>
      <c r="I256">
        <f t="shared" si="6"/>
        <v>2</v>
      </c>
    </row>
    <row r="257" spans="1:9" ht="48" x14ac:dyDescent="0.2">
      <c r="A257" t="s">
        <v>3527</v>
      </c>
      <c r="B257">
        <v>63295</v>
      </c>
      <c r="C257">
        <v>1187</v>
      </c>
      <c r="F257" s="4" t="s">
        <v>3528</v>
      </c>
      <c r="G257">
        <v>0.32148073543521377</v>
      </c>
      <c r="H257">
        <f t="shared" si="7"/>
        <v>0.30984204131227217</v>
      </c>
      <c r="I257">
        <f t="shared" si="6"/>
        <v>2</v>
      </c>
    </row>
    <row r="258" spans="1:9" ht="48" x14ac:dyDescent="0.2">
      <c r="A258" t="s">
        <v>3529</v>
      </c>
      <c r="B258">
        <v>63468</v>
      </c>
      <c r="C258">
        <v>1283</v>
      </c>
      <c r="F258" s="4" t="s">
        <v>3530</v>
      </c>
      <c r="G258">
        <v>0.32151724269753468</v>
      </c>
      <c r="H258">
        <f t="shared" si="7"/>
        <v>0.31105710814094772</v>
      </c>
      <c r="I258">
        <f t="shared" si="6"/>
        <v>2</v>
      </c>
    </row>
    <row r="259" spans="1:9" ht="48" x14ac:dyDescent="0.2">
      <c r="A259" t="s">
        <v>3531</v>
      </c>
      <c r="B259">
        <v>63514</v>
      </c>
      <c r="C259">
        <v>1542</v>
      </c>
      <c r="F259" s="4" t="s">
        <v>3532</v>
      </c>
      <c r="G259">
        <v>0.32163276740310731</v>
      </c>
      <c r="H259">
        <f t="shared" si="7"/>
        <v>0.31227217496962334</v>
      </c>
      <c r="I259">
        <f t="shared" ref="I259:I322" si="8">IF(H259&lt;0.2,1,IF(H259&lt;0.4,2,IF(H259&lt;0.6,3,IF(H259&lt;0.8,4,5))))</f>
        <v>2</v>
      </c>
    </row>
    <row r="260" spans="1:9" ht="64" x14ac:dyDescent="0.2">
      <c r="A260" t="s">
        <v>3533</v>
      </c>
      <c r="B260">
        <v>63536</v>
      </c>
      <c r="C260">
        <v>1379</v>
      </c>
      <c r="F260" s="4" t="s">
        <v>3534</v>
      </c>
      <c r="G260">
        <v>0.32178779459516366</v>
      </c>
      <c r="H260">
        <f t="shared" ref="H260:H323" si="9">_xlfn.RANK.EQ(G260,$G$3:$G$825,1)/COUNT($G$3:$G$825)</f>
        <v>0.3134872417982989</v>
      </c>
      <c r="I260">
        <f t="shared" si="8"/>
        <v>2</v>
      </c>
    </row>
    <row r="261" spans="1:9" ht="48" x14ac:dyDescent="0.2">
      <c r="A261" t="s">
        <v>3535</v>
      </c>
      <c r="B261">
        <v>63618</v>
      </c>
      <c r="C261">
        <v>1641</v>
      </c>
      <c r="F261" s="4" t="s">
        <v>3536</v>
      </c>
      <c r="G261">
        <v>0.32184869772173991</v>
      </c>
      <c r="H261">
        <f t="shared" si="9"/>
        <v>0.31470230862697446</v>
      </c>
      <c r="I261">
        <f t="shared" si="8"/>
        <v>2</v>
      </c>
    </row>
    <row r="262" spans="1:9" ht="64" x14ac:dyDescent="0.2">
      <c r="A262" t="s">
        <v>3537</v>
      </c>
      <c r="B262">
        <v>63667</v>
      </c>
      <c r="C262">
        <v>1214</v>
      </c>
      <c r="F262" s="4" t="s">
        <v>3538</v>
      </c>
      <c r="G262">
        <v>0.32196262793610025</v>
      </c>
      <c r="H262">
        <f t="shared" si="9"/>
        <v>0.31591737545565007</v>
      </c>
      <c r="I262">
        <f t="shared" si="8"/>
        <v>2</v>
      </c>
    </row>
    <row r="263" spans="1:9" ht="64" x14ac:dyDescent="0.2">
      <c r="A263" t="s">
        <v>3539</v>
      </c>
      <c r="B263">
        <v>63715</v>
      </c>
      <c r="C263">
        <v>1457</v>
      </c>
      <c r="F263" s="4" t="s">
        <v>3540</v>
      </c>
      <c r="G263">
        <v>0.32246795764977293</v>
      </c>
      <c r="H263">
        <f t="shared" si="9"/>
        <v>0.31713244228432563</v>
      </c>
      <c r="I263">
        <f t="shared" si="8"/>
        <v>2</v>
      </c>
    </row>
    <row r="264" spans="1:9" ht="48" x14ac:dyDescent="0.2">
      <c r="A264" t="s">
        <v>3541</v>
      </c>
      <c r="B264">
        <v>63821</v>
      </c>
      <c r="C264">
        <v>1337</v>
      </c>
      <c r="F264" s="4" t="s">
        <v>3437</v>
      </c>
      <c r="G264">
        <v>0.32268966731045451</v>
      </c>
      <c r="H264">
        <f t="shared" si="9"/>
        <v>0.31834750911300119</v>
      </c>
      <c r="I264">
        <f t="shared" si="8"/>
        <v>2</v>
      </c>
    </row>
    <row r="265" spans="1:9" ht="48" x14ac:dyDescent="0.2">
      <c r="A265" t="s">
        <v>3542</v>
      </c>
      <c r="B265">
        <v>64044</v>
      </c>
      <c r="C265">
        <v>1852</v>
      </c>
      <c r="F265" s="4" t="s">
        <v>3543</v>
      </c>
      <c r="G265">
        <v>0.32271046190340169</v>
      </c>
      <c r="H265">
        <f t="shared" si="9"/>
        <v>0.31956257594167681</v>
      </c>
      <c r="I265">
        <f t="shared" si="8"/>
        <v>2</v>
      </c>
    </row>
    <row r="266" spans="1:9" ht="48" x14ac:dyDescent="0.2">
      <c r="A266" t="s">
        <v>3544</v>
      </c>
      <c r="B266">
        <v>64241</v>
      </c>
      <c r="C266">
        <v>1235</v>
      </c>
      <c r="F266" s="4" t="s">
        <v>3508</v>
      </c>
      <c r="G266">
        <v>0.32302972170134309</v>
      </c>
      <c r="H266">
        <f t="shared" si="9"/>
        <v>0.32077764277035237</v>
      </c>
      <c r="I266">
        <f t="shared" si="8"/>
        <v>2</v>
      </c>
    </row>
    <row r="267" spans="1:9" ht="48" x14ac:dyDescent="0.2">
      <c r="A267" t="s">
        <v>3378</v>
      </c>
      <c r="B267">
        <v>64341</v>
      </c>
      <c r="C267">
        <v>1169</v>
      </c>
      <c r="F267" s="4" t="s">
        <v>3545</v>
      </c>
      <c r="G267">
        <v>0.32328728997613376</v>
      </c>
      <c r="H267">
        <f t="shared" si="9"/>
        <v>0.32199270959902793</v>
      </c>
      <c r="I267">
        <f t="shared" si="8"/>
        <v>2</v>
      </c>
    </row>
    <row r="268" spans="1:9" ht="48" x14ac:dyDescent="0.2">
      <c r="A268" t="s">
        <v>3546</v>
      </c>
      <c r="B268">
        <v>64375</v>
      </c>
      <c r="C268">
        <v>1592</v>
      </c>
      <c r="F268" s="4" t="s">
        <v>3547</v>
      </c>
      <c r="G268">
        <v>0.32347169873939019</v>
      </c>
      <c r="H268">
        <f t="shared" si="9"/>
        <v>0.32320777642770354</v>
      </c>
      <c r="I268">
        <f t="shared" si="8"/>
        <v>2</v>
      </c>
    </row>
    <row r="269" spans="1:9" ht="48" x14ac:dyDescent="0.2">
      <c r="A269" t="s">
        <v>3524</v>
      </c>
      <c r="B269">
        <v>64405</v>
      </c>
      <c r="C269">
        <v>1116</v>
      </c>
      <c r="F269" s="4" t="s">
        <v>3548</v>
      </c>
      <c r="G269">
        <v>0.32350231167006321</v>
      </c>
      <c r="H269">
        <f t="shared" si="9"/>
        <v>0.3244228432563791</v>
      </c>
      <c r="I269">
        <f t="shared" si="8"/>
        <v>2</v>
      </c>
    </row>
    <row r="270" spans="1:9" ht="48" x14ac:dyDescent="0.2">
      <c r="A270" t="s">
        <v>3549</v>
      </c>
      <c r="B270">
        <v>64406</v>
      </c>
      <c r="C270">
        <v>1319</v>
      </c>
      <c r="F270" s="4" t="s">
        <v>3550</v>
      </c>
      <c r="G270">
        <v>0.32361607073616744</v>
      </c>
      <c r="H270">
        <f t="shared" si="9"/>
        <v>0.32563791008505466</v>
      </c>
      <c r="I270">
        <f t="shared" si="8"/>
        <v>2</v>
      </c>
    </row>
    <row r="271" spans="1:9" ht="64" x14ac:dyDescent="0.2">
      <c r="A271" t="s">
        <v>3551</v>
      </c>
      <c r="B271">
        <v>64550</v>
      </c>
      <c r="C271">
        <v>1181</v>
      </c>
      <c r="F271" s="4" t="s">
        <v>3552</v>
      </c>
      <c r="G271">
        <v>0.32389652989663958</v>
      </c>
      <c r="H271">
        <f t="shared" si="9"/>
        <v>0.32685297691373028</v>
      </c>
      <c r="I271">
        <f t="shared" si="8"/>
        <v>2</v>
      </c>
    </row>
    <row r="272" spans="1:9" ht="64" x14ac:dyDescent="0.2">
      <c r="A272" t="s">
        <v>3553</v>
      </c>
      <c r="B272">
        <v>64662</v>
      </c>
      <c r="C272">
        <v>1594</v>
      </c>
      <c r="F272" s="4" t="s">
        <v>3554</v>
      </c>
      <c r="G272">
        <v>0.32392302897843028</v>
      </c>
      <c r="H272">
        <f t="shared" si="9"/>
        <v>0.32806804374240583</v>
      </c>
      <c r="I272">
        <f t="shared" si="8"/>
        <v>2</v>
      </c>
    </row>
    <row r="273" spans="1:9" ht="48" x14ac:dyDescent="0.2">
      <c r="A273" t="s">
        <v>3555</v>
      </c>
      <c r="B273">
        <v>65113</v>
      </c>
      <c r="C273">
        <v>1492</v>
      </c>
      <c r="F273" s="4" t="s">
        <v>3556</v>
      </c>
      <c r="G273">
        <v>0.32485166529424536</v>
      </c>
      <c r="H273">
        <f t="shared" si="9"/>
        <v>0.32928311057108139</v>
      </c>
      <c r="I273">
        <f t="shared" si="8"/>
        <v>2</v>
      </c>
    </row>
    <row r="274" spans="1:9" ht="48" x14ac:dyDescent="0.2">
      <c r="A274" t="s">
        <v>3557</v>
      </c>
      <c r="B274">
        <v>65192</v>
      </c>
      <c r="C274">
        <v>1124</v>
      </c>
      <c r="F274" s="4" t="s">
        <v>3551</v>
      </c>
      <c r="G274">
        <v>0.32490541870524797</v>
      </c>
      <c r="H274">
        <f t="shared" si="9"/>
        <v>0.33049817739975701</v>
      </c>
      <c r="I274">
        <f t="shared" si="8"/>
        <v>2</v>
      </c>
    </row>
    <row r="275" spans="1:9" ht="48" x14ac:dyDescent="0.2">
      <c r="A275" t="s">
        <v>3558</v>
      </c>
      <c r="B275">
        <v>65218</v>
      </c>
      <c r="C275">
        <v>1515</v>
      </c>
      <c r="F275" s="4" t="s">
        <v>3559</v>
      </c>
      <c r="G275">
        <v>0.32506111112614633</v>
      </c>
      <c r="H275">
        <f t="shared" si="9"/>
        <v>0.33171324422843257</v>
      </c>
      <c r="I275">
        <f t="shared" si="8"/>
        <v>2</v>
      </c>
    </row>
    <row r="276" spans="1:9" ht="48" x14ac:dyDescent="0.2">
      <c r="A276" t="s">
        <v>3483</v>
      </c>
      <c r="B276">
        <v>65470</v>
      </c>
      <c r="C276">
        <v>1242</v>
      </c>
      <c r="F276" s="4" t="s">
        <v>3560</v>
      </c>
      <c r="G276">
        <v>0.32535431777031937</v>
      </c>
      <c r="H276">
        <f t="shared" si="9"/>
        <v>0.33292831105710813</v>
      </c>
      <c r="I276">
        <f t="shared" si="8"/>
        <v>2</v>
      </c>
    </row>
    <row r="277" spans="1:9" ht="48" x14ac:dyDescent="0.2">
      <c r="A277" t="s">
        <v>3452</v>
      </c>
      <c r="B277">
        <v>65521</v>
      </c>
      <c r="C277">
        <v>1183</v>
      </c>
      <c r="F277" s="4" t="s">
        <v>3561</v>
      </c>
      <c r="G277">
        <v>0.32541857414820569</v>
      </c>
      <c r="H277">
        <f t="shared" si="9"/>
        <v>0.33414337788578374</v>
      </c>
      <c r="I277">
        <f t="shared" si="8"/>
        <v>2</v>
      </c>
    </row>
    <row r="278" spans="1:9" ht="48" x14ac:dyDescent="0.2">
      <c r="A278" t="s">
        <v>3562</v>
      </c>
      <c r="B278">
        <v>65550</v>
      </c>
      <c r="C278">
        <v>1379</v>
      </c>
      <c r="F278" s="4" t="s">
        <v>3563</v>
      </c>
      <c r="G278">
        <v>0.32639640959183125</v>
      </c>
      <c r="H278">
        <f t="shared" si="9"/>
        <v>0.3353584447144593</v>
      </c>
      <c r="I278">
        <f t="shared" si="8"/>
        <v>2</v>
      </c>
    </row>
    <row r="279" spans="1:9" ht="64" x14ac:dyDescent="0.2">
      <c r="A279" t="s">
        <v>3564</v>
      </c>
      <c r="B279">
        <v>65781</v>
      </c>
      <c r="C279">
        <v>1454</v>
      </c>
      <c r="F279" s="4" t="s">
        <v>3565</v>
      </c>
      <c r="G279">
        <v>0.32653377692139007</v>
      </c>
      <c r="H279">
        <f t="shared" si="9"/>
        <v>0.33657351154313486</v>
      </c>
      <c r="I279">
        <f t="shared" si="8"/>
        <v>2</v>
      </c>
    </row>
    <row r="280" spans="1:9" ht="48" x14ac:dyDescent="0.2">
      <c r="A280" t="s">
        <v>3566</v>
      </c>
      <c r="B280">
        <v>65927</v>
      </c>
      <c r="C280">
        <v>1319</v>
      </c>
      <c r="F280" s="4" t="s">
        <v>3567</v>
      </c>
      <c r="G280">
        <v>0.32703935046131022</v>
      </c>
      <c r="H280">
        <f t="shared" si="9"/>
        <v>0.33778857837181048</v>
      </c>
      <c r="I280">
        <f t="shared" si="8"/>
        <v>2</v>
      </c>
    </row>
    <row r="281" spans="1:9" ht="48" x14ac:dyDescent="0.2">
      <c r="A281" t="s">
        <v>3568</v>
      </c>
      <c r="B281">
        <v>65967</v>
      </c>
      <c r="C281">
        <v>1534</v>
      </c>
      <c r="F281" s="4" t="s">
        <v>3569</v>
      </c>
      <c r="G281">
        <v>0.32732138612768419</v>
      </c>
      <c r="H281">
        <f t="shared" si="9"/>
        <v>0.33900364520048604</v>
      </c>
      <c r="I281">
        <f t="shared" si="8"/>
        <v>2</v>
      </c>
    </row>
    <row r="282" spans="1:9" ht="64" x14ac:dyDescent="0.2">
      <c r="A282" t="s">
        <v>3570</v>
      </c>
      <c r="B282">
        <v>66250</v>
      </c>
      <c r="C282">
        <v>2096</v>
      </c>
      <c r="F282" s="4" t="s">
        <v>3571</v>
      </c>
      <c r="G282">
        <v>0.32752840464388355</v>
      </c>
      <c r="H282">
        <f t="shared" si="9"/>
        <v>0.3402187120291616</v>
      </c>
      <c r="I282">
        <f t="shared" si="8"/>
        <v>2</v>
      </c>
    </row>
    <row r="283" spans="1:9" ht="48" x14ac:dyDescent="0.2">
      <c r="A283" t="s">
        <v>3119</v>
      </c>
      <c r="B283">
        <v>66331</v>
      </c>
      <c r="C283">
        <v>1014</v>
      </c>
      <c r="F283" s="4" t="s">
        <v>3572</v>
      </c>
      <c r="G283">
        <v>0.32756337006174308</v>
      </c>
      <c r="H283">
        <f t="shared" si="9"/>
        <v>0.34143377885783716</v>
      </c>
      <c r="I283">
        <f t="shared" si="8"/>
        <v>2</v>
      </c>
    </row>
    <row r="284" spans="1:9" ht="48" x14ac:dyDescent="0.2">
      <c r="A284" t="s">
        <v>3573</v>
      </c>
      <c r="B284">
        <v>66615</v>
      </c>
      <c r="C284">
        <v>1302</v>
      </c>
      <c r="F284" s="4" t="s">
        <v>3574</v>
      </c>
      <c r="G284">
        <v>0.32767361616536322</v>
      </c>
      <c r="H284">
        <f t="shared" si="9"/>
        <v>0.34264884568651277</v>
      </c>
      <c r="I284">
        <f t="shared" si="8"/>
        <v>2</v>
      </c>
    </row>
    <row r="285" spans="1:9" ht="64" x14ac:dyDescent="0.2">
      <c r="A285" t="s">
        <v>3575</v>
      </c>
      <c r="B285">
        <v>66964</v>
      </c>
      <c r="C285">
        <v>1172</v>
      </c>
      <c r="F285" s="4" t="s">
        <v>3576</v>
      </c>
      <c r="G285">
        <v>0.32787331116383334</v>
      </c>
      <c r="H285">
        <f t="shared" si="9"/>
        <v>0.34386391251518833</v>
      </c>
      <c r="I285">
        <f t="shared" si="8"/>
        <v>2</v>
      </c>
    </row>
    <row r="286" spans="1:9" ht="48" x14ac:dyDescent="0.2">
      <c r="A286" t="s">
        <v>3545</v>
      </c>
      <c r="B286">
        <v>66989</v>
      </c>
      <c r="C286">
        <v>1190</v>
      </c>
      <c r="F286" s="4" t="s">
        <v>3577</v>
      </c>
      <c r="G286">
        <v>0.32841203440672728</v>
      </c>
      <c r="H286">
        <f t="shared" si="9"/>
        <v>0.34507897934386389</v>
      </c>
      <c r="I286">
        <f t="shared" si="8"/>
        <v>2</v>
      </c>
    </row>
    <row r="287" spans="1:9" ht="48" x14ac:dyDescent="0.2">
      <c r="A287" t="s">
        <v>3578</v>
      </c>
      <c r="B287">
        <v>67097</v>
      </c>
      <c r="C287">
        <v>1754</v>
      </c>
      <c r="F287" s="4" t="s">
        <v>3579</v>
      </c>
      <c r="G287">
        <v>0.32853248960314985</v>
      </c>
      <c r="H287">
        <f t="shared" si="9"/>
        <v>0.3462940461725395</v>
      </c>
      <c r="I287">
        <f t="shared" si="8"/>
        <v>2</v>
      </c>
    </row>
    <row r="288" spans="1:9" ht="48" x14ac:dyDescent="0.2">
      <c r="A288" t="s">
        <v>3366</v>
      </c>
      <c r="B288">
        <v>67108</v>
      </c>
      <c r="C288">
        <v>1133</v>
      </c>
      <c r="F288" s="4" t="s">
        <v>3512</v>
      </c>
      <c r="G288">
        <v>0.328988793126679</v>
      </c>
      <c r="H288">
        <f t="shared" si="9"/>
        <v>0.34750911300121506</v>
      </c>
      <c r="I288">
        <f t="shared" si="8"/>
        <v>2</v>
      </c>
    </row>
    <row r="289" spans="1:9" ht="48" x14ac:dyDescent="0.2">
      <c r="A289" t="s">
        <v>3580</v>
      </c>
      <c r="B289">
        <v>67262</v>
      </c>
      <c r="C289">
        <v>1245</v>
      </c>
      <c r="F289" s="4" t="s">
        <v>3581</v>
      </c>
      <c r="G289">
        <v>0.32910215055424441</v>
      </c>
      <c r="H289">
        <f t="shared" si="9"/>
        <v>0.34872417982989062</v>
      </c>
      <c r="I289">
        <f t="shared" si="8"/>
        <v>2</v>
      </c>
    </row>
    <row r="290" spans="1:9" ht="48" x14ac:dyDescent="0.2">
      <c r="A290" t="s">
        <v>3582</v>
      </c>
      <c r="B290">
        <v>67314</v>
      </c>
      <c r="C290">
        <v>1320</v>
      </c>
      <c r="F290" s="4" t="s">
        <v>3583</v>
      </c>
      <c r="G290">
        <v>0.32913288482730452</v>
      </c>
      <c r="H290">
        <f t="shared" si="9"/>
        <v>0.34993924665856624</v>
      </c>
      <c r="I290">
        <f t="shared" si="8"/>
        <v>2</v>
      </c>
    </row>
    <row r="291" spans="1:9" ht="48" x14ac:dyDescent="0.2">
      <c r="A291" t="s">
        <v>3584</v>
      </c>
      <c r="B291">
        <v>67917</v>
      </c>
      <c r="C291">
        <v>1487</v>
      </c>
      <c r="F291" s="4" t="s">
        <v>3585</v>
      </c>
      <c r="G291">
        <v>0.32951175313930453</v>
      </c>
      <c r="H291">
        <f t="shared" si="9"/>
        <v>0.3511543134872418</v>
      </c>
      <c r="I291">
        <f t="shared" si="8"/>
        <v>2</v>
      </c>
    </row>
    <row r="292" spans="1:9" ht="64" x14ac:dyDescent="0.2">
      <c r="A292" t="s">
        <v>3586</v>
      </c>
      <c r="B292">
        <v>67917</v>
      </c>
      <c r="C292">
        <v>1286</v>
      </c>
      <c r="F292" s="4" t="s">
        <v>3587</v>
      </c>
      <c r="G292">
        <v>0.329702056226443</v>
      </c>
      <c r="H292">
        <f t="shared" si="9"/>
        <v>0.35236938031591736</v>
      </c>
      <c r="I292">
        <f t="shared" si="8"/>
        <v>2</v>
      </c>
    </row>
    <row r="293" spans="1:9" ht="48" x14ac:dyDescent="0.2">
      <c r="A293" t="s">
        <v>3588</v>
      </c>
      <c r="B293">
        <v>68087</v>
      </c>
      <c r="C293">
        <v>1536</v>
      </c>
      <c r="F293" s="4" t="s">
        <v>3589</v>
      </c>
      <c r="G293">
        <v>0.32974722257128369</v>
      </c>
      <c r="H293">
        <f t="shared" si="9"/>
        <v>0.35358444714459297</v>
      </c>
      <c r="I293">
        <f t="shared" si="8"/>
        <v>2</v>
      </c>
    </row>
    <row r="294" spans="1:9" ht="48" x14ac:dyDescent="0.2">
      <c r="A294" t="s">
        <v>3590</v>
      </c>
      <c r="B294">
        <v>68125</v>
      </c>
      <c r="C294">
        <v>1456</v>
      </c>
      <c r="F294" s="4" t="s">
        <v>3591</v>
      </c>
      <c r="G294">
        <v>0.32978705565679139</v>
      </c>
      <c r="H294">
        <f t="shared" si="9"/>
        <v>0.35479951397326853</v>
      </c>
      <c r="I294">
        <f t="shared" si="8"/>
        <v>2</v>
      </c>
    </row>
    <row r="295" spans="1:9" ht="48" x14ac:dyDescent="0.2">
      <c r="A295" t="s">
        <v>3592</v>
      </c>
      <c r="B295">
        <v>68125</v>
      </c>
      <c r="C295">
        <v>1408</v>
      </c>
      <c r="F295" s="4" t="s">
        <v>3593</v>
      </c>
      <c r="G295">
        <v>0.32985108479615793</v>
      </c>
      <c r="H295">
        <f t="shared" si="9"/>
        <v>0.35601458080194409</v>
      </c>
      <c r="I295">
        <f t="shared" si="8"/>
        <v>2</v>
      </c>
    </row>
    <row r="296" spans="1:9" ht="48" x14ac:dyDescent="0.2">
      <c r="A296" t="s">
        <v>3594</v>
      </c>
      <c r="B296">
        <v>68301</v>
      </c>
      <c r="C296">
        <v>1214</v>
      </c>
      <c r="F296" s="4" t="s">
        <v>3595</v>
      </c>
      <c r="G296">
        <v>0.32987876480979239</v>
      </c>
      <c r="H296">
        <f t="shared" si="9"/>
        <v>0.35722964763061971</v>
      </c>
      <c r="I296">
        <f t="shared" si="8"/>
        <v>2</v>
      </c>
    </row>
    <row r="297" spans="1:9" ht="48" x14ac:dyDescent="0.2">
      <c r="A297" t="s">
        <v>3596</v>
      </c>
      <c r="B297">
        <v>68322</v>
      </c>
      <c r="C297">
        <v>1254</v>
      </c>
      <c r="F297" s="4" t="s">
        <v>3470</v>
      </c>
      <c r="G297">
        <v>0.32994720492602903</v>
      </c>
      <c r="H297">
        <f t="shared" si="9"/>
        <v>0.35844471445929527</v>
      </c>
      <c r="I297">
        <f t="shared" si="8"/>
        <v>2</v>
      </c>
    </row>
    <row r="298" spans="1:9" ht="48" x14ac:dyDescent="0.2">
      <c r="A298" t="s">
        <v>3173</v>
      </c>
      <c r="B298">
        <v>68365</v>
      </c>
      <c r="C298">
        <v>1113</v>
      </c>
      <c r="F298" s="4" t="s">
        <v>3597</v>
      </c>
      <c r="G298">
        <v>0.3299846784383213</v>
      </c>
      <c r="H298">
        <f t="shared" si="9"/>
        <v>0.35965978128797083</v>
      </c>
      <c r="I298">
        <f t="shared" si="8"/>
        <v>2</v>
      </c>
    </row>
    <row r="299" spans="1:9" ht="48" x14ac:dyDescent="0.2">
      <c r="A299" t="s">
        <v>3509</v>
      </c>
      <c r="B299">
        <v>68482</v>
      </c>
      <c r="C299">
        <v>1120</v>
      </c>
      <c r="F299" s="4" t="s">
        <v>3598</v>
      </c>
      <c r="G299">
        <v>0.33005803624844487</v>
      </c>
      <c r="H299">
        <f t="shared" si="9"/>
        <v>0.36087484811664644</v>
      </c>
      <c r="I299">
        <f t="shared" si="8"/>
        <v>2</v>
      </c>
    </row>
    <row r="300" spans="1:9" ht="48" x14ac:dyDescent="0.2">
      <c r="A300" t="s">
        <v>3599</v>
      </c>
      <c r="B300">
        <v>68523</v>
      </c>
      <c r="C300">
        <v>1206</v>
      </c>
      <c r="F300" s="4" t="s">
        <v>3600</v>
      </c>
      <c r="G300">
        <v>0.33043237069195874</v>
      </c>
      <c r="H300">
        <f t="shared" si="9"/>
        <v>0.362089914945322</v>
      </c>
      <c r="I300">
        <f t="shared" si="8"/>
        <v>2</v>
      </c>
    </row>
    <row r="301" spans="1:9" ht="48" x14ac:dyDescent="0.2">
      <c r="A301" t="s">
        <v>3601</v>
      </c>
      <c r="B301">
        <v>68599</v>
      </c>
      <c r="C301">
        <v>1630</v>
      </c>
      <c r="F301" s="4" t="s">
        <v>3602</v>
      </c>
      <c r="G301">
        <v>0.33045480422243945</v>
      </c>
      <c r="H301">
        <f t="shared" si="9"/>
        <v>0.36330498177399756</v>
      </c>
      <c r="I301">
        <f t="shared" si="8"/>
        <v>2</v>
      </c>
    </row>
    <row r="302" spans="1:9" ht="64" x14ac:dyDescent="0.2">
      <c r="A302" t="s">
        <v>3603</v>
      </c>
      <c r="B302">
        <v>68832</v>
      </c>
      <c r="C302">
        <v>1506</v>
      </c>
      <c r="F302" s="4" t="s">
        <v>3604</v>
      </c>
      <c r="G302">
        <v>0.33053813752842892</v>
      </c>
      <c r="H302">
        <f t="shared" si="9"/>
        <v>0.36452004860267317</v>
      </c>
      <c r="I302">
        <f t="shared" si="8"/>
        <v>2</v>
      </c>
    </row>
    <row r="303" spans="1:9" ht="48" x14ac:dyDescent="0.2">
      <c r="A303" t="s">
        <v>3605</v>
      </c>
      <c r="B303">
        <v>69118</v>
      </c>
      <c r="C303">
        <v>1310</v>
      </c>
      <c r="F303" s="4" t="s">
        <v>3599</v>
      </c>
      <c r="G303">
        <v>0.33057897405635872</v>
      </c>
      <c r="H303">
        <f t="shared" si="9"/>
        <v>0.36573511543134873</v>
      </c>
      <c r="I303">
        <f t="shared" si="8"/>
        <v>2</v>
      </c>
    </row>
    <row r="304" spans="1:9" ht="48" x14ac:dyDescent="0.2">
      <c r="A304" t="s">
        <v>3606</v>
      </c>
      <c r="B304">
        <v>69135</v>
      </c>
      <c r="C304">
        <v>1450</v>
      </c>
      <c r="F304" s="4" t="s">
        <v>3499</v>
      </c>
      <c r="G304">
        <v>0.3306901271111134</v>
      </c>
      <c r="H304">
        <f t="shared" si="9"/>
        <v>0.36695018226002429</v>
      </c>
      <c r="I304">
        <f t="shared" si="8"/>
        <v>2</v>
      </c>
    </row>
    <row r="305" spans="1:9" ht="48" x14ac:dyDescent="0.2">
      <c r="A305" t="s">
        <v>3422</v>
      </c>
      <c r="B305">
        <v>69167</v>
      </c>
      <c r="C305">
        <v>1138</v>
      </c>
      <c r="F305" s="4" t="s">
        <v>3607</v>
      </c>
      <c r="G305">
        <v>0.33084031553232907</v>
      </c>
      <c r="H305">
        <f t="shared" si="9"/>
        <v>0.36816524908869985</v>
      </c>
      <c r="I305">
        <f t="shared" si="8"/>
        <v>2</v>
      </c>
    </row>
    <row r="306" spans="1:9" ht="48" x14ac:dyDescent="0.2">
      <c r="A306" t="s">
        <v>3608</v>
      </c>
      <c r="B306">
        <v>69390</v>
      </c>
      <c r="C306">
        <v>1430</v>
      </c>
      <c r="F306" s="4" t="s">
        <v>3609</v>
      </c>
      <c r="G306">
        <v>0.33116464300577503</v>
      </c>
      <c r="H306">
        <f t="shared" si="9"/>
        <v>0.36938031591737547</v>
      </c>
      <c r="I306">
        <f t="shared" si="8"/>
        <v>2</v>
      </c>
    </row>
    <row r="307" spans="1:9" ht="48" x14ac:dyDescent="0.2">
      <c r="A307" t="s">
        <v>3610</v>
      </c>
      <c r="B307">
        <v>69433</v>
      </c>
      <c r="C307">
        <v>1211</v>
      </c>
      <c r="F307" s="4" t="s">
        <v>3575</v>
      </c>
      <c r="G307">
        <v>0.33141117122404401</v>
      </c>
      <c r="H307">
        <f t="shared" si="9"/>
        <v>0.37059538274605103</v>
      </c>
      <c r="I307">
        <f t="shared" si="8"/>
        <v>2</v>
      </c>
    </row>
    <row r="308" spans="1:9" ht="64" x14ac:dyDescent="0.2">
      <c r="A308" t="s">
        <v>3611</v>
      </c>
      <c r="B308">
        <v>69837</v>
      </c>
      <c r="C308">
        <v>1843</v>
      </c>
      <c r="F308" s="4" t="s">
        <v>3431</v>
      </c>
      <c r="G308">
        <v>0.33145770632450772</v>
      </c>
      <c r="H308">
        <f t="shared" si="9"/>
        <v>0.37181044957472659</v>
      </c>
      <c r="I308">
        <f t="shared" si="8"/>
        <v>2</v>
      </c>
    </row>
    <row r="309" spans="1:9" ht="48" x14ac:dyDescent="0.2">
      <c r="A309" t="s">
        <v>3612</v>
      </c>
      <c r="B309">
        <v>70217</v>
      </c>
      <c r="C309">
        <v>1254</v>
      </c>
      <c r="F309" s="4" t="s">
        <v>3613</v>
      </c>
      <c r="G309">
        <v>0.3319371396884791</v>
      </c>
      <c r="H309">
        <f t="shared" si="9"/>
        <v>0.3730255164034022</v>
      </c>
      <c r="I309">
        <f t="shared" si="8"/>
        <v>2</v>
      </c>
    </row>
    <row r="310" spans="1:9" ht="48" x14ac:dyDescent="0.2">
      <c r="A310" t="s">
        <v>3585</v>
      </c>
      <c r="B310">
        <v>70341</v>
      </c>
      <c r="C310">
        <v>1234</v>
      </c>
      <c r="F310" s="4" t="s">
        <v>3614</v>
      </c>
      <c r="G310">
        <v>0.33211104634887723</v>
      </c>
      <c r="H310">
        <f t="shared" si="9"/>
        <v>0.37424058323207776</v>
      </c>
      <c r="I310">
        <f t="shared" si="8"/>
        <v>2</v>
      </c>
    </row>
    <row r="311" spans="1:9" ht="48" x14ac:dyDescent="0.2">
      <c r="A311" t="s">
        <v>3615</v>
      </c>
      <c r="B311">
        <v>70350</v>
      </c>
      <c r="C311">
        <v>1296</v>
      </c>
      <c r="F311" s="4" t="s">
        <v>3616</v>
      </c>
      <c r="G311">
        <v>0.33222731806042011</v>
      </c>
      <c r="H311">
        <f t="shared" si="9"/>
        <v>0.37545565006075332</v>
      </c>
      <c r="I311">
        <f t="shared" si="8"/>
        <v>2</v>
      </c>
    </row>
    <row r="312" spans="1:9" ht="64" x14ac:dyDescent="0.2">
      <c r="A312" t="s">
        <v>3530</v>
      </c>
      <c r="B312">
        <v>70396</v>
      </c>
      <c r="C312">
        <v>1233</v>
      </c>
      <c r="F312" s="4" t="s">
        <v>3527</v>
      </c>
      <c r="G312">
        <v>0.3322697522236584</v>
      </c>
      <c r="H312">
        <f t="shared" si="9"/>
        <v>0.37667071688942894</v>
      </c>
      <c r="I312">
        <f t="shared" si="8"/>
        <v>2</v>
      </c>
    </row>
    <row r="313" spans="1:9" ht="48" x14ac:dyDescent="0.2">
      <c r="A313" t="s">
        <v>3617</v>
      </c>
      <c r="B313">
        <v>70469</v>
      </c>
      <c r="C313">
        <v>1660</v>
      </c>
      <c r="F313" s="4" t="s">
        <v>3618</v>
      </c>
      <c r="G313">
        <v>0.33228888855501365</v>
      </c>
      <c r="H313">
        <f t="shared" si="9"/>
        <v>0.3778857837181045</v>
      </c>
      <c r="I313">
        <f t="shared" si="8"/>
        <v>2</v>
      </c>
    </row>
    <row r="314" spans="1:9" ht="48" x14ac:dyDescent="0.2">
      <c r="A314" t="s">
        <v>3619</v>
      </c>
      <c r="B314">
        <v>70500</v>
      </c>
      <c r="C314">
        <v>1272</v>
      </c>
      <c r="F314" s="4" t="s">
        <v>3620</v>
      </c>
      <c r="G314">
        <v>0.33229752159322223</v>
      </c>
      <c r="H314">
        <f t="shared" si="9"/>
        <v>0.37910085054678005</v>
      </c>
      <c r="I314">
        <f t="shared" si="8"/>
        <v>2</v>
      </c>
    </row>
    <row r="315" spans="1:9" ht="48" x14ac:dyDescent="0.2">
      <c r="A315" t="s">
        <v>3621</v>
      </c>
      <c r="B315">
        <v>70642</v>
      </c>
      <c r="C315">
        <v>1573</v>
      </c>
      <c r="F315" s="4" t="s">
        <v>3584</v>
      </c>
      <c r="G315">
        <v>0.33233318649554344</v>
      </c>
      <c r="H315">
        <f t="shared" si="9"/>
        <v>0.38031591737545567</v>
      </c>
      <c r="I315">
        <f t="shared" si="8"/>
        <v>2</v>
      </c>
    </row>
    <row r="316" spans="1:9" ht="48" x14ac:dyDescent="0.2">
      <c r="A316" t="s">
        <v>3622</v>
      </c>
      <c r="B316">
        <v>70689</v>
      </c>
      <c r="C316">
        <v>1333</v>
      </c>
      <c r="F316" s="4" t="s">
        <v>3623</v>
      </c>
      <c r="G316">
        <v>0.33262245693303</v>
      </c>
      <c r="H316">
        <f t="shared" si="9"/>
        <v>0.38153098420413123</v>
      </c>
      <c r="I316">
        <f t="shared" si="8"/>
        <v>2</v>
      </c>
    </row>
    <row r="317" spans="1:9" ht="48" x14ac:dyDescent="0.2">
      <c r="A317" t="s">
        <v>3624</v>
      </c>
      <c r="B317">
        <v>70787</v>
      </c>
      <c r="C317">
        <v>1616</v>
      </c>
      <c r="F317" s="4" t="s">
        <v>3625</v>
      </c>
      <c r="G317">
        <v>0.33307087180616191</v>
      </c>
      <c r="H317">
        <f t="shared" si="9"/>
        <v>0.38274605103280679</v>
      </c>
      <c r="I317">
        <f t="shared" si="8"/>
        <v>2</v>
      </c>
    </row>
    <row r="318" spans="1:9" ht="64" x14ac:dyDescent="0.2">
      <c r="A318" t="s">
        <v>3305</v>
      </c>
      <c r="B318">
        <v>70857</v>
      </c>
      <c r="C318">
        <v>1195</v>
      </c>
      <c r="F318" s="4" t="s">
        <v>3586</v>
      </c>
      <c r="G318">
        <v>0.33316774578416225</v>
      </c>
      <c r="H318">
        <f t="shared" si="9"/>
        <v>0.3839611178614824</v>
      </c>
      <c r="I318">
        <f t="shared" si="8"/>
        <v>2</v>
      </c>
    </row>
    <row r="319" spans="1:9" ht="48" x14ac:dyDescent="0.2">
      <c r="A319" t="s">
        <v>3626</v>
      </c>
      <c r="B319">
        <v>70875</v>
      </c>
      <c r="C319">
        <v>1332</v>
      </c>
      <c r="F319" s="4" t="s">
        <v>3449</v>
      </c>
      <c r="G319">
        <v>0.33322940894060787</v>
      </c>
      <c r="H319">
        <f t="shared" si="9"/>
        <v>0.38517618469015796</v>
      </c>
      <c r="I319">
        <f t="shared" si="8"/>
        <v>2</v>
      </c>
    </row>
    <row r="320" spans="1:9" ht="48" x14ac:dyDescent="0.2">
      <c r="A320" t="s">
        <v>3400</v>
      </c>
      <c r="B320">
        <v>70952</v>
      </c>
      <c r="C320">
        <v>1191</v>
      </c>
      <c r="F320" s="4" t="s">
        <v>3627</v>
      </c>
      <c r="G320">
        <v>0.33340692258921995</v>
      </c>
      <c r="H320">
        <f t="shared" si="9"/>
        <v>0.38639125151883352</v>
      </c>
      <c r="I320">
        <f t="shared" si="8"/>
        <v>2</v>
      </c>
    </row>
    <row r="321" spans="1:9" ht="64" x14ac:dyDescent="0.2">
      <c r="A321" t="s">
        <v>3227</v>
      </c>
      <c r="B321">
        <v>71159</v>
      </c>
      <c r="C321">
        <v>1151</v>
      </c>
      <c r="F321" s="4" t="s">
        <v>3628</v>
      </c>
      <c r="G321">
        <v>0.33358907177049085</v>
      </c>
      <c r="H321">
        <f t="shared" si="9"/>
        <v>0.38760631834750914</v>
      </c>
      <c r="I321">
        <f t="shared" si="8"/>
        <v>2</v>
      </c>
    </row>
    <row r="322" spans="1:9" ht="48" x14ac:dyDescent="0.2">
      <c r="A322" t="s">
        <v>3629</v>
      </c>
      <c r="B322">
        <v>71178</v>
      </c>
      <c r="C322">
        <v>1867</v>
      </c>
      <c r="F322" s="4" t="s">
        <v>3501</v>
      </c>
      <c r="G322">
        <v>0.33406137095839755</v>
      </c>
      <c r="H322">
        <f t="shared" si="9"/>
        <v>0.3888213851761847</v>
      </c>
      <c r="I322">
        <f t="shared" si="8"/>
        <v>2</v>
      </c>
    </row>
    <row r="323" spans="1:9" ht="48" x14ac:dyDescent="0.2">
      <c r="A323" t="s">
        <v>3630</v>
      </c>
      <c r="B323">
        <v>71225</v>
      </c>
      <c r="C323">
        <v>1380</v>
      </c>
      <c r="F323" s="4" t="s">
        <v>3631</v>
      </c>
      <c r="G323">
        <v>0.33421182360046348</v>
      </c>
      <c r="H323">
        <f t="shared" si="9"/>
        <v>0.39003645200486026</v>
      </c>
      <c r="I323">
        <f t="shared" ref="I323:I386" si="10">IF(H323&lt;0.2,1,IF(H323&lt;0.4,2,IF(H323&lt;0.6,3,IF(H323&lt;0.8,4,5))))</f>
        <v>2</v>
      </c>
    </row>
    <row r="324" spans="1:9" ht="64" x14ac:dyDescent="0.2">
      <c r="A324" t="s">
        <v>3632</v>
      </c>
      <c r="B324">
        <v>71295</v>
      </c>
      <c r="C324">
        <v>1571</v>
      </c>
      <c r="F324" s="4" t="s">
        <v>3633</v>
      </c>
      <c r="G324">
        <v>0.33424504230104168</v>
      </c>
      <c r="H324">
        <f t="shared" ref="H324:H387" si="11">_xlfn.RANK.EQ(G324,$G$3:$G$825,1)/COUNT($G$3:$G$825)</f>
        <v>0.39125151883353587</v>
      </c>
      <c r="I324">
        <f t="shared" si="10"/>
        <v>2</v>
      </c>
    </row>
    <row r="325" spans="1:9" ht="48" x14ac:dyDescent="0.2">
      <c r="A325" t="s">
        <v>3428</v>
      </c>
      <c r="B325">
        <v>71316</v>
      </c>
      <c r="C325">
        <v>1250</v>
      </c>
      <c r="F325" s="4" t="s">
        <v>3634</v>
      </c>
      <c r="G325">
        <v>0.33448885548125251</v>
      </c>
      <c r="H325">
        <f t="shared" si="11"/>
        <v>0.39246658566221143</v>
      </c>
      <c r="I325">
        <f t="shared" si="10"/>
        <v>2</v>
      </c>
    </row>
    <row r="326" spans="1:9" ht="64" x14ac:dyDescent="0.2">
      <c r="A326" t="s">
        <v>3275</v>
      </c>
      <c r="B326">
        <v>71399</v>
      </c>
      <c r="C326">
        <v>1212</v>
      </c>
      <c r="F326" s="4" t="s">
        <v>3610</v>
      </c>
      <c r="G326">
        <v>0.33487246698255874</v>
      </c>
      <c r="H326">
        <f t="shared" si="11"/>
        <v>0.39368165249088699</v>
      </c>
      <c r="I326">
        <f t="shared" si="10"/>
        <v>2</v>
      </c>
    </row>
    <row r="327" spans="1:9" ht="48" x14ac:dyDescent="0.2">
      <c r="A327" t="s">
        <v>3635</v>
      </c>
      <c r="B327">
        <v>71660</v>
      </c>
      <c r="C327">
        <v>1859</v>
      </c>
      <c r="F327" s="4" t="s">
        <v>3487</v>
      </c>
      <c r="G327">
        <v>0.3349472711741</v>
      </c>
      <c r="H327">
        <f t="shared" si="11"/>
        <v>0.39489671931956255</v>
      </c>
      <c r="I327">
        <f t="shared" si="10"/>
        <v>2</v>
      </c>
    </row>
    <row r="328" spans="1:9" ht="64" x14ac:dyDescent="0.2">
      <c r="A328" t="s">
        <v>3636</v>
      </c>
      <c r="B328">
        <v>71683</v>
      </c>
      <c r="C328">
        <v>1286</v>
      </c>
      <c r="F328" s="4" t="s">
        <v>3637</v>
      </c>
      <c r="G328">
        <v>0.33508682179278243</v>
      </c>
      <c r="H328">
        <f t="shared" si="11"/>
        <v>0.39611178614823817</v>
      </c>
      <c r="I328">
        <f t="shared" si="10"/>
        <v>2</v>
      </c>
    </row>
    <row r="329" spans="1:9" ht="48" x14ac:dyDescent="0.2">
      <c r="A329" t="s">
        <v>3638</v>
      </c>
      <c r="B329">
        <v>71734</v>
      </c>
      <c r="C329">
        <v>1409</v>
      </c>
      <c r="F329" s="4" t="s">
        <v>3517</v>
      </c>
      <c r="G329">
        <v>0.33518821208999999</v>
      </c>
      <c r="H329">
        <f t="shared" si="11"/>
        <v>0.39732685297691372</v>
      </c>
      <c r="I329">
        <f t="shared" si="10"/>
        <v>2</v>
      </c>
    </row>
    <row r="330" spans="1:9" ht="48" x14ac:dyDescent="0.2">
      <c r="A330" t="s">
        <v>3639</v>
      </c>
      <c r="B330">
        <v>71810</v>
      </c>
      <c r="C330">
        <v>1716</v>
      </c>
      <c r="F330" s="4" t="s">
        <v>3640</v>
      </c>
      <c r="G330">
        <v>0.33519298802183639</v>
      </c>
      <c r="H330">
        <f t="shared" si="11"/>
        <v>0.39854191980558928</v>
      </c>
      <c r="I330">
        <f t="shared" si="10"/>
        <v>2</v>
      </c>
    </row>
    <row r="331" spans="1:9" ht="48" x14ac:dyDescent="0.2">
      <c r="A331" t="s">
        <v>3536</v>
      </c>
      <c r="B331">
        <v>71825</v>
      </c>
      <c r="C331">
        <v>1273</v>
      </c>
      <c r="F331" s="4" t="s">
        <v>3641</v>
      </c>
      <c r="G331">
        <v>0.33530428225487913</v>
      </c>
      <c r="H331">
        <f t="shared" si="11"/>
        <v>0.3997569866342649</v>
      </c>
      <c r="I331">
        <f t="shared" si="10"/>
        <v>2</v>
      </c>
    </row>
    <row r="332" spans="1:9" ht="48" x14ac:dyDescent="0.2">
      <c r="A332" t="s">
        <v>3183</v>
      </c>
      <c r="B332">
        <v>72150</v>
      </c>
      <c r="C332">
        <v>1227</v>
      </c>
      <c r="F332" s="4" t="s">
        <v>3642</v>
      </c>
      <c r="G332">
        <v>0.33531358457420124</v>
      </c>
      <c r="H332">
        <f t="shared" si="11"/>
        <v>0.40097205346294046</v>
      </c>
      <c r="I332">
        <f t="shared" si="10"/>
        <v>3</v>
      </c>
    </row>
    <row r="333" spans="1:9" ht="64" x14ac:dyDescent="0.2">
      <c r="A333" t="s">
        <v>3643</v>
      </c>
      <c r="B333">
        <v>72188</v>
      </c>
      <c r="C333">
        <v>1715</v>
      </c>
      <c r="F333" s="4" t="s">
        <v>3644</v>
      </c>
      <c r="G333">
        <v>0.33535643686684247</v>
      </c>
      <c r="H333">
        <f t="shared" si="11"/>
        <v>0.40218712029161602</v>
      </c>
      <c r="I333">
        <f t="shared" si="10"/>
        <v>3</v>
      </c>
    </row>
    <row r="334" spans="1:9" ht="48" x14ac:dyDescent="0.2">
      <c r="A334" t="s">
        <v>3560</v>
      </c>
      <c r="B334">
        <v>72198</v>
      </c>
      <c r="C334">
        <v>1335</v>
      </c>
      <c r="F334" s="4" t="s">
        <v>3645</v>
      </c>
      <c r="G334">
        <v>0.33585179920489366</v>
      </c>
      <c r="H334">
        <f t="shared" si="11"/>
        <v>0.40340218712029163</v>
      </c>
      <c r="I334">
        <f t="shared" si="10"/>
        <v>3</v>
      </c>
    </row>
    <row r="335" spans="1:9" ht="48" x14ac:dyDescent="0.2">
      <c r="A335" t="s">
        <v>3646</v>
      </c>
      <c r="B335">
        <v>72219</v>
      </c>
      <c r="C335">
        <v>1542</v>
      </c>
      <c r="F335" s="4" t="s">
        <v>3647</v>
      </c>
      <c r="G335">
        <v>0.33650671734157106</v>
      </c>
      <c r="H335">
        <f t="shared" si="11"/>
        <v>0.40461725394896719</v>
      </c>
      <c r="I335">
        <f t="shared" si="10"/>
        <v>3</v>
      </c>
    </row>
    <row r="336" spans="1:9" ht="48" x14ac:dyDescent="0.2">
      <c r="A336" t="s">
        <v>3648</v>
      </c>
      <c r="B336">
        <v>72344</v>
      </c>
      <c r="C336">
        <v>1719</v>
      </c>
      <c r="F336" s="4" t="s">
        <v>3649</v>
      </c>
      <c r="G336">
        <v>0.33674714393794736</v>
      </c>
      <c r="H336">
        <f t="shared" si="11"/>
        <v>0.40583232077764275</v>
      </c>
      <c r="I336">
        <f t="shared" si="10"/>
        <v>3</v>
      </c>
    </row>
    <row r="337" spans="1:9" ht="48" x14ac:dyDescent="0.2">
      <c r="A337" t="s">
        <v>3650</v>
      </c>
      <c r="B337">
        <v>72455</v>
      </c>
      <c r="C337">
        <v>1365</v>
      </c>
      <c r="F337" s="4" t="s">
        <v>3651</v>
      </c>
      <c r="G337">
        <v>0.33693050851014422</v>
      </c>
      <c r="H337">
        <f t="shared" si="11"/>
        <v>0.40704738760631837</v>
      </c>
      <c r="I337">
        <f t="shared" si="10"/>
        <v>3</v>
      </c>
    </row>
    <row r="338" spans="1:9" ht="48" x14ac:dyDescent="0.2">
      <c r="A338" t="s">
        <v>3652</v>
      </c>
      <c r="B338">
        <v>72464</v>
      </c>
      <c r="C338">
        <v>1368</v>
      </c>
      <c r="F338" s="4" t="s">
        <v>3653</v>
      </c>
      <c r="G338">
        <v>0.33730675210457056</v>
      </c>
      <c r="H338">
        <f t="shared" si="11"/>
        <v>0.40826245443499393</v>
      </c>
      <c r="I338">
        <f t="shared" si="10"/>
        <v>3</v>
      </c>
    </row>
    <row r="339" spans="1:9" ht="64" x14ac:dyDescent="0.2">
      <c r="A339" t="s">
        <v>3654</v>
      </c>
      <c r="B339">
        <v>72606</v>
      </c>
      <c r="C339">
        <v>1283</v>
      </c>
      <c r="F339" s="4" t="s">
        <v>3439</v>
      </c>
      <c r="G339">
        <v>0.33758250874027002</v>
      </c>
      <c r="H339">
        <f t="shared" si="11"/>
        <v>0.40947752126366949</v>
      </c>
      <c r="I339">
        <f t="shared" si="10"/>
        <v>3</v>
      </c>
    </row>
    <row r="340" spans="1:9" ht="48" x14ac:dyDescent="0.2">
      <c r="A340" t="s">
        <v>3567</v>
      </c>
      <c r="B340">
        <v>72658</v>
      </c>
      <c r="C340">
        <v>1373</v>
      </c>
      <c r="F340" s="4" t="s">
        <v>3655</v>
      </c>
      <c r="G340">
        <v>0.3379871726610863</v>
      </c>
      <c r="H340">
        <f t="shared" si="11"/>
        <v>0.4106925880923451</v>
      </c>
      <c r="I340">
        <f t="shared" si="10"/>
        <v>3</v>
      </c>
    </row>
    <row r="341" spans="1:9" ht="48" x14ac:dyDescent="0.2">
      <c r="A341" t="s">
        <v>3656</v>
      </c>
      <c r="B341">
        <v>72667</v>
      </c>
      <c r="C341">
        <v>1446</v>
      </c>
      <c r="F341" s="4" t="s">
        <v>3657</v>
      </c>
      <c r="G341">
        <v>0.338050883743853</v>
      </c>
      <c r="H341">
        <f t="shared" si="11"/>
        <v>0.41190765492102066</v>
      </c>
      <c r="I341">
        <f t="shared" si="10"/>
        <v>3</v>
      </c>
    </row>
    <row r="342" spans="1:9" ht="48" x14ac:dyDescent="0.2">
      <c r="A342" t="s">
        <v>3658</v>
      </c>
      <c r="B342">
        <v>72674</v>
      </c>
      <c r="C342">
        <v>1335</v>
      </c>
      <c r="F342" s="4" t="s">
        <v>3659</v>
      </c>
      <c r="G342">
        <v>0.33817343347640627</v>
      </c>
      <c r="H342">
        <f t="shared" si="11"/>
        <v>0.41312272174969622</v>
      </c>
      <c r="I342">
        <f t="shared" si="10"/>
        <v>3</v>
      </c>
    </row>
    <row r="343" spans="1:9" ht="48" x14ac:dyDescent="0.2">
      <c r="A343" t="s">
        <v>3362</v>
      </c>
      <c r="B343">
        <v>72813</v>
      </c>
      <c r="C343">
        <v>1234</v>
      </c>
      <c r="F343" s="4" t="s">
        <v>3660</v>
      </c>
      <c r="G343">
        <v>0.33823451366817103</v>
      </c>
      <c r="H343">
        <f t="shared" si="11"/>
        <v>0.41433778857837184</v>
      </c>
      <c r="I343">
        <f t="shared" si="10"/>
        <v>3</v>
      </c>
    </row>
    <row r="344" spans="1:9" ht="48" x14ac:dyDescent="0.2">
      <c r="A344" t="s">
        <v>3661</v>
      </c>
      <c r="B344">
        <v>72900</v>
      </c>
      <c r="C344">
        <v>1414</v>
      </c>
      <c r="F344" s="4" t="s">
        <v>3662</v>
      </c>
      <c r="G344">
        <v>0.33899512831283168</v>
      </c>
      <c r="H344">
        <f t="shared" si="11"/>
        <v>0.41555285540704739</v>
      </c>
      <c r="I344">
        <f t="shared" si="10"/>
        <v>3</v>
      </c>
    </row>
    <row r="345" spans="1:9" ht="64" x14ac:dyDescent="0.2">
      <c r="A345" t="s">
        <v>3663</v>
      </c>
      <c r="B345">
        <v>73365</v>
      </c>
      <c r="C345">
        <v>1400</v>
      </c>
      <c r="F345" s="4" t="s">
        <v>3594</v>
      </c>
      <c r="G345">
        <v>0.33926036977717672</v>
      </c>
      <c r="H345">
        <f t="shared" si="11"/>
        <v>0.41676792223572295</v>
      </c>
      <c r="I345">
        <f t="shared" si="10"/>
        <v>3</v>
      </c>
    </row>
    <row r="346" spans="1:9" ht="48" x14ac:dyDescent="0.2">
      <c r="A346" t="s">
        <v>3664</v>
      </c>
      <c r="B346">
        <v>73411</v>
      </c>
      <c r="C346">
        <v>1442</v>
      </c>
      <c r="F346" s="4" t="s">
        <v>3665</v>
      </c>
      <c r="G346">
        <v>0.33963543855101525</v>
      </c>
      <c r="H346">
        <f t="shared" si="11"/>
        <v>0.41798298906439857</v>
      </c>
      <c r="I346">
        <f t="shared" si="10"/>
        <v>3</v>
      </c>
    </row>
    <row r="347" spans="1:9" ht="64" x14ac:dyDescent="0.2">
      <c r="A347" t="s">
        <v>3666</v>
      </c>
      <c r="B347">
        <v>73426</v>
      </c>
      <c r="C347">
        <v>1549</v>
      </c>
      <c r="F347" s="4" t="s">
        <v>3667</v>
      </c>
      <c r="G347">
        <v>0.34043253472690976</v>
      </c>
      <c r="H347">
        <f t="shared" si="11"/>
        <v>0.41919805589307413</v>
      </c>
      <c r="I347">
        <f t="shared" si="10"/>
        <v>3</v>
      </c>
    </row>
    <row r="348" spans="1:9" ht="48" x14ac:dyDescent="0.2">
      <c r="A348" t="s">
        <v>3249</v>
      </c>
      <c r="B348">
        <v>73594</v>
      </c>
      <c r="C348">
        <v>1118</v>
      </c>
      <c r="F348" s="4" t="s">
        <v>3668</v>
      </c>
      <c r="G348">
        <v>0.3406472976005524</v>
      </c>
      <c r="H348">
        <f t="shared" si="11"/>
        <v>0.42041312272174969</v>
      </c>
      <c r="I348">
        <f t="shared" si="10"/>
        <v>3</v>
      </c>
    </row>
    <row r="349" spans="1:9" ht="48" x14ac:dyDescent="0.2">
      <c r="A349" t="s">
        <v>3093</v>
      </c>
      <c r="B349">
        <v>73828</v>
      </c>
      <c r="C349">
        <v>1045</v>
      </c>
      <c r="F349" s="4" t="s">
        <v>3669</v>
      </c>
      <c r="G349">
        <v>0.3407478475129731</v>
      </c>
      <c r="H349">
        <f t="shared" si="11"/>
        <v>0.42162818955042525</v>
      </c>
      <c r="I349">
        <f t="shared" si="10"/>
        <v>3</v>
      </c>
    </row>
    <row r="350" spans="1:9" ht="64" x14ac:dyDescent="0.2">
      <c r="A350" t="s">
        <v>3583</v>
      </c>
      <c r="B350">
        <v>73903</v>
      </c>
      <c r="C350">
        <v>1303</v>
      </c>
      <c r="F350" s="4" t="s">
        <v>3658</v>
      </c>
      <c r="G350">
        <v>0.34078651214536104</v>
      </c>
      <c r="H350">
        <f t="shared" si="11"/>
        <v>0.42284325637910086</v>
      </c>
      <c r="I350">
        <f t="shared" si="10"/>
        <v>3</v>
      </c>
    </row>
    <row r="351" spans="1:9" ht="48" x14ac:dyDescent="0.2">
      <c r="A351" t="s">
        <v>3547</v>
      </c>
      <c r="B351">
        <v>74044</v>
      </c>
      <c r="C351">
        <v>1302</v>
      </c>
      <c r="F351" s="4" t="s">
        <v>3670</v>
      </c>
      <c r="G351">
        <v>0.34078961523166079</v>
      </c>
      <c r="H351">
        <f t="shared" si="11"/>
        <v>0.42405832320777642</v>
      </c>
      <c r="I351">
        <f t="shared" si="10"/>
        <v>3</v>
      </c>
    </row>
    <row r="352" spans="1:9" ht="48" x14ac:dyDescent="0.2">
      <c r="A352" t="s">
        <v>3079</v>
      </c>
      <c r="B352">
        <v>74132</v>
      </c>
      <c r="C352">
        <v>1102</v>
      </c>
      <c r="F352" s="4" t="s">
        <v>3671</v>
      </c>
      <c r="G352">
        <v>0.34113637602232322</v>
      </c>
      <c r="H352">
        <f t="shared" si="11"/>
        <v>0.42527339003645198</v>
      </c>
      <c r="I352">
        <f t="shared" si="10"/>
        <v>3</v>
      </c>
    </row>
    <row r="353" spans="1:9" ht="64" x14ac:dyDescent="0.2">
      <c r="A353" t="s">
        <v>3135</v>
      </c>
      <c r="B353">
        <v>74157</v>
      </c>
      <c r="C353">
        <v>1177</v>
      </c>
      <c r="F353" s="4" t="s">
        <v>3672</v>
      </c>
      <c r="G353">
        <v>0.34115826328575655</v>
      </c>
      <c r="H353">
        <f t="shared" si="11"/>
        <v>0.4264884568651276</v>
      </c>
      <c r="I353">
        <f t="shared" si="10"/>
        <v>3</v>
      </c>
    </row>
    <row r="354" spans="1:9" ht="64" x14ac:dyDescent="0.2">
      <c r="A354" t="s">
        <v>3673</v>
      </c>
      <c r="B354">
        <v>74202</v>
      </c>
      <c r="C354">
        <v>1498</v>
      </c>
      <c r="F354" s="4" t="s">
        <v>3674</v>
      </c>
      <c r="G354">
        <v>0.34130666562491857</v>
      </c>
      <c r="H354">
        <f t="shared" si="11"/>
        <v>0.42770352369380316</v>
      </c>
      <c r="I354">
        <f t="shared" si="10"/>
        <v>3</v>
      </c>
    </row>
    <row r="355" spans="1:9" ht="64" x14ac:dyDescent="0.2">
      <c r="A355" t="s">
        <v>3675</v>
      </c>
      <c r="B355">
        <v>74397</v>
      </c>
      <c r="C355">
        <v>1726</v>
      </c>
      <c r="F355" s="4" t="s">
        <v>3676</v>
      </c>
      <c r="G355">
        <v>0.34148585227171868</v>
      </c>
      <c r="H355">
        <f t="shared" si="11"/>
        <v>0.42891859052247872</v>
      </c>
      <c r="I355">
        <f t="shared" si="10"/>
        <v>3</v>
      </c>
    </row>
    <row r="356" spans="1:9" ht="48" x14ac:dyDescent="0.2">
      <c r="A356" t="s">
        <v>3677</v>
      </c>
      <c r="B356">
        <v>74444</v>
      </c>
      <c r="C356">
        <v>1626</v>
      </c>
      <c r="F356" s="4" t="s">
        <v>3678</v>
      </c>
      <c r="G356">
        <v>0.34177387040400581</v>
      </c>
      <c r="H356">
        <f t="shared" si="11"/>
        <v>0.43013365735115433</v>
      </c>
      <c r="I356">
        <f t="shared" si="10"/>
        <v>3</v>
      </c>
    </row>
    <row r="357" spans="1:9" ht="64" x14ac:dyDescent="0.2">
      <c r="A357" t="s">
        <v>3679</v>
      </c>
      <c r="B357">
        <v>74519</v>
      </c>
      <c r="C357">
        <v>1553</v>
      </c>
      <c r="F357" s="4" t="s">
        <v>3680</v>
      </c>
      <c r="G357">
        <v>0.3418006369285656</v>
      </c>
      <c r="H357">
        <f t="shared" si="11"/>
        <v>0.43134872417982989</v>
      </c>
      <c r="I357">
        <f t="shared" si="10"/>
        <v>3</v>
      </c>
    </row>
    <row r="358" spans="1:9" ht="48" x14ac:dyDescent="0.2">
      <c r="A358" t="s">
        <v>3502</v>
      </c>
      <c r="B358">
        <v>74602</v>
      </c>
      <c r="C358">
        <v>1325</v>
      </c>
      <c r="F358" s="4" t="s">
        <v>3681</v>
      </c>
      <c r="G358">
        <v>0.34198431932069651</v>
      </c>
      <c r="H358">
        <f t="shared" si="11"/>
        <v>0.43256379100850545</v>
      </c>
      <c r="I358">
        <f t="shared" si="10"/>
        <v>3</v>
      </c>
    </row>
    <row r="359" spans="1:9" ht="48" x14ac:dyDescent="0.2">
      <c r="A359" t="s">
        <v>3271</v>
      </c>
      <c r="B359">
        <v>74634</v>
      </c>
      <c r="C359">
        <v>1184</v>
      </c>
      <c r="F359" s="4" t="s">
        <v>3682</v>
      </c>
      <c r="G359">
        <v>0.34202795905388872</v>
      </c>
      <c r="H359">
        <f t="shared" si="11"/>
        <v>0.43377885783718106</v>
      </c>
      <c r="I359">
        <f t="shared" si="10"/>
        <v>3</v>
      </c>
    </row>
    <row r="360" spans="1:9" ht="64" x14ac:dyDescent="0.2">
      <c r="A360" t="s">
        <v>3390</v>
      </c>
      <c r="B360">
        <v>74659</v>
      </c>
      <c r="C360">
        <v>1268</v>
      </c>
      <c r="F360" s="4" t="s">
        <v>3447</v>
      </c>
      <c r="G360">
        <v>0.34211716767097744</v>
      </c>
      <c r="H360">
        <f t="shared" si="11"/>
        <v>0.43499392466585662</v>
      </c>
      <c r="I360">
        <f t="shared" si="10"/>
        <v>3</v>
      </c>
    </row>
    <row r="361" spans="1:9" ht="48" x14ac:dyDescent="0.2">
      <c r="A361" t="s">
        <v>3554</v>
      </c>
      <c r="B361">
        <v>74675</v>
      </c>
      <c r="C361">
        <v>1280</v>
      </c>
      <c r="F361" s="4" t="s">
        <v>3683</v>
      </c>
      <c r="G361">
        <v>0.34247090451925549</v>
      </c>
      <c r="H361">
        <f t="shared" si="11"/>
        <v>0.43620899149453218</v>
      </c>
      <c r="I361">
        <f t="shared" si="10"/>
        <v>3</v>
      </c>
    </row>
    <row r="362" spans="1:9" ht="64" x14ac:dyDescent="0.2">
      <c r="A362" t="s">
        <v>3684</v>
      </c>
      <c r="B362">
        <v>74722</v>
      </c>
      <c r="C362">
        <v>1691</v>
      </c>
      <c r="F362" s="4" t="s">
        <v>3399</v>
      </c>
      <c r="G362">
        <v>0.34319165662908302</v>
      </c>
      <c r="H362">
        <f t="shared" si="11"/>
        <v>0.4374240583232078</v>
      </c>
      <c r="I362">
        <f t="shared" si="10"/>
        <v>3</v>
      </c>
    </row>
    <row r="363" spans="1:9" ht="64" x14ac:dyDescent="0.2">
      <c r="A363" t="s">
        <v>3398</v>
      </c>
      <c r="B363">
        <v>74732</v>
      </c>
      <c r="C363">
        <v>1254</v>
      </c>
      <c r="F363" s="4" t="s">
        <v>3685</v>
      </c>
      <c r="G363">
        <v>0.34321748377342332</v>
      </c>
      <c r="H363">
        <f t="shared" si="11"/>
        <v>0.43863912515188336</v>
      </c>
      <c r="I363">
        <f t="shared" si="10"/>
        <v>3</v>
      </c>
    </row>
    <row r="364" spans="1:9" ht="48" x14ac:dyDescent="0.2">
      <c r="A364" t="s">
        <v>3380</v>
      </c>
      <c r="B364">
        <v>74735</v>
      </c>
      <c r="C364">
        <v>1228</v>
      </c>
      <c r="F364" s="4" t="s">
        <v>3686</v>
      </c>
      <c r="G364">
        <v>0.34346004134396774</v>
      </c>
      <c r="H364">
        <f t="shared" si="11"/>
        <v>0.43985419198055892</v>
      </c>
      <c r="I364">
        <f t="shared" si="10"/>
        <v>3</v>
      </c>
    </row>
    <row r="365" spans="1:9" ht="64" x14ac:dyDescent="0.2">
      <c r="A365" t="s">
        <v>3687</v>
      </c>
      <c r="B365">
        <v>75074</v>
      </c>
      <c r="C365">
        <v>1495</v>
      </c>
      <c r="F365" s="4" t="s">
        <v>3688</v>
      </c>
      <c r="G365">
        <v>0.34352707751689243</v>
      </c>
      <c r="H365">
        <f t="shared" si="11"/>
        <v>0.44106925880923453</v>
      </c>
      <c r="I365">
        <f t="shared" si="10"/>
        <v>3</v>
      </c>
    </row>
    <row r="366" spans="1:9" ht="48" x14ac:dyDescent="0.2">
      <c r="A366" t="s">
        <v>3689</v>
      </c>
      <c r="B366">
        <v>75110</v>
      </c>
      <c r="C366">
        <v>1319</v>
      </c>
      <c r="F366" s="4" t="s">
        <v>3619</v>
      </c>
      <c r="G366">
        <v>0.34369998308161626</v>
      </c>
      <c r="H366">
        <f t="shared" si="11"/>
        <v>0.44228432563791009</v>
      </c>
      <c r="I366">
        <f t="shared" si="10"/>
        <v>3</v>
      </c>
    </row>
    <row r="367" spans="1:9" ht="48" x14ac:dyDescent="0.2">
      <c r="A367" t="s">
        <v>3113</v>
      </c>
      <c r="B367">
        <v>75114</v>
      </c>
      <c r="C367">
        <v>1054</v>
      </c>
      <c r="F367" s="4" t="s">
        <v>3690</v>
      </c>
      <c r="G367">
        <v>0.34393260354297606</v>
      </c>
      <c r="H367">
        <f t="shared" si="11"/>
        <v>0.44349939246658565</v>
      </c>
      <c r="I367">
        <f t="shared" si="10"/>
        <v>3</v>
      </c>
    </row>
    <row r="368" spans="1:9" ht="48" x14ac:dyDescent="0.2">
      <c r="A368" t="s">
        <v>3589</v>
      </c>
      <c r="B368">
        <v>75135</v>
      </c>
      <c r="C368">
        <v>1442</v>
      </c>
      <c r="F368" s="4" t="s">
        <v>3691</v>
      </c>
      <c r="G368">
        <v>0.34402003762792105</v>
      </c>
      <c r="H368">
        <f t="shared" si="11"/>
        <v>0.44471445929526127</v>
      </c>
      <c r="I368">
        <f t="shared" si="10"/>
        <v>3</v>
      </c>
    </row>
    <row r="369" spans="1:9" ht="48" x14ac:dyDescent="0.2">
      <c r="A369" t="s">
        <v>3692</v>
      </c>
      <c r="B369">
        <v>75293</v>
      </c>
      <c r="C369">
        <v>1323</v>
      </c>
      <c r="F369" s="4" t="s">
        <v>3557</v>
      </c>
      <c r="G369">
        <v>0.34434448918123944</v>
      </c>
      <c r="H369">
        <f t="shared" si="11"/>
        <v>0.44592952612393683</v>
      </c>
      <c r="I369">
        <f t="shared" si="10"/>
        <v>3</v>
      </c>
    </row>
    <row r="370" spans="1:9" ht="64" x14ac:dyDescent="0.2">
      <c r="A370" t="s">
        <v>3693</v>
      </c>
      <c r="B370">
        <v>75417</v>
      </c>
      <c r="C370">
        <v>1640</v>
      </c>
      <c r="F370" s="4" t="s">
        <v>3694</v>
      </c>
      <c r="G370">
        <v>0.34434963135073376</v>
      </c>
      <c r="H370">
        <f t="shared" si="11"/>
        <v>0.44714459295261239</v>
      </c>
      <c r="I370">
        <f t="shared" si="10"/>
        <v>3</v>
      </c>
    </row>
    <row r="371" spans="1:9" ht="48" x14ac:dyDescent="0.2">
      <c r="A371" t="s">
        <v>3416</v>
      </c>
      <c r="B371">
        <v>75536</v>
      </c>
      <c r="C371">
        <v>1230</v>
      </c>
      <c r="F371" s="4" t="s">
        <v>3695</v>
      </c>
      <c r="G371">
        <v>0.34445241174257452</v>
      </c>
      <c r="H371">
        <f t="shared" si="11"/>
        <v>0.44835965978128794</v>
      </c>
      <c r="I371">
        <f t="shared" si="10"/>
        <v>3</v>
      </c>
    </row>
    <row r="372" spans="1:9" ht="48" x14ac:dyDescent="0.2">
      <c r="A372" t="s">
        <v>3420</v>
      </c>
      <c r="B372">
        <v>75673</v>
      </c>
      <c r="C372">
        <v>1305</v>
      </c>
      <c r="F372" s="4" t="s">
        <v>3696</v>
      </c>
      <c r="G372">
        <v>0.34452406692965948</v>
      </c>
      <c r="H372">
        <f t="shared" si="11"/>
        <v>0.44957472660996356</v>
      </c>
      <c r="I372">
        <f t="shared" si="10"/>
        <v>3</v>
      </c>
    </row>
    <row r="373" spans="1:9" ht="64" x14ac:dyDescent="0.2">
      <c r="A373" t="s">
        <v>3569</v>
      </c>
      <c r="B373">
        <v>75685</v>
      </c>
      <c r="C373">
        <v>1341</v>
      </c>
      <c r="F373" s="4" t="s">
        <v>3697</v>
      </c>
      <c r="G373">
        <v>0.34458625700618395</v>
      </c>
      <c r="H373">
        <f t="shared" si="11"/>
        <v>0.45078979343863912</v>
      </c>
      <c r="I373">
        <f t="shared" si="10"/>
        <v>3</v>
      </c>
    </row>
    <row r="374" spans="1:9" ht="48" x14ac:dyDescent="0.2">
      <c r="A374" t="s">
        <v>3698</v>
      </c>
      <c r="B374">
        <v>75799</v>
      </c>
      <c r="C374">
        <v>1914</v>
      </c>
      <c r="F374" s="4" t="s">
        <v>3699</v>
      </c>
      <c r="G374">
        <v>0.34478782379707673</v>
      </c>
      <c r="H374">
        <f t="shared" si="11"/>
        <v>0.45200486026731468</v>
      </c>
      <c r="I374">
        <f t="shared" si="10"/>
        <v>3</v>
      </c>
    </row>
    <row r="375" spans="1:9" ht="64" x14ac:dyDescent="0.2">
      <c r="A375" t="s">
        <v>3700</v>
      </c>
      <c r="B375">
        <v>75833</v>
      </c>
      <c r="C375">
        <v>1401</v>
      </c>
      <c r="F375" s="4" t="s">
        <v>3701</v>
      </c>
      <c r="G375">
        <v>0.34497984739710569</v>
      </c>
      <c r="H375">
        <f t="shared" si="11"/>
        <v>0.45321992709599029</v>
      </c>
      <c r="I375">
        <f t="shared" si="10"/>
        <v>3</v>
      </c>
    </row>
    <row r="376" spans="1:9" ht="48" x14ac:dyDescent="0.2">
      <c r="A376" t="s">
        <v>3511</v>
      </c>
      <c r="B376">
        <v>75881</v>
      </c>
      <c r="C376">
        <v>1690</v>
      </c>
      <c r="F376" s="4" t="s">
        <v>3702</v>
      </c>
      <c r="G376">
        <v>0.34502795917347323</v>
      </c>
      <c r="H376">
        <f t="shared" si="11"/>
        <v>0.45443499392466585</v>
      </c>
      <c r="I376">
        <f t="shared" si="10"/>
        <v>3</v>
      </c>
    </row>
    <row r="377" spans="1:9" ht="48" x14ac:dyDescent="0.2">
      <c r="A377" t="s">
        <v>3513</v>
      </c>
      <c r="B377">
        <v>75938</v>
      </c>
      <c r="C377">
        <v>1408</v>
      </c>
      <c r="F377" s="4" t="s">
        <v>3650</v>
      </c>
      <c r="G377">
        <v>0.34508294612948726</v>
      </c>
      <c r="H377">
        <f t="shared" si="11"/>
        <v>0.45565006075334141</v>
      </c>
      <c r="I377">
        <f t="shared" si="10"/>
        <v>3</v>
      </c>
    </row>
    <row r="378" spans="1:9" ht="48" x14ac:dyDescent="0.2">
      <c r="A378" t="s">
        <v>3660</v>
      </c>
      <c r="B378">
        <v>75980</v>
      </c>
      <c r="C378">
        <v>1400</v>
      </c>
      <c r="F378" s="4" t="s">
        <v>3703</v>
      </c>
      <c r="G378">
        <v>0.34515781148896396</v>
      </c>
      <c r="H378">
        <f t="shared" si="11"/>
        <v>0.45686512758201703</v>
      </c>
      <c r="I378">
        <f t="shared" si="10"/>
        <v>3</v>
      </c>
    </row>
    <row r="379" spans="1:9" ht="48" x14ac:dyDescent="0.2">
      <c r="A379" t="s">
        <v>3704</v>
      </c>
      <c r="B379">
        <v>75991</v>
      </c>
      <c r="C379">
        <v>1458</v>
      </c>
      <c r="F379" s="4" t="s">
        <v>3705</v>
      </c>
      <c r="G379">
        <v>0.34560805912736703</v>
      </c>
      <c r="H379">
        <f t="shared" si="11"/>
        <v>0.45808019441069259</v>
      </c>
      <c r="I379">
        <f t="shared" si="10"/>
        <v>3</v>
      </c>
    </row>
    <row r="380" spans="1:9" ht="48" x14ac:dyDescent="0.2">
      <c r="A380" t="s">
        <v>3620</v>
      </c>
      <c r="B380">
        <v>76047</v>
      </c>
      <c r="C380">
        <v>1301</v>
      </c>
      <c r="F380" s="4" t="s">
        <v>3706</v>
      </c>
      <c r="G380">
        <v>0.34613185538262858</v>
      </c>
      <c r="H380">
        <f t="shared" si="11"/>
        <v>0.45929526123936815</v>
      </c>
      <c r="I380">
        <f t="shared" si="10"/>
        <v>3</v>
      </c>
    </row>
    <row r="381" spans="1:9" ht="48" x14ac:dyDescent="0.2">
      <c r="A381" t="s">
        <v>3430</v>
      </c>
      <c r="B381">
        <v>76318</v>
      </c>
      <c r="C381">
        <v>1269</v>
      </c>
      <c r="F381" s="4" t="s">
        <v>3707</v>
      </c>
      <c r="G381">
        <v>0.3463857385284822</v>
      </c>
      <c r="H381">
        <f t="shared" si="11"/>
        <v>0.46051032806804376</v>
      </c>
      <c r="I381">
        <f t="shared" si="10"/>
        <v>3</v>
      </c>
    </row>
    <row r="382" spans="1:9" ht="48" x14ac:dyDescent="0.2">
      <c r="A382" t="s">
        <v>3133</v>
      </c>
      <c r="B382">
        <v>76602</v>
      </c>
      <c r="C382">
        <v>1149</v>
      </c>
      <c r="F382" s="4" t="s">
        <v>3605</v>
      </c>
      <c r="G382">
        <v>0.34642192547290324</v>
      </c>
      <c r="H382">
        <f t="shared" si="11"/>
        <v>0.46172539489671932</v>
      </c>
      <c r="I382">
        <f t="shared" si="10"/>
        <v>3</v>
      </c>
    </row>
    <row r="383" spans="1:9" ht="48" x14ac:dyDescent="0.2">
      <c r="A383" t="s">
        <v>3235</v>
      </c>
      <c r="B383">
        <v>76724</v>
      </c>
      <c r="C383">
        <v>1313</v>
      </c>
      <c r="F383" s="4" t="s">
        <v>3708</v>
      </c>
      <c r="G383">
        <v>0.34680745333781993</v>
      </c>
      <c r="H383">
        <f t="shared" si="11"/>
        <v>0.46294046172539488</v>
      </c>
      <c r="I383">
        <f t="shared" si="10"/>
        <v>3</v>
      </c>
    </row>
    <row r="384" spans="1:9" ht="48" x14ac:dyDescent="0.2">
      <c r="A384" t="s">
        <v>3706</v>
      </c>
      <c r="B384">
        <v>76739</v>
      </c>
      <c r="C384">
        <v>1447</v>
      </c>
      <c r="F384" s="4" t="s">
        <v>3709</v>
      </c>
      <c r="G384">
        <v>0.34682331523724103</v>
      </c>
      <c r="H384">
        <f t="shared" si="11"/>
        <v>0.4641555285540705</v>
      </c>
      <c r="I384">
        <f t="shared" si="10"/>
        <v>3</v>
      </c>
    </row>
    <row r="385" spans="1:9" ht="48" x14ac:dyDescent="0.2">
      <c r="A385" t="s">
        <v>3577</v>
      </c>
      <c r="B385">
        <v>76908</v>
      </c>
      <c r="C385">
        <v>1397</v>
      </c>
      <c r="F385" s="4" t="s">
        <v>3710</v>
      </c>
      <c r="G385">
        <v>0.34712970837330059</v>
      </c>
      <c r="H385">
        <f t="shared" si="11"/>
        <v>0.46537059538274606</v>
      </c>
      <c r="I385">
        <f t="shared" si="10"/>
        <v>3</v>
      </c>
    </row>
    <row r="386" spans="1:9" ht="64" x14ac:dyDescent="0.2">
      <c r="A386" t="s">
        <v>3711</v>
      </c>
      <c r="B386">
        <v>76921</v>
      </c>
      <c r="C386">
        <v>1755</v>
      </c>
      <c r="F386" s="4" t="s">
        <v>3712</v>
      </c>
      <c r="G386">
        <v>0.34782738233662525</v>
      </c>
      <c r="H386">
        <f t="shared" si="11"/>
        <v>0.46658566221142161</v>
      </c>
      <c r="I386">
        <f t="shared" si="10"/>
        <v>3</v>
      </c>
    </row>
    <row r="387" spans="1:9" ht="48" x14ac:dyDescent="0.2">
      <c r="A387" t="s">
        <v>3424</v>
      </c>
      <c r="B387">
        <v>77083</v>
      </c>
      <c r="C387">
        <v>1328</v>
      </c>
      <c r="F387" s="4" t="s">
        <v>3713</v>
      </c>
      <c r="G387">
        <v>0.34786883951750336</v>
      </c>
      <c r="H387">
        <f t="shared" si="11"/>
        <v>0.46780072904009723</v>
      </c>
      <c r="I387">
        <f t="shared" ref="I387:I450" si="12">IF(H387&lt;0.2,1,IF(H387&lt;0.4,2,IF(H387&lt;0.6,3,IF(H387&lt;0.8,4,5))))</f>
        <v>3</v>
      </c>
    </row>
    <row r="388" spans="1:9" ht="48" x14ac:dyDescent="0.2">
      <c r="A388" t="s">
        <v>3714</v>
      </c>
      <c r="B388">
        <v>77273</v>
      </c>
      <c r="C388">
        <v>1466</v>
      </c>
      <c r="F388" s="4" t="s">
        <v>3715</v>
      </c>
      <c r="G388">
        <v>0.34788711369574221</v>
      </c>
      <c r="H388">
        <f t="shared" ref="H388:H451" si="13">_xlfn.RANK.EQ(G388,$G$3:$G$825,1)/COUNT($G$3:$G$825)</f>
        <v>0.46901579586877279</v>
      </c>
      <c r="I388">
        <f t="shared" si="12"/>
        <v>3</v>
      </c>
    </row>
    <row r="389" spans="1:9" ht="48" x14ac:dyDescent="0.2">
      <c r="A389" t="s">
        <v>3716</v>
      </c>
      <c r="B389">
        <v>77434</v>
      </c>
      <c r="C389">
        <v>1574</v>
      </c>
      <c r="F389" s="4" t="s">
        <v>3717</v>
      </c>
      <c r="G389">
        <v>0.34789828044827292</v>
      </c>
      <c r="H389">
        <f t="shared" si="13"/>
        <v>0.47023086269744835</v>
      </c>
      <c r="I389">
        <f t="shared" si="12"/>
        <v>3</v>
      </c>
    </row>
    <row r="390" spans="1:9" ht="64" x14ac:dyDescent="0.2">
      <c r="A390" t="s">
        <v>3718</v>
      </c>
      <c r="B390">
        <v>77778</v>
      </c>
      <c r="C390">
        <v>1704</v>
      </c>
      <c r="F390" s="4" t="s">
        <v>3562</v>
      </c>
      <c r="G390">
        <v>0.34797626048754993</v>
      </c>
      <c r="H390">
        <f t="shared" si="13"/>
        <v>0.47144592952612396</v>
      </c>
      <c r="I390">
        <f t="shared" si="12"/>
        <v>3</v>
      </c>
    </row>
    <row r="391" spans="1:9" ht="48" x14ac:dyDescent="0.2">
      <c r="A391" t="s">
        <v>3219</v>
      </c>
      <c r="B391">
        <v>77903</v>
      </c>
      <c r="C391">
        <v>1295</v>
      </c>
      <c r="F391" s="4" t="s">
        <v>3719</v>
      </c>
      <c r="G391">
        <v>0.34878532079203106</v>
      </c>
      <c r="H391">
        <f t="shared" si="13"/>
        <v>0.47266099635479952</v>
      </c>
      <c r="I391">
        <f t="shared" si="12"/>
        <v>3</v>
      </c>
    </row>
    <row r="392" spans="1:9" ht="64" x14ac:dyDescent="0.2">
      <c r="A392" t="s">
        <v>3720</v>
      </c>
      <c r="B392">
        <v>77917</v>
      </c>
      <c r="C392">
        <v>1672</v>
      </c>
      <c r="F392" s="4" t="s">
        <v>3596</v>
      </c>
      <c r="G392">
        <v>0.34963788292702164</v>
      </c>
      <c r="H392">
        <f t="shared" si="13"/>
        <v>0.47387606318347508</v>
      </c>
      <c r="I392">
        <f t="shared" si="12"/>
        <v>3</v>
      </c>
    </row>
    <row r="393" spans="1:9" ht="64" x14ac:dyDescent="0.2">
      <c r="A393" t="s">
        <v>3721</v>
      </c>
      <c r="B393">
        <v>77939</v>
      </c>
      <c r="C393">
        <v>1424</v>
      </c>
      <c r="F393" s="4" t="s">
        <v>3722</v>
      </c>
      <c r="G393">
        <v>0.34965945742623422</v>
      </c>
      <c r="H393">
        <f t="shared" si="13"/>
        <v>0.47509113001215064</v>
      </c>
      <c r="I393">
        <f t="shared" si="12"/>
        <v>3</v>
      </c>
    </row>
    <row r="394" spans="1:9" ht="48" x14ac:dyDescent="0.2">
      <c r="A394" t="s">
        <v>3705</v>
      </c>
      <c r="B394">
        <v>78125</v>
      </c>
      <c r="C394">
        <v>1549</v>
      </c>
      <c r="F394" s="4" t="s">
        <v>3723</v>
      </c>
      <c r="G394">
        <v>0.34968782234975115</v>
      </c>
      <c r="H394">
        <f t="shared" si="13"/>
        <v>0.47630619684082626</v>
      </c>
      <c r="I394">
        <f t="shared" si="12"/>
        <v>3</v>
      </c>
    </row>
    <row r="395" spans="1:9" ht="48" x14ac:dyDescent="0.2">
      <c r="A395" t="s">
        <v>3724</v>
      </c>
      <c r="B395">
        <v>78134</v>
      </c>
      <c r="C395">
        <v>1673</v>
      </c>
      <c r="F395" s="4" t="s">
        <v>3654</v>
      </c>
      <c r="G395">
        <v>0.34971949542467295</v>
      </c>
      <c r="H395">
        <f t="shared" si="13"/>
        <v>0.47752126366950182</v>
      </c>
      <c r="I395">
        <f t="shared" si="12"/>
        <v>3</v>
      </c>
    </row>
    <row r="396" spans="1:9" ht="48" x14ac:dyDescent="0.2">
      <c r="A396" t="s">
        <v>3075</v>
      </c>
      <c r="B396">
        <v>78209</v>
      </c>
      <c r="C396">
        <v>1197</v>
      </c>
      <c r="F396" s="4" t="s">
        <v>3725</v>
      </c>
      <c r="G396">
        <v>0.34984064943914112</v>
      </c>
      <c r="H396">
        <f t="shared" si="13"/>
        <v>0.47873633049817738</v>
      </c>
      <c r="I396">
        <f t="shared" si="12"/>
        <v>3</v>
      </c>
    </row>
    <row r="397" spans="1:9" ht="48" x14ac:dyDescent="0.2">
      <c r="A397" t="s">
        <v>3712</v>
      </c>
      <c r="B397">
        <v>78239</v>
      </c>
      <c r="C397">
        <v>1470</v>
      </c>
      <c r="F397" s="4" t="s">
        <v>3726</v>
      </c>
      <c r="G397">
        <v>0.35023907591043785</v>
      </c>
      <c r="H397">
        <f t="shared" si="13"/>
        <v>0.47995139732685299</v>
      </c>
      <c r="I397">
        <f t="shared" si="12"/>
        <v>3</v>
      </c>
    </row>
    <row r="398" spans="1:9" ht="48" x14ac:dyDescent="0.2">
      <c r="A398" t="s">
        <v>3456</v>
      </c>
      <c r="B398">
        <v>78254</v>
      </c>
      <c r="C398">
        <v>1259</v>
      </c>
      <c r="F398" s="4" t="s">
        <v>3727</v>
      </c>
      <c r="G398">
        <v>0.35040726901571795</v>
      </c>
      <c r="H398">
        <f t="shared" si="13"/>
        <v>0.48116646415552855</v>
      </c>
      <c r="I398">
        <f t="shared" si="12"/>
        <v>3</v>
      </c>
    </row>
    <row r="399" spans="1:9" ht="48" x14ac:dyDescent="0.2">
      <c r="A399" t="s">
        <v>3728</v>
      </c>
      <c r="B399">
        <v>78684</v>
      </c>
      <c r="C399">
        <v>1671</v>
      </c>
      <c r="F399" s="4" t="s">
        <v>3729</v>
      </c>
      <c r="G399">
        <v>0.35055547333580411</v>
      </c>
      <c r="H399">
        <f t="shared" si="13"/>
        <v>0.48238153098420411</v>
      </c>
      <c r="I399">
        <f t="shared" si="12"/>
        <v>3</v>
      </c>
    </row>
    <row r="400" spans="1:9" ht="64" x14ac:dyDescent="0.2">
      <c r="A400" t="s">
        <v>3730</v>
      </c>
      <c r="B400">
        <v>78713</v>
      </c>
      <c r="C400">
        <v>1620</v>
      </c>
      <c r="F400" s="4" t="s">
        <v>3731</v>
      </c>
      <c r="G400">
        <v>0.35079725949042767</v>
      </c>
      <c r="H400">
        <f t="shared" si="13"/>
        <v>0.48359659781287972</v>
      </c>
      <c r="I400">
        <f t="shared" si="12"/>
        <v>3</v>
      </c>
    </row>
    <row r="401" spans="1:9" ht="48" x14ac:dyDescent="0.2">
      <c r="A401" t="s">
        <v>3732</v>
      </c>
      <c r="B401">
        <v>78844</v>
      </c>
      <c r="C401">
        <v>1741</v>
      </c>
      <c r="F401" s="4" t="s">
        <v>3733</v>
      </c>
      <c r="G401">
        <v>0.35087958838132699</v>
      </c>
      <c r="H401">
        <f t="shared" si="13"/>
        <v>0.48481166464155528</v>
      </c>
      <c r="I401">
        <f t="shared" si="12"/>
        <v>3</v>
      </c>
    </row>
    <row r="402" spans="1:9" ht="48" x14ac:dyDescent="0.2">
      <c r="A402" t="s">
        <v>3694</v>
      </c>
      <c r="B402">
        <v>78958</v>
      </c>
      <c r="C402">
        <v>1494</v>
      </c>
      <c r="F402" s="4" t="s">
        <v>3734</v>
      </c>
      <c r="G402">
        <v>0.35093513265509613</v>
      </c>
      <c r="H402">
        <f t="shared" si="13"/>
        <v>0.48602673147023084</v>
      </c>
      <c r="I402">
        <f t="shared" si="12"/>
        <v>3</v>
      </c>
    </row>
    <row r="403" spans="1:9" ht="48" x14ac:dyDescent="0.2">
      <c r="A403" t="s">
        <v>3372</v>
      </c>
      <c r="B403">
        <v>79082</v>
      </c>
      <c r="C403">
        <v>1338</v>
      </c>
      <c r="F403" s="4" t="s">
        <v>3735</v>
      </c>
      <c r="G403">
        <v>0.35118145075109319</v>
      </c>
      <c r="H403">
        <f t="shared" si="13"/>
        <v>0.48724179829890646</v>
      </c>
      <c r="I403">
        <f t="shared" si="12"/>
        <v>3</v>
      </c>
    </row>
    <row r="404" spans="1:9" ht="48" x14ac:dyDescent="0.2">
      <c r="A404" t="s">
        <v>3688</v>
      </c>
      <c r="B404">
        <v>79444</v>
      </c>
      <c r="C404">
        <v>1427</v>
      </c>
      <c r="F404" s="4" t="s">
        <v>3537</v>
      </c>
      <c r="G404">
        <v>0.35151312691017289</v>
      </c>
      <c r="H404">
        <f t="shared" si="13"/>
        <v>0.48845686512758202</v>
      </c>
      <c r="I404">
        <f t="shared" si="12"/>
        <v>3</v>
      </c>
    </row>
    <row r="405" spans="1:9" ht="48" x14ac:dyDescent="0.2">
      <c r="A405" t="s">
        <v>3736</v>
      </c>
      <c r="B405">
        <v>79475</v>
      </c>
      <c r="C405">
        <v>1461</v>
      </c>
      <c r="F405" s="4" t="s">
        <v>3737</v>
      </c>
      <c r="G405">
        <v>0.35194827140255969</v>
      </c>
      <c r="H405">
        <f t="shared" si="13"/>
        <v>0.48967193195625758</v>
      </c>
      <c r="I405">
        <f t="shared" si="12"/>
        <v>3</v>
      </c>
    </row>
    <row r="406" spans="1:9" ht="64" x14ac:dyDescent="0.2">
      <c r="A406" t="s">
        <v>3139</v>
      </c>
      <c r="B406">
        <v>79611</v>
      </c>
      <c r="C406">
        <v>1216</v>
      </c>
      <c r="F406" s="4" t="s">
        <v>3738</v>
      </c>
      <c r="G406">
        <v>0.35218740405307702</v>
      </c>
      <c r="H406">
        <f t="shared" si="13"/>
        <v>0.49088699878493319</v>
      </c>
      <c r="I406">
        <f t="shared" si="12"/>
        <v>3</v>
      </c>
    </row>
    <row r="407" spans="1:9" ht="48" x14ac:dyDescent="0.2">
      <c r="A407" t="s">
        <v>3739</v>
      </c>
      <c r="B407">
        <v>79707</v>
      </c>
      <c r="C407">
        <v>1654</v>
      </c>
      <c r="F407" s="4" t="s">
        <v>3441</v>
      </c>
      <c r="G407">
        <v>0.35225688365237956</v>
      </c>
      <c r="H407">
        <f t="shared" si="13"/>
        <v>0.49210206561360875</v>
      </c>
      <c r="I407">
        <f t="shared" si="12"/>
        <v>3</v>
      </c>
    </row>
    <row r="408" spans="1:9" ht="48" x14ac:dyDescent="0.2">
      <c r="A408" t="s">
        <v>3649</v>
      </c>
      <c r="B408">
        <v>79864</v>
      </c>
      <c r="C408">
        <v>1398</v>
      </c>
      <c r="F408" s="4" t="s">
        <v>3740</v>
      </c>
      <c r="G408">
        <v>0.35231727784764838</v>
      </c>
      <c r="H408">
        <f t="shared" si="13"/>
        <v>0.49331713244228431</v>
      </c>
      <c r="I408">
        <f t="shared" si="12"/>
        <v>3</v>
      </c>
    </row>
    <row r="409" spans="1:9" ht="48" x14ac:dyDescent="0.2">
      <c r="A409" t="s">
        <v>3741</v>
      </c>
      <c r="B409">
        <v>79954</v>
      </c>
      <c r="C409">
        <v>1591</v>
      </c>
      <c r="F409" s="4" t="s">
        <v>3742</v>
      </c>
      <c r="G409">
        <v>0.35237268816670281</v>
      </c>
      <c r="H409">
        <f t="shared" si="13"/>
        <v>0.49453219927095993</v>
      </c>
      <c r="I409">
        <f t="shared" si="12"/>
        <v>3</v>
      </c>
    </row>
    <row r="410" spans="1:9" ht="48" x14ac:dyDescent="0.2">
      <c r="A410" t="s">
        <v>3488</v>
      </c>
      <c r="B410">
        <v>80000</v>
      </c>
      <c r="C410">
        <v>1448</v>
      </c>
      <c r="F410" s="4" t="s">
        <v>3743</v>
      </c>
      <c r="G410">
        <v>0.35274884624457015</v>
      </c>
      <c r="H410">
        <f t="shared" si="13"/>
        <v>0.49574726609963549</v>
      </c>
      <c r="I410">
        <f t="shared" si="12"/>
        <v>3</v>
      </c>
    </row>
    <row r="411" spans="1:9" ht="64" x14ac:dyDescent="0.2">
      <c r="A411" t="s">
        <v>3121</v>
      </c>
      <c r="B411">
        <v>80000</v>
      </c>
      <c r="C411">
        <v>1181</v>
      </c>
      <c r="F411" s="4" t="s">
        <v>3541</v>
      </c>
      <c r="G411">
        <v>0.35284353267919083</v>
      </c>
      <c r="H411">
        <f t="shared" si="13"/>
        <v>0.49696233292831105</v>
      </c>
      <c r="I411">
        <f t="shared" si="12"/>
        <v>3</v>
      </c>
    </row>
    <row r="412" spans="1:9" ht="48" x14ac:dyDescent="0.2">
      <c r="A412" t="s">
        <v>3735</v>
      </c>
      <c r="B412">
        <v>80298</v>
      </c>
      <c r="C412">
        <v>1359</v>
      </c>
      <c r="F412" s="4" t="s">
        <v>3744</v>
      </c>
      <c r="G412">
        <v>0.35338205867010986</v>
      </c>
      <c r="H412">
        <f t="shared" si="13"/>
        <v>0.49817739975698666</v>
      </c>
      <c r="I412">
        <f t="shared" si="12"/>
        <v>3</v>
      </c>
    </row>
    <row r="413" spans="1:9" ht="48" x14ac:dyDescent="0.2">
      <c r="A413" t="s">
        <v>3388</v>
      </c>
      <c r="B413">
        <v>80725</v>
      </c>
      <c r="C413">
        <v>1365</v>
      </c>
      <c r="F413" s="4" t="s">
        <v>3745</v>
      </c>
      <c r="G413">
        <v>0.35350949067882181</v>
      </c>
      <c r="H413">
        <f t="shared" si="13"/>
        <v>0.49939246658566222</v>
      </c>
      <c r="I413">
        <f t="shared" si="12"/>
        <v>3</v>
      </c>
    </row>
    <row r="414" spans="1:9" ht="64" x14ac:dyDescent="0.2">
      <c r="A414" t="s">
        <v>3436</v>
      </c>
      <c r="B414">
        <v>80753</v>
      </c>
      <c r="C414">
        <v>1399</v>
      </c>
      <c r="F414" s="4" t="s">
        <v>3661</v>
      </c>
      <c r="G414">
        <v>0.35376031922878876</v>
      </c>
      <c r="H414">
        <f t="shared" si="13"/>
        <v>0.50060753341433784</v>
      </c>
      <c r="I414">
        <f t="shared" si="12"/>
        <v>3</v>
      </c>
    </row>
    <row r="415" spans="1:9" ht="48" x14ac:dyDescent="0.2">
      <c r="A415" t="s">
        <v>3746</v>
      </c>
      <c r="B415">
        <v>80759</v>
      </c>
      <c r="C415">
        <v>1705</v>
      </c>
      <c r="F415" s="4" t="s">
        <v>3747</v>
      </c>
      <c r="G415">
        <v>0.35390734931734102</v>
      </c>
      <c r="H415">
        <f t="shared" si="13"/>
        <v>0.50182260024301339</v>
      </c>
      <c r="I415">
        <f t="shared" si="12"/>
        <v>3</v>
      </c>
    </row>
    <row r="416" spans="1:9" ht="48" x14ac:dyDescent="0.2">
      <c r="A416" t="s">
        <v>3748</v>
      </c>
      <c r="B416">
        <v>80816</v>
      </c>
      <c r="C416">
        <v>2170</v>
      </c>
      <c r="F416" s="4" t="s">
        <v>3612</v>
      </c>
      <c r="G416">
        <v>0.35409340300309577</v>
      </c>
      <c r="H416">
        <f t="shared" si="13"/>
        <v>0.50303766707168895</v>
      </c>
      <c r="I416">
        <f t="shared" si="12"/>
        <v>3</v>
      </c>
    </row>
    <row r="417" spans="1:9" ht="48" x14ac:dyDescent="0.2">
      <c r="A417" t="s">
        <v>3672</v>
      </c>
      <c r="B417">
        <v>80871</v>
      </c>
      <c r="C417">
        <v>1526</v>
      </c>
      <c r="F417" s="4" t="s">
        <v>3615</v>
      </c>
      <c r="G417">
        <v>0.35439591516039726</v>
      </c>
      <c r="H417">
        <f t="shared" si="13"/>
        <v>0.50425273390036451</v>
      </c>
      <c r="I417">
        <f t="shared" si="12"/>
        <v>3</v>
      </c>
    </row>
    <row r="418" spans="1:9" ht="48" x14ac:dyDescent="0.2">
      <c r="A418" t="s">
        <v>3749</v>
      </c>
      <c r="B418">
        <v>80882</v>
      </c>
      <c r="C418">
        <v>1944</v>
      </c>
      <c r="F418" s="4" t="s">
        <v>3750</v>
      </c>
      <c r="G418">
        <v>0.35456040491710661</v>
      </c>
      <c r="H418">
        <f t="shared" si="13"/>
        <v>0.50546780072904007</v>
      </c>
      <c r="I418">
        <f t="shared" si="12"/>
        <v>3</v>
      </c>
    </row>
    <row r="419" spans="1:9" ht="48" x14ac:dyDescent="0.2">
      <c r="A419" t="s">
        <v>3465</v>
      </c>
      <c r="B419">
        <v>81016</v>
      </c>
      <c r="C419">
        <v>1407</v>
      </c>
      <c r="F419" s="4" t="s">
        <v>3751</v>
      </c>
      <c r="G419">
        <v>0.35485522350125986</v>
      </c>
      <c r="H419">
        <f t="shared" si="13"/>
        <v>0.50668286755771563</v>
      </c>
      <c r="I419">
        <f t="shared" si="12"/>
        <v>3</v>
      </c>
    </row>
    <row r="420" spans="1:9" ht="64" x14ac:dyDescent="0.2">
      <c r="A420" t="s">
        <v>3752</v>
      </c>
      <c r="B420">
        <v>81154</v>
      </c>
      <c r="C420">
        <v>1520</v>
      </c>
      <c r="F420" s="4" t="s">
        <v>3753</v>
      </c>
      <c r="G420">
        <v>0.3550180277174077</v>
      </c>
      <c r="H420">
        <f t="shared" si="13"/>
        <v>0.5078979343863913</v>
      </c>
      <c r="I420">
        <f t="shared" si="12"/>
        <v>3</v>
      </c>
    </row>
    <row r="421" spans="1:9" ht="64" x14ac:dyDescent="0.2">
      <c r="A421" t="s">
        <v>3754</v>
      </c>
      <c r="B421">
        <v>81163</v>
      </c>
      <c r="C421">
        <v>1602</v>
      </c>
      <c r="F421" s="4" t="s">
        <v>3347</v>
      </c>
      <c r="G421">
        <v>0.35511274278374272</v>
      </c>
      <c r="H421">
        <f t="shared" si="13"/>
        <v>0.50911300121506686</v>
      </c>
      <c r="I421">
        <f t="shared" si="12"/>
        <v>3</v>
      </c>
    </row>
    <row r="422" spans="1:9" ht="48" x14ac:dyDescent="0.2">
      <c r="A422" t="s">
        <v>3647</v>
      </c>
      <c r="B422">
        <v>81250</v>
      </c>
      <c r="C422">
        <v>1352</v>
      </c>
      <c r="F422" s="4" t="s">
        <v>3689</v>
      </c>
      <c r="G422">
        <v>0.35513007218702008</v>
      </c>
      <c r="H422">
        <f t="shared" si="13"/>
        <v>0.51032806804374242</v>
      </c>
      <c r="I422">
        <f t="shared" si="12"/>
        <v>3</v>
      </c>
    </row>
    <row r="423" spans="1:9" ht="48" x14ac:dyDescent="0.2">
      <c r="A423" t="s">
        <v>3755</v>
      </c>
      <c r="B423">
        <v>81270</v>
      </c>
      <c r="C423">
        <v>1503</v>
      </c>
      <c r="F423" s="4" t="s">
        <v>3692</v>
      </c>
      <c r="G423">
        <v>0.35534127687553385</v>
      </c>
      <c r="H423">
        <f t="shared" si="13"/>
        <v>0.51154313487241798</v>
      </c>
      <c r="I423">
        <f t="shared" si="12"/>
        <v>3</v>
      </c>
    </row>
    <row r="424" spans="1:9" ht="48" x14ac:dyDescent="0.2">
      <c r="A424" t="s">
        <v>3756</v>
      </c>
      <c r="B424">
        <v>81316</v>
      </c>
      <c r="C424">
        <v>1846</v>
      </c>
      <c r="F424" s="4" t="s">
        <v>3757</v>
      </c>
      <c r="G424">
        <v>0.35560813167936067</v>
      </c>
      <c r="H424">
        <f t="shared" si="13"/>
        <v>0.51275820170109354</v>
      </c>
      <c r="I424">
        <f t="shared" si="12"/>
        <v>3</v>
      </c>
    </row>
    <row r="425" spans="1:9" ht="64" x14ac:dyDescent="0.2">
      <c r="A425" t="s">
        <v>3758</v>
      </c>
      <c r="B425">
        <v>81474</v>
      </c>
      <c r="C425">
        <v>1767</v>
      </c>
      <c r="F425" s="4" t="s">
        <v>3759</v>
      </c>
      <c r="G425">
        <v>0.35565153491463425</v>
      </c>
      <c r="H425">
        <f t="shared" si="13"/>
        <v>0.5139732685297691</v>
      </c>
      <c r="I425">
        <f t="shared" si="12"/>
        <v>3</v>
      </c>
    </row>
    <row r="426" spans="1:9" ht="48" x14ac:dyDescent="0.2">
      <c r="A426" t="s">
        <v>3633</v>
      </c>
      <c r="B426">
        <v>81641</v>
      </c>
      <c r="C426">
        <v>1413</v>
      </c>
      <c r="F426" s="4" t="s">
        <v>3622</v>
      </c>
      <c r="G426">
        <v>0.35635708512694464</v>
      </c>
      <c r="H426">
        <f t="shared" si="13"/>
        <v>0.51518833535844466</v>
      </c>
      <c r="I426">
        <f t="shared" si="12"/>
        <v>3</v>
      </c>
    </row>
    <row r="427" spans="1:9" ht="64" x14ac:dyDescent="0.2">
      <c r="A427" t="s">
        <v>3760</v>
      </c>
      <c r="B427">
        <v>81667</v>
      </c>
      <c r="C427">
        <v>1853</v>
      </c>
      <c r="F427" s="4" t="s">
        <v>3474</v>
      </c>
      <c r="G427">
        <v>0.35643170715421529</v>
      </c>
      <c r="H427">
        <f t="shared" si="13"/>
        <v>0.51640340218712033</v>
      </c>
      <c r="I427">
        <f t="shared" si="12"/>
        <v>3</v>
      </c>
    </row>
    <row r="428" spans="1:9" ht="48" x14ac:dyDescent="0.2">
      <c r="A428" t="s">
        <v>3047</v>
      </c>
      <c r="B428">
        <v>81919</v>
      </c>
      <c r="C428">
        <v>1194</v>
      </c>
      <c r="F428" s="4" t="s">
        <v>3761</v>
      </c>
      <c r="G428">
        <v>0.35646335836542858</v>
      </c>
      <c r="H428">
        <f t="shared" si="13"/>
        <v>0.51761846901579589</v>
      </c>
      <c r="I428">
        <f t="shared" si="12"/>
        <v>3</v>
      </c>
    </row>
    <row r="429" spans="1:9" ht="48" x14ac:dyDescent="0.2">
      <c r="A429" t="s">
        <v>3762</v>
      </c>
      <c r="B429">
        <v>82000</v>
      </c>
      <c r="C429">
        <v>1490</v>
      </c>
      <c r="F429" s="4" t="s">
        <v>3763</v>
      </c>
      <c r="G429">
        <v>0.35657456419061168</v>
      </c>
      <c r="H429">
        <f t="shared" si="13"/>
        <v>0.51883353584447145</v>
      </c>
      <c r="I429">
        <f t="shared" si="12"/>
        <v>3</v>
      </c>
    </row>
    <row r="430" spans="1:9" ht="48" x14ac:dyDescent="0.2">
      <c r="A430" t="s">
        <v>3764</v>
      </c>
      <c r="B430">
        <v>82266</v>
      </c>
      <c r="C430">
        <v>1596</v>
      </c>
      <c r="F430" s="4" t="s">
        <v>3765</v>
      </c>
      <c r="G430">
        <v>0.35714946268145759</v>
      </c>
      <c r="H430">
        <f t="shared" si="13"/>
        <v>0.52004860267314701</v>
      </c>
      <c r="I430">
        <f t="shared" si="12"/>
        <v>3</v>
      </c>
    </row>
    <row r="431" spans="1:9" ht="48" x14ac:dyDescent="0.2">
      <c r="A431" t="s">
        <v>3727</v>
      </c>
      <c r="B431">
        <v>82281</v>
      </c>
      <c r="C431">
        <v>1535</v>
      </c>
      <c r="F431" s="4" t="s">
        <v>3766</v>
      </c>
      <c r="G431">
        <v>0.35771112143207862</v>
      </c>
      <c r="H431">
        <f t="shared" si="13"/>
        <v>0.52126366950182257</v>
      </c>
      <c r="I431">
        <f t="shared" si="12"/>
        <v>3</v>
      </c>
    </row>
    <row r="432" spans="1:9" ht="48" x14ac:dyDescent="0.2">
      <c r="A432" t="s">
        <v>3598</v>
      </c>
      <c r="B432">
        <v>82346</v>
      </c>
      <c r="C432">
        <v>1447</v>
      </c>
      <c r="F432" s="4" t="s">
        <v>3767</v>
      </c>
      <c r="G432">
        <v>0.35771129498715615</v>
      </c>
      <c r="H432">
        <f t="shared" si="13"/>
        <v>0.52247873633049813</v>
      </c>
      <c r="I432">
        <f t="shared" si="12"/>
        <v>3</v>
      </c>
    </row>
    <row r="433" spans="1:9" ht="48" x14ac:dyDescent="0.2">
      <c r="A433" t="s">
        <v>3077</v>
      </c>
      <c r="B433">
        <v>82355</v>
      </c>
      <c r="C433">
        <v>1487</v>
      </c>
      <c r="F433" s="4" t="s">
        <v>3564</v>
      </c>
      <c r="G433">
        <v>0.35783340022692373</v>
      </c>
      <c r="H433">
        <f t="shared" si="13"/>
        <v>0.5236938031591738</v>
      </c>
      <c r="I433">
        <f t="shared" si="12"/>
        <v>3</v>
      </c>
    </row>
    <row r="434" spans="1:9" ht="64" x14ac:dyDescent="0.2">
      <c r="A434" t="s">
        <v>3103</v>
      </c>
      <c r="B434">
        <v>82364</v>
      </c>
      <c r="C434">
        <v>1283</v>
      </c>
      <c r="F434" s="4" t="s">
        <v>3768</v>
      </c>
      <c r="G434">
        <v>0.35789574354791015</v>
      </c>
      <c r="H434">
        <f t="shared" si="13"/>
        <v>0.52490886998784936</v>
      </c>
      <c r="I434">
        <f t="shared" si="12"/>
        <v>3</v>
      </c>
    </row>
    <row r="435" spans="1:9" ht="64" x14ac:dyDescent="0.2">
      <c r="A435" t="s">
        <v>3239</v>
      </c>
      <c r="B435">
        <v>82436</v>
      </c>
      <c r="C435">
        <v>1366</v>
      </c>
      <c r="F435" s="4" t="s">
        <v>3580</v>
      </c>
      <c r="G435">
        <v>0.35815209407861898</v>
      </c>
      <c r="H435">
        <f t="shared" si="13"/>
        <v>0.52612393681652492</v>
      </c>
      <c r="I435">
        <f t="shared" si="12"/>
        <v>3</v>
      </c>
    </row>
    <row r="436" spans="1:9" ht="48" x14ac:dyDescent="0.2">
      <c r="A436" t="s">
        <v>3352</v>
      </c>
      <c r="B436">
        <v>82454</v>
      </c>
      <c r="C436">
        <v>1312</v>
      </c>
      <c r="F436" s="4" t="s">
        <v>3495</v>
      </c>
      <c r="G436">
        <v>0.35817919568180723</v>
      </c>
      <c r="H436">
        <f t="shared" si="13"/>
        <v>0.52733900364520048</v>
      </c>
      <c r="I436">
        <f t="shared" si="12"/>
        <v>3</v>
      </c>
    </row>
    <row r="437" spans="1:9" ht="48" x14ac:dyDescent="0.2">
      <c r="A437" t="s">
        <v>3750</v>
      </c>
      <c r="B437">
        <v>82688</v>
      </c>
      <c r="C437">
        <v>1536</v>
      </c>
      <c r="F437" s="4" t="s">
        <v>3769</v>
      </c>
      <c r="G437">
        <v>0.35826151824050068</v>
      </c>
      <c r="H437">
        <f t="shared" si="13"/>
        <v>0.52855407047387604</v>
      </c>
      <c r="I437">
        <f t="shared" si="12"/>
        <v>3</v>
      </c>
    </row>
    <row r="438" spans="1:9" ht="48" x14ac:dyDescent="0.2">
      <c r="A438" t="s">
        <v>3283</v>
      </c>
      <c r="B438">
        <v>82702</v>
      </c>
      <c r="C438">
        <v>1362</v>
      </c>
      <c r="F438" s="4" t="s">
        <v>3493</v>
      </c>
      <c r="G438">
        <v>0.35829654263183663</v>
      </c>
      <c r="H438">
        <f t="shared" si="13"/>
        <v>0.5297691373025516</v>
      </c>
      <c r="I438">
        <f t="shared" si="12"/>
        <v>3</v>
      </c>
    </row>
    <row r="439" spans="1:9" ht="64" x14ac:dyDescent="0.2">
      <c r="A439" t="s">
        <v>3744</v>
      </c>
      <c r="B439">
        <v>82753</v>
      </c>
      <c r="C439">
        <v>1441</v>
      </c>
      <c r="F439" s="4" t="s">
        <v>3341</v>
      </c>
      <c r="G439">
        <v>0.35879150942270865</v>
      </c>
      <c r="H439">
        <f t="shared" si="13"/>
        <v>0.53098420413122727</v>
      </c>
      <c r="I439">
        <f t="shared" si="12"/>
        <v>3</v>
      </c>
    </row>
    <row r="440" spans="1:9" ht="48" x14ac:dyDescent="0.2">
      <c r="A440" t="s">
        <v>3257</v>
      </c>
      <c r="B440">
        <v>82790</v>
      </c>
      <c r="C440">
        <v>1302</v>
      </c>
      <c r="F440" s="4" t="s">
        <v>3673</v>
      </c>
      <c r="G440">
        <v>0.35932612060060815</v>
      </c>
      <c r="H440">
        <f t="shared" si="13"/>
        <v>0.53219927095990283</v>
      </c>
      <c r="I440">
        <f t="shared" si="12"/>
        <v>3</v>
      </c>
    </row>
    <row r="441" spans="1:9" ht="64" x14ac:dyDescent="0.2">
      <c r="A441" t="s">
        <v>3738</v>
      </c>
      <c r="B441">
        <v>82841</v>
      </c>
      <c r="C441">
        <v>1662</v>
      </c>
      <c r="F441" s="4" t="s">
        <v>3425</v>
      </c>
      <c r="G441">
        <v>0.35938685939947734</v>
      </c>
      <c r="H441">
        <f t="shared" si="13"/>
        <v>0.53341433778857839</v>
      </c>
      <c r="I441">
        <f t="shared" si="12"/>
        <v>3</v>
      </c>
    </row>
    <row r="442" spans="1:9" ht="48" x14ac:dyDescent="0.2">
      <c r="A442" t="s">
        <v>3245</v>
      </c>
      <c r="B442">
        <v>83039</v>
      </c>
      <c r="C442">
        <v>1304</v>
      </c>
      <c r="F442" s="4" t="s">
        <v>3549</v>
      </c>
      <c r="G442">
        <v>0.35950637880485103</v>
      </c>
      <c r="H442">
        <f t="shared" si="13"/>
        <v>0.53462940461725394</v>
      </c>
      <c r="I442">
        <f t="shared" si="12"/>
        <v>3</v>
      </c>
    </row>
    <row r="443" spans="1:9" ht="64" x14ac:dyDescent="0.2">
      <c r="A443" t="s">
        <v>3049</v>
      </c>
      <c r="B443">
        <v>83345</v>
      </c>
      <c r="C443">
        <v>1133</v>
      </c>
      <c r="F443" s="4" t="s">
        <v>3700</v>
      </c>
      <c r="G443">
        <v>0.35953321500229962</v>
      </c>
      <c r="H443">
        <f t="shared" si="13"/>
        <v>0.5358444714459295</v>
      </c>
      <c r="I443">
        <f t="shared" si="12"/>
        <v>3</v>
      </c>
    </row>
    <row r="444" spans="1:9" ht="48" x14ac:dyDescent="0.2">
      <c r="A444" t="s">
        <v>3770</v>
      </c>
      <c r="B444">
        <v>83672</v>
      </c>
      <c r="C444">
        <v>2127</v>
      </c>
      <c r="F444" s="4" t="s">
        <v>3771</v>
      </c>
      <c r="G444">
        <v>0.3598394843266684</v>
      </c>
      <c r="H444">
        <f t="shared" si="13"/>
        <v>0.53705953827460506</v>
      </c>
      <c r="I444">
        <f t="shared" si="12"/>
        <v>3</v>
      </c>
    </row>
    <row r="445" spans="1:9" ht="48" x14ac:dyDescent="0.2">
      <c r="A445" t="s">
        <v>3772</v>
      </c>
      <c r="B445">
        <v>83925</v>
      </c>
      <c r="C445">
        <v>1703</v>
      </c>
      <c r="F445" s="4" t="s">
        <v>3773</v>
      </c>
      <c r="G445">
        <v>0.35998583330460726</v>
      </c>
      <c r="H445">
        <f t="shared" si="13"/>
        <v>0.53827460510328073</v>
      </c>
      <c r="I445">
        <f t="shared" si="12"/>
        <v>3</v>
      </c>
    </row>
    <row r="446" spans="1:9" ht="48" x14ac:dyDescent="0.2">
      <c r="A446" t="s">
        <v>3685</v>
      </c>
      <c r="B446">
        <v>83929</v>
      </c>
      <c r="C446">
        <v>1576</v>
      </c>
      <c r="F446" s="4" t="s">
        <v>3721</v>
      </c>
      <c r="G446">
        <v>0.36026186104446861</v>
      </c>
      <c r="H446">
        <f t="shared" si="13"/>
        <v>0.53948967193195629</v>
      </c>
      <c r="I446">
        <f t="shared" si="12"/>
        <v>3</v>
      </c>
    </row>
    <row r="447" spans="1:9" ht="48" x14ac:dyDescent="0.2">
      <c r="A447" t="s">
        <v>3742</v>
      </c>
      <c r="B447">
        <v>84167</v>
      </c>
      <c r="C447">
        <v>1524</v>
      </c>
      <c r="F447" s="4" t="s">
        <v>3774</v>
      </c>
      <c r="G447">
        <v>0.36044476991388291</v>
      </c>
      <c r="H447">
        <f t="shared" si="13"/>
        <v>0.54070473876063185</v>
      </c>
      <c r="I447">
        <f t="shared" si="12"/>
        <v>3</v>
      </c>
    </row>
    <row r="448" spans="1:9" ht="48" x14ac:dyDescent="0.2">
      <c r="A448" t="s">
        <v>3775</v>
      </c>
      <c r="B448">
        <v>84340</v>
      </c>
      <c r="C448">
        <v>1665</v>
      </c>
      <c r="F448" s="4" t="s">
        <v>3525</v>
      </c>
      <c r="G448">
        <v>0.36050710943202718</v>
      </c>
      <c r="H448">
        <f t="shared" si="13"/>
        <v>0.54191980558930741</v>
      </c>
      <c r="I448">
        <f t="shared" si="12"/>
        <v>3</v>
      </c>
    </row>
    <row r="449" spans="1:9" ht="48" x14ac:dyDescent="0.2">
      <c r="A449" t="s">
        <v>3207</v>
      </c>
      <c r="B449">
        <v>84625</v>
      </c>
      <c r="C449">
        <v>1323</v>
      </c>
      <c r="F449" s="4" t="s">
        <v>3776</v>
      </c>
      <c r="G449">
        <v>0.36051414327986364</v>
      </c>
      <c r="H449">
        <f t="shared" si="13"/>
        <v>0.54313487241798297</v>
      </c>
      <c r="I449">
        <f t="shared" si="12"/>
        <v>3</v>
      </c>
    </row>
    <row r="450" spans="1:9" ht="48" x14ac:dyDescent="0.2">
      <c r="A450" t="s">
        <v>3651</v>
      </c>
      <c r="B450">
        <v>84648</v>
      </c>
      <c r="C450">
        <v>1460</v>
      </c>
      <c r="F450" s="4" t="s">
        <v>3777</v>
      </c>
      <c r="G450">
        <v>0.36079198565082965</v>
      </c>
      <c r="H450">
        <f t="shared" si="13"/>
        <v>0.54434993924665853</v>
      </c>
      <c r="I450">
        <f t="shared" si="12"/>
        <v>3</v>
      </c>
    </row>
    <row r="451" spans="1:9" ht="48" x14ac:dyDescent="0.2">
      <c r="A451" t="s">
        <v>3778</v>
      </c>
      <c r="B451">
        <v>84688</v>
      </c>
      <c r="C451">
        <v>1663</v>
      </c>
      <c r="F451" s="4" t="s">
        <v>3306</v>
      </c>
      <c r="G451">
        <v>0.3608430987693752</v>
      </c>
      <c r="H451">
        <f t="shared" si="13"/>
        <v>0.54556500607533409</v>
      </c>
      <c r="I451">
        <f t="shared" ref="I451:I514" si="14">IF(H451&lt;0.2,1,IF(H451&lt;0.4,2,IF(H451&lt;0.6,3,IF(H451&lt;0.8,4,5))))</f>
        <v>3</v>
      </c>
    </row>
    <row r="452" spans="1:9" ht="48" x14ac:dyDescent="0.2">
      <c r="A452" t="s">
        <v>3482</v>
      </c>
      <c r="B452">
        <v>84779</v>
      </c>
      <c r="C452">
        <v>1355</v>
      </c>
      <c r="F452" s="4" t="s">
        <v>3779</v>
      </c>
      <c r="G452">
        <v>0.36123480228241939</v>
      </c>
      <c r="H452">
        <f t="shared" ref="H452:H515" si="15">_xlfn.RANK.EQ(G452,$G$3:$G$825,1)/COUNT($G$3:$G$825)</f>
        <v>0.54678007290400976</v>
      </c>
      <c r="I452">
        <f t="shared" si="14"/>
        <v>3</v>
      </c>
    </row>
    <row r="453" spans="1:9" ht="48" x14ac:dyDescent="0.2">
      <c r="A453" t="s">
        <v>3165</v>
      </c>
      <c r="B453">
        <v>84837</v>
      </c>
      <c r="C453">
        <v>1408</v>
      </c>
      <c r="F453" s="4" t="s">
        <v>3780</v>
      </c>
      <c r="G453">
        <v>0.36145955819250386</v>
      </c>
      <c r="H453">
        <f t="shared" si="15"/>
        <v>0.54799513973268532</v>
      </c>
      <c r="I453">
        <f t="shared" si="14"/>
        <v>3</v>
      </c>
    </row>
    <row r="454" spans="1:9" ht="48" x14ac:dyDescent="0.2">
      <c r="A454" t="s">
        <v>3781</v>
      </c>
      <c r="B454">
        <v>85024</v>
      </c>
      <c r="C454">
        <v>1689</v>
      </c>
      <c r="F454" s="4" t="s">
        <v>3714</v>
      </c>
      <c r="G454">
        <v>0.36211599095746783</v>
      </c>
      <c r="H454">
        <f t="shared" si="15"/>
        <v>0.54921020656136088</v>
      </c>
      <c r="I454">
        <f t="shared" si="14"/>
        <v>3</v>
      </c>
    </row>
    <row r="455" spans="1:9" ht="64" x14ac:dyDescent="0.2">
      <c r="A455" t="s">
        <v>3552</v>
      </c>
      <c r="B455">
        <v>85052</v>
      </c>
      <c r="C455">
        <v>1432</v>
      </c>
      <c r="F455" s="4" t="s">
        <v>3741</v>
      </c>
      <c r="G455">
        <v>0.36213887479758911</v>
      </c>
      <c r="H455">
        <f t="shared" si="15"/>
        <v>0.55042527339003644</v>
      </c>
      <c r="I455">
        <f t="shared" si="14"/>
        <v>3</v>
      </c>
    </row>
    <row r="456" spans="1:9" ht="48" x14ac:dyDescent="0.2">
      <c r="A456" t="s">
        <v>3426</v>
      </c>
      <c r="B456">
        <v>85216</v>
      </c>
      <c r="C456">
        <v>1349</v>
      </c>
      <c r="F456" s="4" t="s">
        <v>3258</v>
      </c>
      <c r="G456">
        <v>0.36219754160920953</v>
      </c>
      <c r="H456">
        <f t="shared" si="15"/>
        <v>0.551640340218712</v>
      </c>
      <c r="I456">
        <f t="shared" si="14"/>
        <v>3</v>
      </c>
    </row>
    <row r="457" spans="1:9" ht="48" x14ac:dyDescent="0.2">
      <c r="A457" t="s">
        <v>3153</v>
      </c>
      <c r="B457">
        <v>85347</v>
      </c>
      <c r="C457">
        <v>1256</v>
      </c>
      <c r="F457" s="4" t="s">
        <v>3782</v>
      </c>
      <c r="G457">
        <v>0.36240682743548785</v>
      </c>
      <c r="H457">
        <f t="shared" si="15"/>
        <v>0.55285540704738756</v>
      </c>
      <c r="I457">
        <f t="shared" si="14"/>
        <v>3</v>
      </c>
    </row>
    <row r="458" spans="1:9" ht="48" x14ac:dyDescent="0.2">
      <c r="A458" t="s">
        <v>3123</v>
      </c>
      <c r="B458">
        <v>85378</v>
      </c>
      <c r="C458">
        <v>1363</v>
      </c>
      <c r="F458" s="4" t="s">
        <v>3626</v>
      </c>
      <c r="G458">
        <v>0.36294622278640765</v>
      </c>
      <c r="H458">
        <f t="shared" si="15"/>
        <v>0.55407047387606323</v>
      </c>
      <c r="I458">
        <f t="shared" si="14"/>
        <v>3</v>
      </c>
    </row>
    <row r="459" spans="1:9" ht="48" x14ac:dyDescent="0.2">
      <c r="A459" t="s">
        <v>3628</v>
      </c>
      <c r="B459">
        <v>85406</v>
      </c>
      <c r="C459">
        <v>1464</v>
      </c>
      <c r="F459" s="4" t="s">
        <v>3783</v>
      </c>
      <c r="G459">
        <v>0.36317299244451812</v>
      </c>
      <c r="H459">
        <f t="shared" si="15"/>
        <v>0.55528554070473879</v>
      </c>
      <c r="I459">
        <f t="shared" si="14"/>
        <v>3</v>
      </c>
    </row>
    <row r="460" spans="1:9" ht="48" x14ac:dyDescent="0.2">
      <c r="A460" t="s">
        <v>3593</v>
      </c>
      <c r="B460">
        <v>85406</v>
      </c>
      <c r="C460">
        <v>1408</v>
      </c>
      <c r="F460" s="4" t="s">
        <v>3510</v>
      </c>
      <c r="G460">
        <v>0.36325147296211141</v>
      </c>
      <c r="H460">
        <f t="shared" si="15"/>
        <v>0.55650060753341435</v>
      </c>
      <c r="I460">
        <f t="shared" si="14"/>
        <v>3</v>
      </c>
    </row>
    <row r="461" spans="1:9" ht="64" x14ac:dyDescent="0.2">
      <c r="A461" t="s">
        <v>3784</v>
      </c>
      <c r="B461">
        <v>85420</v>
      </c>
      <c r="C461">
        <v>2014</v>
      </c>
      <c r="F461" s="4" t="s">
        <v>3679</v>
      </c>
      <c r="G461">
        <v>0.36326780615343668</v>
      </c>
      <c r="H461">
        <f t="shared" si="15"/>
        <v>0.55771567436208991</v>
      </c>
      <c r="I461">
        <f t="shared" si="14"/>
        <v>3</v>
      </c>
    </row>
    <row r="462" spans="1:9" ht="64" x14ac:dyDescent="0.2">
      <c r="A462" t="s">
        <v>3579</v>
      </c>
      <c r="B462">
        <v>85446</v>
      </c>
      <c r="C462">
        <v>1448</v>
      </c>
      <c r="F462" s="4" t="s">
        <v>3785</v>
      </c>
      <c r="G462">
        <v>0.36337337937525876</v>
      </c>
      <c r="H462">
        <f t="shared" si="15"/>
        <v>0.55893074119076547</v>
      </c>
      <c r="I462">
        <f t="shared" si="14"/>
        <v>3</v>
      </c>
    </row>
    <row r="463" spans="1:9" ht="64" x14ac:dyDescent="0.2">
      <c r="A463" t="s">
        <v>3640</v>
      </c>
      <c r="B463">
        <v>85524</v>
      </c>
      <c r="C463">
        <v>1496</v>
      </c>
      <c r="F463" s="4" t="s">
        <v>3687</v>
      </c>
      <c r="G463">
        <v>0.36397945898499751</v>
      </c>
      <c r="H463">
        <f t="shared" si="15"/>
        <v>0.56014580801944103</v>
      </c>
      <c r="I463">
        <f t="shared" si="14"/>
        <v>3</v>
      </c>
    </row>
    <row r="464" spans="1:9" ht="48" x14ac:dyDescent="0.2">
      <c r="A464" t="s">
        <v>3095</v>
      </c>
      <c r="B464">
        <v>85536</v>
      </c>
      <c r="C464">
        <v>1238</v>
      </c>
      <c r="F464" s="4" t="s">
        <v>3786</v>
      </c>
      <c r="G464">
        <v>0.36406223093132933</v>
      </c>
      <c r="H464">
        <f t="shared" si="15"/>
        <v>0.5613608748481167</v>
      </c>
      <c r="I464">
        <f t="shared" si="14"/>
        <v>3</v>
      </c>
    </row>
    <row r="465" spans="1:9" ht="64" x14ac:dyDescent="0.2">
      <c r="A465" t="s">
        <v>3550</v>
      </c>
      <c r="B465">
        <v>85960</v>
      </c>
      <c r="C465">
        <v>1509</v>
      </c>
      <c r="F465" s="4" t="s">
        <v>3636</v>
      </c>
      <c r="G465">
        <v>0.36407349133579897</v>
      </c>
      <c r="H465">
        <f t="shared" si="15"/>
        <v>0.56257594167679226</v>
      </c>
      <c r="I465">
        <f t="shared" si="14"/>
        <v>3</v>
      </c>
    </row>
    <row r="466" spans="1:9" ht="48" x14ac:dyDescent="0.2">
      <c r="A466" t="s">
        <v>3261</v>
      </c>
      <c r="B466">
        <v>86009</v>
      </c>
      <c r="C466">
        <v>1409</v>
      </c>
      <c r="F466" s="4" t="s">
        <v>3736</v>
      </c>
      <c r="G466">
        <v>0.36448717270218284</v>
      </c>
      <c r="H466">
        <f t="shared" si="15"/>
        <v>0.56379100850546782</v>
      </c>
      <c r="I466">
        <f t="shared" si="14"/>
        <v>3</v>
      </c>
    </row>
    <row r="467" spans="1:9" ht="48" x14ac:dyDescent="0.2">
      <c r="A467" t="s">
        <v>3374</v>
      </c>
      <c r="B467">
        <v>86053</v>
      </c>
      <c r="C467">
        <v>1378</v>
      </c>
      <c r="F467" s="4" t="s">
        <v>3787</v>
      </c>
      <c r="G467">
        <v>0.36484317007438843</v>
      </c>
      <c r="H467">
        <f t="shared" si="15"/>
        <v>0.56500607533414338</v>
      </c>
      <c r="I467">
        <f t="shared" si="14"/>
        <v>3</v>
      </c>
    </row>
    <row r="468" spans="1:9" ht="48" x14ac:dyDescent="0.2">
      <c r="A468" t="s">
        <v>3526</v>
      </c>
      <c r="B468">
        <v>86119</v>
      </c>
      <c r="C468">
        <v>1538</v>
      </c>
      <c r="F468" s="4" t="s">
        <v>3739</v>
      </c>
      <c r="G468">
        <v>0.36512327458179844</v>
      </c>
      <c r="H468">
        <f t="shared" si="15"/>
        <v>0.56622114216281894</v>
      </c>
      <c r="I468">
        <f t="shared" si="14"/>
        <v>3</v>
      </c>
    </row>
    <row r="469" spans="1:9" ht="48" x14ac:dyDescent="0.2">
      <c r="A469" t="s">
        <v>3285</v>
      </c>
      <c r="B469">
        <v>86384</v>
      </c>
      <c r="C469">
        <v>1376</v>
      </c>
      <c r="F469" s="4" t="s">
        <v>3752</v>
      </c>
      <c r="G469">
        <v>0.36587930067878188</v>
      </c>
      <c r="H469">
        <f t="shared" si="15"/>
        <v>0.5674362089914945</v>
      </c>
      <c r="I469">
        <f t="shared" si="14"/>
        <v>3</v>
      </c>
    </row>
    <row r="470" spans="1:9" ht="48" x14ac:dyDescent="0.2">
      <c r="A470" t="s">
        <v>3753</v>
      </c>
      <c r="B470">
        <v>86651</v>
      </c>
      <c r="C470">
        <v>1596</v>
      </c>
      <c r="F470" s="4" t="s">
        <v>3755</v>
      </c>
      <c r="G470">
        <v>0.36601123693190663</v>
      </c>
      <c r="H470">
        <f t="shared" si="15"/>
        <v>0.56865127582017005</v>
      </c>
      <c r="I470">
        <f t="shared" si="14"/>
        <v>3</v>
      </c>
    </row>
    <row r="471" spans="1:9" ht="48" x14ac:dyDescent="0.2">
      <c r="A471" t="s">
        <v>3788</v>
      </c>
      <c r="B471">
        <v>86705</v>
      </c>
      <c r="C471">
        <v>1908</v>
      </c>
      <c r="F471" s="4" t="s">
        <v>3435</v>
      </c>
      <c r="G471">
        <v>0.36615959289812222</v>
      </c>
      <c r="H471">
        <f t="shared" si="15"/>
        <v>0.56986634264884573</v>
      </c>
      <c r="I471">
        <f t="shared" si="14"/>
        <v>3</v>
      </c>
    </row>
    <row r="472" spans="1:9" ht="48" x14ac:dyDescent="0.2">
      <c r="A472" t="s">
        <v>3221</v>
      </c>
      <c r="B472">
        <v>86714</v>
      </c>
      <c r="C472">
        <v>1345</v>
      </c>
      <c r="F472" s="4" t="s">
        <v>3663</v>
      </c>
      <c r="G472">
        <v>0.36638724187282762</v>
      </c>
      <c r="H472">
        <f t="shared" si="15"/>
        <v>0.57108140947752128</v>
      </c>
      <c r="I472">
        <f t="shared" si="14"/>
        <v>3</v>
      </c>
    </row>
    <row r="473" spans="1:9" ht="48" x14ac:dyDescent="0.2">
      <c r="A473" t="s">
        <v>3159</v>
      </c>
      <c r="B473">
        <v>86821</v>
      </c>
      <c r="C473">
        <v>1307</v>
      </c>
      <c r="F473" s="4" t="s">
        <v>3789</v>
      </c>
      <c r="G473">
        <v>0.3669102277877806</v>
      </c>
      <c r="H473">
        <f t="shared" si="15"/>
        <v>0.57229647630619684</v>
      </c>
      <c r="I473">
        <f t="shared" si="14"/>
        <v>3</v>
      </c>
    </row>
    <row r="474" spans="1:9" ht="48" x14ac:dyDescent="0.2">
      <c r="A474" t="s">
        <v>3279</v>
      </c>
      <c r="B474">
        <v>86983</v>
      </c>
      <c r="C474">
        <v>1426</v>
      </c>
      <c r="F474" s="4" t="s">
        <v>3754</v>
      </c>
      <c r="G474">
        <v>0.36693681528524763</v>
      </c>
      <c r="H474">
        <f t="shared" si="15"/>
        <v>0.5735115431348724</v>
      </c>
      <c r="I474">
        <f t="shared" si="14"/>
        <v>3</v>
      </c>
    </row>
    <row r="475" spans="1:9" ht="48" x14ac:dyDescent="0.2">
      <c r="A475" t="s">
        <v>3768</v>
      </c>
      <c r="B475">
        <v>87039</v>
      </c>
      <c r="C475">
        <v>1574</v>
      </c>
      <c r="F475" s="4" t="s">
        <v>3238</v>
      </c>
      <c r="G475">
        <v>0.36700145032914899</v>
      </c>
      <c r="H475">
        <f t="shared" si="15"/>
        <v>0.57472660996354796</v>
      </c>
      <c r="I475">
        <f t="shared" si="14"/>
        <v>3</v>
      </c>
    </row>
    <row r="476" spans="1:9" ht="64" x14ac:dyDescent="0.2">
      <c r="A476" t="s">
        <v>3734</v>
      </c>
      <c r="B476">
        <v>87227</v>
      </c>
      <c r="C476">
        <v>1786</v>
      </c>
      <c r="F476" s="4" t="s">
        <v>3790</v>
      </c>
      <c r="G476">
        <v>0.36736530119258792</v>
      </c>
      <c r="H476">
        <f t="shared" si="15"/>
        <v>0.57594167679222352</v>
      </c>
      <c r="I476">
        <f t="shared" si="14"/>
        <v>3</v>
      </c>
    </row>
    <row r="477" spans="1:9" ht="48" x14ac:dyDescent="0.2">
      <c r="A477" t="s">
        <v>3707</v>
      </c>
      <c r="B477">
        <v>87308</v>
      </c>
      <c r="C477">
        <v>1569</v>
      </c>
      <c r="F477" s="4" t="s">
        <v>3791</v>
      </c>
      <c r="G477">
        <v>0.36759767409960559</v>
      </c>
      <c r="H477">
        <f t="shared" si="15"/>
        <v>0.57715674362089919</v>
      </c>
      <c r="I477">
        <f t="shared" si="14"/>
        <v>3</v>
      </c>
    </row>
    <row r="478" spans="1:9" ht="48" x14ac:dyDescent="0.2">
      <c r="A478" t="s">
        <v>3325</v>
      </c>
      <c r="B478">
        <v>87500</v>
      </c>
      <c r="C478">
        <v>1458</v>
      </c>
      <c r="F478" s="4" t="s">
        <v>3656</v>
      </c>
      <c r="G478">
        <v>0.36760929243239299</v>
      </c>
      <c r="H478">
        <f t="shared" si="15"/>
        <v>0.57837181044957475</v>
      </c>
      <c r="I478">
        <f t="shared" si="14"/>
        <v>3</v>
      </c>
    </row>
    <row r="479" spans="1:9" ht="48" x14ac:dyDescent="0.2">
      <c r="A479" t="s">
        <v>3277</v>
      </c>
      <c r="B479">
        <v>87604</v>
      </c>
      <c r="C479">
        <v>1297</v>
      </c>
      <c r="F479" s="4" t="s">
        <v>3792</v>
      </c>
      <c r="G479">
        <v>0.36768624669000227</v>
      </c>
      <c r="H479">
        <f t="shared" si="15"/>
        <v>0.57958687727825031</v>
      </c>
      <c r="I479">
        <f t="shared" si="14"/>
        <v>3</v>
      </c>
    </row>
    <row r="480" spans="1:9" ht="48" x14ac:dyDescent="0.2">
      <c r="A480" t="s">
        <v>3710</v>
      </c>
      <c r="B480">
        <v>87647</v>
      </c>
      <c r="C480">
        <v>1661</v>
      </c>
      <c r="F480" s="4" t="s">
        <v>3519</v>
      </c>
      <c r="G480">
        <v>0.36770101858148313</v>
      </c>
      <c r="H480">
        <f t="shared" si="15"/>
        <v>0.58080194410692587</v>
      </c>
      <c r="I480">
        <f t="shared" si="14"/>
        <v>3</v>
      </c>
    </row>
    <row r="481" spans="1:9" ht="48" x14ac:dyDescent="0.2">
      <c r="A481" t="s">
        <v>3323</v>
      </c>
      <c r="B481">
        <v>87917</v>
      </c>
      <c r="C481">
        <v>1407</v>
      </c>
      <c r="F481" s="4" t="s">
        <v>3793</v>
      </c>
      <c r="G481">
        <v>0.36773511254959701</v>
      </c>
      <c r="H481">
        <f t="shared" si="15"/>
        <v>0.58201701093560143</v>
      </c>
      <c r="I481">
        <f t="shared" si="14"/>
        <v>3</v>
      </c>
    </row>
    <row r="482" spans="1:9" ht="48" x14ac:dyDescent="0.2">
      <c r="A482" t="s">
        <v>3291</v>
      </c>
      <c r="B482">
        <v>88021</v>
      </c>
      <c r="C482">
        <v>1489</v>
      </c>
      <c r="F482" s="4" t="s">
        <v>3794</v>
      </c>
      <c r="G482">
        <v>0.36792641927426001</v>
      </c>
      <c r="H482">
        <f t="shared" si="15"/>
        <v>0.58323207776427699</v>
      </c>
      <c r="I482">
        <f t="shared" si="14"/>
        <v>3</v>
      </c>
    </row>
    <row r="483" spans="1:9" ht="64" x14ac:dyDescent="0.2">
      <c r="A483" t="s">
        <v>3655</v>
      </c>
      <c r="B483">
        <v>88063</v>
      </c>
      <c r="C483">
        <v>1618</v>
      </c>
      <c r="F483" s="4" t="s">
        <v>3308</v>
      </c>
      <c r="G483">
        <v>0.36823604239993979</v>
      </c>
      <c r="H483">
        <f t="shared" si="15"/>
        <v>0.58444714459295266</v>
      </c>
      <c r="I483">
        <f t="shared" si="14"/>
        <v>3</v>
      </c>
    </row>
    <row r="484" spans="1:9" ht="64" x14ac:dyDescent="0.2">
      <c r="A484" t="s">
        <v>3682</v>
      </c>
      <c r="B484">
        <v>88167</v>
      </c>
      <c r="C484">
        <v>1657</v>
      </c>
      <c r="F484" s="4" t="s">
        <v>3704</v>
      </c>
      <c r="G484">
        <v>0.36838046610782854</v>
      </c>
      <c r="H484">
        <f t="shared" si="15"/>
        <v>0.58566221142162822</v>
      </c>
      <c r="I484">
        <f t="shared" si="14"/>
        <v>3</v>
      </c>
    </row>
    <row r="485" spans="1:9" ht="64" x14ac:dyDescent="0.2">
      <c r="A485" t="s">
        <v>3111</v>
      </c>
      <c r="B485">
        <v>88167</v>
      </c>
      <c r="C485">
        <v>1264</v>
      </c>
      <c r="F485" s="4" t="s">
        <v>3573</v>
      </c>
      <c r="G485">
        <v>0.36861132549323533</v>
      </c>
      <c r="H485">
        <f t="shared" si="15"/>
        <v>0.58687727825030378</v>
      </c>
      <c r="I485">
        <f t="shared" si="14"/>
        <v>3</v>
      </c>
    </row>
    <row r="486" spans="1:9" ht="48" x14ac:dyDescent="0.2">
      <c r="A486" t="s">
        <v>3386</v>
      </c>
      <c r="B486">
        <v>88438</v>
      </c>
      <c r="C486">
        <v>1515</v>
      </c>
      <c r="F486" s="4" t="s">
        <v>3476</v>
      </c>
      <c r="G486">
        <v>0.36862632919191285</v>
      </c>
      <c r="H486">
        <f t="shared" si="15"/>
        <v>0.58809234507897934</v>
      </c>
      <c r="I486">
        <f t="shared" si="14"/>
        <v>3</v>
      </c>
    </row>
    <row r="487" spans="1:9" ht="48" x14ac:dyDescent="0.2">
      <c r="A487" t="s">
        <v>3795</v>
      </c>
      <c r="B487">
        <v>88750</v>
      </c>
      <c r="C487">
        <v>1741</v>
      </c>
      <c r="F487" s="4" t="s">
        <v>3762</v>
      </c>
      <c r="G487">
        <v>0.36875394794164051</v>
      </c>
      <c r="H487">
        <f t="shared" si="15"/>
        <v>0.5893074119076549</v>
      </c>
      <c r="I487">
        <f t="shared" si="14"/>
        <v>3</v>
      </c>
    </row>
    <row r="488" spans="1:9" ht="48" x14ac:dyDescent="0.2">
      <c r="A488" t="s">
        <v>3344</v>
      </c>
      <c r="B488">
        <v>88896</v>
      </c>
      <c r="C488">
        <v>1484</v>
      </c>
      <c r="F488" s="4" t="s">
        <v>3274</v>
      </c>
      <c r="G488">
        <v>0.36892712733127836</v>
      </c>
      <c r="H488">
        <f t="shared" si="15"/>
        <v>0.59052247873633046</v>
      </c>
      <c r="I488">
        <f t="shared" si="14"/>
        <v>3</v>
      </c>
    </row>
    <row r="489" spans="1:9" ht="64" x14ac:dyDescent="0.2">
      <c r="A489" t="s">
        <v>3273</v>
      </c>
      <c r="B489">
        <v>89036</v>
      </c>
      <c r="C489">
        <v>1489</v>
      </c>
      <c r="F489" s="4" t="s">
        <v>3764</v>
      </c>
      <c r="G489">
        <v>0.37030025611635387</v>
      </c>
      <c r="H489">
        <f t="shared" si="15"/>
        <v>0.59173754556500613</v>
      </c>
      <c r="I489">
        <f t="shared" si="14"/>
        <v>3</v>
      </c>
    </row>
    <row r="490" spans="1:9" ht="48" x14ac:dyDescent="0.2">
      <c r="A490" t="s">
        <v>3382</v>
      </c>
      <c r="B490">
        <v>89063</v>
      </c>
      <c r="C490">
        <v>1371</v>
      </c>
      <c r="F490" s="4" t="s">
        <v>3778</v>
      </c>
      <c r="G490">
        <v>0.37033955062066898</v>
      </c>
      <c r="H490">
        <f t="shared" si="15"/>
        <v>0.59295261239368169</v>
      </c>
      <c r="I490">
        <f t="shared" si="14"/>
        <v>3</v>
      </c>
    </row>
    <row r="491" spans="1:9" ht="48" x14ac:dyDescent="0.2">
      <c r="A491" t="s">
        <v>3147</v>
      </c>
      <c r="B491">
        <v>89076</v>
      </c>
      <c r="C491">
        <v>1346</v>
      </c>
      <c r="F491" s="4" t="s">
        <v>3566</v>
      </c>
      <c r="G491">
        <v>0.37038313766124809</v>
      </c>
      <c r="H491">
        <f t="shared" si="15"/>
        <v>0.59416767922235725</v>
      </c>
      <c r="I491">
        <f t="shared" si="14"/>
        <v>3</v>
      </c>
    </row>
    <row r="492" spans="1:9" ht="48" x14ac:dyDescent="0.2">
      <c r="A492" t="s">
        <v>3125</v>
      </c>
      <c r="B492">
        <v>89079</v>
      </c>
      <c r="C492">
        <v>1336</v>
      </c>
      <c r="F492" s="4" t="s">
        <v>3746</v>
      </c>
      <c r="G492">
        <v>0.37061379738751926</v>
      </c>
      <c r="H492">
        <f t="shared" si="15"/>
        <v>0.59538274605103281</v>
      </c>
      <c r="I492">
        <f t="shared" si="14"/>
        <v>3</v>
      </c>
    </row>
    <row r="493" spans="1:9" ht="48" x14ac:dyDescent="0.2">
      <c r="A493" t="s">
        <v>3492</v>
      </c>
      <c r="B493">
        <v>89079</v>
      </c>
      <c r="C493">
        <v>1650</v>
      </c>
      <c r="F493" s="4" t="s">
        <v>3506</v>
      </c>
      <c r="G493">
        <v>0.37109723441350984</v>
      </c>
      <c r="H493">
        <f t="shared" si="15"/>
        <v>0.59659781287970837</v>
      </c>
      <c r="I493">
        <f t="shared" si="14"/>
        <v>3</v>
      </c>
    </row>
    <row r="494" spans="1:9" ht="48" x14ac:dyDescent="0.2">
      <c r="A494" t="s">
        <v>3571</v>
      </c>
      <c r="B494">
        <v>89141</v>
      </c>
      <c r="C494">
        <v>1506</v>
      </c>
      <c r="F494" s="4" t="s">
        <v>3457</v>
      </c>
      <c r="G494">
        <v>0.37113953224150353</v>
      </c>
      <c r="H494">
        <f t="shared" si="15"/>
        <v>0.59781287970838393</v>
      </c>
      <c r="I494">
        <f t="shared" si="14"/>
        <v>3</v>
      </c>
    </row>
    <row r="495" spans="1:9" ht="64" x14ac:dyDescent="0.2">
      <c r="A495" t="s">
        <v>3796</v>
      </c>
      <c r="B495">
        <v>89167</v>
      </c>
      <c r="C495">
        <v>1730</v>
      </c>
      <c r="F495" s="4" t="s">
        <v>3797</v>
      </c>
      <c r="G495">
        <v>0.37117092050150924</v>
      </c>
      <c r="H495">
        <f t="shared" si="15"/>
        <v>0.59902794653705949</v>
      </c>
      <c r="I495">
        <f t="shared" si="14"/>
        <v>3</v>
      </c>
    </row>
    <row r="496" spans="1:9" ht="48" x14ac:dyDescent="0.2">
      <c r="A496" t="s">
        <v>3444</v>
      </c>
      <c r="B496">
        <v>89261</v>
      </c>
      <c r="C496">
        <v>1605</v>
      </c>
      <c r="F496" s="4" t="s">
        <v>3592</v>
      </c>
      <c r="G496">
        <v>0.37119438213244782</v>
      </c>
      <c r="H496">
        <f t="shared" si="15"/>
        <v>0.60024301336573516</v>
      </c>
      <c r="I496">
        <f t="shared" si="14"/>
        <v>4</v>
      </c>
    </row>
    <row r="497" spans="1:9" ht="48" x14ac:dyDescent="0.2">
      <c r="A497" t="s">
        <v>3051</v>
      </c>
      <c r="B497">
        <v>89292</v>
      </c>
      <c r="C497">
        <v>1193</v>
      </c>
      <c r="F497" s="4" t="s">
        <v>3798</v>
      </c>
      <c r="G497">
        <v>0.37143943719855482</v>
      </c>
      <c r="H497">
        <f t="shared" si="15"/>
        <v>0.60145808019441072</v>
      </c>
      <c r="I497">
        <f t="shared" si="14"/>
        <v>4</v>
      </c>
    </row>
    <row r="498" spans="1:9" ht="48" x14ac:dyDescent="0.2">
      <c r="A498" t="s">
        <v>3269</v>
      </c>
      <c r="B498">
        <v>89460</v>
      </c>
      <c r="C498">
        <v>1382</v>
      </c>
      <c r="F498" s="4" t="s">
        <v>3799</v>
      </c>
      <c r="G498">
        <v>0.37161913770247196</v>
      </c>
      <c r="H498">
        <f t="shared" si="15"/>
        <v>0.60267314702308628</v>
      </c>
      <c r="I498">
        <f t="shared" si="14"/>
        <v>4</v>
      </c>
    </row>
    <row r="499" spans="1:9" ht="48" x14ac:dyDescent="0.2">
      <c r="A499" t="s">
        <v>3800</v>
      </c>
      <c r="B499">
        <v>89506</v>
      </c>
      <c r="C499">
        <v>2194</v>
      </c>
      <c r="F499" s="4" t="s">
        <v>3801</v>
      </c>
      <c r="G499">
        <v>0.37243217866704359</v>
      </c>
      <c r="H499">
        <f t="shared" si="15"/>
        <v>0.60388821385176183</v>
      </c>
      <c r="I499">
        <f t="shared" si="14"/>
        <v>4</v>
      </c>
    </row>
    <row r="500" spans="1:9" ht="64" x14ac:dyDescent="0.2">
      <c r="A500" t="s">
        <v>3761</v>
      </c>
      <c r="B500">
        <v>89545</v>
      </c>
      <c r="C500">
        <v>1634</v>
      </c>
      <c r="F500" s="4" t="s">
        <v>3608</v>
      </c>
      <c r="G500">
        <v>0.3725918273730513</v>
      </c>
      <c r="H500">
        <f t="shared" si="15"/>
        <v>0.60510328068043739</v>
      </c>
      <c r="I500">
        <f t="shared" si="14"/>
        <v>4</v>
      </c>
    </row>
    <row r="501" spans="1:9" ht="48" x14ac:dyDescent="0.2">
      <c r="A501" t="s">
        <v>3418</v>
      </c>
      <c r="B501">
        <v>89691</v>
      </c>
      <c r="C501">
        <v>1552</v>
      </c>
      <c r="F501" s="4" t="s">
        <v>3802</v>
      </c>
      <c r="G501">
        <v>0.37317759101350106</v>
      </c>
      <c r="H501">
        <f t="shared" si="15"/>
        <v>0.60631834750911295</v>
      </c>
      <c r="I501">
        <f t="shared" si="14"/>
        <v>4</v>
      </c>
    </row>
    <row r="502" spans="1:9" ht="48" x14ac:dyDescent="0.2">
      <c r="A502" t="s">
        <v>3335</v>
      </c>
      <c r="B502">
        <v>89699</v>
      </c>
      <c r="C502">
        <v>1530</v>
      </c>
      <c r="F502" s="4" t="s">
        <v>3772</v>
      </c>
      <c r="G502">
        <v>0.37328322641837763</v>
      </c>
      <c r="H502">
        <f t="shared" si="15"/>
        <v>0.60753341433778862</v>
      </c>
      <c r="I502">
        <f t="shared" si="14"/>
        <v>4</v>
      </c>
    </row>
    <row r="503" spans="1:9" ht="48" x14ac:dyDescent="0.2">
      <c r="A503" t="s">
        <v>3485</v>
      </c>
      <c r="B503">
        <v>89900</v>
      </c>
      <c r="C503">
        <v>1457</v>
      </c>
      <c r="F503" s="4" t="s">
        <v>3168</v>
      </c>
      <c r="G503">
        <v>0.37340286920721982</v>
      </c>
      <c r="H503">
        <f t="shared" si="15"/>
        <v>0.60874848116646418</v>
      </c>
      <c r="I503">
        <f t="shared" si="14"/>
        <v>4</v>
      </c>
    </row>
    <row r="504" spans="1:9" ht="48" x14ac:dyDescent="0.2">
      <c r="A504" t="s">
        <v>3803</v>
      </c>
      <c r="B504">
        <v>89985</v>
      </c>
      <c r="C504">
        <v>1860</v>
      </c>
      <c r="F504" s="4" t="s">
        <v>3804</v>
      </c>
      <c r="G504">
        <v>0.3739027069320453</v>
      </c>
      <c r="H504">
        <f t="shared" si="15"/>
        <v>0.60996354799513974</v>
      </c>
      <c r="I504">
        <f t="shared" si="14"/>
        <v>4</v>
      </c>
    </row>
    <row r="505" spans="1:9" ht="48" x14ac:dyDescent="0.2">
      <c r="A505" t="s">
        <v>3805</v>
      </c>
      <c r="B505">
        <v>90000</v>
      </c>
      <c r="C505">
        <v>1798</v>
      </c>
      <c r="F505" s="4" t="s">
        <v>3806</v>
      </c>
      <c r="G505">
        <v>0.37435811869582913</v>
      </c>
      <c r="H505">
        <f t="shared" si="15"/>
        <v>0.6111786148238153</v>
      </c>
      <c r="I505">
        <f t="shared" si="14"/>
        <v>4</v>
      </c>
    </row>
    <row r="506" spans="1:9" ht="64" x14ac:dyDescent="0.2">
      <c r="A506" t="s">
        <v>3083</v>
      </c>
      <c r="B506">
        <v>90054</v>
      </c>
      <c r="C506">
        <v>1342</v>
      </c>
      <c r="F506" s="4" t="s">
        <v>3472</v>
      </c>
      <c r="G506">
        <v>0.37494351489196098</v>
      </c>
      <c r="H506">
        <f t="shared" si="15"/>
        <v>0.61239368165249086</v>
      </c>
      <c r="I506">
        <f t="shared" si="14"/>
        <v>4</v>
      </c>
    </row>
    <row r="507" spans="1:9" ht="48" x14ac:dyDescent="0.2">
      <c r="A507" t="s">
        <v>3623</v>
      </c>
      <c r="B507">
        <v>90141</v>
      </c>
      <c r="C507">
        <v>1623</v>
      </c>
      <c r="F507" s="4" t="s">
        <v>3606</v>
      </c>
      <c r="G507">
        <v>0.37499697838731944</v>
      </c>
      <c r="H507">
        <f t="shared" si="15"/>
        <v>0.61360874848116642</v>
      </c>
      <c r="I507">
        <f t="shared" si="14"/>
        <v>4</v>
      </c>
    </row>
    <row r="508" spans="1:9" ht="48" x14ac:dyDescent="0.2">
      <c r="A508" t="s">
        <v>3774</v>
      </c>
      <c r="B508">
        <v>90150</v>
      </c>
      <c r="C508">
        <v>1651</v>
      </c>
      <c r="F508" s="4" t="s">
        <v>3807</v>
      </c>
      <c r="G508">
        <v>0.37518114578874051</v>
      </c>
      <c r="H508">
        <f t="shared" si="15"/>
        <v>0.61482381530984209</v>
      </c>
      <c r="I508">
        <f t="shared" si="14"/>
        <v>4</v>
      </c>
    </row>
    <row r="509" spans="1:9" ht="48" x14ac:dyDescent="0.2">
      <c r="A509" t="s">
        <v>3039</v>
      </c>
      <c r="B509">
        <v>90156</v>
      </c>
      <c r="C509">
        <v>1138</v>
      </c>
      <c r="F509" s="4" t="s">
        <v>3808</v>
      </c>
      <c r="G509">
        <v>0.37549526211623308</v>
      </c>
      <c r="H509">
        <f t="shared" si="15"/>
        <v>0.61603888213851765</v>
      </c>
      <c r="I509">
        <f t="shared" si="14"/>
        <v>4</v>
      </c>
    </row>
    <row r="510" spans="1:9" ht="64" x14ac:dyDescent="0.2">
      <c r="A510" t="s">
        <v>3496</v>
      </c>
      <c r="B510">
        <v>90285</v>
      </c>
      <c r="C510">
        <v>1466</v>
      </c>
      <c r="F510" s="4" t="s">
        <v>3638</v>
      </c>
      <c r="G510">
        <v>0.37565056728080132</v>
      </c>
      <c r="H510">
        <f t="shared" si="15"/>
        <v>0.61725394896719321</v>
      </c>
      <c r="I510">
        <f t="shared" si="14"/>
        <v>4</v>
      </c>
    </row>
    <row r="511" spans="1:9" ht="48" x14ac:dyDescent="0.2">
      <c r="A511" t="s">
        <v>3481</v>
      </c>
      <c r="B511">
        <v>90375</v>
      </c>
      <c r="C511">
        <v>1581</v>
      </c>
      <c r="F511" s="4" t="s">
        <v>3809</v>
      </c>
      <c r="G511">
        <v>0.37594612795555238</v>
      </c>
      <c r="H511">
        <f t="shared" si="15"/>
        <v>0.61846901579586877</v>
      </c>
      <c r="I511">
        <f t="shared" si="14"/>
        <v>4</v>
      </c>
    </row>
    <row r="512" spans="1:9" ht="64" x14ac:dyDescent="0.2">
      <c r="A512" t="s">
        <v>3185</v>
      </c>
      <c r="B512">
        <v>90500</v>
      </c>
      <c r="C512">
        <v>1343</v>
      </c>
      <c r="F512" s="4" t="s">
        <v>3810</v>
      </c>
      <c r="G512">
        <v>0.37618406562845047</v>
      </c>
      <c r="H512">
        <f t="shared" si="15"/>
        <v>0.61968408262454433</v>
      </c>
      <c r="I512">
        <f t="shared" si="14"/>
        <v>4</v>
      </c>
    </row>
    <row r="513" spans="1:9" ht="64" x14ac:dyDescent="0.2">
      <c r="A513" t="s">
        <v>3811</v>
      </c>
      <c r="B513">
        <v>90527</v>
      </c>
      <c r="C513">
        <v>1773</v>
      </c>
      <c r="F513" s="4" t="s">
        <v>3664</v>
      </c>
      <c r="G513">
        <v>0.37640506312392474</v>
      </c>
      <c r="H513">
        <f t="shared" si="15"/>
        <v>0.62089914945321989</v>
      </c>
      <c r="I513">
        <f t="shared" si="14"/>
        <v>4</v>
      </c>
    </row>
    <row r="514" spans="1:9" ht="48" x14ac:dyDescent="0.2">
      <c r="A514" t="s">
        <v>3043</v>
      </c>
      <c r="B514">
        <v>90543</v>
      </c>
      <c r="C514">
        <v>1204</v>
      </c>
      <c r="F514" s="4" t="s">
        <v>3796</v>
      </c>
      <c r="G514">
        <v>0.37685461640238455</v>
      </c>
      <c r="H514">
        <f t="shared" si="15"/>
        <v>0.62211421628189545</v>
      </c>
      <c r="I514">
        <f t="shared" si="14"/>
        <v>4</v>
      </c>
    </row>
    <row r="515" spans="1:9" ht="48" x14ac:dyDescent="0.2">
      <c r="A515" t="s">
        <v>3534</v>
      </c>
      <c r="B515">
        <v>90563</v>
      </c>
      <c r="C515">
        <v>1509</v>
      </c>
      <c r="F515" s="4" t="s">
        <v>3730</v>
      </c>
      <c r="G515">
        <v>0.37698819945484185</v>
      </c>
      <c r="H515">
        <f t="shared" si="15"/>
        <v>0.62332928311057112</v>
      </c>
      <c r="I515">
        <f t="shared" ref="I515:I578" si="16">IF(H515&lt;0.2,1,IF(H515&lt;0.4,2,IF(H515&lt;0.6,3,IF(H515&lt;0.8,4,5))))</f>
        <v>4</v>
      </c>
    </row>
    <row r="516" spans="1:9" ht="48" x14ac:dyDescent="0.2">
      <c r="A516" t="s">
        <v>3812</v>
      </c>
      <c r="B516">
        <v>90568</v>
      </c>
      <c r="C516">
        <v>1958</v>
      </c>
      <c r="F516" s="4" t="s">
        <v>3813</v>
      </c>
      <c r="G516">
        <v>0.37788336365517661</v>
      </c>
      <c r="H516">
        <f t="shared" ref="H516:H579" si="17">_xlfn.RANK.EQ(G516,$G$3:$G$825,1)/COUNT($G$3:$G$825)</f>
        <v>0.62454434993924668</v>
      </c>
      <c r="I516">
        <f t="shared" si="16"/>
        <v>4</v>
      </c>
    </row>
    <row r="517" spans="1:9" ht="48" x14ac:dyDescent="0.2">
      <c r="A517" t="s">
        <v>3175</v>
      </c>
      <c r="B517">
        <v>90571</v>
      </c>
      <c r="C517">
        <v>1431</v>
      </c>
      <c r="F517" s="4" t="s">
        <v>3781</v>
      </c>
      <c r="G517">
        <v>0.37841612419545395</v>
      </c>
      <c r="H517">
        <f t="shared" si="17"/>
        <v>0.62575941676792224</v>
      </c>
      <c r="I517">
        <f t="shared" si="16"/>
        <v>4</v>
      </c>
    </row>
    <row r="518" spans="1:9" ht="48" x14ac:dyDescent="0.2">
      <c r="A518" t="s">
        <v>3771</v>
      </c>
      <c r="B518">
        <v>90644</v>
      </c>
      <c r="C518">
        <v>1726</v>
      </c>
      <c r="F518" s="4" t="s">
        <v>3814</v>
      </c>
      <c r="G518">
        <v>0.37864504414201916</v>
      </c>
      <c r="H518">
        <f t="shared" si="17"/>
        <v>0.6269744835965978</v>
      </c>
      <c r="I518">
        <f t="shared" si="16"/>
        <v>4</v>
      </c>
    </row>
    <row r="519" spans="1:9" ht="48" x14ac:dyDescent="0.2">
      <c r="A519" t="s">
        <v>3815</v>
      </c>
      <c r="B519">
        <v>90913</v>
      </c>
      <c r="C519">
        <v>1857</v>
      </c>
      <c r="F519" s="4" t="s">
        <v>3816</v>
      </c>
      <c r="G519">
        <v>0.37874563445570386</v>
      </c>
      <c r="H519">
        <f t="shared" si="17"/>
        <v>0.62818955042527336</v>
      </c>
      <c r="I519">
        <f t="shared" si="16"/>
        <v>4</v>
      </c>
    </row>
    <row r="520" spans="1:9" ht="48" x14ac:dyDescent="0.2">
      <c r="A520" t="s">
        <v>3814</v>
      </c>
      <c r="B520">
        <v>90929</v>
      </c>
      <c r="C520">
        <v>1930</v>
      </c>
      <c r="F520" s="4" t="s">
        <v>3788</v>
      </c>
      <c r="G520">
        <v>0.37900861699042743</v>
      </c>
      <c r="H520">
        <f t="shared" si="17"/>
        <v>0.62940461725394892</v>
      </c>
      <c r="I520">
        <f t="shared" si="16"/>
        <v>4</v>
      </c>
    </row>
    <row r="521" spans="1:9" ht="64" x14ac:dyDescent="0.2">
      <c r="A521" t="s">
        <v>3187</v>
      </c>
      <c r="B521">
        <v>91125</v>
      </c>
      <c r="C521">
        <v>1374</v>
      </c>
      <c r="F521" s="4" t="s">
        <v>3817</v>
      </c>
      <c r="G521">
        <v>0.37940035929392119</v>
      </c>
      <c r="H521">
        <f t="shared" si="17"/>
        <v>0.63061968408262459</v>
      </c>
      <c r="I521">
        <f t="shared" si="16"/>
        <v>4</v>
      </c>
    </row>
    <row r="522" spans="1:9" ht="48" x14ac:dyDescent="0.2">
      <c r="A522" t="s">
        <v>3670</v>
      </c>
      <c r="B522">
        <v>91129</v>
      </c>
      <c r="C522">
        <v>1605</v>
      </c>
      <c r="F522" s="4" t="s">
        <v>3393</v>
      </c>
      <c r="G522">
        <v>0.37951868073223549</v>
      </c>
      <c r="H522">
        <f t="shared" si="17"/>
        <v>0.63183475091130015</v>
      </c>
      <c r="I522">
        <f t="shared" si="16"/>
        <v>4</v>
      </c>
    </row>
    <row r="523" spans="1:9" ht="64" x14ac:dyDescent="0.2">
      <c r="A523" t="s">
        <v>3634</v>
      </c>
      <c r="B523">
        <v>91170</v>
      </c>
      <c r="C523">
        <v>1516</v>
      </c>
      <c r="F523" s="4" t="s">
        <v>3795</v>
      </c>
      <c r="G523">
        <v>0.37957563690693702</v>
      </c>
      <c r="H523">
        <f t="shared" si="17"/>
        <v>0.63304981773997571</v>
      </c>
      <c r="I523">
        <f t="shared" si="16"/>
        <v>4</v>
      </c>
    </row>
    <row r="524" spans="1:9" ht="48" x14ac:dyDescent="0.2">
      <c r="A524" t="s">
        <v>3231</v>
      </c>
      <c r="B524">
        <v>91250</v>
      </c>
      <c r="C524">
        <v>1361</v>
      </c>
      <c r="F524" s="4" t="s">
        <v>3544</v>
      </c>
      <c r="G524">
        <v>0.38046995141204981</v>
      </c>
      <c r="H524">
        <f t="shared" si="17"/>
        <v>0.63426488456865127</v>
      </c>
      <c r="I524">
        <f t="shared" si="16"/>
        <v>4</v>
      </c>
    </row>
    <row r="525" spans="1:9" ht="48" x14ac:dyDescent="0.2">
      <c r="A525" t="s">
        <v>3699</v>
      </c>
      <c r="B525">
        <v>91375</v>
      </c>
      <c r="C525">
        <v>1709</v>
      </c>
      <c r="F525" s="4" t="s">
        <v>3387</v>
      </c>
      <c r="G525">
        <v>0.38111504521338313</v>
      </c>
      <c r="H525">
        <f t="shared" si="17"/>
        <v>0.63547995139732683</v>
      </c>
      <c r="I525">
        <f t="shared" si="16"/>
        <v>4</v>
      </c>
    </row>
    <row r="526" spans="1:9" ht="48" x14ac:dyDescent="0.2">
      <c r="A526" t="s">
        <v>3676</v>
      </c>
      <c r="B526">
        <v>91383</v>
      </c>
      <c r="C526">
        <v>1648</v>
      </c>
      <c r="F526" s="4" t="s">
        <v>3590</v>
      </c>
      <c r="G526">
        <v>0.38126965600462231</v>
      </c>
      <c r="H526">
        <f t="shared" si="17"/>
        <v>0.63669501822600238</v>
      </c>
      <c r="I526">
        <f t="shared" si="16"/>
        <v>4</v>
      </c>
    </row>
    <row r="527" spans="1:9" ht="48" x14ac:dyDescent="0.2">
      <c r="A527" t="s">
        <v>3818</v>
      </c>
      <c r="B527">
        <v>91467</v>
      </c>
      <c r="C527">
        <v>1873</v>
      </c>
      <c r="F527" s="4" t="s">
        <v>3819</v>
      </c>
      <c r="G527">
        <v>0.38186530443292716</v>
      </c>
      <c r="H527">
        <f t="shared" si="17"/>
        <v>0.63791008505467806</v>
      </c>
      <c r="I527">
        <f t="shared" si="16"/>
        <v>4</v>
      </c>
    </row>
    <row r="528" spans="1:9" ht="48" x14ac:dyDescent="0.2">
      <c r="A528" t="s">
        <v>3820</v>
      </c>
      <c r="B528">
        <v>91500</v>
      </c>
      <c r="C528">
        <v>1696</v>
      </c>
      <c r="F528" s="4" t="s">
        <v>3460</v>
      </c>
      <c r="G528">
        <v>0.38228873893402238</v>
      </c>
      <c r="H528">
        <f t="shared" si="17"/>
        <v>0.63912515188335361</v>
      </c>
      <c r="I528">
        <f t="shared" si="16"/>
        <v>4</v>
      </c>
    </row>
    <row r="529" spans="1:9" ht="48" x14ac:dyDescent="0.2">
      <c r="A529" t="s">
        <v>3821</v>
      </c>
      <c r="B529">
        <v>91556</v>
      </c>
      <c r="C529">
        <v>1979</v>
      </c>
      <c r="F529" s="4" t="s">
        <v>3822</v>
      </c>
      <c r="G529">
        <v>0.3823677179732749</v>
      </c>
      <c r="H529">
        <f t="shared" si="17"/>
        <v>0.64034021871202917</v>
      </c>
      <c r="I529">
        <f t="shared" si="16"/>
        <v>4</v>
      </c>
    </row>
    <row r="530" spans="1:9" ht="64" x14ac:dyDescent="0.2">
      <c r="A530" t="s">
        <v>3213</v>
      </c>
      <c r="B530">
        <v>91591</v>
      </c>
      <c r="C530">
        <v>1429</v>
      </c>
      <c r="F530" s="4" t="s">
        <v>3823</v>
      </c>
      <c r="G530">
        <v>0.38243058388898854</v>
      </c>
      <c r="H530">
        <f t="shared" si="17"/>
        <v>0.64155528554070473</v>
      </c>
      <c r="I530">
        <f t="shared" si="16"/>
        <v>4</v>
      </c>
    </row>
    <row r="531" spans="1:9" ht="48" x14ac:dyDescent="0.2">
      <c r="A531" t="s">
        <v>3358</v>
      </c>
      <c r="B531">
        <v>91684</v>
      </c>
      <c r="C531">
        <v>1462</v>
      </c>
      <c r="F531" s="4" t="s">
        <v>3603</v>
      </c>
      <c r="G531">
        <v>0.3831824685513528</v>
      </c>
      <c r="H531">
        <f t="shared" si="17"/>
        <v>0.64277035236938029</v>
      </c>
      <c r="I531">
        <f t="shared" si="16"/>
        <v>4</v>
      </c>
    </row>
    <row r="532" spans="1:9" ht="48" x14ac:dyDescent="0.2">
      <c r="A532" t="s">
        <v>3792</v>
      </c>
      <c r="B532">
        <v>91829</v>
      </c>
      <c r="C532">
        <v>1762</v>
      </c>
      <c r="F532" s="4" t="s">
        <v>3824</v>
      </c>
      <c r="G532">
        <v>0.38332709578777618</v>
      </c>
      <c r="H532">
        <f t="shared" si="17"/>
        <v>0.64398541919805585</v>
      </c>
      <c r="I532">
        <f t="shared" si="16"/>
        <v>4</v>
      </c>
    </row>
    <row r="533" spans="1:9" ht="48" x14ac:dyDescent="0.2">
      <c r="A533" t="s">
        <v>3574</v>
      </c>
      <c r="B533">
        <v>91836</v>
      </c>
      <c r="C533">
        <v>1586</v>
      </c>
      <c r="F533" s="4" t="s">
        <v>3805</v>
      </c>
      <c r="G533">
        <v>0.38357333333333332</v>
      </c>
      <c r="H533">
        <f t="shared" si="17"/>
        <v>0.64520048602673152</v>
      </c>
      <c r="I533">
        <f t="shared" si="16"/>
        <v>4</v>
      </c>
    </row>
    <row r="534" spans="1:9" ht="48" x14ac:dyDescent="0.2">
      <c r="A534" t="s">
        <v>3561</v>
      </c>
      <c r="B534">
        <v>91932</v>
      </c>
      <c r="C534">
        <v>1596</v>
      </c>
      <c r="F534" s="4" t="s">
        <v>3503</v>
      </c>
      <c r="G534">
        <v>0.38496170500636517</v>
      </c>
      <c r="H534">
        <f t="shared" si="17"/>
        <v>0.64641555285540708</v>
      </c>
      <c r="I534">
        <f t="shared" si="16"/>
        <v>4</v>
      </c>
    </row>
    <row r="535" spans="1:9" ht="48" x14ac:dyDescent="0.2">
      <c r="A535" t="s">
        <v>3402</v>
      </c>
      <c r="B535">
        <v>91973</v>
      </c>
      <c r="C535">
        <v>1465</v>
      </c>
      <c r="F535" s="4" t="s">
        <v>3455</v>
      </c>
      <c r="G535">
        <v>0.38555619728497731</v>
      </c>
      <c r="H535">
        <f t="shared" si="17"/>
        <v>0.64763061968408264</v>
      </c>
      <c r="I535">
        <f t="shared" si="16"/>
        <v>4</v>
      </c>
    </row>
    <row r="536" spans="1:9" ht="48" x14ac:dyDescent="0.2">
      <c r="A536" t="s">
        <v>3825</v>
      </c>
      <c r="B536">
        <v>91996</v>
      </c>
      <c r="C536">
        <v>2280</v>
      </c>
      <c r="F536" s="4" t="s">
        <v>3826</v>
      </c>
      <c r="G536">
        <v>0.38602573793593115</v>
      </c>
      <c r="H536">
        <f t="shared" si="17"/>
        <v>0.6488456865127582</v>
      </c>
      <c r="I536">
        <f t="shared" si="16"/>
        <v>4</v>
      </c>
    </row>
    <row r="537" spans="1:9" ht="48" x14ac:dyDescent="0.2">
      <c r="A537" t="s">
        <v>3414</v>
      </c>
      <c r="B537">
        <v>92283</v>
      </c>
      <c r="C537">
        <v>1493</v>
      </c>
      <c r="F537" s="4" t="s">
        <v>3827</v>
      </c>
      <c r="G537">
        <v>0.38615899413002441</v>
      </c>
      <c r="H537">
        <f t="shared" si="17"/>
        <v>0.65006075334143376</v>
      </c>
      <c r="I537">
        <f t="shared" si="16"/>
        <v>4</v>
      </c>
    </row>
    <row r="538" spans="1:9" ht="48" x14ac:dyDescent="0.2">
      <c r="A538" t="s">
        <v>3061</v>
      </c>
      <c r="B538">
        <v>92500</v>
      </c>
      <c r="C538">
        <v>1268</v>
      </c>
      <c r="F538" s="4" t="s">
        <v>3828</v>
      </c>
      <c r="G538">
        <v>0.38698856412661004</v>
      </c>
      <c r="H538">
        <f t="shared" si="17"/>
        <v>0.65127582017010932</v>
      </c>
      <c r="I538">
        <f t="shared" si="16"/>
        <v>4</v>
      </c>
    </row>
    <row r="539" spans="1:9" ht="48" x14ac:dyDescent="0.2">
      <c r="A539" t="s">
        <v>3518</v>
      </c>
      <c r="B539">
        <v>92750</v>
      </c>
      <c r="C539">
        <v>1582</v>
      </c>
      <c r="F539" s="4" t="s">
        <v>3666</v>
      </c>
      <c r="G539">
        <v>0.38724937236944418</v>
      </c>
      <c r="H539">
        <f t="shared" si="17"/>
        <v>0.65249088699878488</v>
      </c>
      <c r="I539">
        <f t="shared" si="16"/>
        <v>4</v>
      </c>
    </row>
    <row r="540" spans="1:9" ht="48" x14ac:dyDescent="0.2">
      <c r="A540" t="s">
        <v>3067</v>
      </c>
      <c r="B540">
        <v>92813</v>
      </c>
      <c r="C540">
        <v>1280</v>
      </c>
      <c r="F540" s="4" t="s">
        <v>3531</v>
      </c>
      <c r="G540">
        <v>0.38759912524531426</v>
      </c>
      <c r="H540">
        <f t="shared" si="17"/>
        <v>0.65370595382746055</v>
      </c>
      <c r="I540">
        <f t="shared" si="16"/>
        <v>4</v>
      </c>
    </row>
    <row r="541" spans="1:9" ht="64" x14ac:dyDescent="0.2">
      <c r="A541" t="s">
        <v>3327</v>
      </c>
      <c r="B541">
        <v>93125</v>
      </c>
      <c r="C541">
        <v>1552</v>
      </c>
      <c r="F541" s="4" t="s">
        <v>3829</v>
      </c>
      <c r="G541">
        <v>0.3876007719873083</v>
      </c>
      <c r="H541">
        <f t="shared" si="17"/>
        <v>0.65492102065613611</v>
      </c>
      <c r="I541">
        <f t="shared" si="16"/>
        <v>4</v>
      </c>
    </row>
    <row r="542" spans="1:9" ht="48" x14ac:dyDescent="0.2">
      <c r="A542" t="s">
        <v>3479</v>
      </c>
      <c r="B542">
        <v>93403</v>
      </c>
      <c r="C542">
        <v>1502</v>
      </c>
      <c r="F542" s="4" t="s">
        <v>3830</v>
      </c>
      <c r="G542">
        <v>0.38821967977844024</v>
      </c>
      <c r="H542">
        <f t="shared" si="17"/>
        <v>0.65613608748481167</v>
      </c>
      <c r="I542">
        <f t="shared" si="16"/>
        <v>4</v>
      </c>
    </row>
    <row r="543" spans="1:9" ht="48" x14ac:dyDescent="0.2">
      <c r="A543" t="s">
        <v>3045</v>
      </c>
      <c r="B543">
        <v>93472</v>
      </c>
      <c r="C543">
        <v>1240</v>
      </c>
      <c r="F543" s="4" t="s">
        <v>3775</v>
      </c>
      <c r="G543">
        <v>0.38854204997367486</v>
      </c>
      <c r="H543">
        <f t="shared" si="17"/>
        <v>0.65735115431348723</v>
      </c>
      <c r="I543">
        <f t="shared" si="16"/>
        <v>4</v>
      </c>
    </row>
    <row r="544" spans="1:9" ht="64" x14ac:dyDescent="0.2">
      <c r="A544" t="s">
        <v>3767</v>
      </c>
      <c r="B544">
        <v>93558</v>
      </c>
      <c r="C544">
        <v>1831</v>
      </c>
      <c r="F544" s="4" t="s">
        <v>3256</v>
      </c>
      <c r="G544">
        <v>0.3886378007418908</v>
      </c>
      <c r="H544">
        <f t="shared" si="17"/>
        <v>0.65856622114216279</v>
      </c>
      <c r="I544">
        <f t="shared" si="16"/>
        <v>4</v>
      </c>
    </row>
    <row r="545" spans="1:9" ht="48" x14ac:dyDescent="0.2">
      <c r="A545" t="s">
        <v>3471</v>
      </c>
      <c r="B545">
        <v>93571</v>
      </c>
      <c r="C545">
        <v>1586</v>
      </c>
      <c r="F545" s="4" t="s">
        <v>3831</v>
      </c>
      <c r="G545">
        <v>0.38887093691906516</v>
      </c>
      <c r="H545">
        <f t="shared" si="17"/>
        <v>0.65978128797083835</v>
      </c>
      <c r="I545">
        <f t="shared" si="16"/>
        <v>4</v>
      </c>
    </row>
    <row r="546" spans="1:9" ht="48" x14ac:dyDescent="0.2">
      <c r="A546" t="s">
        <v>3791</v>
      </c>
      <c r="B546">
        <v>93632</v>
      </c>
      <c r="C546">
        <v>1699</v>
      </c>
      <c r="F546" s="4" t="s">
        <v>3529</v>
      </c>
      <c r="G546">
        <v>0.38888362019727418</v>
      </c>
      <c r="H546">
        <f t="shared" si="17"/>
        <v>0.66099635479951402</v>
      </c>
      <c r="I546">
        <f t="shared" si="16"/>
        <v>4</v>
      </c>
    </row>
    <row r="547" spans="1:9" ht="48" x14ac:dyDescent="0.2">
      <c r="A547" t="s">
        <v>3346</v>
      </c>
      <c r="B547">
        <v>93839</v>
      </c>
      <c r="C547">
        <v>1487</v>
      </c>
      <c r="F547" s="4" t="s">
        <v>3280</v>
      </c>
      <c r="G547">
        <v>0.38938631461995948</v>
      </c>
      <c r="H547">
        <f t="shared" si="17"/>
        <v>0.66221142162818958</v>
      </c>
      <c r="I547">
        <f t="shared" si="16"/>
        <v>4</v>
      </c>
    </row>
    <row r="548" spans="1:9" ht="48" x14ac:dyDescent="0.2">
      <c r="A548" t="s">
        <v>3751</v>
      </c>
      <c r="B548">
        <v>93843</v>
      </c>
      <c r="C548">
        <v>1818</v>
      </c>
      <c r="F548" s="4" t="s">
        <v>3419</v>
      </c>
      <c r="G548">
        <v>0.39016400433899129</v>
      </c>
      <c r="H548">
        <f t="shared" si="17"/>
        <v>0.66342648845686514</v>
      </c>
      <c r="I548">
        <f t="shared" si="16"/>
        <v>4</v>
      </c>
    </row>
    <row r="549" spans="1:9" ht="64" x14ac:dyDescent="0.2">
      <c r="A549" t="s">
        <v>3295</v>
      </c>
      <c r="B549">
        <v>93945</v>
      </c>
      <c r="C549">
        <v>1594</v>
      </c>
      <c r="F549" s="4" t="s">
        <v>3369</v>
      </c>
      <c r="G549">
        <v>0.39032662280251046</v>
      </c>
      <c r="H549">
        <f t="shared" si="17"/>
        <v>0.6646415552855407</v>
      </c>
      <c r="I549">
        <f t="shared" si="16"/>
        <v>4</v>
      </c>
    </row>
    <row r="550" spans="1:9" ht="48" x14ac:dyDescent="0.2">
      <c r="A550" t="s">
        <v>3331</v>
      </c>
      <c r="B550">
        <v>94167</v>
      </c>
      <c r="C550">
        <v>1496</v>
      </c>
      <c r="F550" s="4" t="s">
        <v>3652</v>
      </c>
      <c r="G550">
        <v>0.3904120959603456</v>
      </c>
      <c r="H550">
        <f t="shared" si="17"/>
        <v>0.66585662211421626</v>
      </c>
      <c r="I550">
        <f t="shared" si="16"/>
        <v>4</v>
      </c>
    </row>
    <row r="551" spans="1:9" ht="48" x14ac:dyDescent="0.2">
      <c r="A551" t="s">
        <v>3641</v>
      </c>
      <c r="B551">
        <v>94434</v>
      </c>
      <c r="C551">
        <v>1597</v>
      </c>
      <c r="F551" s="4" t="s">
        <v>3811</v>
      </c>
      <c r="G551">
        <v>0.39045086948080671</v>
      </c>
      <c r="H551">
        <f t="shared" si="17"/>
        <v>0.66707168894289182</v>
      </c>
      <c r="I551">
        <f t="shared" si="16"/>
        <v>4</v>
      </c>
    </row>
    <row r="552" spans="1:9" ht="48" x14ac:dyDescent="0.2">
      <c r="A552" t="s">
        <v>3376</v>
      </c>
      <c r="B552">
        <v>94576</v>
      </c>
      <c r="C552">
        <v>1475</v>
      </c>
      <c r="F552" s="4" t="s">
        <v>3832</v>
      </c>
      <c r="G552">
        <v>0.39167862355087463</v>
      </c>
      <c r="H552">
        <f t="shared" si="17"/>
        <v>0.66828675577156749</v>
      </c>
      <c r="I552">
        <f t="shared" si="16"/>
        <v>4</v>
      </c>
    </row>
    <row r="553" spans="1:9" ht="48" x14ac:dyDescent="0.2">
      <c r="A553" t="s">
        <v>3223</v>
      </c>
      <c r="B553">
        <v>94592</v>
      </c>
      <c r="C553">
        <v>1565</v>
      </c>
      <c r="F553" s="4" t="s">
        <v>3582</v>
      </c>
      <c r="G553">
        <v>0.39234866281671532</v>
      </c>
      <c r="H553">
        <f t="shared" si="17"/>
        <v>0.66950182260024305</v>
      </c>
      <c r="I553">
        <f t="shared" si="16"/>
        <v>4</v>
      </c>
    </row>
    <row r="554" spans="1:9" ht="48" x14ac:dyDescent="0.2">
      <c r="A554" t="s">
        <v>3477</v>
      </c>
      <c r="B554">
        <v>94872</v>
      </c>
      <c r="C554">
        <v>1648</v>
      </c>
      <c r="F554" s="4" t="s">
        <v>3403</v>
      </c>
      <c r="G554">
        <v>0.39264865622854983</v>
      </c>
      <c r="H554">
        <f t="shared" si="17"/>
        <v>0.67071688942891861</v>
      </c>
      <c r="I554">
        <f t="shared" si="16"/>
        <v>4</v>
      </c>
    </row>
    <row r="555" spans="1:9" ht="48" x14ac:dyDescent="0.2">
      <c r="A555" t="s">
        <v>3708</v>
      </c>
      <c r="B555">
        <v>95057</v>
      </c>
      <c r="C555">
        <v>1694</v>
      </c>
      <c r="F555" s="4" t="s">
        <v>3385</v>
      </c>
      <c r="G555">
        <v>0.39463060389373783</v>
      </c>
      <c r="H555">
        <f t="shared" si="17"/>
        <v>0.67193195625759417</v>
      </c>
      <c r="I555">
        <f t="shared" si="16"/>
        <v>4</v>
      </c>
    </row>
    <row r="556" spans="1:9" ht="48" x14ac:dyDescent="0.2">
      <c r="A556" t="s">
        <v>3490</v>
      </c>
      <c r="B556">
        <v>95125</v>
      </c>
      <c r="C556">
        <v>1710</v>
      </c>
      <c r="F556" s="4" t="s">
        <v>3632</v>
      </c>
      <c r="G556">
        <v>0.39486695368381997</v>
      </c>
      <c r="H556">
        <f t="shared" si="17"/>
        <v>0.67314702308626972</v>
      </c>
      <c r="I556">
        <f t="shared" si="16"/>
        <v>4</v>
      </c>
    </row>
    <row r="557" spans="1:9" ht="64" x14ac:dyDescent="0.2">
      <c r="A557" t="s">
        <v>3659</v>
      </c>
      <c r="B557">
        <v>95234</v>
      </c>
      <c r="C557">
        <v>1694</v>
      </c>
      <c r="F557" s="4" t="s">
        <v>3624</v>
      </c>
      <c r="G557">
        <v>0.39509429886164232</v>
      </c>
      <c r="H557">
        <f t="shared" si="17"/>
        <v>0.67436208991494528</v>
      </c>
      <c r="I557">
        <f t="shared" si="16"/>
        <v>4</v>
      </c>
    </row>
    <row r="558" spans="1:9" ht="48" x14ac:dyDescent="0.2">
      <c r="A558" t="s">
        <v>3105</v>
      </c>
      <c r="B558">
        <v>95240</v>
      </c>
      <c r="C558">
        <v>1358</v>
      </c>
      <c r="F558" s="4" t="s">
        <v>3833</v>
      </c>
      <c r="G558">
        <v>0.39529676907963773</v>
      </c>
      <c r="H558">
        <f t="shared" si="17"/>
        <v>0.67557715674362095</v>
      </c>
      <c r="I558">
        <f t="shared" si="16"/>
        <v>4</v>
      </c>
    </row>
    <row r="559" spans="1:9" ht="48" x14ac:dyDescent="0.2">
      <c r="A559" t="s">
        <v>3834</v>
      </c>
      <c r="B559">
        <v>95279</v>
      </c>
      <c r="C559">
        <v>2131</v>
      </c>
      <c r="F559" s="4" t="s">
        <v>3466</v>
      </c>
      <c r="G559">
        <v>0.39556782020625852</v>
      </c>
      <c r="H559">
        <f t="shared" si="17"/>
        <v>0.67679222357229651</v>
      </c>
      <c r="I559">
        <f t="shared" si="16"/>
        <v>4</v>
      </c>
    </row>
    <row r="560" spans="1:9" ht="48" x14ac:dyDescent="0.2">
      <c r="A560" t="s">
        <v>3406</v>
      </c>
      <c r="B560">
        <v>95642</v>
      </c>
      <c r="C560">
        <v>1661</v>
      </c>
      <c r="F560" s="4" t="s">
        <v>3818</v>
      </c>
      <c r="G560">
        <v>0.39622444193153428</v>
      </c>
      <c r="H560">
        <f t="shared" si="17"/>
        <v>0.67800729040097207</v>
      </c>
      <c r="I560">
        <f t="shared" si="16"/>
        <v>4</v>
      </c>
    </row>
    <row r="561" spans="1:9" ht="64" x14ac:dyDescent="0.2">
      <c r="A561" t="s">
        <v>3085</v>
      </c>
      <c r="B561">
        <v>95795</v>
      </c>
      <c r="C561">
        <v>1421</v>
      </c>
      <c r="F561" s="4" t="s">
        <v>3835</v>
      </c>
      <c r="G561">
        <v>0.39626775550966375</v>
      </c>
      <c r="H561">
        <f t="shared" si="17"/>
        <v>0.67922235722964763</v>
      </c>
      <c r="I561">
        <f t="shared" si="16"/>
        <v>4</v>
      </c>
    </row>
    <row r="562" spans="1:9" ht="48" x14ac:dyDescent="0.2">
      <c r="A562" t="s">
        <v>3799</v>
      </c>
      <c r="B562">
        <v>95948</v>
      </c>
      <c r="C562">
        <v>1955</v>
      </c>
      <c r="F562" s="4" t="s">
        <v>3836</v>
      </c>
      <c r="G562">
        <v>0.39702714517833038</v>
      </c>
      <c r="H562">
        <f t="shared" si="17"/>
        <v>0.68043742405832319</v>
      </c>
      <c r="I562">
        <f t="shared" si="16"/>
        <v>4</v>
      </c>
    </row>
    <row r="563" spans="1:9" ht="48" x14ac:dyDescent="0.2">
      <c r="A563" t="s">
        <v>3396</v>
      </c>
      <c r="B563">
        <v>96111</v>
      </c>
      <c r="C563">
        <v>1576</v>
      </c>
      <c r="F563" s="4" t="s">
        <v>3443</v>
      </c>
      <c r="G563">
        <v>0.39834313300747404</v>
      </c>
      <c r="H563">
        <f t="shared" si="17"/>
        <v>0.68165249088699875</v>
      </c>
      <c r="I563">
        <f t="shared" si="16"/>
        <v>4</v>
      </c>
    </row>
    <row r="564" spans="1:9" ht="48" x14ac:dyDescent="0.2">
      <c r="A564" t="s">
        <v>3101</v>
      </c>
      <c r="B564">
        <v>96472</v>
      </c>
      <c r="C564">
        <v>1454</v>
      </c>
      <c r="F564" s="4" t="s">
        <v>3391</v>
      </c>
      <c r="G564">
        <v>0.40153371751234179</v>
      </c>
      <c r="H564">
        <f t="shared" si="17"/>
        <v>0.68286755771567431</v>
      </c>
      <c r="I564">
        <f t="shared" si="16"/>
        <v>4</v>
      </c>
    </row>
    <row r="565" spans="1:9" ht="48" x14ac:dyDescent="0.2">
      <c r="A565" t="s">
        <v>3259</v>
      </c>
      <c r="B565">
        <v>96607</v>
      </c>
      <c r="C565">
        <v>1494</v>
      </c>
      <c r="F565" s="4" t="s">
        <v>3646</v>
      </c>
      <c r="G565">
        <v>0.40186640588168027</v>
      </c>
      <c r="H565">
        <f t="shared" si="17"/>
        <v>0.68408262454434998</v>
      </c>
      <c r="I565">
        <f t="shared" si="16"/>
        <v>4</v>
      </c>
    </row>
    <row r="566" spans="1:9" ht="48" x14ac:dyDescent="0.2">
      <c r="A566" t="s">
        <v>3410</v>
      </c>
      <c r="B566">
        <v>96658</v>
      </c>
      <c r="C566">
        <v>1560</v>
      </c>
      <c r="F566" s="4" t="s">
        <v>3837</v>
      </c>
      <c r="G566">
        <v>0.40322523499121393</v>
      </c>
      <c r="H566">
        <f t="shared" si="17"/>
        <v>0.68529769137302554</v>
      </c>
      <c r="I566">
        <f t="shared" si="16"/>
        <v>4</v>
      </c>
    </row>
    <row r="567" spans="1:9" ht="64" x14ac:dyDescent="0.2">
      <c r="A567" t="s">
        <v>3243</v>
      </c>
      <c r="B567">
        <v>96719</v>
      </c>
      <c r="C567">
        <v>1506</v>
      </c>
      <c r="F567" s="4" t="s">
        <v>3478</v>
      </c>
      <c r="G567">
        <v>0.40397725101415188</v>
      </c>
      <c r="H567">
        <f t="shared" si="17"/>
        <v>0.6865127582017011</v>
      </c>
      <c r="I567">
        <f t="shared" si="16"/>
        <v>4</v>
      </c>
    </row>
    <row r="568" spans="1:9" ht="64" x14ac:dyDescent="0.2">
      <c r="A568" t="s">
        <v>3773</v>
      </c>
      <c r="B568">
        <v>96875</v>
      </c>
      <c r="C568">
        <v>1792</v>
      </c>
      <c r="F568" s="4" t="s">
        <v>3838</v>
      </c>
      <c r="G568">
        <v>0.40411164288619711</v>
      </c>
      <c r="H568">
        <f t="shared" si="17"/>
        <v>0.68772782503037666</v>
      </c>
      <c r="I568">
        <f t="shared" si="16"/>
        <v>4</v>
      </c>
    </row>
    <row r="569" spans="1:9" ht="48" x14ac:dyDescent="0.2">
      <c r="A569" t="s">
        <v>3807</v>
      </c>
      <c r="B569">
        <v>96916</v>
      </c>
      <c r="C569">
        <v>1905</v>
      </c>
      <c r="F569" s="4" t="s">
        <v>3758</v>
      </c>
      <c r="G569">
        <v>0.40486146272694379</v>
      </c>
      <c r="H569">
        <f t="shared" si="17"/>
        <v>0.68894289185905222</v>
      </c>
      <c r="I569">
        <f t="shared" si="16"/>
        <v>4</v>
      </c>
    </row>
    <row r="570" spans="1:9" ht="48" x14ac:dyDescent="0.2">
      <c r="A570" t="s">
        <v>3342</v>
      </c>
      <c r="B570">
        <v>97750</v>
      </c>
      <c r="C570">
        <v>1528</v>
      </c>
      <c r="F570" s="4" t="s">
        <v>3371</v>
      </c>
      <c r="G570">
        <v>0.4052051077224344</v>
      </c>
      <c r="H570">
        <f t="shared" si="17"/>
        <v>0.69015795868772778</v>
      </c>
      <c r="I570">
        <f t="shared" si="16"/>
        <v>4</v>
      </c>
    </row>
    <row r="571" spans="1:9" ht="48" x14ac:dyDescent="0.2">
      <c r="A571" t="s">
        <v>3702</v>
      </c>
      <c r="B571">
        <v>98000</v>
      </c>
      <c r="C571">
        <v>1768</v>
      </c>
      <c r="F571" s="4" t="s">
        <v>3401</v>
      </c>
      <c r="G571">
        <v>0.40562317703656658</v>
      </c>
      <c r="H571">
        <f t="shared" si="17"/>
        <v>0.69137302551640345</v>
      </c>
      <c r="I571">
        <f t="shared" si="16"/>
        <v>4</v>
      </c>
    </row>
    <row r="572" spans="1:9" ht="48" x14ac:dyDescent="0.2">
      <c r="A572" t="s">
        <v>3097</v>
      </c>
      <c r="B572">
        <v>98000</v>
      </c>
      <c r="C572">
        <v>1396</v>
      </c>
      <c r="F572" s="4" t="s">
        <v>3815</v>
      </c>
      <c r="G572">
        <v>0.40573497117121726</v>
      </c>
      <c r="H572">
        <f t="shared" si="17"/>
        <v>0.69258809234507901</v>
      </c>
      <c r="I572">
        <f t="shared" si="16"/>
        <v>4</v>
      </c>
    </row>
    <row r="573" spans="1:9" ht="48" x14ac:dyDescent="0.2">
      <c r="A573" t="s">
        <v>3301</v>
      </c>
      <c r="B573">
        <v>98250</v>
      </c>
      <c r="C573">
        <v>1570</v>
      </c>
      <c r="F573" s="4" t="s">
        <v>3839</v>
      </c>
      <c r="G573">
        <v>0.4057420508118208</v>
      </c>
      <c r="H573">
        <f t="shared" si="17"/>
        <v>0.69380315917375457</v>
      </c>
      <c r="I573">
        <f t="shared" si="16"/>
        <v>4</v>
      </c>
    </row>
    <row r="574" spans="1:9" ht="64" x14ac:dyDescent="0.2">
      <c r="A574" t="s">
        <v>3609</v>
      </c>
      <c r="B574">
        <v>98409</v>
      </c>
      <c r="C574">
        <v>1623</v>
      </c>
      <c r="F574" s="4" t="s">
        <v>3533</v>
      </c>
      <c r="G574">
        <v>0.40600256684847646</v>
      </c>
      <c r="H574">
        <f t="shared" si="17"/>
        <v>0.69501822600243013</v>
      </c>
      <c r="I574">
        <f t="shared" si="16"/>
        <v>4</v>
      </c>
    </row>
    <row r="575" spans="1:9" ht="48" x14ac:dyDescent="0.2">
      <c r="A575" t="s">
        <v>3625</v>
      </c>
      <c r="B575">
        <v>98611</v>
      </c>
      <c r="C575">
        <v>1627</v>
      </c>
      <c r="F575" s="4" t="s">
        <v>3413</v>
      </c>
      <c r="G575">
        <v>0.40637274696229947</v>
      </c>
      <c r="H575">
        <f t="shared" si="17"/>
        <v>0.69623329283110569</v>
      </c>
      <c r="I575">
        <f t="shared" si="16"/>
        <v>4</v>
      </c>
    </row>
    <row r="576" spans="1:9" ht="48" x14ac:dyDescent="0.2">
      <c r="A576" t="s">
        <v>3801</v>
      </c>
      <c r="B576">
        <v>98636</v>
      </c>
      <c r="C576">
        <v>1940</v>
      </c>
      <c r="F576" s="4" t="s">
        <v>3558</v>
      </c>
      <c r="G576">
        <v>0.40683302901247259</v>
      </c>
      <c r="H576">
        <f t="shared" si="17"/>
        <v>0.69744835965978125</v>
      </c>
      <c r="I576">
        <f t="shared" si="16"/>
        <v>4</v>
      </c>
    </row>
    <row r="577" spans="1:9" ht="48" x14ac:dyDescent="0.2">
      <c r="A577" t="s">
        <v>3309</v>
      </c>
      <c r="B577">
        <v>98664</v>
      </c>
      <c r="C577">
        <v>1549</v>
      </c>
      <c r="F577" s="4" t="s">
        <v>3840</v>
      </c>
      <c r="G577">
        <v>0.40741971344097672</v>
      </c>
      <c r="H577">
        <f t="shared" si="17"/>
        <v>0.69866342648845692</v>
      </c>
      <c r="I577">
        <f t="shared" si="16"/>
        <v>4</v>
      </c>
    </row>
    <row r="578" spans="1:9" ht="48" x14ac:dyDescent="0.2">
      <c r="A578" t="s">
        <v>3810</v>
      </c>
      <c r="B578">
        <v>99112</v>
      </c>
      <c r="C578">
        <v>1969</v>
      </c>
      <c r="F578" s="4" t="s">
        <v>3756</v>
      </c>
      <c r="G578">
        <v>0.40862806827684589</v>
      </c>
      <c r="H578">
        <f t="shared" si="17"/>
        <v>0.69987849331713248</v>
      </c>
      <c r="I578">
        <f t="shared" si="16"/>
        <v>4</v>
      </c>
    </row>
    <row r="579" spans="1:9" ht="48" x14ac:dyDescent="0.2">
      <c r="A579" t="s">
        <v>3780</v>
      </c>
      <c r="B579">
        <v>99391</v>
      </c>
      <c r="C579">
        <v>1752</v>
      </c>
      <c r="F579" s="4" t="s">
        <v>3841</v>
      </c>
      <c r="G579">
        <v>0.40907697200156468</v>
      </c>
      <c r="H579">
        <f t="shared" si="17"/>
        <v>0.70109356014580804</v>
      </c>
      <c r="I579">
        <f t="shared" ref="I579:I642" si="18">IF(H579&lt;0.2,1,IF(H579&lt;0.4,2,IF(H579&lt;0.6,3,IF(H579&lt;0.8,4,5))))</f>
        <v>4</v>
      </c>
    </row>
    <row r="580" spans="1:9" ht="64" x14ac:dyDescent="0.2">
      <c r="A580" t="s">
        <v>3151</v>
      </c>
      <c r="B580">
        <v>99554</v>
      </c>
      <c r="C580">
        <v>1497</v>
      </c>
      <c r="F580" s="4" t="s">
        <v>3322</v>
      </c>
      <c r="G580">
        <v>0.40913780303643527</v>
      </c>
      <c r="H580">
        <f t="shared" ref="H580:H643" si="19">_xlfn.RANK.EQ(G580,$G$3:$G$825,1)/COUNT($G$3:$G$825)</f>
        <v>0.7023086269744836</v>
      </c>
      <c r="I580">
        <f t="shared" si="18"/>
        <v>4</v>
      </c>
    </row>
    <row r="581" spans="1:9" ht="48" x14ac:dyDescent="0.2">
      <c r="A581" t="s">
        <v>3177</v>
      </c>
      <c r="B581">
        <v>99617</v>
      </c>
      <c r="C581">
        <v>1511</v>
      </c>
      <c r="F581" s="4" t="s">
        <v>3720</v>
      </c>
      <c r="G581">
        <v>0.40958642751884039</v>
      </c>
      <c r="H581">
        <f t="shared" si="19"/>
        <v>0.70352369380315916</v>
      </c>
      <c r="I581">
        <f t="shared" si="18"/>
        <v>4</v>
      </c>
    </row>
    <row r="582" spans="1:9" ht="64" x14ac:dyDescent="0.2">
      <c r="A582" t="s">
        <v>3195</v>
      </c>
      <c r="B582">
        <v>99722</v>
      </c>
      <c r="C582">
        <v>1473</v>
      </c>
      <c r="F582" s="4" t="s">
        <v>3353</v>
      </c>
      <c r="G582">
        <v>0.41014862258273055</v>
      </c>
      <c r="H582">
        <f t="shared" si="19"/>
        <v>0.70473876063183472</v>
      </c>
      <c r="I582">
        <f t="shared" si="18"/>
        <v>4</v>
      </c>
    </row>
    <row r="583" spans="1:9" ht="48" x14ac:dyDescent="0.2">
      <c r="A583" t="s">
        <v>3303</v>
      </c>
      <c r="B583">
        <v>99743</v>
      </c>
      <c r="C583">
        <v>1591</v>
      </c>
      <c r="F583" s="4" t="s">
        <v>3728</v>
      </c>
      <c r="G583">
        <v>0.41092062520685918</v>
      </c>
      <c r="H583">
        <f t="shared" si="19"/>
        <v>0.70595382746051027</v>
      </c>
      <c r="I583">
        <f t="shared" si="18"/>
        <v>4</v>
      </c>
    </row>
    <row r="584" spans="1:9" ht="48" x14ac:dyDescent="0.2">
      <c r="A584" t="s">
        <v>3683</v>
      </c>
      <c r="B584">
        <v>99779</v>
      </c>
      <c r="C584">
        <v>1823</v>
      </c>
      <c r="F584" s="4" t="s">
        <v>3337</v>
      </c>
      <c r="G584">
        <v>0.41093478318184218</v>
      </c>
      <c r="H584">
        <f t="shared" si="19"/>
        <v>0.70716889428918595</v>
      </c>
      <c r="I584">
        <f t="shared" si="18"/>
        <v>4</v>
      </c>
    </row>
    <row r="585" spans="1:9" ht="48" x14ac:dyDescent="0.2">
      <c r="A585" t="s">
        <v>3793</v>
      </c>
      <c r="B585">
        <v>100156</v>
      </c>
      <c r="C585">
        <v>1861</v>
      </c>
      <c r="F585" s="4" t="s">
        <v>3718</v>
      </c>
      <c r="G585">
        <v>0.41318309236958906</v>
      </c>
      <c r="H585">
        <f t="shared" si="19"/>
        <v>0.7083839611178615</v>
      </c>
      <c r="I585">
        <f t="shared" si="18"/>
        <v>4</v>
      </c>
    </row>
    <row r="586" spans="1:9" ht="48" x14ac:dyDescent="0.2">
      <c r="A586" t="s">
        <v>3779</v>
      </c>
      <c r="B586">
        <v>100286</v>
      </c>
      <c r="C586">
        <v>1782</v>
      </c>
      <c r="F586" s="4" t="s">
        <v>3648</v>
      </c>
      <c r="G586">
        <v>0.41320374809299421</v>
      </c>
      <c r="H586">
        <f t="shared" si="19"/>
        <v>0.70959902794653706</v>
      </c>
      <c r="I586">
        <f t="shared" si="18"/>
        <v>4</v>
      </c>
    </row>
    <row r="587" spans="1:9" ht="48" x14ac:dyDescent="0.2">
      <c r="A587" t="s">
        <v>3394</v>
      </c>
      <c r="B587">
        <v>100309</v>
      </c>
      <c r="C587">
        <v>1797</v>
      </c>
      <c r="F587" s="4" t="s">
        <v>3821</v>
      </c>
      <c r="G587">
        <v>0.41420021500458548</v>
      </c>
      <c r="H587">
        <f t="shared" si="19"/>
        <v>0.71081409477521262</v>
      </c>
      <c r="I587">
        <f t="shared" si="18"/>
        <v>4</v>
      </c>
    </row>
    <row r="588" spans="1:9" ht="48" x14ac:dyDescent="0.2">
      <c r="A588" t="s">
        <v>3842</v>
      </c>
      <c r="B588">
        <v>100357</v>
      </c>
      <c r="C588">
        <v>2200</v>
      </c>
      <c r="F588" s="4" t="s">
        <v>3843</v>
      </c>
      <c r="G588">
        <v>0.4142631515797443</v>
      </c>
      <c r="H588">
        <f t="shared" si="19"/>
        <v>0.71202916160388818</v>
      </c>
      <c r="I588">
        <f t="shared" si="18"/>
        <v>4</v>
      </c>
    </row>
    <row r="589" spans="1:9" ht="48" x14ac:dyDescent="0.2">
      <c r="A589" t="s">
        <v>3565</v>
      </c>
      <c r="B589">
        <v>100435</v>
      </c>
      <c r="C589">
        <v>1779</v>
      </c>
      <c r="F589" s="4" t="s">
        <v>3230</v>
      </c>
      <c r="G589">
        <v>0.41431676527799866</v>
      </c>
      <c r="H589">
        <f t="shared" si="19"/>
        <v>0.71324422843256374</v>
      </c>
      <c r="I589">
        <f t="shared" si="18"/>
        <v>4</v>
      </c>
    </row>
    <row r="590" spans="1:9" ht="48" x14ac:dyDescent="0.2">
      <c r="A590" t="s">
        <v>3338</v>
      </c>
      <c r="B590">
        <v>100757</v>
      </c>
      <c r="C590">
        <v>1517</v>
      </c>
      <c r="F590" s="4" t="s">
        <v>3031</v>
      </c>
      <c r="G590">
        <v>0.41649201673021297</v>
      </c>
      <c r="H590">
        <f t="shared" si="19"/>
        <v>0.71445929526123941</v>
      </c>
      <c r="I590">
        <f t="shared" si="18"/>
        <v>4</v>
      </c>
    </row>
    <row r="591" spans="1:9" ht="48" x14ac:dyDescent="0.2">
      <c r="A591" t="s">
        <v>3844</v>
      </c>
      <c r="B591">
        <v>100813</v>
      </c>
      <c r="C591">
        <v>2347</v>
      </c>
      <c r="F591" s="4" t="s">
        <v>3845</v>
      </c>
      <c r="G591">
        <v>0.41651541620530474</v>
      </c>
      <c r="H591">
        <f t="shared" si="19"/>
        <v>0.71567436208991497</v>
      </c>
      <c r="I591">
        <f t="shared" si="18"/>
        <v>4</v>
      </c>
    </row>
    <row r="592" spans="1:9" ht="48" x14ac:dyDescent="0.2">
      <c r="A592" t="s">
        <v>3333</v>
      </c>
      <c r="B592">
        <v>100833</v>
      </c>
      <c r="C592">
        <v>1587</v>
      </c>
      <c r="F592" s="4" t="s">
        <v>3693</v>
      </c>
      <c r="G592">
        <v>0.41670233268118784</v>
      </c>
      <c r="H592">
        <f t="shared" si="19"/>
        <v>0.71688942891859053</v>
      </c>
      <c r="I592">
        <f t="shared" si="18"/>
        <v>4</v>
      </c>
    </row>
    <row r="593" spans="1:9" ht="48" x14ac:dyDescent="0.2">
      <c r="A593" t="s">
        <v>3681</v>
      </c>
      <c r="B593">
        <v>101679</v>
      </c>
      <c r="C593">
        <v>1757</v>
      </c>
      <c r="F593" s="4" t="s">
        <v>3480</v>
      </c>
      <c r="G593">
        <v>0.41773297359811123</v>
      </c>
      <c r="H593">
        <f t="shared" si="19"/>
        <v>0.71810449574726609</v>
      </c>
      <c r="I593">
        <f t="shared" si="18"/>
        <v>4</v>
      </c>
    </row>
    <row r="594" spans="1:9" ht="64" x14ac:dyDescent="0.2">
      <c r="A594" t="s">
        <v>3671</v>
      </c>
      <c r="B594">
        <v>101818</v>
      </c>
      <c r="C594">
        <v>1838</v>
      </c>
      <c r="F594" s="4" t="s">
        <v>3417</v>
      </c>
      <c r="G594">
        <v>0.41923389917164006</v>
      </c>
      <c r="H594">
        <f t="shared" si="19"/>
        <v>0.71931956257594165</v>
      </c>
      <c r="I594">
        <f t="shared" si="18"/>
        <v>4</v>
      </c>
    </row>
    <row r="595" spans="1:9" ht="48" x14ac:dyDescent="0.2">
      <c r="A595" t="s">
        <v>3311</v>
      </c>
      <c r="B595">
        <v>101848</v>
      </c>
      <c r="C595">
        <v>1522</v>
      </c>
      <c r="F595" s="4" t="s">
        <v>3464</v>
      </c>
      <c r="G595">
        <v>0.41942975841529184</v>
      </c>
      <c r="H595">
        <f t="shared" si="19"/>
        <v>0.72053462940461721</v>
      </c>
      <c r="I595">
        <f t="shared" si="18"/>
        <v>4</v>
      </c>
    </row>
    <row r="596" spans="1:9" ht="48" x14ac:dyDescent="0.2">
      <c r="A596" t="s">
        <v>3035</v>
      </c>
      <c r="B596">
        <v>101964</v>
      </c>
      <c r="C596">
        <v>1333</v>
      </c>
      <c r="F596" s="4" t="s">
        <v>3639</v>
      </c>
      <c r="G596">
        <v>0.41948891541407324</v>
      </c>
      <c r="H596">
        <f t="shared" si="19"/>
        <v>0.72174969623329288</v>
      </c>
      <c r="I596">
        <f t="shared" si="18"/>
        <v>4</v>
      </c>
    </row>
    <row r="597" spans="1:9" ht="48" x14ac:dyDescent="0.2">
      <c r="A597" t="s">
        <v>3809</v>
      </c>
      <c r="B597">
        <v>101974</v>
      </c>
      <c r="C597">
        <v>1923</v>
      </c>
      <c r="F597" s="4" t="s">
        <v>3415</v>
      </c>
      <c r="G597">
        <v>0.41972521574763771</v>
      </c>
      <c r="H597">
        <f t="shared" si="19"/>
        <v>0.72296476306196844</v>
      </c>
      <c r="I597">
        <f t="shared" si="18"/>
        <v>4</v>
      </c>
    </row>
    <row r="598" spans="1:9" ht="48" x14ac:dyDescent="0.2">
      <c r="A598" t="s">
        <v>3631</v>
      </c>
      <c r="B598">
        <v>102222</v>
      </c>
      <c r="C598">
        <v>1797</v>
      </c>
      <c r="F598" s="4" t="s">
        <v>3724</v>
      </c>
      <c r="G598">
        <v>0.41984864847554176</v>
      </c>
      <c r="H598">
        <f t="shared" si="19"/>
        <v>0.724179829890644</v>
      </c>
      <c r="I598">
        <f t="shared" si="18"/>
        <v>4</v>
      </c>
    </row>
    <row r="599" spans="1:9" ht="48" x14ac:dyDescent="0.2">
      <c r="A599" t="s">
        <v>3107</v>
      </c>
      <c r="B599">
        <v>102227</v>
      </c>
      <c r="C599">
        <v>1493</v>
      </c>
      <c r="F599" s="4" t="s">
        <v>3846</v>
      </c>
      <c r="G599">
        <v>0.42011676726157032</v>
      </c>
      <c r="H599">
        <f t="shared" si="19"/>
        <v>0.72539489671931956</v>
      </c>
      <c r="I599">
        <f t="shared" si="18"/>
        <v>4</v>
      </c>
    </row>
    <row r="600" spans="1:9" ht="48" x14ac:dyDescent="0.2">
      <c r="A600" t="s">
        <v>3540</v>
      </c>
      <c r="B600">
        <v>102610</v>
      </c>
      <c r="C600">
        <v>1720</v>
      </c>
      <c r="F600" s="4" t="s">
        <v>3820</v>
      </c>
      <c r="G600">
        <v>0.42026198547625249</v>
      </c>
      <c r="H600">
        <f t="shared" si="19"/>
        <v>0.72660996354799512</v>
      </c>
      <c r="I600">
        <f t="shared" si="18"/>
        <v>4</v>
      </c>
    </row>
    <row r="601" spans="1:9" ht="48" x14ac:dyDescent="0.2">
      <c r="A601" t="s">
        <v>3265</v>
      </c>
      <c r="B601">
        <v>102656</v>
      </c>
      <c r="C601">
        <v>1507</v>
      </c>
      <c r="F601" s="4" t="s">
        <v>3381</v>
      </c>
      <c r="G601">
        <v>0.42150373345373043</v>
      </c>
      <c r="H601">
        <f t="shared" si="19"/>
        <v>0.72782503037667068</v>
      </c>
      <c r="I601">
        <f t="shared" si="18"/>
        <v>4</v>
      </c>
    </row>
    <row r="602" spans="1:9" ht="48" x14ac:dyDescent="0.2">
      <c r="A602" t="s">
        <v>3538</v>
      </c>
      <c r="B602">
        <v>102688</v>
      </c>
      <c r="C602">
        <v>1746</v>
      </c>
      <c r="F602" s="4" t="s">
        <v>3812</v>
      </c>
      <c r="G602">
        <v>0.42152284770631243</v>
      </c>
      <c r="H602">
        <f t="shared" si="19"/>
        <v>0.72904009720534635</v>
      </c>
      <c r="I602">
        <f t="shared" si="18"/>
        <v>4</v>
      </c>
    </row>
    <row r="603" spans="1:9" ht="48" x14ac:dyDescent="0.2">
      <c r="A603" t="s">
        <v>3507</v>
      </c>
      <c r="B603">
        <v>102697</v>
      </c>
      <c r="C603">
        <v>1664</v>
      </c>
      <c r="F603" s="4" t="s">
        <v>3272</v>
      </c>
      <c r="G603">
        <v>0.42163185692707678</v>
      </c>
      <c r="H603">
        <f t="shared" si="19"/>
        <v>0.73025516403402191</v>
      </c>
      <c r="I603">
        <f t="shared" si="18"/>
        <v>4</v>
      </c>
    </row>
    <row r="604" spans="1:9" ht="64" x14ac:dyDescent="0.2">
      <c r="A604" t="s">
        <v>3225</v>
      </c>
      <c r="B604">
        <v>102955</v>
      </c>
      <c r="C604">
        <v>1589</v>
      </c>
      <c r="F604" s="4" t="s">
        <v>3716</v>
      </c>
      <c r="G604">
        <v>0.42178377948427376</v>
      </c>
      <c r="H604">
        <f t="shared" si="19"/>
        <v>0.73147023086269747</v>
      </c>
      <c r="I604">
        <f t="shared" si="18"/>
        <v>4</v>
      </c>
    </row>
    <row r="605" spans="1:9" ht="48" x14ac:dyDescent="0.2">
      <c r="A605" t="s">
        <v>3450</v>
      </c>
      <c r="B605">
        <v>103348</v>
      </c>
      <c r="C605">
        <v>1618</v>
      </c>
      <c r="F605" s="4" t="s">
        <v>3375</v>
      </c>
      <c r="G605">
        <v>0.42199676813140091</v>
      </c>
      <c r="H605">
        <f t="shared" si="19"/>
        <v>0.73268529769137303</v>
      </c>
      <c r="I605">
        <f t="shared" si="18"/>
        <v>4</v>
      </c>
    </row>
    <row r="606" spans="1:9" ht="48" x14ac:dyDescent="0.2">
      <c r="A606" t="s">
        <v>3253</v>
      </c>
      <c r="B606">
        <v>103558</v>
      </c>
      <c r="C606">
        <v>1763</v>
      </c>
      <c r="F606" s="4" t="s">
        <v>3106</v>
      </c>
      <c r="G606">
        <v>0.42229327442853559</v>
      </c>
      <c r="H606">
        <f t="shared" si="19"/>
        <v>0.73390036452004859</v>
      </c>
      <c r="I606">
        <f t="shared" si="18"/>
        <v>4</v>
      </c>
    </row>
    <row r="607" spans="1:9" ht="48" x14ac:dyDescent="0.2">
      <c r="A607" t="s">
        <v>3368</v>
      </c>
      <c r="B607">
        <v>103598</v>
      </c>
      <c r="C607">
        <v>1613</v>
      </c>
      <c r="F607" s="4" t="s">
        <v>3732</v>
      </c>
      <c r="G607">
        <v>0.42230694751159092</v>
      </c>
      <c r="H607">
        <f t="shared" si="19"/>
        <v>0.73511543134872415</v>
      </c>
      <c r="I607">
        <f t="shared" si="18"/>
        <v>4</v>
      </c>
    </row>
    <row r="608" spans="1:9" ht="48" x14ac:dyDescent="0.2">
      <c r="A608" t="s">
        <v>3384</v>
      </c>
      <c r="B608">
        <v>103631</v>
      </c>
      <c r="C608">
        <v>1669</v>
      </c>
      <c r="F608" s="4" t="s">
        <v>3847</v>
      </c>
      <c r="G608">
        <v>0.42261074584372743</v>
      </c>
      <c r="H608">
        <f t="shared" si="19"/>
        <v>0.73633049817739971</v>
      </c>
      <c r="I608">
        <f t="shared" si="18"/>
        <v>4</v>
      </c>
    </row>
    <row r="609" spans="1:9" ht="48" x14ac:dyDescent="0.2">
      <c r="A609" t="s">
        <v>3783</v>
      </c>
      <c r="B609">
        <v>103810</v>
      </c>
      <c r="C609">
        <v>1898</v>
      </c>
      <c r="F609" s="4" t="s">
        <v>3302</v>
      </c>
      <c r="G609">
        <v>0.42265564951867357</v>
      </c>
      <c r="H609">
        <f t="shared" si="19"/>
        <v>0.73754556500607538</v>
      </c>
      <c r="I609">
        <f t="shared" si="18"/>
        <v>4</v>
      </c>
    </row>
    <row r="610" spans="1:9" ht="48" x14ac:dyDescent="0.2">
      <c r="A610" t="s">
        <v>3027</v>
      </c>
      <c r="B610">
        <v>104336</v>
      </c>
      <c r="C610">
        <v>1214</v>
      </c>
      <c r="F610" s="4" t="s">
        <v>3166</v>
      </c>
      <c r="G610">
        <v>0.42266661142302608</v>
      </c>
      <c r="H610">
        <f t="shared" si="19"/>
        <v>0.73876063183475094</v>
      </c>
      <c r="I610">
        <f t="shared" si="18"/>
        <v>4</v>
      </c>
    </row>
    <row r="611" spans="1:9" ht="48" x14ac:dyDescent="0.2">
      <c r="A611" t="s">
        <v>3729</v>
      </c>
      <c r="B611">
        <v>104375</v>
      </c>
      <c r="C611">
        <v>1948</v>
      </c>
      <c r="F611" s="4" t="s">
        <v>3523</v>
      </c>
      <c r="G611">
        <v>0.42294954337860613</v>
      </c>
      <c r="H611">
        <f t="shared" si="19"/>
        <v>0.7399756986634265</v>
      </c>
      <c r="I611">
        <f t="shared" si="18"/>
        <v>4</v>
      </c>
    </row>
    <row r="612" spans="1:9" ht="48" x14ac:dyDescent="0.2">
      <c r="A612" t="s">
        <v>3757</v>
      </c>
      <c r="B612">
        <v>104417</v>
      </c>
      <c r="C612">
        <v>1919</v>
      </c>
      <c r="F612" s="4" t="s">
        <v>3629</v>
      </c>
      <c r="G612">
        <v>0.42463469662908576</v>
      </c>
      <c r="H612">
        <f t="shared" si="19"/>
        <v>0.74119076549210205</v>
      </c>
      <c r="I612">
        <f t="shared" si="18"/>
        <v>4</v>
      </c>
    </row>
    <row r="613" spans="1:9" ht="48" x14ac:dyDescent="0.2">
      <c r="A613" t="s">
        <v>3701</v>
      </c>
      <c r="B613">
        <v>104432</v>
      </c>
      <c r="C613">
        <v>1895</v>
      </c>
      <c r="F613" s="4" t="s">
        <v>3429</v>
      </c>
      <c r="G613">
        <v>0.42524497678847589</v>
      </c>
      <c r="H613">
        <f t="shared" si="19"/>
        <v>0.74240583232077761</v>
      </c>
      <c r="I613">
        <f t="shared" si="18"/>
        <v>4</v>
      </c>
    </row>
    <row r="614" spans="1:9" ht="48" x14ac:dyDescent="0.2">
      <c r="A614" t="s">
        <v>3446</v>
      </c>
      <c r="B614">
        <v>104500</v>
      </c>
      <c r="C614">
        <v>1647</v>
      </c>
      <c r="F614" s="4" t="s">
        <v>3262</v>
      </c>
      <c r="G614">
        <v>0.42544135242429959</v>
      </c>
      <c r="H614">
        <f t="shared" si="19"/>
        <v>0.74362089914945317</v>
      </c>
      <c r="I614">
        <f t="shared" si="18"/>
        <v>4</v>
      </c>
    </row>
    <row r="615" spans="1:9" ht="48" x14ac:dyDescent="0.2">
      <c r="A615" t="s">
        <v>3532</v>
      </c>
      <c r="B615">
        <v>104868</v>
      </c>
      <c r="C615">
        <v>2018</v>
      </c>
      <c r="F615" s="4" t="s">
        <v>3643</v>
      </c>
      <c r="G615">
        <v>0.4276334016734083</v>
      </c>
      <c r="H615">
        <f t="shared" si="19"/>
        <v>0.74483596597812884</v>
      </c>
      <c r="I615">
        <f t="shared" si="18"/>
        <v>4</v>
      </c>
    </row>
    <row r="616" spans="1:9" ht="48" x14ac:dyDescent="0.2">
      <c r="A616" t="s">
        <v>3408</v>
      </c>
      <c r="B616">
        <v>105000</v>
      </c>
      <c r="C616">
        <v>1759</v>
      </c>
      <c r="F616" s="4" t="s">
        <v>3588</v>
      </c>
      <c r="G616">
        <v>0.42803399938478393</v>
      </c>
      <c r="H616">
        <f t="shared" si="19"/>
        <v>0.7460510328068044</v>
      </c>
      <c r="I616">
        <f t="shared" si="18"/>
        <v>4</v>
      </c>
    </row>
    <row r="617" spans="1:9" ht="48" x14ac:dyDescent="0.2">
      <c r="A617" t="s">
        <v>3041</v>
      </c>
      <c r="B617">
        <v>105066</v>
      </c>
      <c r="C617">
        <v>1483</v>
      </c>
      <c r="F617" s="4" t="s">
        <v>3784</v>
      </c>
      <c r="G617">
        <v>0.42815289642915966</v>
      </c>
      <c r="H617">
        <f t="shared" si="19"/>
        <v>0.74726609963547996</v>
      </c>
      <c r="I617">
        <f t="shared" si="18"/>
        <v>4</v>
      </c>
    </row>
    <row r="618" spans="1:9" ht="48" x14ac:dyDescent="0.2">
      <c r="A618" t="s">
        <v>3145</v>
      </c>
      <c r="B618">
        <v>105328</v>
      </c>
      <c r="C618">
        <v>1487</v>
      </c>
      <c r="F618" s="4" t="s">
        <v>3515</v>
      </c>
      <c r="G618">
        <v>0.42827130524938212</v>
      </c>
      <c r="H618">
        <f t="shared" si="19"/>
        <v>0.74848116646415552</v>
      </c>
      <c r="I618">
        <f t="shared" si="18"/>
        <v>4</v>
      </c>
    </row>
    <row r="619" spans="1:9" ht="48" x14ac:dyDescent="0.2">
      <c r="A619" t="s">
        <v>3680</v>
      </c>
      <c r="B619">
        <v>105441</v>
      </c>
      <c r="C619">
        <v>1838</v>
      </c>
      <c r="F619" s="4" t="s">
        <v>3834</v>
      </c>
      <c r="G619">
        <v>0.4285856202064996</v>
      </c>
      <c r="H619">
        <f t="shared" si="19"/>
        <v>0.74969623329283108</v>
      </c>
      <c r="I619">
        <f t="shared" si="18"/>
        <v>4</v>
      </c>
    </row>
    <row r="620" spans="1:9" ht="64" x14ac:dyDescent="0.2">
      <c r="A620" t="s">
        <v>3828</v>
      </c>
      <c r="B620">
        <v>105528</v>
      </c>
      <c r="C620">
        <v>1936</v>
      </c>
      <c r="F620" s="4" t="s">
        <v>3300</v>
      </c>
      <c r="G620">
        <v>0.42887326293094546</v>
      </c>
      <c r="H620">
        <f t="shared" si="19"/>
        <v>0.75091130012150664</v>
      </c>
      <c r="I620">
        <f t="shared" si="18"/>
        <v>4</v>
      </c>
    </row>
    <row r="621" spans="1:9" ht="48" x14ac:dyDescent="0.2">
      <c r="A621" t="s">
        <v>3665</v>
      </c>
      <c r="B621">
        <v>105701</v>
      </c>
      <c r="C621">
        <v>1769</v>
      </c>
      <c r="F621" s="4" t="s">
        <v>3848</v>
      </c>
      <c r="G621">
        <v>0.42979207907731848</v>
      </c>
      <c r="H621">
        <f t="shared" si="19"/>
        <v>0.75212636695018231</v>
      </c>
      <c r="I621">
        <f t="shared" si="18"/>
        <v>4</v>
      </c>
    </row>
    <row r="622" spans="1:9" ht="48" x14ac:dyDescent="0.2">
      <c r="A622" t="s">
        <v>3033</v>
      </c>
      <c r="B622">
        <v>105708</v>
      </c>
      <c r="C622">
        <v>1281</v>
      </c>
      <c r="F622" s="4" t="s">
        <v>3842</v>
      </c>
      <c r="G622">
        <v>0.43064920867987821</v>
      </c>
      <c r="H622">
        <f t="shared" si="19"/>
        <v>0.75334143377885787</v>
      </c>
      <c r="I622">
        <f t="shared" si="18"/>
        <v>4</v>
      </c>
    </row>
    <row r="623" spans="1:9" ht="48" x14ac:dyDescent="0.2">
      <c r="A623" t="s">
        <v>3201</v>
      </c>
      <c r="B623">
        <v>105759</v>
      </c>
      <c r="C623">
        <v>1649</v>
      </c>
      <c r="F623" s="4" t="s">
        <v>3630</v>
      </c>
      <c r="G623">
        <v>0.43185447284502793</v>
      </c>
      <c r="H623">
        <f t="shared" si="19"/>
        <v>0.75455650060753343</v>
      </c>
      <c r="I623">
        <f t="shared" si="18"/>
        <v>4</v>
      </c>
    </row>
    <row r="624" spans="1:9" ht="64" x14ac:dyDescent="0.2">
      <c r="A624" t="s">
        <v>3587</v>
      </c>
      <c r="B624">
        <v>105769</v>
      </c>
      <c r="C624">
        <v>1827</v>
      </c>
      <c r="F624" s="4" t="s">
        <v>3677</v>
      </c>
      <c r="G624">
        <v>0.43227143607034435</v>
      </c>
      <c r="H624">
        <f t="shared" si="19"/>
        <v>0.75577156743620899</v>
      </c>
      <c r="I624">
        <f t="shared" si="18"/>
        <v>4</v>
      </c>
    </row>
    <row r="625" spans="1:9" ht="48" x14ac:dyDescent="0.2">
      <c r="A625" t="s">
        <v>3607</v>
      </c>
      <c r="B625">
        <v>105772</v>
      </c>
      <c r="C625">
        <v>1778</v>
      </c>
      <c r="F625" s="4" t="s">
        <v>3621</v>
      </c>
      <c r="G625">
        <v>0.4333360861761022</v>
      </c>
      <c r="H625">
        <f t="shared" si="19"/>
        <v>0.75698663426488455</v>
      </c>
      <c r="I625">
        <f t="shared" si="18"/>
        <v>4</v>
      </c>
    </row>
    <row r="626" spans="1:9" ht="64" x14ac:dyDescent="0.2">
      <c r="A626" t="s">
        <v>3317</v>
      </c>
      <c r="B626">
        <v>105833</v>
      </c>
      <c r="C626">
        <v>1727</v>
      </c>
      <c r="F626" s="4" t="s">
        <v>3210</v>
      </c>
      <c r="G626">
        <v>0.43376878709384215</v>
      </c>
      <c r="H626">
        <f t="shared" si="19"/>
        <v>0.75820170109356011</v>
      </c>
      <c r="I626">
        <f t="shared" si="18"/>
        <v>4</v>
      </c>
    </row>
    <row r="627" spans="1:9" ht="48" x14ac:dyDescent="0.2">
      <c r="A627" t="s">
        <v>3759</v>
      </c>
      <c r="B627">
        <v>106063</v>
      </c>
      <c r="C627">
        <v>1906</v>
      </c>
      <c r="F627" s="4" t="s">
        <v>3849</v>
      </c>
      <c r="G627">
        <v>0.43481001460471491</v>
      </c>
      <c r="H627">
        <f t="shared" si="19"/>
        <v>0.75941676792223567</v>
      </c>
      <c r="I627">
        <f t="shared" si="18"/>
        <v>4</v>
      </c>
    </row>
    <row r="628" spans="1:9" ht="48" x14ac:dyDescent="0.2">
      <c r="A628" t="s">
        <v>3141</v>
      </c>
      <c r="B628">
        <v>106111</v>
      </c>
      <c r="C628">
        <v>1589</v>
      </c>
      <c r="F628" s="4" t="s">
        <v>3383</v>
      </c>
      <c r="G628">
        <v>0.43533370797384441</v>
      </c>
      <c r="H628">
        <f t="shared" si="19"/>
        <v>0.76063183475091134</v>
      </c>
      <c r="I628">
        <f t="shared" si="18"/>
        <v>4</v>
      </c>
    </row>
    <row r="629" spans="1:9" ht="48" x14ac:dyDescent="0.2">
      <c r="A629" t="s">
        <v>3454</v>
      </c>
      <c r="B629">
        <v>106250</v>
      </c>
      <c r="C629">
        <v>1724</v>
      </c>
      <c r="F629" s="4" t="s">
        <v>3675</v>
      </c>
      <c r="G629">
        <v>0.43665070697986402</v>
      </c>
      <c r="H629">
        <f t="shared" si="19"/>
        <v>0.7618469015795869</v>
      </c>
      <c r="I629">
        <f t="shared" si="18"/>
        <v>4</v>
      </c>
    </row>
    <row r="630" spans="1:9" ht="48" x14ac:dyDescent="0.2">
      <c r="A630" t="s">
        <v>3765</v>
      </c>
      <c r="B630">
        <v>106296</v>
      </c>
      <c r="C630">
        <v>1962</v>
      </c>
      <c r="F630" s="4" t="s">
        <v>3427</v>
      </c>
      <c r="G630">
        <v>0.43680591583802686</v>
      </c>
      <c r="H630">
        <f t="shared" si="19"/>
        <v>0.76306196840826246</v>
      </c>
      <c r="I630">
        <f t="shared" si="18"/>
        <v>4</v>
      </c>
    </row>
    <row r="631" spans="1:9" ht="48" x14ac:dyDescent="0.2">
      <c r="A631" t="s">
        <v>3287</v>
      </c>
      <c r="B631">
        <v>106765</v>
      </c>
      <c r="C631">
        <v>1649</v>
      </c>
      <c r="F631" s="4" t="s">
        <v>3825</v>
      </c>
      <c r="G631">
        <v>0.43709317380678131</v>
      </c>
      <c r="H631">
        <f t="shared" si="19"/>
        <v>0.76427703523693802</v>
      </c>
      <c r="I631">
        <f t="shared" si="18"/>
        <v>4</v>
      </c>
    </row>
    <row r="632" spans="1:9" ht="64" x14ac:dyDescent="0.2">
      <c r="A632" t="s">
        <v>3169</v>
      </c>
      <c r="B632">
        <v>106782</v>
      </c>
      <c r="C632">
        <v>1549</v>
      </c>
      <c r="F632" s="4" t="s">
        <v>3328</v>
      </c>
      <c r="G632">
        <v>0.43758893188785219</v>
      </c>
      <c r="H632">
        <f t="shared" si="19"/>
        <v>0.76549210206561358</v>
      </c>
      <c r="I632">
        <f t="shared" si="18"/>
        <v>4</v>
      </c>
    </row>
    <row r="633" spans="1:9" ht="48" x14ac:dyDescent="0.2">
      <c r="A633" t="s">
        <v>3835</v>
      </c>
      <c r="B633">
        <v>106904</v>
      </c>
      <c r="C633">
        <v>2045</v>
      </c>
      <c r="F633" s="4" t="s">
        <v>3357</v>
      </c>
      <c r="G633">
        <v>0.43808501625148072</v>
      </c>
      <c r="H633">
        <f t="shared" si="19"/>
        <v>0.76670716889428914</v>
      </c>
      <c r="I633">
        <f t="shared" si="18"/>
        <v>4</v>
      </c>
    </row>
    <row r="634" spans="1:9" ht="48" x14ac:dyDescent="0.2">
      <c r="A634" t="s">
        <v>3769</v>
      </c>
      <c r="B634">
        <v>106915</v>
      </c>
      <c r="C634">
        <v>1972</v>
      </c>
      <c r="F634" s="4" t="s">
        <v>3326</v>
      </c>
      <c r="G634">
        <v>0.43817993206450268</v>
      </c>
      <c r="H634">
        <f t="shared" si="19"/>
        <v>0.76792223572296481</v>
      </c>
      <c r="I634">
        <f t="shared" si="18"/>
        <v>4</v>
      </c>
    </row>
    <row r="635" spans="1:9" ht="48" x14ac:dyDescent="0.2">
      <c r="A635" t="s">
        <v>3786</v>
      </c>
      <c r="B635">
        <v>107033</v>
      </c>
      <c r="C635">
        <v>1991</v>
      </c>
      <c r="F635" s="4" t="s">
        <v>3252</v>
      </c>
      <c r="G635">
        <v>0.44002115550386478</v>
      </c>
      <c r="H635">
        <f t="shared" si="19"/>
        <v>0.76913730255164037</v>
      </c>
      <c r="I635">
        <f t="shared" si="18"/>
        <v>4</v>
      </c>
    </row>
    <row r="636" spans="1:9" ht="48" x14ac:dyDescent="0.2">
      <c r="A636" t="s">
        <v>3776</v>
      </c>
      <c r="B636">
        <v>107109</v>
      </c>
      <c r="C636">
        <v>1988</v>
      </c>
      <c r="F636" s="4" t="s">
        <v>3349</v>
      </c>
      <c r="G636">
        <v>0.440503137065613</v>
      </c>
      <c r="H636">
        <f t="shared" si="19"/>
        <v>0.77035236938031593</v>
      </c>
      <c r="I636">
        <f t="shared" si="18"/>
        <v>4</v>
      </c>
    </row>
    <row r="637" spans="1:9" ht="48" x14ac:dyDescent="0.2">
      <c r="A637" t="s">
        <v>3505</v>
      </c>
      <c r="B637">
        <v>107500</v>
      </c>
      <c r="C637">
        <v>1778</v>
      </c>
      <c r="F637" s="4" t="s">
        <v>3389</v>
      </c>
      <c r="G637">
        <v>0.44126224509457651</v>
      </c>
      <c r="H637">
        <f t="shared" si="19"/>
        <v>0.77156743620899149</v>
      </c>
      <c r="I637">
        <f t="shared" si="18"/>
        <v>4</v>
      </c>
    </row>
    <row r="638" spans="1:9" ht="48" x14ac:dyDescent="0.2">
      <c r="A638" t="s">
        <v>3548</v>
      </c>
      <c r="B638">
        <v>107619</v>
      </c>
      <c r="C638">
        <v>1824</v>
      </c>
      <c r="F638" s="4" t="s">
        <v>3451</v>
      </c>
      <c r="G638">
        <v>0.44197919784831841</v>
      </c>
      <c r="H638">
        <f t="shared" si="19"/>
        <v>0.77278250303766705</v>
      </c>
      <c r="I638">
        <f t="shared" si="18"/>
        <v>4</v>
      </c>
    </row>
    <row r="639" spans="1:9" ht="48" x14ac:dyDescent="0.2">
      <c r="A639" t="s">
        <v>3171</v>
      </c>
      <c r="B639">
        <v>107670</v>
      </c>
      <c r="C639">
        <v>1572</v>
      </c>
      <c r="F639" s="4" t="s">
        <v>3803</v>
      </c>
      <c r="G639">
        <v>0.4423210717817801</v>
      </c>
      <c r="H639">
        <f t="shared" si="19"/>
        <v>0.77399756986634261</v>
      </c>
      <c r="I639">
        <f t="shared" si="18"/>
        <v>4</v>
      </c>
    </row>
    <row r="640" spans="1:9" ht="48" x14ac:dyDescent="0.2">
      <c r="A640" t="s">
        <v>3494</v>
      </c>
      <c r="B640">
        <v>108250</v>
      </c>
      <c r="C640">
        <v>1915</v>
      </c>
      <c r="F640" s="4" t="s">
        <v>3320</v>
      </c>
      <c r="G640">
        <v>0.44237332479900987</v>
      </c>
      <c r="H640">
        <f t="shared" si="19"/>
        <v>0.77521263669501828</v>
      </c>
      <c r="I640">
        <f t="shared" si="18"/>
        <v>4</v>
      </c>
    </row>
    <row r="641" spans="1:9" ht="48" x14ac:dyDescent="0.2">
      <c r="A641" t="s">
        <v>3669</v>
      </c>
      <c r="B641">
        <v>108636</v>
      </c>
      <c r="C641">
        <v>1867</v>
      </c>
      <c r="F641" s="4" t="s">
        <v>3568</v>
      </c>
      <c r="G641">
        <v>0.4429759437362043</v>
      </c>
      <c r="H641">
        <f t="shared" si="19"/>
        <v>0.77642770352369384</v>
      </c>
      <c r="I641">
        <f t="shared" si="18"/>
        <v>4</v>
      </c>
    </row>
    <row r="642" spans="1:9" ht="48" x14ac:dyDescent="0.2">
      <c r="A642" t="s">
        <v>3143</v>
      </c>
      <c r="B642">
        <v>108750</v>
      </c>
      <c r="C642">
        <v>1577</v>
      </c>
      <c r="F642" s="4" t="s">
        <v>3539</v>
      </c>
      <c r="G642">
        <v>0.44332208187054695</v>
      </c>
      <c r="H642">
        <f t="shared" si="19"/>
        <v>0.77764277035236939</v>
      </c>
      <c r="I642">
        <f t="shared" si="18"/>
        <v>4</v>
      </c>
    </row>
    <row r="643" spans="1:9" ht="64" x14ac:dyDescent="0.2">
      <c r="A643" t="s">
        <v>3616</v>
      </c>
      <c r="B643">
        <v>109167</v>
      </c>
      <c r="C643">
        <v>1878</v>
      </c>
      <c r="F643" s="4" t="s">
        <v>3316</v>
      </c>
      <c r="G643">
        <v>0.4447907005502999</v>
      </c>
      <c r="H643">
        <f t="shared" si="19"/>
        <v>0.77885783718104495</v>
      </c>
      <c r="I643">
        <f t="shared" ref="I643:I706" si="20">IF(H643&lt;0.2,1,IF(H643&lt;0.4,2,IF(H643&lt;0.6,3,IF(H643&lt;0.8,4,5))))</f>
        <v>4</v>
      </c>
    </row>
    <row r="644" spans="1:9" ht="48" x14ac:dyDescent="0.2">
      <c r="A644" t="s">
        <v>3500</v>
      </c>
      <c r="B644">
        <v>109429</v>
      </c>
      <c r="C644">
        <v>1826</v>
      </c>
      <c r="F644" s="4" t="s">
        <v>3850</v>
      </c>
      <c r="G644">
        <v>0.44497832102998863</v>
      </c>
      <c r="H644">
        <f t="shared" ref="H644:H707" si="21">_xlfn.RANK.EQ(G644,$G$3:$G$825,1)/COUNT($G$3:$G$825)</f>
        <v>0.78007290400972051</v>
      </c>
      <c r="I644">
        <f t="shared" si="20"/>
        <v>4</v>
      </c>
    </row>
    <row r="645" spans="1:9" ht="48" x14ac:dyDescent="0.2">
      <c r="A645" t="s">
        <v>3203</v>
      </c>
      <c r="B645">
        <v>109460</v>
      </c>
      <c r="C645">
        <v>1674</v>
      </c>
      <c r="F645" s="4" t="s">
        <v>3411</v>
      </c>
      <c r="G645">
        <v>0.44612725520168273</v>
      </c>
      <c r="H645">
        <f t="shared" si="21"/>
        <v>0.78128797083839607</v>
      </c>
      <c r="I645">
        <f t="shared" si="20"/>
        <v>4</v>
      </c>
    </row>
    <row r="646" spans="1:9" ht="48" x14ac:dyDescent="0.2">
      <c r="A646" t="s">
        <v>3251</v>
      </c>
      <c r="B646">
        <v>109605</v>
      </c>
      <c r="C646">
        <v>1660</v>
      </c>
      <c r="F646" s="4" t="s">
        <v>3521</v>
      </c>
      <c r="G646">
        <v>0.44835629773911168</v>
      </c>
      <c r="H646">
        <f t="shared" si="21"/>
        <v>0.78250303766707174</v>
      </c>
      <c r="I646">
        <f t="shared" si="20"/>
        <v>4</v>
      </c>
    </row>
    <row r="647" spans="1:9" ht="48" x14ac:dyDescent="0.2">
      <c r="A647" t="s">
        <v>3161</v>
      </c>
      <c r="B647">
        <v>109671</v>
      </c>
      <c r="C647">
        <v>1615</v>
      </c>
      <c r="F647" s="4" t="s">
        <v>3359</v>
      </c>
      <c r="G647">
        <v>0.45015505778283782</v>
      </c>
      <c r="H647">
        <f t="shared" si="21"/>
        <v>0.7837181044957473</v>
      </c>
      <c r="I647">
        <f t="shared" si="20"/>
        <v>4</v>
      </c>
    </row>
    <row r="648" spans="1:9" ht="64" x14ac:dyDescent="0.2">
      <c r="A648" t="s">
        <v>3434</v>
      </c>
      <c r="B648">
        <v>109688</v>
      </c>
      <c r="C648">
        <v>1739</v>
      </c>
      <c r="F648" s="4" t="s">
        <v>3361</v>
      </c>
      <c r="G648">
        <v>0.45021870559810567</v>
      </c>
      <c r="H648">
        <f t="shared" si="21"/>
        <v>0.78493317132442286</v>
      </c>
      <c r="I648">
        <f t="shared" si="20"/>
        <v>4</v>
      </c>
    </row>
    <row r="649" spans="1:9" ht="48" x14ac:dyDescent="0.2">
      <c r="A649" t="s">
        <v>3071</v>
      </c>
      <c r="B649">
        <v>109886</v>
      </c>
      <c r="C649">
        <v>1464</v>
      </c>
      <c r="F649" s="4" t="s">
        <v>3491</v>
      </c>
      <c r="G649">
        <v>0.45042388229007491</v>
      </c>
      <c r="H649">
        <f t="shared" si="21"/>
        <v>0.78614823815309842</v>
      </c>
      <c r="I649">
        <f t="shared" si="20"/>
        <v>4</v>
      </c>
    </row>
    <row r="650" spans="1:9" ht="48" x14ac:dyDescent="0.2">
      <c r="A650" t="s">
        <v>3091</v>
      </c>
      <c r="B650">
        <v>109962</v>
      </c>
      <c r="C650">
        <v>1517</v>
      </c>
      <c r="F650" s="4" t="s">
        <v>3324</v>
      </c>
      <c r="G650">
        <v>0.45326533893564452</v>
      </c>
      <c r="H650">
        <f t="shared" si="21"/>
        <v>0.78736330498177398</v>
      </c>
      <c r="I650">
        <f t="shared" si="20"/>
        <v>4</v>
      </c>
    </row>
    <row r="651" spans="1:9" ht="48" x14ac:dyDescent="0.2">
      <c r="A651" t="s">
        <v>3229</v>
      </c>
      <c r="B651">
        <v>110365</v>
      </c>
      <c r="C651">
        <v>1621</v>
      </c>
      <c r="F651" s="4" t="s">
        <v>3284</v>
      </c>
      <c r="G651">
        <v>0.45436447745763842</v>
      </c>
      <c r="H651">
        <f t="shared" si="21"/>
        <v>0.78857837181044954</v>
      </c>
      <c r="I651">
        <f t="shared" si="20"/>
        <v>4</v>
      </c>
    </row>
    <row r="652" spans="1:9" ht="48" x14ac:dyDescent="0.2">
      <c r="A652" t="s">
        <v>3572</v>
      </c>
      <c r="B652">
        <v>110497</v>
      </c>
      <c r="C652">
        <v>1867</v>
      </c>
      <c r="F652" s="4" t="s">
        <v>3100</v>
      </c>
      <c r="G652">
        <v>0.45453774160863369</v>
      </c>
      <c r="H652">
        <f t="shared" si="21"/>
        <v>0.7897934386391251</v>
      </c>
      <c r="I652">
        <f t="shared" si="20"/>
        <v>4</v>
      </c>
    </row>
    <row r="653" spans="1:9" ht="48" x14ac:dyDescent="0.2">
      <c r="A653" t="s">
        <v>3737</v>
      </c>
      <c r="B653">
        <v>110543</v>
      </c>
      <c r="C653">
        <v>1948</v>
      </c>
      <c r="F653" s="4" t="s">
        <v>3286</v>
      </c>
      <c r="G653">
        <v>0.4546706301167347</v>
      </c>
      <c r="H653">
        <f t="shared" si="21"/>
        <v>0.79100850546780077</v>
      </c>
      <c r="I653">
        <f t="shared" si="20"/>
        <v>4</v>
      </c>
    </row>
    <row r="654" spans="1:9" ht="48" x14ac:dyDescent="0.2">
      <c r="A654" t="s">
        <v>3826</v>
      </c>
      <c r="B654">
        <v>110625</v>
      </c>
      <c r="C654">
        <v>2079</v>
      </c>
      <c r="F654" s="4" t="s">
        <v>3844</v>
      </c>
      <c r="G654">
        <v>0.45477934717601115</v>
      </c>
      <c r="H654">
        <f t="shared" si="21"/>
        <v>0.79222357229647633</v>
      </c>
      <c r="I654">
        <f t="shared" si="20"/>
        <v>4</v>
      </c>
    </row>
    <row r="655" spans="1:9" ht="48" x14ac:dyDescent="0.2">
      <c r="A655" t="s">
        <v>3233</v>
      </c>
      <c r="B655">
        <v>110625</v>
      </c>
      <c r="C655">
        <v>1712</v>
      </c>
      <c r="F655" s="4" t="s">
        <v>3074</v>
      </c>
      <c r="G655">
        <v>0.45603808906444537</v>
      </c>
      <c r="H655">
        <f t="shared" si="21"/>
        <v>0.79343863912515189</v>
      </c>
      <c r="I655">
        <f t="shared" si="20"/>
        <v>4</v>
      </c>
    </row>
    <row r="656" spans="1:9" ht="48" x14ac:dyDescent="0.2">
      <c r="A656" t="s">
        <v>3473</v>
      </c>
      <c r="B656">
        <v>111250</v>
      </c>
      <c r="C656">
        <v>1890</v>
      </c>
      <c r="F656" s="4" t="s">
        <v>3684</v>
      </c>
      <c r="G656">
        <v>0.45684574442180692</v>
      </c>
      <c r="H656">
        <f t="shared" si="21"/>
        <v>0.79465370595382745</v>
      </c>
      <c r="I656">
        <f t="shared" si="20"/>
        <v>4</v>
      </c>
    </row>
    <row r="657" spans="1:9" ht="48" x14ac:dyDescent="0.2">
      <c r="A657" t="s">
        <v>3847</v>
      </c>
      <c r="B657">
        <v>111793</v>
      </c>
      <c r="C657">
        <v>2304</v>
      </c>
      <c r="F657" s="4" t="s">
        <v>3546</v>
      </c>
      <c r="G657">
        <v>0.45685800652051234</v>
      </c>
      <c r="H657">
        <f t="shared" si="21"/>
        <v>0.79586877278250301</v>
      </c>
      <c r="I657">
        <f t="shared" si="20"/>
        <v>4</v>
      </c>
    </row>
    <row r="658" spans="1:9" ht="48" x14ac:dyDescent="0.2">
      <c r="A658" t="s">
        <v>3155</v>
      </c>
      <c r="B658">
        <v>111809</v>
      </c>
      <c r="C658">
        <v>1678</v>
      </c>
      <c r="F658" s="4" t="s">
        <v>3397</v>
      </c>
      <c r="G658">
        <v>0.45833577952464294</v>
      </c>
      <c r="H658">
        <f t="shared" si="21"/>
        <v>0.79708383961117857</v>
      </c>
      <c r="I658">
        <f t="shared" si="20"/>
        <v>4</v>
      </c>
    </row>
    <row r="659" spans="1:9" ht="48" x14ac:dyDescent="0.2">
      <c r="A659" t="s">
        <v>3053</v>
      </c>
      <c r="B659">
        <v>111849</v>
      </c>
      <c r="C659">
        <v>1443</v>
      </c>
      <c r="F659" s="4" t="s">
        <v>3497</v>
      </c>
      <c r="G659">
        <v>0.4603206801868498</v>
      </c>
      <c r="H659">
        <f t="shared" si="21"/>
        <v>0.79829890643985424</v>
      </c>
      <c r="I659">
        <f t="shared" si="20"/>
        <v>4</v>
      </c>
    </row>
    <row r="660" spans="1:9" ht="48" x14ac:dyDescent="0.2">
      <c r="A660" t="s">
        <v>3782</v>
      </c>
      <c r="B660">
        <v>111983</v>
      </c>
      <c r="C660">
        <v>2174</v>
      </c>
      <c r="F660" s="4" t="s">
        <v>3094</v>
      </c>
      <c r="G660">
        <v>0.46050497827004405</v>
      </c>
      <c r="H660">
        <f t="shared" si="21"/>
        <v>0.7995139732685298</v>
      </c>
      <c r="I660">
        <f t="shared" si="20"/>
        <v>4</v>
      </c>
    </row>
    <row r="661" spans="1:9" ht="48" x14ac:dyDescent="0.2">
      <c r="A661" t="s">
        <v>3843</v>
      </c>
      <c r="B661">
        <v>112188</v>
      </c>
      <c r="C661">
        <v>2357</v>
      </c>
      <c r="F661" s="4" t="s">
        <v>3240</v>
      </c>
      <c r="G661">
        <v>0.46059769461158878</v>
      </c>
      <c r="H661">
        <f t="shared" si="21"/>
        <v>0.80072904009720536</v>
      </c>
      <c r="I661">
        <f t="shared" si="20"/>
        <v>5</v>
      </c>
    </row>
    <row r="662" spans="1:9" ht="48" x14ac:dyDescent="0.2">
      <c r="A662" t="s">
        <v>3556</v>
      </c>
      <c r="B662">
        <v>112500</v>
      </c>
      <c r="C662">
        <v>1850</v>
      </c>
      <c r="F662" s="4" t="s">
        <v>3760</v>
      </c>
      <c r="G662">
        <v>0.46206844046571777</v>
      </c>
      <c r="H662">
        <f t="shared" si="21"/>
        <v>0.80194410692588092</v>
      </c>
      <c r="I662">
        <f t="shared" si="20"/>
        <v>5</v>
      </c>
    </row>
    <row r="663" spans="1:9" ht="48" x14ac:dyDescent="0.2">
      <c r="A663" t="s">
        <v>3543</v>
      </c>
      <c r="B663">
        <v>112557</v>
      </c>
      <c r="C663">
        <v>1849</v>
      </c>
      <c r="F663" s="4" t="s">
        <v>3711</v>
      </c>
      <c r="G663">
        <v>0.46220631546623792</v>
      </c>
      <c r="H663">
        <f t="shared" si="21"/>
        <v>0.80315917375455648</v>
      </c>
      <c r="I663">
        <f t="shared" si="20"/>
        <v>5</v>
      </c>
    </row>
    <row r="664" spans="1:9" ht="48" x14ac:dyDescent="0.2">
      <c r="A664" t="s">
        <v>3722</v>
      </c>
      <c r="B664">
        <v>113466</v>
      </c>
      <c r="C664">
        <v>1955</v>
      </c>
      <c r="F664" s="4" t="s">
        <v>3555</v>
      </c>
      <c r="G664">
        <v>0.46256799590547509</v>
      </c>
      <c r="H664">
        <f t="shared" si="21"/>
        <v>0.80437424058323204</v>
      </c>
      <c r="I664">
        <f t="shared" si="20"/>
        <v>5</v>
      </c>
    </row>
    <row r="665" spans="1:9" ht="48" x14ac:dyDescent="0.2">
      <c r="A665" t="s">
        <v>3785</v>
      </c>
      <c r="B665">
        <v>113500</v>
      </c>
      <c r="C665">
        <v>1981</v>
      </c>
      <c r="F665" s="4" t="s">
        <v>3635</v>
      </c>
      <c r="G665">
        <v>0.46487507722662952</v>
      </c>
      <c r="H665">
        <f t="shared" si="21"/>
        <v>0.80558930741190771</v>
      </c>
      <c r="I665">
        <f t="shared" si="20"/>
        <v>5</v>
      </c>
    </row>
    <row r="666" spans="1:9" ht="48" x14ac:dyDescent="0.2">
      <c r="A666" t="s">
        <v>3806</v>
      </c>
      <c r="B666">
        <v>113594</v>
      </c>
      <c r="C666">
        <v>2278</v>
      </c>
      <c r="F666" s="4" t="s">
        <v>3264</v>
      </c>
      <c r="G666">
        <v>0.46503491597369606</v>
      </c>
      <c r="H666">
        <f t="shared" si="21"/>
        <v>0.80680437424058327</v>
      </c>
      <c r="I666">
        <f t="shared" si="20"/>
        <v>5</v>
      </c>
    </row>
    <row r="667" spans="1:9" ht="48" x14ac:dyDescent="0.2">
      <c r="A667" t="s">
        <v>3849</v>
      </c>
      <c r="B667">
        <v>113636</v>
      </c>
      <c r="C667">
        <v>2439</v>
      </c>
      <c r="F667" s="4" t="s">
        <v>3318</v>
      </c>
      <c r="G667">
        <v>0.4666592691529769</v>
      </c>
      <c r="H667">
        <f t="shared" si="21"/>
        <v>0.80801944106925883</v>
      </c>
      <c r="I667">
        <f t="shared" si="20"/>
        <v>5</v>
      </c>
    </row>
    <row r="668" spans="1:9" ht="64" x14ac:dyDescent="0.2">
      <c r="A668" t="s">
        <v>3841</v>
      </c>
      <c r="B668">
        <v>113765</v>
      </c>
      <c r="C668">
        <v>2369</v>
      </c>
      <c r="F668" s="4" t="s">
        <v>3234</v>
      </c>
      <c r="G668">
        <v>0.46807406319163747</v>
      </c>
      <c r="H668">
        <f t="shared" si="21"/>
        <v>0.80923450789793439</v>
      </c>
      <c r="I668">
        <f t="shared" si="20"/>
        <v>5</v>
      </c>
    </row>
    <row r="669" spans="1:9" ht="48" x14ac:dyDescent="0.2">
      <c r="A669" t="s">
        <v>3763</v>
      </c>
      <c r="B669">
        <v>113814</v>
      </c>
      <c r="C669">
        <v>2062</v>
      </c>
      <c r="F669" s="4" t="s">
        <v>3373</v>
      </c>
      <c r="G669">
        <v>0.46828147174975515</v>
      </c>
      <c r="H669">
        <f t="shared" si="21"/>
        <v>0.81044957472660994</v>
      </c>
      <c r="I669">
        <f t="shared" si="20"/>
        <v>5</v>
      </c>
    </row>
    <row r="670" spans="1:9" ht="48" x14ac:dyDescent="0.2">
      <c r="A670" t="s">
        <v>3637</v>
      </c>
      <c r="B670">
        <v>114773</v>
      </c>
      <c r="C670">
        <v>1980</v>
      </c>
      <c r="F670" s="4" t="s">
        <v>3150</v>
      </c>
      <c r="G670">
        <v>0.46856431358405343</v>
      </c>
      <c r="H670">
        <f t="shared" si="21"/>
        <v>0.8116646415552855</v>
      </c>
      <c r="I670">
        <f t="shared" si="20"/>
        <v>5</v>
      </c>
    </row>
    <row r="671" spans="1:9" ht="48" x14ac:dyDescent="0.2">
      <c r="A671" t="s">
        <v>3205</v>
      </c>
      <c r="B671">
        <v>114792</v>
      </c>
      <c r="C671">
        <v>1698</v>
      </c>
      <c r="F671" s="4" t="s">
        <v>3423</v>
      </c>
      <c r="G671">
        <v>0.46912844065920345</v>
      </c>
      <c r="H671">
        <f t="shared" si="21"/>
        <v>0.81287970838396106</v>
      </c>
      <c r="I671">
        <f t="shared" si="20"/>
        <v>5</v>
      </c>
    </row>
    <row r="672" spans="1:9" ht="48" x14ac:dyDescent="0.2">
      <c r="A672" t="s">
        <v>3199</v>
      </c>
      <c r="B672">
        <v>115625</v>
      </c>
      <c r="C672">
        <v>1667</v>
      </c>
      <c r="F672" s="4" t="s">
        <v>3489</v>
      </c>
      <c r="G672">
        <v>0.47195207300026637</v>
      </c>
      <c r="H672">
        <f t="shared" si="21"/>
        <v>0.81409477521263673</v>
      </c>
      <c r="I672">
        <f t="shared" si="20"/>
        <v>5</v>
      </c>
    </row>
    <row r="673" spans="1:9" ht="48" x14ac:dyDescent="0.2">
      <c r="A673" t="s">
        <v>3131</v>
      </c>
      <c r="B673">
        <v>116000</v>
      </c>
      <c r="C673">
        <v>1628</v>
      </c>
      <c r="F673" s="4" t="s">
        <v>3214</v>
      </c>
      <c r="G673">
        <v>0.47304221845186056</v>
      </c>
      <c r="H673">
        <f t="shared" si="21"/>
        <v>0.81530984204131229</v>
      </c>
      <c r="I673">
        <f t="shared" si="20"/>
        <v>5</v>
      </c>
    </row>
    <row r="674" spans="1:9" ht="64" x14ac:dyDescent="0.2">
      <c r="A674" t="s">
        <v>3602</v>
      </c>
      <c r="B674">
        <v>116222</v>
      </c>
      <c r="C674">
        <v>1923</v>
      </c>
      <c r="F674" s="4" t="s">
        <v>3601</v>
      </c>
      <c r="G674">
        <v>0.47455980418365246</v>
      </c>
      <c r="H674">
        <f t="shared" si="21"/>
        <v>0.81652490886998785</v>
      </c>
      <c r="I674">
        <f t="shared" si="20"/>
        <v>5</v>
      </c>
    </row>
    <row r="675" spans="1:9" ht="48" x14ac:dyDescent="0.2">
      <c r="A675" t="s">
        <v>3181</v>
      </c>
      <c r="B675">
        <v>116250</v>
      </c>
      <c r="C675">
        <v>1652</v>
      </c>
      <c r="F675" s="4" t="s">
        <v>3292</v>
      </c>
      <c r="G675">
        <v>0.47482270745313665</v>
      </c>
      <c r="H675">
        <f t="shared" si="21"/>
        <v>0.81773997569866341</v>
      </c>
      <c r="I675">
        <f t="shared" si="20"/>
        <v>5</v>
      </c>
    </row>
    <row r="676" spans="1:9" ht="48" x14ac:dyDescent="0.2">
      <c r="A676" t="s">
        <v>3442</v>
      </c>
      <c r="B676">
        <v>116402</v>
      </c>
      <c r="C676">
        <v>1912</v>
      </c>
      <c r="F676" s="4" t="s">
        <v>3749</v>
      </c>
      <c r="G676">
        <v>0.47567472631442742</v>
      </c>
      <c r="H676">
        <f t="shared" si="21"/>
        <v>0.81895504252733897</v>
      </c>
      <c r="I676">
        <f t="shared" si="20"/>
        <v>5</v>
      </c>
    </row>
    <row r="677" spans="1:9" ht="48" x14ac:dyDescent="0.2">
      <c r="A677" t="s">
        <v>3823</v>
      </c>
      <c r="B677">
        <v>116500</v>
      </c>
      <c r="C677">
        <v>2158</v>
      </c>
      <c r="F677" s="4" t="s">
        <v>3126</v>
      </c>
      <c r="G677">
        <v>0.47723852699276037</v>
      </c>
      <c r="H677">
        <f t="shared" si="21"/>
        <v>0.82017010935601453</v>
      </c>
      <c r="I677">
        <f t="shared" si="20"/>
        <v>5</v>
      </c>
    </row>
    <row r="678" spans="1:9" ht="64" x14ac:dyDescent="0.2">
      <c r="A678" t="s">
        <v>3055</v>
      </c>
      <c r="B678">
        <v>117009</v>
      </c>
      <c r="C678">
        <v>1522</v>
      </c>
      <c r="F678" s="4" t="s">
        <v>3290</v>
      </c>
      <c r="G678">
        <v>0.48001417144376901</v>
      </c>
      <c r="H678">
        <f t="shared" si="21"/>
        <v>0.8213851761846902</v>
      </c>
      <c r="I678">
        <f t="shared" si="20"/>
        <v>5</v>
      </c>
    </row>
    <row r="679" spans="1:9" ht="48" x14ac:dyDescent="0.2">
      <c r="A679" t="s">
        <v>3412</v>
      </c>
      <c r="B679">
        <v>117401</v>
      </c>
      <c r="C679">
        <v>1833</v>
      </c>
      <c r="F679" s="4" t="s">
        <v>3276</v>
      </c>
      <c r="G679">
        <v>0.48033722748541496</v>
      </c>
      <c r="H679">
        <f t="shared" si="21"/>
        <v>0.82260024301336576</v>
      </c>
      <c r="I679">
        <f t="shared" si="20"/>
        <v>5</v>
      </c>
    </row>
    <row r="680" spans="1:9" ht="48" x14ac:dyDescent="0.2">
      <c r="A680" t="s">
        <v>3459</v>
      </c>
      <c r="B680">
        <v>117625</v>
      </c>
      <c r="C680">
        <v>1927</v>
      </c>
      <c r="F680" s="4" t="s">
        <v>3116</v>
      </c>
      <c r="G680">
        <v>0.48065709603211432</v>
      </c>
      <c r="H680">
        <f t="shared" si="21"/>
        <v>0.82381530984204132</v>
      </c>
      <c r="I680">
        <f t="shared" si="20"/>
        <v>5</v>
      </c>
    </row>
    <row r="681" spans="1:9" ht="48" x14ac:dyDescent="0.2">
      <c r="A681" t="s">
        <v>3211</v>
      </c>
      <c r="B681">
        <v>117635</v>
      </c>
      <c r="C681">
        <v>1688</v>
      </c>
      <c r="F681" s="4" t="s">
        <v>3178</v>
      </c>
      <c r="G681">
        <v>0.48162537580142634</v>
      </c>
      <c r="H681">
        <f t="shared" si="21"/>
        <v>0.82503037667071688</v>
      </c>
      <c r="I681">
        <f t="shared" si="20"/>
        <v>5</v>
      </c>
    </row>
    <row r="682" spans="1:9" ht="48" x14ac:dyDescent="0.2">
      <c r="A682" t="s">
        <v>3215</v>
      </c>
      <c r="B682">
        <v>117895</v>
      </c>
      <c r="C682">
        <v>1722</v>
      </c>
      <c r="F682" s="4" t="s">
        <v>3192</v>
      </c>
      <c r="G682">
        <v>0.48388250510147268</v>
      </c>
      <c r="H682">
        <f t="shared" si="21"/>
        <v>0.82624544349939244</v>
      </c>
      <c r="I682">
        <f t="shared" si="20"/>
        <v>5</v>
      </c>
    </row>
    <row r="683" spans="1:9" ht="64" x14ac:dyDescent="0.2">
      <c r="A683" t="s">
        <v>3157</v>
      </c>
      <c r="B683">
        <v>118388</v>
      </c>
      <c r="C683">
        <v>1660</v>
      </c>
      <c r="F683" s="4" t="s">
        <v>3345</v>
      </c>
      <c r="G683">
        <v>0.48388936890987799</v>
      </c>
      <c r="H683">
        <f t="shared" si="21"/>
        <v>0.827460510328068</v>
      </c>
      <c r="I683">
        <f t="shared" si="20"/>
        <v>5</v>
      </c>
    </row>
    <row r="684" spans="1:9" ht="48" x14ac:dyDescent="0.2">
      <c r="A684" t="s">
        <v>3819</v>
      </c>
      <c r="B684">
        <v>118819</v>
      </c>
      <c r="C684">
        <v>2194</v>
      </c>
      <c r="F684" s="4" t="s">
        <v>3260</v>
      </c>
      <c r="G684">
        <v>0.48407742082275446</v>
      </c>
      <c r="H684">
        <f t="shared" si="21"/>
        <v>0.82867557715674367</v>
      </c>
      <c r="I684">
        <f t="shared" si="20"/>
        <v>5</v>
      </c>
    </row>
    <row r="685" spans="1:9" ht="48" x14ac:dyDescent="0.2">
      <c r="A685" t="s">
        <v>3247</v>
      </c>
      <c r="B685">
        <v>118906</v>
      </c>
      <c r="C685">
        <v>1759</v>
      </c>
      <c r="F685" s="4" t="s">
        <v>3407</v>
      </c>
      <c r="G685">
        <v>0.48667269739878521</v>
      </c>
      <c r="H685">
        <f t="shared" si="21"/>
        <v>0.82989064398541923</v>
      </c>
      <c r="I685">
        <f t="shared" si="20"/>
        <v>5</v>
      </c>
    </row>
    <row r="686" spans="1:9" ht="48" x14ac:dyDescent="0.2">
      <c r="A686" t="s">
        <v>3448</v>
      </c>
      <c r="B686">
        <v>118971</v>
      </c>
      <c r="C686">
        <v>2036</v>
      </c>
      <c r="F686" s="4" t="s">
        <v>3304</v>
      </c>
      <c r="G686">
        <v>0.48851886107273196</v>
      </c>
      <c r="H686">
        <f t="shared" si="21"/>
        <v>0.83110571081409479</v>
      </c>
      <c r="I686">
        <f t="shared" si="20"/>
        <v>5</v>
      </c>
    </row>
    <row r="687" spans="1:9" ht="48" x14ac:dyDescent="0.2">
      <c r="A687" t="s">
        <v>3697</v>
      </c>
      <c r="B687">
        <v>119042</v>
      </c>
      <c r="C687">
        <v>2032</v>
      </c>
      <c r="F687" s="4" t="s">
        <v>3080</v>
      </c>
      <c r="G687">
        <v>0.48971743013045332</v>
      </c>
      <c r="H687">
        <f t="shared" si="21"/>
        <v>0.83232077764277035</v>
      </c>
      <c r="I687">
        <f t="shared" si="20"/>
        <v>5</v>
      </c>
    </row>
    <row r="688" spans="1:9" ht="48" x14ac:dyDescent="0.2">
      <c r="A688" t="s">
        <v>3024</v>
      </c>
      <c r="B688">
        <v>119375</v>
      </c>
      <c r="C688">
        <v>1488</v>
      </c>
      <c r="F688" s="4" t="s">
        <v>3770</v>
      </c>
      <c r="G688">
        <v>0.48998009655443969</v>
      </c>
      <c r="H688">
        <f t="shared" si="21"/>
        <v>0.83353584447144591</v>
      </c>
      <c r="I688">
        <f t="shared" si="20"/>
        <v>5</v>
      </c>
    </row>
    <row r="689" spans="1:9" ht="48" x14ac:dyDescent="0.2">
      <c r="A689" t="s">
        <v>3059</v>
      </c>
      <c r="B689">
        <v>119861</v>
      </c>
      <c r="C689">
        <v>1552</v>
      </c>
      <c r="F689" s="4" t="s">
        <v>3578</v>
      </c>
      <c r="G689">
        <v>0.49000740771862605</v>
      </c>
      <c r="H689">
        <f t="shared" si="21"/>
        <v>0.83475091130012147</v>
      </c>
      <c r="I689">
        <f t="shared" si="20"/>
        <v>5</v>
      </c>
    </row>
    <row r="690" spans="1:9" ht="64" x14ac:dyDescent="0.2">
      <c r="A690" t="s">
        <v>3356</v>
      </c>
      <c r="B690">
        <v>119905</v>
      </c>
      <c r="C690">
        <v>1897</v>
      </c>
      <c r="F690" s="4" t="s">
        <v>3088</v>
      </c>
      <c r="G690">
        <v>0.49120990555461597</v>
      </c>
      <c r="H690">
        <f t="shared" si="21"/>
        <v>0.83596597812879714</v>
      </c>
      <c r="I690">
        <f t="shared" si="20"/>
        <v>5</v>
      </c>
    </row>
    <row r="691" spans="1:9" ht="48" x14ac:dyDescent="0.2">
      <c r="A691" t="s">
        <v>3319</v>
      </c>
      <c r="B691">
        <v>119917</v>
      </c>
      <c r="C691">
        <v>1820</v>
      </c>
      <c r="F691" s="4" t="s">
        <v>3462</v>
      </c>
      <c r="G691">
        <v>0.49318285913562226</v>
      </c>
      <c r="H691">
        <f t="shared" si="21"/>
        <v>0.8371810449574727</v>
      </c>
      <c r="I691">
        <f t="shared" si="20"/>
        <v>5</v>
      </c>
    </row>
    <row r="692" spans="1:9" ht="48" x14ac:dyDescent="0.2">
      <c r="A692" t="s">
        <v>3830</v>
      </c>
      <c r="B692">
        <v>120476</v>
      </c>
      <c r="C692">
        <v>2277</v>
      </c>
      <c r="F692" s="4" t="s">
        <v>3288</v>
      </c>
      <c r="G692">
        <v>0.49457267674420552</v>
      </c>
      <c r="H692">
        <f t="shared" si="21"/>
        <v>0.83839611178614826</v>
      </c>
      <c r="I692">
        <f t="shared" si="20"/>
        <v>5</v>
      </c>
    </row>
    <row r="693" spans="1:9" ht="48" x14ac:dyDescent="0.2">
      <c r="A693" t="s">
        <v>3057</v>
      </c>
      <c r="B693">
        <v>120745</v>
      </c>
      <c r="C693">
        <v>1590</v>
      </c>
      <c r="F693" s="4" t="s">
        <v>3226</v>
      </c>
      <c r="G693">
        <v>0.49769631229315847</v>
      </c>
      <c r="H693">
        <f t="shared" si="21"/>
        <v>0.83961117861482382</v>
      </c>
      <c r="I693">
        <f t="shared" si="20"/>
        <v>5</v>
      </c>
    </row>
    <row r="694" spans="1:9" ht="48" x14ac:dyDescent="0.2">
      <c r="A694" t="s">
        <v>3089</v>
      </c>
      <c r="B694">
        <v>120833</v>
      </c>
      <c r="C694">
        <v>1589</v>
      </c>
      <c r="F694" s="4" t="s">
        <v>3330</v>
      </c>
      <c r="G694">
        <v>0.49783192608748944</v>
      </c>
      <c r="H694">
        <f t="shared" si="21"/>
        <v>0.84082624544349938</v>
      </c>
      <c r="I694">
        <f t="shared" si="20"/>
        <v>5</v>
      </c>
    </row>
    <row r="695" spans="1:9" ht="48" x14ac:dyDescent="0.2">
      <c r="A695" t="s">
        <v>3667</v>
      </c>
      <c r="B695">
        <v>120893</v>
      </c>
      <c r="C695">
        <v>2028</v>
      </c>
      <c r="F695" s="4" t="s">
        <v>3296</v>
      </c>
      <c r="G695">
        <v>0.49833332371457228</v>
      </c>
      <c r="H695">
        <f t="shared" si="21"/>
        <v>0.84204131227217494</v>
      </c>
      <c r="I695">
        <f t="shared" si="20"/>
        <v>5</v>
      </c>
    </row>
    <row r="696" spans="1:9" ht="48" x14ac:dyDescent="0.2">
      <c r="A696" t="s">
        <v>3329</v>
      </c>
      <c r="B696">
        <v>121250</v>
      </c>
      <c r="C696">
        <v>1878</v>
      </c>
      <c r="F696" s="4" t="s">
        <v>3112</v>
      </c>
      <c r="G696">
        <v>0.49848195781264582</v>
      </c>
      <c r="H696">
        <f t="shared" si="21"/>
        <v>0.84325637910085049</v>
      </c>
      <c r="I696">
        <f t="shared" si="20"/>
        <v>5</v>
      </c>
    </row>
    <row r="697" spans="1:9" ht="48" x14ac:dyDescent="0.2">
      <c r="A697" t="s">
        <v>3370</v>
      </c>
      <c r="B697">
        <v>121296</v>
      </c>
      <c r="C697">
        <v>1813</v>
      </c>
      <c r="F697" s="4" t="s">
        <v>3617</v>
      </c>
      <c r="G697">
        <v>0.49850718245453191</v>
      </c>
      <c r="H697">
        <f t="shared" si="21"/>
        <v>0.84447144592952617</v>
      </c>
      <c r="I697">
        <f t="shared" si="20"/>
        <v>5</v>
      </c>
    </row>
    <row r="698" spans="1:9" ht="48" x14ac:dyDescent="0.2">
      <c r="A698" t="s">
        <v>3789</v>
      </c>
      <c r="B698">
        <v>121802</v>
      </c>
      <c r="C698">
        <v>2161</v>
      </c>
      <c r="F698" s="4" t="s">
        <v>3028</v>
      </c>
      <c r="G698">
        <v>0.50016357548320067</v>
      </c>
      <c r="H698">
        <f t="shared" si="21"/>
        <v>0.84568651275820172</v>
      </c>
      <c r="I698">
        <f t="shared" si="20"/>
        <v>5</v>
      </c>
    </row>
    <row r="699" spans="1:9" ht="48" x14ac:dyDescent="0.2">
      <c r="A699" t="s">
        <v>3516</v>
      </c>
      <c r="B699">
        <v>121889</v>
      </c>
      <c r="C699">
        <v>2003</v>
      </c>
      <c r="F699" s="4" t="s">
        <v>3282</v>
      </c>
      <c r="G699">
        <v>0.50147958177205698</v>
      </c>
      <c r="H699">
        <f t="shared" si="21"/>
        <v>0.84690157958687728</v>
      </c>
      <c r="I699">
        <f t="shared" si="20"/>
        <v>5</v>
      </c>
    </row>
    <row r="700" spans="1:9" ht="64" x14ac:dyDescent="0.2">
      <c r="A700" t="s">
        <v>3179</v>
      </c>
      <c r="B700">
        <v>121939</v>
      </c>
      <c r="C700">
        <v>1775</v>
      </c>
      <c r="F700" s="4" t="s">
        <v>3222</v>
      </c>
      <c r="G700">
        <v>0.50164283597444193</v>
      </c>
      <c r="H700">
        <f t="shared" si="21"/>
        <v>0.84811664641555284</v>
      </c>
      <c r="I700">
        <f t="shared" si="20"/>
        <v>5</v>
      </c>
    </row>
    <row r="701" spans="1:9" ht="48" x14ac:dyDescent="0.2">
      <c r="A701" t="s">
        <v>3797</v>
      </c>
      <c r="B701">
        <v>122031</v>
      </c>
      <c r="C701">
        <v>2272</v>
      </c>
      <c r="F701" s="4" t="s">
        <v>3206</v>
      </c>
      <c r="G701">
        <v>0.50203059805285122</v>
      </c>
      <c r="H701">
        <f t="shared" si="21"/>
        <v>0.8493317132442284</v>
      </c>
      <c r="I701">
        <f t="shared" si="20"/>
        <v>5</v>
      </c>
    </row>
    <row r="702" spans="1:9" ht="48" x14ac:dyDescent="0.2">
      <c r="A702" t="s">
        <v>3836</v>
      </c>
      <c r="B702">
        <v>122097</v>
      </c>
      <c r="C702">
        <v>2348</v>
      </c>
      <c r="F702" s="4" t="s">
        <v>3228</v>
      </c>
      <c r="G702">
        <v>0.50367925087802734</v>
      </c>
      <c r="H702">
        <f t="shared" si="21"/>
        <v>0.85054678007290396</v>
      </c>
      <c r="I702">
        <f t="shared" si="20"/>
        <v>5</v>
      </c>
    </row>
    <row r="703" spans="1:9" ht="48" x14ac:dyDescent="0.2">
      <c r="A703" t="s">
        <v>3293</v>
      </c>
      <c r="B703">
        <v>122222</v>
      </c>
      <c r="C703">
        <v>1767</v>
      </c>
      <c r="F703" s="4" t="s">
        <v>3278</v>
      </c>
      <c r="G703">
        <v>0.5046355405045142</v>
      </c>
      <c r="H703">
        <f t="shared" si="21"/>
        <v>0.85176184690157963</v>
      </c>
      <c r="I703">
        <f t="shared" si="20"/>
        <v>5</v>
      </c>
    </row>
    <row r="704" spans="1:9" ht="48" x14ac:dyDescent="0.2">
      <c r="A704" t="s">
        <v>3731</v>
      </c>
      <c r="B704">
        <v>122431</v>
      </c>
      <c r="C704">
        <v>2046</v>
      </c>
      <c r="F704" s="4" t="s">
        <v>3270</v>
      </c>
      <c r="G704">
        <v>0.50532267996305624</v>
      </c>
      <c r="H704">
        <f t="shared" si="21"/>
        <v>0.85297691373025519</v>
      </c>
      <c r="I704">
        <f t="shared" si="20"/>
        <v>5</v>
      </c>
    </row>
    <row r="705" spans="1:9" ht="48" x14ac:dyDescent="0.2">
      <c r="A705" t="s">
        <v>3824</v>
      </c>
      <c r="B705">
        <v>122633</v>
      </c>
      <c r="C705">
        <v>2513</v>
      </c>
      <c r="F705" s="4" t="s">
        <v>3254</v>
      </c>
      <c r="G705">
        <v>0.5065241174004359</v>
      </c>
      <c r="H705">
        <f t="shared" si="21"/>
        <v>0.85419198055893075</v>
      </c>
      <c r="I705">
        <f t="shared" si="20"/>
        <v>5</v>
      </c>
    </row>
    <row r="706" spans="1:9" ht="48" x14ac:dyDescent="0.2">
      <c r="A706" t="s">
        <v>3354</v>
      </c>
      <c r="B706">
        <v>123480</v>
      </c>
      <c r="C706">
        <v>1929</v>
      </c>
      <c r="F706" s="4" t="s">
        <v>3355</v>
      </c>
      <c r="G706">
        <v>0.50756698327371086</v>
      </c>
      <c r="H706">
        <f t="shared" si="21"/>
        <v>0.85540704738760631</v>
      </c>
      <c r="I706">
        <f t="shared" si="20"/>
        <v>5</v>
      </c>
    </row>
    <row r="707" spans="1:9" ht="48" x14ac:dyDescent="0.2">
      <c r="A707" t="s">
        <v>3087</v>
      </c>
      <c r="B707">
        <v>123580</v>
      </c>
      <c r="C707">
        <v>1738</v>
      </c>
      <c r="F707" s="4" t="s">
        <v>3174</v>
      </c>
      <c r="G707">
        <v>0.5083495907264477</v>
      </c>
      <c r="H707">
        <f t="shared" si="21"/>
        <v>0.85662211421628187</v>
      </c>
      <c r="I707">
        <f t="shared" ref="I707:I770" si="22">IF(H707&lt;0.2,1,IF(H707&lt;0.4,2,IF(H707&lt;0.6,3,IF(H707&lt;0.8,4,5))))</f>
        <v>5</v>
      </c>
    </row>
    <row r="708" spans="1:9" ht="48" x14ac:dyDescent="0.2">
      <c r="A708" t="s">
        <v>3747</v>
      </c>
      <c r="B708">
        <v>123750</v>
      </c>
      <c r="C708">
        <v>2185</v>
      </c>
      <c r="F708" s="4" t="s">
        <v>3800</v>
      </c>
      <c r="G708">
        <v>0.51032749559945101</v>
      </c>
      <c r="H708">
        <f t="shared" ref="H708:H771" si="23">_xlfn.RANK.EQ(G708,$G$3:$G$825,1)/COUNT($G$3:$G$825)</f>
        <v>0.85783718104495743</v>
      </c>
      <c r="I708">
        <f t="shared" si="22"/>
        <v>5</v>
      </c>
    </row>
    <row r="709" spans="1:9" ht="48" x14ac:dyDescent="0.2">
      <c r="A709" t="s">
        <v>3217</v>
      </c>
      <c r="B709">
        <v>124141</v>
      </c>
      <c r="C709">
        <v>1763</v>
      </c>
      <c r="F709" s="4" t="s">
        <v>3339</v>
      </c>
      <c r="G709">
        <v>0.51418622214030307</v>
      </c>
      <c r="H709">
        <f t="shared" si="23"/>
        <v>0.8590522478736331</v>
      </c>
      <c r="I709">
        <f t="shared" si="22"/>
        <v>5</v>
      </c>
    </row>
    <row r="710" spans="1:9" ht="48" x14ac:dyDescent="0.2">
      <c r="A710" t="s">
        <v>3645</v>
      </c>
      <c r="B710">
        <v>126422</v>
      </c>
      <c r="C710">
        <v>2107</v>
      </c>
      <c r="F710" s="4" t="s">
        <v>3395</v>
      </c>
      <c r="G710">
        <v>0.51421657161549028</v>
      </c>
      <c r="H710">
        <f t="shared" si="23"/>
        <v>0.86026731470230866</v>
      </c>
      <c r="I710">
        <f t="shared" si="22"/>
        <v>5</v>
      </c>
    </row>
    <row r="711" spans="1:9" ht="48" x14ac:dyDescent="0.2">
      <c r="A711" t="s">
        <v>3281</v>
      </c>
      <c r="B711">
        <v>126534</v>
      </c>
      <c r="C711">
        <v>1916</v>
      </c>
      <c r="F711" s="4" t="s">
        <v>3204</v>
      </c>
      <c r="G711">
        <v>0.51484921602044742</v>
      </c>
      <c r="H711">
        <f t="shared" si="23"/>
        <v>0.86148238153098422</v>
      </c>
      <c r="I711">
        <f t="shared" si="22"/>
        <v>5</v>
      </c>
    </row>
    <row r="712" spans="1:9" ht="64" x14ac:dyDescent="0.2">
      <c r="A712" t="s">
        <v>3193</v>
      </c>
      <c r="B712">
        <v>126738</v>
      </c>
      <c r="C712">
        <v>1920</v>
      </c>
      <c r="F712" s="4" t="s">
        <v>3332</v>
      </c>
      <c r="G712">
        <v>0.51509128003816051</v>
      </c>
      <c r="H712">
        <f t="shared" si="23"/>
        <v>0.86269744835965978</v>
      </c>
      <c r="I712">
        <f t="shared" si="22"/>
        <v>5</v>
      </c>
    </row>
    <row r="713" spans="1:9" ht="48" x14ac:dyDescent="0.2">
      <c r="A713" t="s">
        <v>3831</v>
      </c>
      <c r="B713">
        <v>126838</v>
      </c>
      <c r="C713">
        <v>2452</v>
      </c>
      <c r="F713" s="4" t="s">
        <v>3092</v>
      </c>
      <c r="G713">
        <v>0.51638208487115422</v>
      </c>
      <c r="H713">
        <f t="shared" si="23"/>
        <v>0.86391251518833534</v>
      </c>
      <c r="I713">
        <f t="shared" si="22"/>
        <v>5</v>
      </c>
    </row>
    <row r="714" spans="1:9" ht="48" x14ac:dyDescent="0.2">
      <c r="A714" t="s">
        <v>3563</v>
      </c>
      <c r="B714">
        <v>128056</v>
      </c>
      <c r="C714">
        <v>2056</v>
      </c>
      <c r="F714" s="4" t="s">
        <v>3748</v>
      </c>
      <c r="G714">
        <v>0.5175513928499339</v>
      </c>
      <c r="H714">
        <f t="shared" si="23"/>
        <v>0.8651275820170109</v>
      </c>
      <c r="I714">
        <f t="shared" si="22"/>
        <v>5</v>
      </c>
    </row>
    <row r="715" spans="1:9" ht="48" x14ac:dyDescent="0.2">
      <c r="A715" t="s">
        <v>3709</v>
      </c>
      <c r="B715">
        <v>128623</v>
      </c>
      <c r="C715">
        <v>2425</v>
      </c>
      <c r="F715" s="4" t="s">
        <v>3164</v>
      </c>
      <c r="G715">
        <v>0.51945492040260322</v>
      </c>
      <c r="H715">
        <f t="shared" si="23"/>
        <v>0.86634264884568646</v>
      </c>
      <c r="I715">
        <f t="shared" si="22"/>
        <v>5</v>
      </c>
    </row>
    <row r="716" spans="1:9" ht="48" x14ac:dyDescent="0.2">
      <c r="A716" t="s">
        <v>3163</v>
      </c>
      <c r="B716">
        <v>128661</v>
      </c>
      <c r="C716">
        <v>1861</v>
      </c>
      <c r="F716" s="4" t="s">
        <v>3170</v>
      </c>
      <c r="G716">
        <v>0.52316892033025997</v>
      </c>
      <c r="H716">
        <f t="shared" si="23"/>
        <v>0.86755771567436213</v>
      </c>
      <c r="I716">
        <f t="shared" si="22"/>
        <v>5</v>
      </c>
    </row>
    <row r="717" spans="1:9" ht="48" x14ac:dyDescent="0.2">
      <c r="A717" t="s">
        <v>3822</v>
      </c>
      <c r="B717">
        <v>128667</v>
      </c>
      <c r="C717">
        <v>2371</v>
      </c>
      <c r="F717" s="4" t="s">
        <v>3038</v>
      </c>
      <c r="G717">
        <v>0.52377843808525282</v>
      </c>
      <c r="H717">
        <f t="shared" si="23"/>
        <v>0.86877278250303769</v>
      </c>
      <c r="I717">
        <f t="shared" si="22"/>
        <v>5</v>
      </c>
    </row>
    <row r="718" spans="1:9" ht="48" x14ac:dyDescent="0.2">
      <c r="A718" t="s">
        <v>3475</v>
      </c>
      <c r="B718">
        <v>128750</v>
      </c>
      <c r="C718">
        <v>2032</v>
      </c>
      <c r="F718" s="4" t="s">
        <v>3611</v>
      </c>
      <c r="G718">
        <v>0.52419912012381875</v>
      </c>
      <c r="H718">
        <f t="shared" si="23"/>
        <v>0.86998784933171325</v>
      </c>
      <c r="I718">
        <f t="shared" si="22"/>
        <v>5</v>
      </c>
    </row>
    <row r="719" spans="1:9" ht="48" x14ac:dyDescent="0.2">
      <c r="A719" t="s">
        <v>3690</v>
      </c>
      <c r="B719">
        <v>129133</v>
      </c>
      <c r="C719">
        <v>2240</v>
      </c>
      <c r="F719" s="4" t="s">
        <v>3224</v>
      </c>
      <c r="G719">
        <v>0.52548058404281994</v>
      </c>
      <c r="H719">
        <f t="shared" si="23"/>
        <v>0.87120291616038881</v>
      </c>
      <c r="I719">
        <f t="shared" si="22"/>
        <v>5</v>
      </c>
    </row>
    <row r="720" spans="1:9" ht="48" x14ac:dyDescent="0.2">
      <c r="A720" t="s">
        <v>3743</v>
      </c>
      <c r="B720">
        <v>129250</v>
      </c>
      <c r="C720">
        <v>2370</v>
      </c>
      <c r="F720" s="4" t="s">
        <v>3553</v>
      </c>
      <c r="G720">
        <v>0.52668392206987436</v>
      </c>
      <c r="H720">
        <f t="shared" si="23"/>
        <v>0.87241798298906437</v>
      </c>
      <c r="I720">
        <f t="shared" si="22"/>
        <v>5</v>
      </c>
    </row>
    <row r="721" spans="1:9" ht="48" x14ac:dyDescent="0.2">
      <c r="A721" t="s">
        <v>3808</v>
      </c>
      <c r="B721">
        <v>129559</v>
      </c>
      <c r="C721">
        <v>2329</v>
      </c>
      <c r="F721" s="4" t="s">
        <v>3409</v>
      </c>
      <c r="G721">
        <v>0.52734239439189012</v>
      </c>
      <c r="H721">
        <f t="shared" si="23"/>
        <v>0.87363304981773993</v>
      </c>
      <c r="I721">
        <f t="shared" si="22"/>
        <v>5</v>
      </c>
    </row>
    <row r="722" spans="1:9" ht="48" x14ac:dyDescent="0.2">
      <c r="A722" t="s">
        <v>3833</v>
      </c>
      <c r="B722">
        <v>129821</v>
      </c>
      <c r="C722">
        <v>2593</v>
      </c>
      <c r="F722" s="4" t="s">
        <v>3343</v>
      </c>
      <c r="G722">
        <v>0.53294983136501695</v>
      </c>
      <c r="H722">
        <f t="shared" si="23"/>
        <v>0.8748481166464156</v>
      </c>
      <c r="I722">
        <f t="shared" si="22"/>
        <v>5</v>
      </c>
    </row>
    <row r="723" spans="1:9" ht="48" x14ac:dyDescent="0.2">
      <c r="A723" t="s">
        <v>3600</v>
      </c>
      <c r="B723">
        <v>130625</v>
      </c>
      <c r="C723">
        <v>2189</v>
      </c>
      <c r="F723" s="4" t="s">
        <v>3377</v>
      </c>
      <c r="G723">
        <v>0.53439679449621047</v>
      </c>
      <c r="H723">
        <f t="shared" si="23"/>
        <v>0.87606318347509116</v>
      </c>
      <c r="I723">
        <f t="shared" si="22"/>
        <v>5</v>
      </c>
    </row>
    <row r="724" spans="1:9" ht="48" x14ac:dyDescent="0.2">
      <c r="A724" t="s">
        <v>3315</v>
      </c>
      <c r="B724">
        <v>130694</v>
      </c>
      <c r="C724">
        <v>2109</v>
      </c>
      <c r="F724" s="4" t="s">
        <v>3196</v>
      </c>
      <c r="G724">
        <v>0.53494670452403237</v>
      </c>
      <c r="H724">
        <f t="shared" si="23"/>
        <v>0.87727825030376672</v>
      </c>
      <c r="I724">
        <f t="shared" si="22"/>
        <v>5</v>
      </c>
    </row>
    <row r="725" spans="1:9" ht="48" x14ac:dyDescent="0.2">
      <c r="A725" t="s">
        <v>3063</v>
      </c>
      <c r="B725">
        <v>130885</v>
      </c>
      <c r="C725">
        <v>1686</v>
      </c>
      <c r="F725" s="4" t="s">
        <v>3542</v>
      </c>
      <c r="G725">
        <v>0.53534315992585502</v>
      </c>
      <c r="H725">
        <f t="shared" si="23"/>
        <v>0.87849331713244228</v>
      </c>
      <c r="I725">
        <f t="shared" si="22"/>
        <v>5</v>
      </c>
    </row>
    <row r="726" spans="1:9" ht="48" x14ac:dyDescent="0.2">
      <c r="A726" t="s">
        <v>3595</v>
      </c>
      <c r="B726">
        <v>130888</v>
      </c>
      <c r="C726">
        <v>2202</v>
      </c>
      <c r="F726" s="4" t="s">
        <v>3698</v>
      </c>
      <c r="G726">
        <v>0.53864575885408628</v>
      </c>
      <c r="H726">
        <f t="shared" si="23"/>
        <v>0.87970838396111783</v>
      </c>
      <c r="I726">
        <f t="shared" si="22"/>
        <v>5</v>
      </c>
    </row>
    <row r="727" spans="1:9" ht="48" x14ac:dyDescent="0.2">
      <c r="A727" t="s">
        <v>3520</v>
      </c>
      <c r="B727">
        <v>130962</v>
      </c>
      <c r="C727">
        <v>2282</v>
      </c>
      <c r="F727" s="4" t="s">
        <v>3268</v>
      </c>
      <c r="G727">
        <v>0.54032376290978368</v>
      </c>
      <c r="H727">
        <f t="shared" si="23"/>
        <v>0.88092345078979339</v>
      </c>
      <c r="I727">
        <f t="shared" si="22"/>
        <v>5</v>
      </c>
    </row>
    <row r="728" spans="1:9" ht="64" x14ac:dyDescent="0.2">
      <c r="A728" t="s">
        <v>3336</v>
      </c>
      <c r="B728">
        <v>131563</v>
      </c>
      <c r="C728">
        <v>1998</v>
      </c>
      <c r="F728" s="4" t="s">
        <v>3433</v>
      </c>
      <c r="G728">
        <v>0.54050728347012078</v>
      </c>
      <c r="H728">
        <f t="shared" si="23"/>
        <v>0.88213851761846906</v>
      </c>
      <c r="I728">
        <f t="shared" si="22"/>
        <v>5</v>
      </c>
    </row>
    <row r="729" spans="1:9" ht="48" x14ac:dyDescent="0.2">
      <c r="A729" t="s">
        <v>3191</v>
      </c>
      <c r="B729">
        <v>131583</v>
      </c>
      <c r="C729">
        <v>1968</v>
      </c>
      <c r="F729" s="4" t="s">
        <v>3405</v>
      </c>
      <c r="G729">
        <v>0.54408934382724461</v>
      </c>
      <c r="H729">
        <f t="shared" si="23"/>
        <v>0.88335358444714462</v>
      </c>
      <c r="I729">
        <f t="shared" si="22"/>
        <v>5</v>
      </c>
    </row>
    <row r="730" spans="1:9" ht="48" x14ac:dyDescent="0.2">
      <c r="A730" t="s">
        <v>3717</v>
      </c>
      <c r="B730">
        <v>131897</v>
      </c>
      <c r="C730">
        <v>2349</v>
      </c>
      <c r="F730" s="4" t="s">
        <v>3298</v>
      </c>
      <c r="G730">
        <v>0.54495597437769649</v>
      </c>
      <c r="H730">
        <f t="shared" si="23"/>
        <v>0.88456865127582018</v>
      </c>
      <c r="I730">
        <f t="shared" si="22"/>
        <v>5</v>
      </c>
    </row>
    <row r="731" spans="1:9" ht="48" x14ac:dyDescent="0.2">
      <c r="A731" t="s">
        <v>3787</v>
      </c>
      <c r="B731">
        <v>131992</v>
      </c>
      <c r="C731">
        <v>2518</v>
      </c>
      <c r="F731" s="4" t="s">
        <v>3312</v>
      </c>
      <c r="G731">
        <v>0.5480944682283948</v>
      </c>
      <c r="H731">
        <f t="shared" si="23"/>
        <v>0.88578371810449574</v>
      </c>
      <c r="I731">
        <f t="shared" si="22"/>
        <v>5</v>
      </c>
    </row>
    <row r="732" spans="1:9" ht="48" x14ac:dyDescent="0.2">
      <c r="A732" t="s">
        <v>3299</v>
      </c>
      <c r="B732">
        <v>132740</v>
      </c>
      <c r="C732">
        <v>1939</v>
      </c>
      <c r="F732" s="4" t="s">
        <v>3367</v>
      </c>
      <c r="G732">
        <v>0.55063669214775679</v>
      </c>
      <c r="H732">
        <f t="shared" si="23"/>
        <v>0.8869987849331713</v>
      </c>
      <c r="I732">
        <f t="shared" si="22"/>
        <v>5</v>
      </c>
    </row>
    <row r="733" spans="1:9" ht="48" x14ac:dyDescent="0.2">
      <c r="A733" t="s">
        <v>3127</v>
      </c>
      <c r="B733">
        <v>133417</v>
      </c>
      <c r="C733">
        <v>1791</v>
      </c>
      <c r="F733" s="4" t="s">
        <v>3363</v>
      </c>
      <c r="G733">
        <v>0.55275893688833844</v>
      </c>
      <c r="H733">
        <f t="shared" si="23"/>
        <v>0.88821385176184686</v>
      </c>
      <c r="I733">
        <f t="shared" si="22"/>
        <v>5</v>
      </c>
    </row>
    <row r="734" spans="1:9" ht="48" x14ac:dyDescent="0.2">
      <c r="A734" t="s">
        <v>3846</v>
      </c>
      <c r="B734">
        <v>133482</v>
      </c>
      <c r="C734">
        <v>2844</v>
      </c>
      <c r="F734" s="4" t="s">
        <v>3190</v>
      </c>
      <c r="G734">
        <v>0.55372228907417864</v>
      </c>
      <c r="H734">
        <f t="shared" si="23"/>
        <v>0.88942891859052253</v>
      </c>
      <c r="I734">
        <f t="shared" si="22"/>
        <v>5</v>
      </c>
    </row>
    <row r="735" spans="1:9" ht="48" x14ac:dyDescent="0.2">
      <c r="A735" t="s">
        <v>3099</v>
      </c>
      <c r="B735">
        <v>133984</v>
      </c>
      <c r="C735">
        <v>1768</v>
      </c>
      <c r="F735" s="4" t="s">
        <v>3365</v>
      </c>
      <c r="G735">
        <v>0.5540389473674211</v>
      </c>
      <c r="H735">
        <f t="shared" si="23"/>
        <v>0.89064398541919809</v>
      </c>
      <c r="I735">
        <f t="shared" si="22"/>
        <v>5</v>
      </c>
    </row>
    <row r="736" spans="1:9" ht="48" x14ac:dyDescent="0.2">
      <c r="A736" t="s">
        <v>3713</v>
      </c>
      <c r="B736">
        <v>133988</v>
      </c>
      <c r="C736">
        <v>2313</v>
      </c>
      <c r="F736" s="4" t="s">
        <v>3484</v>
      </c>
      <c r="G736">
        <v>0.55553526170826462</v>
      </c>
      <c r="H736">
        <f t="shared" si="23"/>
        <v>0.89185905224787365</v>
      </c>
      <c r="I736">
        <f t="shared" si="22"/>
        <v>5</v>
      </c>
    </row>
    <row r="737" spans="1:9" ht="48" x14ac:dyDescent="0.2">
      <c r="A737" t="s">
        <v>3696</v>
      </c>
      <c r="B737">
        <v>135197</v>
      </c>
      <c r="C737">
        <v>2328</v>
      </c>
      <c r="F737" s="4" t="s">
        <v>3535</v>
      </c>
      <c r="G737">
        <v>0.55630258304174962</v>
      </c>
      <c r="H737">
        <f t="shared" si="23"/>
        <v>0.89307411907654921</v>
      </c>
      <c r="I737">
        <f t="shared" si="22"/>
        <v>5</v>
      </c>
    </row>
    <row r="738" spans="1:9" ht="48" x14ac:dyDescent="0.2">
      <c r="A738" t="s">
        <v>3576</v>
      </c>
      <c r="B738">
        <v>136053</v>
      </c>
      <c r="C738">
        <v>2168</v>
      </c>
      <c r="F738" s="4" t="s">
        <v>3188</v>
      </c>
      <c r="G738">
        <v>0.55722730595208614</v>
      </c>
      <c r="H738">
        <f t="shared" si="23"/>
        <v>0.89428918590522477</v>
      </c>
      <c r="I738">
        <f t="shared" si="22"/>
        <v>5</v>
      </c>
    </row>
    <row r="739" spans="1:9" ht="48" x14ac:dyDescent="0.2">
      <c r="A739" t="s">
        <v>3498</v>
      </c>
      <c r="B739">
        <v>136103</v>
      </c>
      <c r="C739">
        <v>2080</v>
      </c>
      <c r="F739" s="4" t="s">
        <v>3156</v>
      </c>
      <c r="G739">
        <v>0.55852322889483208</v>
      </c>
      <c r="H739">
        <f t="shared" si="23"/>
        <v>0.89550425273390033</v>
      </c>
      <c r="I739">
        <f t="shared" si="22"/>
        <v>5</v>
      </c>
    </row>
    <row r="740" spans="1:9" ht="48" x14ac:dyDescent="0.2">
      <c r="A740" t="s">
        <v>3668</v>
      </c>
      <c r="B740">
        <v>136495</v>
      </c>
      <c r="C740">
        <v>2403</v>
      </c>
      <c r="F740" s="4" t="s">
        <v>3248</v>
      </c>
      <c r="G740">
        <v>0.55907684789471601</v>
      </c>
      <c r="H740">
        <f t="shared" si="23"/>
        <v>0.89671931956257589</v>
      </c>
      <c r="I740">
        <f t="shared" si="22"/>
        <v>5</v>
      </c>
    </row>
    <row r="741" spans="1:9" ht="48" x14ac:dyDescent="0.2">
      <c r="A741" t="s">
        <v>3237</v>
      </c>
      <c r="B741">
        <v>136719</v>
      </c>
      <c r="C741">
        <v>1985</v>
      </c>
      <c r="F741" s="4" t="s">
        <v>3242</v>
      </c>
      <c r="G741">
        <v>0.55912913734902892</v>
      </c>
      <c r="H741">
        <f t="shared" si="23"/>
        <v>0.89793438639125156</v>
      </c>
      <c r="I741">
        <f t="shared" si="22"/>
        <v>5</v>
      </c>
    </row>
    <row r="742" spans="1:9" ht="48" x14ac:dyDescent="0.2">
      <c r="A742" t="s">
        <v>3030</v>
      </c>
      <c r="B742">
        <v>136855</v>
      </c>
      <c r="C742">
        <v>1528</v>
      </c>
      <c r="F742" s="4" t="s">
        <v>3468</v>
      </c>
      <c r="G742">
        <v>0.56073474090893682</v>
      </c>
      <c r="H742">
        <f t="shared" si="23"/>
        <v>0.89914945321992712</v>
      </c>
      <c r="I742">
        <f t="shared" si="22"/>
        <v>5</v>
      </c>
    </row>
    <row r="743" spans="1:9" ht="48" x14ac:dyDescent="0.2">
      <c r="A743" t="s">
        <v>3644</v>
      </c>
      <c r="B743">
        <v>137361</v>
      </c>
      <c r="C743">
        <v>2262</v>
      </c>
      <c r="F743" s="4" t="s">
        <v>3158</v>
      </c>
      <c r="G743">
        <v>0.56124296491619396</v>
      </c>
      <c r="H743">
        <f t="shared" si="23"/>
        <v>0.90036452004860268</v>
      </c>
      <c r="I743">
        <f t="shared" si="22"/>
        <v>5</v>
      </c>
    </row>
    <row r="744" spans="1:9" ht="64" x14ac:dyDescent="0.2">
      <c r="A744" t="s">
        <v>3726</v>
      </c>
      <c r="B744">
        <v>138169</v>
      </c>
      <c r="C744">
        <v>2364</v>
      </c>
      <c r="F744" s="4" t="s">
        <v>3421</v>
      </c>
      <c r="G744">
        <v>0.56317688258210197</v>
      </c>
      <c r="H744">
        <f t="shared" si="23"/>
        <v>0.90157958687727824</v>
      </c>
      <c r="I744">
        <f t="shared" si="22"/>
        <v>5</v>
      </c>
    </row>
    <row r="745" spans="1:9" ht="48" x14ac:dyDescent="0.2">
      <c r="A745" t="s">
        <v>3848</v>
      </c>
      <c r="B745">
        <v>138542</v>
      </c>
      <c r="C745">
        <v>3132</v>
      </c>
      <c r="F745" s="4" t="s">
        <v>3198</v>
      </c>
      <c r="G745">
        <v>0.56426163772449434</v>
      </c>
      <c r="H745">
        <f t="shared" si="23"/>
        <v>0.9027946537059538</v>
      </c>
      <c r="I745">
        <f t="shared" si="22"/>
        <v>5</v>
      </c>
    </row>
    <row r="746" spans="1:9" ht="48" x14ac:dyDescent="0.2">
      <c r="A746" t="s">
        <v>3073</v>
      </c>
      <c r="B746">
        <v>138542</v>
      </c>
      <c r="C746">
        <v>1949</v>
      </c>
      <c r="F746" s="4" t="s">
        <v>3236</v>
      </c>
      <c r="G746">
        <v>0.56901110081707462</v>
      </c>
      <c r="H746">
        <f t="shared" si="23"/>
        <v>0.90400972053462936</v>
      </c>
      <c r="I746">
        <f t="shared" si="22"/>
        <v>5</v>
      </c>
    </row>
    <row r="747" spans="1:9" ht="48" x14ac:dyDescent="0.2">
      <c r="A747" t="s">
        <v>3777</v>
      </c>
      <c r="B747">
        <v>138686</v>
      </c>
      <c r="C747">
        <v>2581</v>
      </c>
      <c r="F747" s="4" t="s">
        <v>3146</v>
      </c>
      <c r="G747">
        <v>0.5726616532010097</v>
      </c>
      <c r="H747">
        <f t="shared" si="23"/>
        <v>0.90522478736330503</v>
      </c>
      <c r="I747">
        <f t="shared" si="22"/>
        <v>5</v>
      </c>
    </row>
    <row r="748" spans="1:9" ht="48" x14ac:dyDescent="0.2">
      <c r="A748" t="s">
        <v>3559</v>
      </c>
      <c r="B748">
        <v>139000</v>
      </c>
      <c r="C748">
        <v>2313</v>
      </c>
      <c r="F748" s="4" t="s">
        <v>3180</v>
      </c>
      <c r="G748">
        <v>0.57375856289115179</v>
      </c>
      <c r="H748">
        <f t="shared" si="23"/>
        <v>0.90643985419198059</v>
      </c>
      <c r="I748">
        <f t="shared" si="22"/>
        <v>5</v>
      </c>
    </row>
    <row r="749" spans="1:9" ht="48" x14ac:dyDescent="0.2">
      <c r="A749" t="s">
        <v>3069</v>
      </c>
      <c r="B749">
        <v>139236</v>
      </c>
      <c r="C749">
        <v>1892</v>
      </c>
      <c r="F749" s="4" t="s">
        <v>3132</v>
      </c>
      <c r="G749">
        <v>0.57770388483876678</v>
      </c>
      <c r="H749">
        <f t="shared" si="23"/>
        <v>0.90765492102065615</v>
      </c>
      <c r="I749">
        <f t="shared" si="22"/>
        <v>5</v>
      </c>
    </row>
    <row r="750" spans="1:9" ht="48" x14ac:dyDescent="0.2">
      <c r="A750" t="s">
        <v>3802</v>
      </c>
      <c r="B750">
        <v>139313</v>
      </c>
      <c r="C750">
        <v>2531</v>
      </c>
      <c r="F750" s="4" t="s">
        <v>3202</v>
      </c>
      <c r="G750">
        <v>0.58138515142340441</v>
      </c>
      <c r="H750">
        <f t="shared" si="23"/>
        <v>0.90886998784933171</v>
      </c>
      <c r="I750">
        <f t="shared" si="22"/>
        <v>5</v>
      </c>
    </row>
    <row r="751" spans="1:9" ht="48" x14ac:dyDescent="0.2">
      <c r="A751" t="s">
        <v>3209</v>
      </c>
      <c r="B751">
        <v>140000</v>
      </c>
      <c r="C751">
        <v>2038</v>
      </c>
      <c r="F751" s="4" t="s">
        <v>3114</v>
      </c>
      <c r="G751">
        <v>0.58199370308593157</v>
      </c>
      <c r="H751">
        <f t="shared" si="23"/>
        <v>0.91008505467800727</v>
      </c>
      <c r="I751">
        <f t="shared" si="22"/>
        <v>5</v>
      </c>
    </row>
    <row r="752" spans="1:9" ht="48" x14ac:dyDescent="0.2">
      <c r="A752" t="s">
        <v>3832</v>
      </c>
      <c r="B752">
        <v>140278</v>
      </c>
      <c r="C752">
        <v>2698</v>
      </c>
      <c r="F752" s="4" t="s">
        <v>3379</v>
      </c>
      <c r="G752">
        <v>0.58306750640885652</v>
      </c>
      <c r="H752">
        <f t="shared" si="23"/>
        <v>0.91130012150668283</v>
      </c>
      <c r="I752">
        <f t="shared" si="22"/>
        <v>5</v>
      </c>
    </row>
    <row r="753" spans="1:9" ht="48" x14ac:dyDescent="0.2">
      <c r="A753" t="s">
        <v>3790</v>
      </c>
      <c r="B753">
        <v>140337</v>
      </c>
      <c r="C753">
        <v>2456</v>
      </c>
      <c r="F753" s="4" t="s">
        <v>3310</v>
      </c>
      <c r="G753">
        <v>0.58335779733666981</v>
      </c>
      <c r="H753">
        <f t="shared" si="23"/>
        <v>0.9125151883353585</v>
      </c>
      <c r="I753">
        <f t="shared" si="22"/>
        <v>5</v>
      </c>
    </row>
    <row r="754" spans="1:9" ht="48" x14ac:dyDescent="0.2">
      <c r="A754" t="s">
        <v>3613</v>
      </c>
      <c r="B754">
        <v>140625</v>
      </c>
      <c r="C754">
        <v>2333</v>
      </c>
      <c r="F754" s="4" t="s">
        <v>3110</v>
      </c>
      <c r="G754">
        <v>0.58523723619363488</v>
      </c>
      <c r="H754">
        <f t="shared" si="23"/>
        <v>0.91373025516403406</v>
      </c>
      <c r="I754">
        <f t="shared" si="22"/>
        <v>5</v>
      </c>
    </row>
    <row r="755" spans="1:9" ht="48" x14ac:dyDescent="0.2">
      <c r="A755" t="s">
        <v>3440</v>
      </c>
      <c r="B755">
        <v>141765</v>
      </c>
      <c r="C755">
        <v>2426</v>
      </c>
      <c r="F755" s="4" t="s">
        <v>3246</v>
      </c>
      <c r="G755">
        <v>0.59059046136352622</v>
      </c>
      <c r="H755">
        <f t="shared" si="23"/>
        <v>0.91494532199270961</v>
      </c>
      <c r="I755">
        <f t="shared" si="22"/>
        <v>5</v>
      </c>
    </row>
    <row r="756" spans="1:9" ht="48" x14ac:dyDescent="0.2">
      <c r="A756" t="s">
        <v>3137</v>
      </c>
      <c r="B756">
        <v>141914</v>
      </c>
      <c r="C756">
        <v>1960</v>
      </c>
      <c r="F756" s="4" t="s">
        <v>3140</v>
      </c>
      <c r="G756">
        <v>0.59411710356832825</v>
      </c>
      <c r="H756">
        <f t="shared" si="23"/>
        <v>0.91616038882138517</v>
      </c>
      <c r="I756">
        <f t="shared" si="22"/>
        <v>5</v>
      </c>
    </row>
    <row r="757" spans="1:9" ht="48" x14ac:dyDescent="0.2">
      <c r="A757" t="s">
        <v>3117</v>
      </c>
      <c r="B757">
        <v>142566</v>
      </c>
      <c r="C757">
        <v>1910</v>
      </c>
      <c r="F757" s="4" t="s">
        <v>3314</v>
      </c>
      <c r="G757">
        <v>0.59501316017387729</v>
      </c>
      <c r="H757">
        <f t="shared" si="23"/>
        <v>0.91737545565006073</v>
      </c>
      <c r="I757">
        <f t="shared" si="22"/>
        <v>5</v>
      </c>
    </row>
    <row r="758" spans="1:9" ht="48" x14ac:dyDescent="0.2">
      <c r="A758" t="s">
        <v>3627</v>
      </c>
      <c r="B758">
        <v>143141</v>
      </c>
      <c r="C758">
        <v>2407</v>
      </c>
      <c r="F758" s="4" t="s">
        <v>3351</v>
      </c>
      <c r="G758">
        <v>0.59605915823841549</v>
      </c>
      <c r="H758">
        <f t="shared" si="23"/>
        <v>0.91859052247873629</v>
      </c>
      <c r="I758">
        <f t="shared" si="22"/>
        <v>5</v>
      </c>
    </row>
    <row r="759" spans="1:9" ht="48" x14ac:dyDescent="0.2">
      <c r="A759" t="s">
        <v>3813</v>
      </c>
      <c r="B759">
        <v>143182</v>
      </c>
      <c r="C759">
        <v>2775</v>
      </c>
      <c r="F759" s="4" t="s">
        <v>3218</v>
      </c>
      <c r="G759">
        <v>0.59616021203437897</v>
      </c>
      <c r="H759">
        <f t="shared" si="23"/>
        <v>0.91980558930741185</v>
      </c>
      <c r="I759">
        <f t="shared" si="22"/>
        <v>5</v>
      </c>
    </row>
    <row r="760" spans="1:9" ht="48" x14ac:dyDescent="0.2">
      <c r="A760" t="s">
        <v>3289</v>
      </c>
      <c r="B760">
        <v>144250</v>
      </c>
      <c r="C760">
        <v>2291</v>
      </c>
      <c r="F760" s="4" t="s">
        <v>3186</v>
      </c>
      <c r="G760">
        <v>0.59661026751188306</v>
      </c>
      <c r="H760">
        <f t="shared" si="23"/>
        <v>0.92102065613608752</v>
      </c>
      <c r="I760">
        <f t="shared" si="22"/>
        <v>5</v>
      </c>
    </row>
    <row r="761" spans="1:9" ht="64" x14ac:dyDescent="0.2">
      <c r="A761" t="s">
        <v>3827</v>
      </c>
      <c r="B761">
        <v>144375</v>
      </c>
      <c r="C761">
        <v>2854</v>
      </c>
      <c r="F761" s="4" t="s">
        <v>3036</v>
      </c>
      <c r="G761">
        <v>0.59723165906261755</v>
      </c>
      <c r="H761">
        <f t="shared" si="23"/>
        <v>0.92223572296476308</v>
      </c>
      <c r="I761">
        <f t="shared" si="22"/>
        <v>5</v>
      </c>
    </row>
    <row r="762" spans="1:9" ht="48" x14ac:dyDescent="0.2">
      <c r="A762" t="s">
        <v>3804</v>
      </c>
      <c r="B762">
        <v>144519</v>
      </c>
      <c r="C762">
        <v>2570</v>
      </c>
      <c r="F762" s="4" t="s">
        <v>3216</v>
      </c>
      <c r="G762">
        <v>0.59948105171726762</v>
      </c>
      <c r="H762">
        <f t="shared" si="23"/>
        <v>0.92345078979343864</v>
      </c>
      <c r="I762">
        <f t="shared" si="22"/>
        <v>5</v>
      </c>
    </row>
    <row r="763" spans="1:9" ht="48" x14ac:dyDescent="0.2">
      <c r="A763" t="s">
        <v>3065</v>
      </c>
      <c r="B763">
        <v>144886</v>
      </c>
      <c r="C763">
        <v>1967</v>
      </c>
      <c r="F763" s="4" t="s">
        <v>3130</v>
      </c>
      <c r="G763">
        <v>0.6051488839945216</v>
      </c>
      <c r="H763">
        <f t="shared" si="23"/>
        <v>0.9246658566221142</v>
      </c>
      <c r="I763">
        <f t="shared" si="22"/>
        <v>5</v>
      </c>
    </row>
    <row r="764" spans="1:9" ht="48" x14ac:dyDescent="0.2">
      <c r="A764" t="s">
        <v>3816</v>
      </c>
      <c r="B764">
        <v>145125</v>
      </c>
      <c r="C764">
        <v>2718</v>
      </c>
      <c r="F764" s="4" t="s">
        <v>3134</v>
      </c>
      <c r="G764">
        <v>0.60736442757696341</v>
      </c>
      <c r="H764">
        <f t="shared" si="23"/>
        <v>0.92588092345078976</v>
      </c>
      <c r="I764">
        <f t="shared" si="22"/>
        <v>5</v>
      </c>
    </row>
    <row r="765" spans="1:9" ht="48" x14ac:dyDescent="0.2">
      <c r="A765" t="s">
        <v>3850</v>
      </c>
      <c r="B765">
        <v>145625</v>
      </c>
      <c r="C765">
        <v>3144</v>
      </c>
      <c r="F765" s="4" t="s">
        <v>3060</v>
      </c>
      <c r="G765">
        <v>0.6086258376348479</v>
      </c>
      <c r="H765">
        <f t="shared" si="23"/>
        <v>0.92709599027946532</v>
      </c>
      <c r="I765">
        <f t="shared" si="22"/>
        <v>5</v>
      </c>
    </row>
    <row r="766" spans="1:9" ht="48" x14ac:dyDescent="0.2">
      <c r="A766" t="s">
        <v>3486</v>
      </c>
      <c r="B766">
        <v>147778</v>
      </c>
      <c r="C766">
        <v>2361</v>
      </c>
      <c r="F766" s="4" t="s">
        <v>3124</v>
      </c>
      <c r="G766">
        <v>0.61180798783307444</v>
      </c>
      <c r="H766">
        <f t="shared" si="23"/>
        <v>0.92831105710814099</v>
      </c>
      <c r="I766">
        <f t="shared" si="22"/>
        <v>5</v>
      </c>
    </row>
    <row r="767" spans="1:9" ht="48" x14ac:dyDescent="0.2">
      <c r="A767" t="s">
        <v>3766</v>
      </c>
      <c r="B767">
        <v>148804</v>
      </c>
      <c r="C767">
        <v>2670</v>
      </c>
      <c r="F767" s="4" t="s">
        <v>3182</v>
      </c>
      <c r="G767">
        <v>0.61462350676595534</v>
      </c>
      <c r="H767">
        <f t="shared" si="23"/>
        <v>0.92952612393681655</v>
      </c>
      <c r="I767">
        <f t="shared" si="22"/>
        <v>5</v>
      </c>
    </row>
    <row r="768" spans="1:9" ht="64" x14ac:dyDescent="0.2">
      <c r="A768" t="s">
        <v>3461</v>
      </c>
      <c r="B768">
        <v>149107</v>
      </c>
      <c r="C768">
        <v>2238</v>
      </c>
      <c r="F768" s="4" t="s">
        <v>3128</v>
      </c>
      <c r="G768">
        <v>0.61612104424244762</v>
      </c>
      <c r="H768">
        <f t="shared" si="23"/>
        <v>0.93074119076549211</v>
      </c>
      <c r="I768">
        <f t="shared" si="22"/>
        <v>5</v>
      </c>
    </row>
    <row r="769" spans="1:9" ht="48" x14ac:dyDescent="0.2">
      <c r="A769" t="s">
        <v>3307</v>
      </c>
      <c r="B769">
        <v>152321</v>
      </c>
      <c r="C769">
        <v>2569</v>
      </c>
      <c r="F769" s="4" t="s">
        <v>3102</v>
      </c>
      <c r="G769">
        <v>0.62004107804800823</v>
      </c>
      <c r="H769">
        <f t="shared" si="23"/>
        <v>0.93195625759416767</v>
      </c>
      <c r="I769">
        <f t="shared" si="22"/>
        <v>5</v>
      </c>
    </row>
    <row r="770" spans="1:9" ht="48" x14ac:dyDescent="0.2">
      <c r="A770" t="s">
        <v>3528</v>
      </c>
      <c r="B770">
        <v>152708</v>
      </c>
      <c r="C770">
        <v>2467</v>
      </c>
      <c r="F770" s="4" t="s">
        <v>3054</v>
      </c>
      <c r="G770">
        <v>0.6206043742640216</v>
      </c>
      <c r="H770">
        <f t="shared" si="23"/>
        <v>0.93317132442284323</v>
      </c>
      <c r="I770">
        <f t="shared" si="22"/>
        <v>5</v>
      </c>
    </row>
    <row r="771" spans="1:9" ht="48" x14ac:dyDescent="0.2">
      <c r="A771" t="s">
        <v>3604</v>
      </c>
      <c r="B771">
        <v>153267</v>
      </c>
      <c r="C771">
        <v>2492</v>
      </c>
      <c r="F771" s="4" t="s">
        <v>3220</v>
      </c>
      <c r="G771">
        <v>0.62438444162427387</v>
      </c>
      <c r="H771">
        <f t="shared" si="23"/>
        <v>0.93438639125151879</v>
      </c>
      <c r="I771">
        <f t="shared" ref="I771:I825" si="24">IF(H771&lt;0.2,1,IF(H771&lt;0.4,2,IF(H771&lt;0.6,3,IF(H771&lt;0.8,4,5))))</f>
        <v>5</v>
      </c>
    </row>
    <row r="772" spans="1:9" ht="48" x14ac:dyDescent="0.2">
      <c r="A772" t="s">
        <v>3241</v>
      </c>
      <c r="B772">
        <v>153878</v>
      </c>
      <c r="C772">
        <v>2253</v>
      </c>
      <c r="F772" s="4" t="s">
        <v>3160</v>
      </c>
      <c r="G772">
        <v>0.62847493503183671</v>
      </c>
      <c r="H772">
        <f t="shared" ref="H772:H825" si="25">_xlfn.RANK.EQ(G772,$G$3:$G$825,1)/COUNT($G$3:$G$825)</f>
        <v>0.93560145808019446</v>
      </c>
      <c r="I772">
        <f t="shared" si="24"/>
        <v>5</v>
      </c>
    </row>
    <row r="773" spans="1:9" ht="48" x14ac:dyDescent="0.2">
      <c r="A773" t="s">
        <v>3794</v>
      </c>
      <c r="B773">
        <v>159338</v>
      </c>
      <c r="C773">
        <v>2946</v>
      </c>
      <c r="F773" s="4" t="s">
        <v>3334</v>
      </c>
      <c r="G773">
        <v>0.62899177915685123</v>
      </c>
      <c r="H773">
        <f t="shared" si="25"/>
        <v>0.93681652490887002</v>
      </c>
      <c r="I773">
        <f t="shared" si="24"/>
        <v>5</v>
      </c>
    </row>
    <row r="774" spans="1:9" ht="48" x14ac:dyDescent="0.2">
      <c r="A774" t="s">
        <v>3618</v>
      </c>
      <c r="B774">
        <v>163315</v>
      </c>
      <c r="C774">
        <v>2544</v>
      </c>
      <c r="F774" s="4" t="s">
        <v>3070</v>
      </c>
      <c r="G774">
        <v>0.62983990451232974</v>
      </c>
      <c r="H774">
        <f t="shared" si="25"/>
        <v>0.93803159173754558</v>
      </c>
      <c r="I774">
        <f t="shared" si="24"/>
        <v>5</v>
      </c>
    </row>
    <row r="775" spans="1:9" ht="48" x14ac:dyDescent="0.2">
      <c r="A775" t="s">
        <v>3678</v>
      </c>
      <c r="B775">
        <v>163438</v>
      </c>
      <c r="C775">
        <v>2692</v>
      </c>
      <c r="F775" s="4" t="s">
        <v>3244</v>
      </c>
      <c r="G775">
        <v>0.63107440917172786</v>
      </c>
      <c r="H775">
        <f t="shared" si="25"/>
        <v>0.93924665856622114</v>
      </c>
      <c r="I775">
        <f t="shared" si="24"/>
        <v>5</v>
      </c>
    </row>
    <row r="776" spans="1:9" ht="48" x14ac:dyDescent="0.2">
      <c r="A776" t="s">
        <v>3340</v>
      </c>
      <c r="B776">
        <v>164063</v>
      </c>
      <c r="C776">
        <v>2436</v>
      </c>
      <c r="F776" s="4" t="s">
        <v>3152</v>
      </c>
      <c r="G776">
        <v>0.63332981334249927</v>
      </c>
      <c r="H776">
        <f t="shared" si="25"/>
        <v>0.9404617253948967</v>
      </c>
      <c r="I776">
        <f t="shared" si="24"/>
        <v>5</v>
      </c>
    </row>
    <row r="777" spans="1:9" ht="64" x14ac:dyDescent="0.2">
      <c r="A777" t="s">
        <v>3838</v>
      </c>
      <c r="B777">
        <v>166677</v>
      </c>
      <c r="C777">
        <v>3214</v>
      </c>
      <c r="F777" s="4" t="s">
        <v>3266</v>
      </c>
      <c r="G777">
        <v>0.63460479539602932</v>
      </c>
      <c r="H777">
        <f t="shared" si="25"/>
        <v>0.94167679222357226</v>
      </c>
      <c r="I777">
        <f t="shared" si="24"/>
        <v>5</v>
      </c>
    </row>
    <row r="778" spans="1:9" ht="48" x14ac:dyDescent="0.2">
      <c r="A778" t="s">
        <v>3703</v>
      </c>
      <c r="B778">
        <v>166908</v>
      </c>
      <c r="C778">
        <v>2824</v>
      </c>
      <c r="F778" s="4" t="s">
        <v>3570</v>
      </c>
      <c r="G778">
        <v>0.6364141126903694</v>
      </c>
      <c r="H778">
        <f t="shared" si="25"/>
        <v>0.94289185905224793</v>
      </c>
      <c r="I778">
        <f t="shared" si="24"/>
        <v>5</v>
      </c>
    </row>
    <row r="779" spans="1:9" ht="48" x14ac:dyDescent="0.2">
      <c r="A779" t="s">
        <v>3522</v>
      </c>
      <c r="B779">
        <v>167400</v>
      </c>
      <c r="C779">
        <v>2642</v>
      </c>
      <c r="F779" s="4" t="s">
        <v>3120</v>
      </c>
      <c r="G779">
        <v>0.64147329040022483</v>
      </c>
      <c r="H779">
        <f t="shared" si="25"/>
        <v>0.94410692588092349</v>
      </c>
      <c r="I779">
        <f t="shared" si="24"/>
        <v>5</v>
      </c>
    </row>
    <row r="780" spans="1:9" ht="48" x14ac:dyDescent="0.2">
      <c r="A780" t="s">
        <v>3267</v>
      </c>
      <c r="B780">
        <v>168672</v>
      </c>
      <c r="C780">
        <v>2397</v>
      </c>
      <c r="F780" s="4" t="s">
        <v>3212</v>
      </c>
      <c r="G780">
        <v>0.64171752312656727</v>
      </c>
      <c r="H780">
        <f t="shared" si="25"/>
        <v>0.94532199270959905</v>
      </c>
      <c r="I780">
        <f t="shared" si="24"/>
        <v>5</v>
      </c>
    </row>
    <row r="781" spans="1:9" ht="48" x14ac:dyDescent="0.2">
      <c r="A781" t="s">
        <v>3432</v>
      </c>
      <c r="B781">
        <v>168846</v>
      </c>
      <c r="C781">
        <v>2638</v>
      </c>
      <c r="F781" s="4" t="s">
        <v>3108</v>
      </c>
      <c r="G781">
        <v>0.64711234490233216</v>
      </c>
      <c r="H781">
        <f t="shared" si="25"/>
        <v>0.94653705953827461</v>
      </c>
      <c r="I781">
        <f t="shared" si="24"/>
        <v>5</v>
      </c>
    </row>
    <row r="782" spans="1:9" ht="48" x14ac:dyDescent="0.2">
      <c r="A782" t="s">
        <v>3263</v>
      </c>
      <c r="B782">
        <v>169688</v>
      </c>
      <c r="C782">
        <v>2347</v>
      </c>
      <c r="F782" s="4" t="s">
        <v>3184</v>
      </c>
      <c r="G782">
        <v>0.65386311553271403</v>
      </c>
      <c r="H782">
        <f t="shared" si="25"/>
        <v>0.94775212636695016</v>
      </c>
      <c r="I782">
        <f t="shared" si="24"/>
        <v>5</v>
      </c>
    </row>
    <row r="783" spans="1:9" ht="48" x14ac:dyDescent="0.2">
      <c r="A783" t="s">
        <v>3691</v>
      </c>
      <c r="B783">
        <v>169810</v>
      </c>
      <c r="C783">
        <v>2925</v>
      </c>
      <c r="F783" s="4" t="s">
        <v>3200</v>
      </c>
      <c r="G783">
        <v>0.65967124997070525</v>
      </c>
      <c r="H783">
        <f t="shared" si="25"/>
        <v>0.94896719319562572</v>
      </c>
      <c r="I783">
        <f t="shared" si="24"/>
        <v>5</v>
      </c>
    </row>
    <row r="784" spans="1:9" ht="48" x14ac:dyDescent="0.2">
      <c r="A784" t="s">
        <v>3837</v>
      </c>
      <c r="B784">
        <v>170972</v>
      </c>
      <c r="C784">
        <v>3328</v>
      </c>
      <c r="F784" s="4" t="s">
        <v>3458</v>
      </c>
      <c r="G784">
        <v>0.66173238312480664</v>
      </c>
      <c r="H784">
        <f t="shared" si="25"/>
        <v>0.95018226002430128</v>
      </c>
      <c r="I784">
        <f t="shared" si="24"/>
        <v>5</v>
      </c>
    </row>
    <row r="785" spans="1:9" ht="48" x14ac:dyDescent="0.2">
      <c r="A785" t="s">
        <v>3740</v>
      </c>
      <c r="B785">
        <v>171250</v>
      </c>
      <c r="C785">
        <v>3043</v>
      </c>
      <c r="F785" s="4" t="s">
        <v>3144</v>
      </c>
      <c r="G785">
        <v>0.66305123281760381</v>
      </c>
      <c r="H785">
        <f t="shared" si="25"/>
        <v>0.95139732685297695</v>
      </c>
      <c r="I785">
        <f t="shared" si="24"/>
        <v>5</v>
      </c>
    </row>
    <row r="786" spans="1:9" ht="48" x14ac:dyDescent="0.2">
      <c r="A786" t="s">
        <v>3037</v>
      </c>
      <c r="B786">
        <v>172031</v>
      </c>
      <c r="C786">
        <v>2065</v>
      </c>
      <c r="F786" s="4" t="s">
        <v>3208</v>
      </c>
      <c r="G786">
        <v>0.66441136515237975</v>
      </c>
      <c r="H786">
        <f t="shared" si="25"/>
        <v>0.95261239368165251</v>
      </c>
      <c r="I786">
        <f t="shared" si="24"/>
        <v>5</v>
      </c>
    </row>
    <row r="787" spans="1:9" ht="48" x14ac:dyDescent="0.2">
      <c r="A787" t="s">
        <v>3109</v>
      </c>
      <c r="B787">
        <v>174375</v>
      </c>
      <c r="C787">
        <v>2346</v>
      </c>
      <c r="F787" s="4" t="s">
        <v>3068</v>
      </c>
      <c r="G787">
        <v>0.67353690955274126</v>
      </c>
      <c r="H787">
        <f t="shared" si="25"/>
        <v>0.95382746051032807</v>
      </c>
      <c r="I787">
        <f t="shared" si="24"/>
        <v>5</v>
      </c>
    </row>
    <row r="788" spans="1:9" ht="48" x14ac:dyDescent="0.2">
      <c r="A788" t="s">
        <v>3081</v>
      </c>
      <c r="B788">
        <v>174712</v>
      </c>
      <c r="C788">
        <v>2525</v>
      </c>
      <c r="F788" s="4" t="s">
        <v>3194</v>
      </c>
      <c r="G788">
        <v>0.67497274984400868</v>
      </c>
      <c r="H788">
        <f t="shared" si="25"/>
        <v>0.95504252733900363</v>
      </c>
      <c r="I788">
        <f t="shared" si="24"/>
        <v>5</v>
      </c>
    </row>
    <row r="789" spans="1:9" ht="48" x14ac:dyDescent="0.2">
      <c r="A789" t="s">
        <v>3581</v>
      </c>
      <c r="B789">
        <v>175000</v>
      </c>
      <c r="C789">
        <v>2833</v>
      </c>
      <c r="F789" s="4" t="s">
        <v>3052</v>
      </c>
      <c r="G789">
        <v>0.6757311691665927</v>
      </c>
      <c r="H789">
        <f t="shared" si="25"/>
        <v>0.95625759416767919</v>
      </c>
      <c r="I789">
        <f t="shared" si="24"/>
        <v>5</v>
      </c>
    </row>
    <row r="790" spans="1:9" ht="48" x14ac:dyDescent="0.2">
      <c r="A790" t="s">
        <v>3662</v>
      </c>
      <c r="B790">
        <v>175972</v>
      </c>
      <c r="C790">
        <v>3048</v>
      </c>
      <c r="F790" s="4" t="s">
        <v>3050</v>
      </c>
      <c r="G790">
        <v>0.68996139871308193</v>
      </c>
      <c r="H790">
        <f t="shared" si="25"/>
        <v>0.95747266099635475</v>
      </c>
      <c r="I790">
        <f t="shared" si="24"/>
        <v>5</v>
      </c>
    </row>
    <row r="791" spans="1:9" ht="48" x14ac:dyDescent="0.2">
      <c r="A791" t="s">
        <v>3817</v>
      </c>
      <c r="B791">
        <v>176875</v>
      </c>
      <c r="C791">
        <v>3267</v>
      </c>
      <c r="F791" s="4" t="s">
        <v>3232</v>
      </c>
      <c r="G791">
        <v>0.69083471259258444</v>
      </c>
      <c r="H791">
        <f t="shared" si="25"/>
        <v>0.95868772782503042</v>
      </c>
      <c r="I791">
        <f t="shared" si="24"/>
        <v>5</v>
      </c>
    </row>
    <row r="792" spans="1:9" ht="48" x14ac:dyDescent="0.2">
      <c r="A792" t="s">
        <v>3614</v>
      </c>
      <c r="B792">
        <v>177361</v>
      </c>
      <c r="C792">
        <v>2944</v>
      </c>
      <c r="F792" s="4" t="s">
        <v>3056</v>
      </c>
      <c r="G792">
        <v>0.69222093960369657</v>
      </c>
      <c r="H792">
        <f t="shared" si="25"/>
        <v>0.95990279465370598</v>
      </c>
      <c r="I792">
        <f t="shared" si="24"/>
        <v>5</v>
      </c>
    </row>
    <row r="793" spans="1:9" ht="64" x14ac:dyDescent="0.2">
      <c r="A793" t="s">
        <v>3321</v>
      </c>
      <c r="B793">
        <v>178696</v>
      </c>
      <c r="C793">
        <v>2676</v>
      </c>
      <c r="F793" s="4" t="s">
        <v>3064</v>
      </c>
      <c r="G793">
        <v>0.69335080270943583</v>
      </c>
      <c r="H793">
        <f t="shared" si="25"/>
        <v>0.96111786148238154</v>
      </c>
      <c r="I793">
        <f t="shared" si="24"/>
        <v>5</v>
      </c>
    </row>
    <row r="794" spans="1:9" ht="48" x14ac:dyDescent="0.2">
      <c r="A794" t="s">
        <v>3115</v>
      </c>
      <c r="B794">
        <v>179821</v>
      </c>
      <c r="C794">
        <v>2397</v>
      </c>
      <c r="F794" s="4" t="s">
        <v>3034</v>
      </c>
      <c r="G794">
        <v>0.69442052028284396</v>
      </c>
      <c r="H794">
        <f t="shared" si="25"/>
        <v>0.9623329283110571</v>
      </c>
      <c r="I794">
        <f t="shared" si="24"/>
        <v>5</v>
      </c>
    </row>
    <row r="795" spans="1:9" ht="48" x14ac:dyDescent="0.2">
      <c r="A795" t="s">
        <v>3597</v>
      </c>
      <c r="B795">
        <v>180694</v>
      </c>
      <c r="C795">
        <v>2864</v>
      </c>
      <c r="F795" s="4" t="s">
        <v>3090</v>
      </c>
      <c r="G795">
        <v>0.6965126491405772</v>
      </c>
      <c r="H795">
        <f t="shared" si="25"/>
        <v>0.96354799513973266</v>
      </c>
      <c r="I795">
        <f t="shared" si="24"/>
        <v>5</v>
      </c>
    </row>
    <row r="796" spans="1:9" ht="48" x14ac:dyDescent="0.2">
      <c r="A796" t="s">
        <v>3463</v>
      </c>
      <c r="B796">
        <v>186324</v>
      </c>
      <c r="C796">
        <v>2959</v>
      </c>
      <c r="F796" s="4" t="s">
        <v>3118</v>
      </c>
      <c r="G796">
        <v>0.69857705331820685</v>
      </c>
      <c r="H796">
        <f t="shared" si="25"/>
        <v>0.96476306196840822</v>
      </c>
      <c r="I796">
        <f t="shared" si="24"/>
        <v>5</v>
      </c>
    </row>
    <row r="797" spans="1:9" ht="48" x14ac:dyDescent="0.2">
      <c r="A797" t="s">
        <v>3845</v>
      </c>
      <c r="B797">
        <v>189712</v>
      </c>
      <c r="C797" s="13">
        <v>4000</v>
      </c>
      <c r="F797" s="4" t="s">
        <v>3078</v>
      </c>
      <c r="G797">
        <v>0.70207000073030534</v>
      </c>
      <c r="H797">
        <f t="shared" si="25"/>
        <v>0.96597812879708389</v>
      </c>
      <c r="I797">
        <f t="shared" si="24"/>
        <v>5</v>
      </c>
    </row>
    <row r="798" spans="1:9" ht="48" x14ac:dyDescent="0.2">
      <c r="A798" t="s">
        <v>3723</v>
      </c>
      <c r="B798">
        <v>191524</v>
      </c>
      <c r="C798">
        <v>3201</v>
      </c>
      <c r="F798" s="4" t="s">
        <v>3142</v>
      </c>
      <c r="G798">
        <v>0.7032355944830101</v>
      </c>
      <c r="H798">
        <f t="shared" si="25"/>
        <v>0.96719319562575945</v>
      </c>
      <c r="I798">
        <f t="shared" si="24"/>
        <v>5</v>
      </c>
    </row>
    <row r="799" spans="1:9" ht="48" x14ac:dyDescent="0.2">
      <c r="A799" t="s">
        <v>3840</v>
      </c>
      <c r="B799">
        <v>192222</v>
      </c>
      <c r="C799">
        <v>3654</v>
      </c>
      <c r="F799" s="4" t="s">
        <v>3122</v>
      </c>
      <c r="G799">
        <v>0.71615389206496416</v>
      </c>
      <c r="H799">
        <f t="shared" si="25"/>
        <v>0.96840826245443501</v>
      </c>
      <c r="I799">
        <f t="shared" si="24"/>
        <v>5</v>
      </c>
    </row>
    <row r="800" spans="1:9" ht="48" x14ac:dyDescent="0.2">
      <c r="A800" t="s">
        <v>3733</v>
      </c>
      <c r="B800">
        <v>195250</v>
      </c>
      <c r="C800">
        <v>3341</v>
      </c>
      <c r="F800" s="4" t="s">
        <v>3136</v>
      </c>
      <c r="G800">
        <v>0.71699684119435625</v>
      </c>
      <c r="H800">
        <f t="shared" si="25"/>
        <v>0.96962332928311057</v>
      </c>
      <c r="I800">
        <f t="shared" si="24"/>
        <v>5</v>
      </c>
    </row>
    <row r="801" spans="1:9" ht="48" x14ac:dyDescent="0.2">
      <c r="A801" t="s">
        <v>3167</v>
      </c>
      <c r="B801">
        <v>195357</v>
      </c>
      <c r="C801">
        <v>2589</v>
      </c>
      <c r="F801" s="4" t="s">
        <v>3138</v>
      </c>
      <c r="G801">
        <v>0.72481622733925999</v>
      </c>
      <c r="H801">
        <f t="shared" si="25"/>
        <v>0.97083839611178613</v>
      </c>
      <c r="I801">
        <f t="shared" si="24"/>
        <v>5</v>
      </c>
    </row>
    <row r="802" spans="1:9" ht="48" x14ac:dyDescent="0.2">
      <c r="A802" t="s">
        <v>3695</v>
      </c>
      <c r="B802">
        <v>196250</v>
      </c>
      <c r="C802">
        <v>3331</v>
      </c>
      <c r="F802" s="4" t="s">
        <v>3172</v>
      </c>
      <c r="G802">
        <v>0.73102122527163071</v>
      </c>
      <c r="H802">
        <f t="shared" si="25"/>
        <v>0.97205346294046169</v>
      </c>
      <c r="I802">
        <f t="shared" si="24"/>
        <v>5</v>
      </c>
    </row>
    <row r="803" spans="1:9" ht="48" x14ac:dyDescent="0.2">
      <c r="A803" t="s">
        <v>3715</v>
      </c>
      <c r="B803">
        <v>198281</v>
      </c>
      <c r="C803">
        <v>3417</v>
      </c>
      <c r="F803" s="4" t="s">
        <v>3072</v>
      </c>
      <c r="G803">
        <v>0.7344847323427065</v>
      </c>
      <c r="H803">
        <f t="shared" si="25"/>
        <v>0.97326852976913725</v>
      </c>
      <c r="I803">
        <f t="shared" si="24"/>
        <v>5</v>
      </c>
    </row>
    <row r="804" spans="1:9" ht="48" x14ac:dyDescent="0.2">
      <c r="A804" t="s">
        <v>3839</v>
      </c>
      <c r="B804">
        <v>202500</v>
      </c>
      <c r="C804" s="13">
        <v>4000</v>
      </c>
      <c r="F804" s="4" t="s">
        <v>3082</v>
      </c>
      <c r="G804">
        <v>0.73871788877535682</v>
      </c>
      <c r="H804">
        <f t="shared" si="25"/>
        <v>0.97448359659781292</v>
      </c>
      <c r="I804">
        <f t="shared" si="24"/>
        <v>5</v>
      </c>
    </row>
    <row r="805" spans="1:9" ht="48" x14ac:dyDescent="0.2">
      <c r="A805" t="s">
        <v>3653</v>
      </c>
      <c r="B805">
        <v>216500</v>
      </c>
      <c r="C805">
        <v>3418</v>
      </c>
      <c r="F805" s="4" t="s">
        <v>3148</v>
      </c>
      <c r="G805">
        <v>0.74488080792767797</v>
      </c>
      <c r="H805">
        <f t="shared" si="25"/>
        <v>0.97569866342648848</v>
      </c>
      <c r="I805">
        <f t="shared" si="24"/>
        <v>5</v>
      </c>
    </row>
    <row r="806" spans="1:9" ht="48" x14ac:dyDescent="0.2">
      <c r="A806" t="s">
        <v>3197</v>
      </c>
      <c r="B806">
        <v>219783</v>
      </c>
      <c r="C806">
        <v>3273</v>
      </c>
      <c r="F806" s="4" t="s">
        <v>3098</v>
      </c>
      <c r="G806">
        <v>0.74948241139948379</v>
      </c>
      <c r="H806">
        <f t="shared" si="25"/>
        <v>0.97691373025516404</v>
      </c>
      <c r="I806">
        <f t="shared" si="24"/>
        <v>5</v>
      </c>
    </row>
    <row r="807" spans="1:9" ht="48" x14ac:dyDescent="0.2">
      <c r="A807" t="s">
        <v>3829</v>
      </c>
      <c r="B807">
        <v>219792</v>
      </c>
      <c r="C807" s="13">
        <v>4000</v>
      </c>
      <c r="F807" s="4" t="s">
        <v>3176</v>
      </c>
      <c r="G807">
        <v>0.75159345059120475</v>
      </c>
      <c r="H807">
        <f t="shared" si="25"/>
        <v>0.9781287970838396</v>
      </c>
      <c r="I807">
        <f t="shared" si="24"/>
        <v>5</v>
      </c>
    </row>
    <row r="808" spans="1:9" ht="48" x14ac:dyDescent="0.2">
      <c r="A808" t="s">
        <v>3297</v>
      </c>
      <c r="B808">
        <v>222839</v>
      </c>
      <c r="C808">
        <v>3250</v>
      </c>
      <c r="F808" s="4" t="s">
        <v>3250</v>
      </c>
      <c r="G808">
        <v>0.75968600974502543</v>
      </c>
      <c r="H808">
        <f t="shared" si="25"/>
        <v>0.97934386391251516</v>
      </c>
      <c r="I808">
        <f t="shared" si="24"/>
        <v>5</v>
      </c>
    </row>
    <row r="809" spans="1:9" ht="48" x14ac:dyDescent="0.2">
      <c r="A809" t="s">
        <v>3504</v>
      </c>
      <c r="B809">
        <v>228558</v>
      </c>
      <c r="C809">
        <v>3756</v>
      </c>
      <c r="F809" s="4" t="s">
        <v>3086</v>
      </c>
      <c r="G809">
        <v>0.77378480320692844</v>
      </c>
      <c r="H809">
        <f t="shared" si="25"/>
        <v>0.98055893074119072</v>
      </c>
      <c r="I809">
        <f t="shared" si="24"/>
        <v>5</v>
      </c>
    </row>
    <row r="810" spans="1:9" ht="48" x14ac:dyDescent="0.2">
      <c r="A810" t="s">
        <v>3798</v>
      </c>
      <c r="B810">
        <v>229531</v>
      </c>
      <c r="C810">
        <v>3941</v>
      </c>
      <c r="F810" s="4" t="s">
        <v>3162</v>
      </c>
      <c r="G810">
        <v>0.7751019707516954</v>
      </c>
      <c r="H810">
        <f t="shared" si="25"/>
        <v>0.98177399756986639</v>
      </c>
      <c r="I810">
        <f t="shared" si="24"/>
        <v>5</v>
      </c>
    </row>
    <row r="811" spans="1:9" ht="48" x14ac:dyDescent="0.2">
      <c r="A811" t="s">
        <v>3467</v>
      </c>
      <c r="B811">
        <v>233750</v>
      </c>
      <c r="C811">
        <v>3644</v>
      </c>
      <c r="F811" s="4" t="s">
        <v>3154</v>
      </c>
      <c r="G811">
        <v>0.78665415368789204</v>
      </c>
      <c r="H811">
        <f t="shared" si="25"/>
        <v>0.98298906439854195</v>
      </c>
      <c r="I811">
        <f t="shared" si="24"/>
        <v>5</v>
      </c>
    </row>
    <row r="812" spans="1:9" ht="48" x14ac:dyDescent="0.2">
      <c r="A812" t="s">
        <v>3348</v>
      </c>
      <c r="B812">
        <v>236000</v>
      </c>
      <c r="C812">
        <v>3348</v>
      </c>
      <c r="F812" s="4" t="s">
        <v>3294</v>
      </c>
      <c r="G812">
        <v>0.79762862949172275</v>
      </c>
      <c r="H812">
        <f t="shared" si="25"/>
        <v>0.9842041312272175</v>
      </c>
      <c r="I812">
        <f t="shared" si="24"/>
        <v>5</v>
      </c>
    </row>
    <row r="813" spans="1:9" ht="48" x14ac:dyDescent="0.2">
      <c r="A813" t="s">
        <v>3149</v>
      </c>
      <c r="B813">
        <v>238068</v>
      </c>
      <c r="C813">
        <v>3293</v>
      </c>
      <c r="F813" s="4" t="s">
        <v>3096</v>
      </c>
      <c r="G813">
        <v>0.80400814261383713</v>
      </c>
      <c r="H813">
        <f t="shared" si="25"/>
        <v>0.98541919805589306</v>
      </c>
      <c r="I813">
        <f t="shared" si="24"/>
        <v>5</v>
      </c>
    </row>
    <row r="814" spans="1:9" ht="48" x14ac:dyDescent="0.2">
      <c r="A814" t="s">
        <v>3255</v>
      </c>
      <c r="B814">
        <v>238750</v>
      </c>
      <c r="C814">
        <v>3541</v>
      </c>
      <c r="F814" s="4" t="s">
        <v>3066</v>
      </c>
      <c r="G814">
        <v>0.81176971729365488</v>
      </c>
      <c r="H814">
        <f t="shared" si="25"/>
        <v>0.98663426488456862</v>
      </c>
      <c r="I814">
        <f t="shared" si="24"/>
        <v>5</v>
      </c>
    </row>
    <row r="815" spans="1:9" ht="48" x14ac:dyDescent="0.2">
      <c r="A815" t="s">
        <v>3360</v>
      </c>
      <c r="B815">
        <v>242125</v>
      </c>
      <c r="C815">
        <v>3609</v>
      </c>
      <c r="F815" s="4" t="s">
        <v>3048</v>
      </c>
      <c r="G815">
        <v>0.81745185335017578</v>
      </c>
      <c r="H815">
        <f t="shared" si="25"/>
        <v>0.98784933171324418</v>
      </c>
      <c r="I815">
        <f t="shared" si="24"/>
        <v>5</v>
      </c>
    </row>
    <row r="816" spans="1:9" ht="48" x14ac:dyDescent="0.2">
      <c r="A816" t="s">
        <v>3591</v>
      </c>
      <c r="B816">
        <v>242500</v>
      </c>
      <c r="C816">
        <v>3773</v>
      </c>
      <c r="F816" s="4" t="s">
        <v>3076</v>
      </c>
      <c r="G816">
        <v>0.83850478650660987</v>
      </c>
      <c r="H816">
        <f t="shared" si="25"/>
        <v>0.98906439854191985</v>
      </c>
      <c r="I816">
        <f t="shared" si="24"/>
        <v>5</v>
      </c>
    </row>
    <row r="817" spans="1:9" ht="48" x14ac:dyDescent="0.2">
      <c r="A817" t="s">
        <v>3404</v>
      </c>
      <c r="B817">
        <v>247169</v>
      </c>
      <c r="C817">
        <v>3810</v>
      </c>
      <c r="F817" s="4" t="s">
        <v>3084</v>
      </c>
      <c r="G817">
        <v>0.86266678259075513</v>
      </c>
      <c r="H817">
        <f t="shared" si="25"/>
        <v>0.99027946537059541</v>
      </c>
      <c r="I817">
        <f t="shared" si="24"/>
        <v>5</v>
      </c>
    </row>
    <row r="818" spans="1:9" ht="48" x14ac:dyDescent="0.2">
      <c r="A818" t="s">
        <v>3469</v>
      </c>
      <c r="B818">
        <v>247361</v>
      </c>
      <c r="C818">
        <v>3750</v>
      </c>
      <c r="F818" s="4" t="s">
        <v>3044</v>
      </c>
      <c r="G818">
        <v>0.87759274587493308</v>
      </c>
      <c r="H818">
        <f t="shared" si="25"/>
        <v>0.99149453219927097</v>
      </c>
      <c r="I818">
        <f t="shared" si="24"/>
        <v>5</v>
      </c>
    </row>
    <row r="819" spans="1:9" ht="48" x14ac:dyDescent="0.2">
      <c r="A819" t="s">
        <v>3674</v>
      </c>
      <c r="B819" s="13">
        <v>250000</v>
      </c>
      <c r="C819" s="13">
        <v>4000</v>
      </c>
      <c r="F819" s="4" t="s">
        <v>3046</v>
      </c>
      <c r="G819">
        <v>0.90899645373555571</v>
      </c>
      <c r="H819">
        <f t="shared" si="25"/>
        <v>0.99270959902794653</v>
      </c>
      <c r="I819">
        <f t="shared" si="24"/>
        <v>5</v>
      </c>
    </row>
    <row r="820" spans="1:9" ht="48" x14ac:dyDescent="0.2">
      <c r="A820" t="s">
        <v>3313</v>
      </c>
      <c r="B820" s="13">
        <v>250000</v>
      </c>
      <c r="C820">
        <v>3523</v>
      </c>
      <c r="F820" s="4" t="s">
        <v>3025</v>
      </c>
      <c r="G820">
        <v>0.93922474392448296</v>
      </c>
      <c r="H820">
        <f t="shared" si="25"/>
        <v>0.99392466585662209</v>
      </c>
      <c r="I820">
        <f t="shared" si="24"/>
        <v>5</v>
      </c>
    </row>
    <row r="821" spans="1:9" ht="48" x14ac:dyDescent="0.2">
      <c r="A821" t="s">
        <v>3686</v>
      </c>
      <c r="B821" s="13">
        <v>250000</v>
      </c>
      <c r="C821" s="13">
        <v>4000</v>
      </c>
      <c r="F821" s="4" t="s">
        <v>3058</v>
      </c>
      <c r="G821">
        <v>0.94956444437546872</v>
      </c>
      <c r="H821">
        <f t="shared" si="25"/>
        <v>0.99513973268529765</v>
      </c>
      <c r="I821">
        <f t="shared" si="24"/>
        <v>5</v>
      </c>
    </row>
    <row r="822" spans="1:9" ht="48" x14ac:dyDescent="0.2">
      <c r="A822" t="s">
        <v>3745</v>
      </c>
      <c r="B822" s="13">
        <v>250000</v>
      </c>
      <c r="C822" s="13">
        <v>4000</v>
      </c>
      <c r="F822" s="4" t="s">
        <v>3062</v>
      </c>
      <c r="G822">
        <v>0.99778149024619756</v>
      </c>
      <c r="H822">
        <f t="shared" si="25"/>
        <v>0.99635479951397332</v>
      </c>
      <c r="I822">
        <f t="shared" si="24"/>
        <v>5</v>
      </c>
    </row>
    <row r="823" spans="1:9" ht="48" x14ac:dyDescent="0.2">
      <c r="A823" t="s">
        <v>3350</v>
      </c>
      <c r="B823" s="13">
        <v>250000</v>
      </c>
      <c r="C823">
        <v>3565</v>
      </c>
      <c r="F823" s="4" t="s">
        <v>3040</v>
      </c>
      <c r="G823">
        <v>0.998889884512971</v>
      </c>
      <c r="H823">
        <f t="shared" si="25"/>
        <v>0.99756986634264888</v>
      </c>
      <c r="I823">
        <f t="shared" si="24"/>
        <v>5</v>
      </c>
    </row>
    <row r="824" spans="1:9" ht="48" x14ac:dyDescent="0.2">
      <c r="A824" t="s">
        <v>3657</v>
      </c>
      <c r="B824" s="13">
        <v>250000</v>
      </c>
      <c r="C824" s="13">
        <v>4000</v>
      </c>
      <c r="F824" s="4" t="s">
        <v>3042</v>
      </c>
      <c r="G824">
        <v>1.0520927871393047</v>
      </c>
      <c r="H824">
        <f t="shared" si="25"/>
        <v>0.99878493317132444</v>
      </c>
      <c r="I824">
        <f t="shared" si="24"/>
        <v>5</v>
      </c>
    </row>
    <row r="825" spans="1:9" ht="48" x14ac:dyDescent="0.2">
      <c r="A825" t="s">
        <v>3642</v>
      </c>
      <c r="B825" s="13">
        <v>250000</v>
      </c>
      <c r="C825" s="13">
        <v>4000</v>
      </c>
      <c r="F825" s="4" t="s">
        <v>3104</v>
      </c>
      <c r="G825">
        <v>1.2414263633593696</v>
      </c>
      <c r="H825">
        <f t="shared" si="25"/>
        <v>1</v>
      </c>
      <c r="I825">
        <f t="shared" si="24"/>
        <v>5</v>
      </c>
    </row>
    <row r="826" spans="1:9" ht="48" x14ac:dyDescent="0.2">
      <c r="A826" t="s">
        <v>3719</v>
      </c>
      <c r="B826" s="13">
        <v>250000</v>
      </c>
      <c r="C826" s="13">
        <v>4000</v>
      </c>
      <c r="F826" s="4" t="s">
        <v>3851</v>
      </c>
      <c r="G826" t="e">
        <v>#N/A</v>
      </c>
    </row>
    <row r="827" spans="1:9" ht="48" x14ac:dyDescent="0.2">
      <c r="A827" t="s">
        <v>3725</v>
      </c>
      <c r="B827" s="13">
        <v>250000</v>
      </c>
      <c r="C827" s="13">
        <v>4000</v>
      </c>
      <c r="F827" s="4" t="s">
        <v>3852</v>
      </c>
      <c r="G827" t="e">
        <v>#N/A</v>
      </c>
    </row>
    <row r="828" spans="1:9" ht="48" x14ac:dyDescent="0.2">
      <c r="F828" s="4" t="s">
        <v>3853</v>
      </c>
      <c r="G828" t="e">
        <v>#N/A</v>
      </c>
    </row>
    <row r="829" spans="1:9" ht="48" x14ac:dyDescent="0.2">
      <c r="F829" s="4" t="s">
        <v>3854</v>
      </c>
      <c r="G829" t="e">
        <v>#N/A</v>
      </c>
    </row>
    <row r="830" spans="1:9" ht="48" x14ac:dyDescent="0.2">
      <c r="F830" s="4" t="s">
        <v>3855</v>
      </c>
      <c r="G830" t="e">
        <v>#N/A</v>
      </c>
    </row>
    <row r="831" spans="1:9" ht="64" x14ac:dyDescent="0.2">
      <c r="F831" s="4" t="s">
        <v>3856</v>
      </c>
      <c r="G831" t="e">
        <v>#N/A</v>
      </c>
    </row>
    <row r="832" spans="1:9" ht="48" x14ac:dyDescent="0.2">
      <c r="F832" s="4" t="s">
        <v>3857</v>
      </c>
      <c r="G832" t="e">
        <v>#N/A</v>
      </c>
    </row>
    <row r="833" spans="6:7" ht="48" x14ac:dyDescent="0.2">
      <c r="F833" s="4" t="s">
        <v>3858</v>
      </c>
      <c r="G833" t="e">
        <v>#N/A</v>
      </c>
    </row>
    <row r="834" spans="6:7" ht="48" x14ac:dyDescent="0.2">
      <c r="F834" s="4" t="s">
        <v>3859</v>
      </c>
      <c r="G834" t="e">
        <v>#N/A</v>
      </c>
    </row>
    <row r="835" spans="6:7" ht="64" x14ac:dyDescent="0.2">
      <c r="F835" s="4" t="s">
        <v>3860</v>
      </c>
      <c r="G835" t="e">
        <v>#N/A</v>
      </c>
    </row>
    <row r="836" spans="6:7" x14ac:dyDescent="0.2">
      <c r="G836" t="e">
        <v>#N/A</v>
      </c>
    </row>
  </sheetData>
  <sortState xmlns:xlrd2="http://schemas.microsoft.com/office/spreadsheetml/2017/richdata2" ref="F3:G835">
    <sortCondition ref="G3:G835"/>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71EF-4C5B-4DA9-8C79-054955AB34A6}">
  <sheetPr>
    <tabColor theme="9" tint="0.79998168889431442"/>
  </sheetPr>
  <dimension ref="A1:H824"/>
  <sheetViews>
    <sheetView workbookViewId="0">
      <selection activeCell="L6" sqref="L6"/>
    </sheetView>
  </sheetViews>
  <sheetFormatPr baseColWidth="10" defaultColWidth="8.83203125" defaultRowHeight="15" x14ac:dyDescent="0.2"/>
  <cols>
    <col min="2" max="2" width="12" bestFit="1" customWidth="1"/>
    <col min="3" max="3" width="15" style="7" bestFit="1" customWidth="1"/>
    <col min="5" max="5" width="12" bestFit="1" customWidth="1"/>
  </cols>
  <sheetData>
    <row r="1" spans="1:8" ht="64" x14ac:dyDescent="0.2">
      <c r="A1" s="82" t="s">
        <v>2711</v>
      </c>
      <c r="B1" s="82" t="s">
        <v>3861</v>
      </c>
      <c r="C1" s="7" t="s">
        <v>3862</v>
      </c>
      <c r="E1" t="s">
        <v>3863</v>
      </c>
      <c r="F1" t="s">
        <v>3864</v>
      </c>
    </row>
    <row r="2" spans="1:8" ht="96" x14ac:dyDescent="0.2">
      <c r="A2" s="4" t="s">
        <v>3025</v>
      </c>
      <c r="B2">
        <v>5.5322222222222219</v>
      </c>
      <c r="C2" s="8">
        <v>1.215066828675577E-3</v>
      </c>
      <c r="E2">
        <v>5.5322222222222219</v>
      </c>
      <c r="F2">
        <f>_xlfn.RANK.EQ(E2,$E$2:$E$824,1)/COUNT($E$2:$E$824)</f>
        <v>1.215066828675577E-3</v>
      </c>
      <c r="H2">
        <f>IF(F2&lt;0.2,1,IF(F2&lt;0.4,2,IF(F2&lt;0.6,3,IF(F2&lt;0.8,4,5))))</f>
        <v>1</v>
      </c>
    </row>
    <row r="3" spans="1:8" ht="112" x14ac:dyDescent="0.2">
      <c r="A3" s="4" t="s">
        <v>3028</v>
      </c>
      <c r="B3">
        <v>11.060381585475545</v>
      </c>
      <c r="C3" s="8">
        <v>2.4301336573511541E-3</v>
      </c>
      <c r="E3">
        <v>11.060381585475545</v>
      </c>
      <c r="F3">
        <f t="shared" ref="F3:F66" si="0">_xlfn.RANK.EQ(E3,$E$2:$E$824,1)/COUNT($E$2:$E$824)</f>
        <v>2.4301336573511541E-3</v>
      </c>
    </row>
    <row r="4" spans="1:8" ht="96" x14ac:dyDescent="0.2">
      <c r="A4" s="4" t="s">
        <v>3042</v>
      </c>
      <c r="B4">
        <v>11.770824922840449</v>
      </c>
      <c r="C4" s="7">
        <v>3.6452004860267314E-3</v>
      </c>
      <c r="E4">
        <v>11.770824922840449</v>
      </c>
      <c r="F4">
        <f t="shared" si="0"/>
        <v>3.6452004860267314E-3</v>
      </c>
    </row>
    <row r="5" spans="1:8" ht="112" x14ac:dyDescent="0.2">
      <c r="A5" s="4" t="s">
        <v>3031</v>
      </c>
      <c r="B5">
        <v>12.677313820927749</v>
      </c>
      <c r="C5" s="7">
        <v>4.8602673147023082E-3</v>
      </c>
      <c r="E5">
        <v>12.677313820927749</v>
      </c>
      <c r="F5">
        <f t="shared" si="0"/>
        <v>4.8602673147023082E-3</v>
      </c>
    </row>
    <row r="6" spans="1:8" ht="112" x14ac:dyDescent="0.2">
      <c r="A6" s="4" t="s">
        <v>3044</v>
      </c>
      <c r="B6">
        <v>12.812321037123063</v>
      </c>
      <c r="C6" s="7">
        <v>6.0753341433778859E-3</v>
      </c>
      <c r="E6">
        <v>12.812321037123063</v>
      </c>
      <c r="F6">
        <f t="shared" si="0"/>
        <v>6.0753341433778859E-3</v>
      </c>
    </row>
    <row r="7" spans="1:8" ht="112" x14ac:dyDescent="0.2">
      <c r="A7" s="4" t="s">
        <v>3046</v>
      </c>
      <c r="B7">
        <v>13.25417712081085</v>
      </c>
      <c r="C7" s="7">
        <v>7.2904009720534627E-3</v>
      </c>
      <c r="E7">
        <v>13.25417712081085</v>
      </c>
      <c r="F7">
        <f t="shared" si="0"/>
        <v>7.2904009720534627E-3</v>
      </c>
    </row>
    <row r="8" spans="1:8" ht="96" x14ac:dyDescent="0.2">
      <c r="A8" s="4" t="s">
        <v>3040</v>
      </c>
      <c r="B8">
        <v>13.322789835326628</v>
      </c>
      <c r="C8" s="7">
        <v>8.5054678007290396E-3</v>
      </c>
      <c r="E8">
        <v>13.322789835326628</v>
      </c>
      <c r="F8">
        <f t="shared" si="0"/>
        <v>8.5054678007290396E-3</v>
      </c>
    </row>
    <row r="9" spans="1:8" ht="112" x14ac:dyDescent="0.2">
      <c r="A9" s="4" t="s">
        <v>3034</v>
      </c>
      <c r="B9">
        <v>13.5307061435525</v>
      </c>
      <c r="C9" s="7">
        <v>9.7205346294046164E-3</v>
      </c>
      <c r="E9">
        <v>13.5307061435525</v>
      </c>
      <c r="F9">
        <f t="shared" si="0"/>
        <v>9.7205346294046164E-3</v>
      </c>
    </row>
    <row r="10" spans="1:8" ht="112" x14ac:dyDescent="0.2">
      <c r="A10" s="4" t="s">
        <v>3048</v>
      </c>
      <c r="B10">
        <v>13.564101609847572</v>
      </c>
      <c r="C10" s="7">
        <v>1.0935601458080195E-2</v>
      </c>
      <c r="E10">
        <v>13.564101609847572</v>
      </c>
      <c r="F10">
        <f t="shared" si="0"/>
        <v>1.0935601458080195E-2</v>
      </c>
    </row>
    <row r="11" spans="1:8" ht="112" x14ac:dyDescent="0.2">
      <c r="A11" s="4" t="s">
        <v>3038</v>
      </c>
      <c r="B11">
        <v>13.654628522214777</v>
      </c>
      <c r="C11" s="7">
        <v>1.2150668286755772E-2</v>
      </c>
      <c r="E11">
        <v>13.654628522214777</v>
      </c>
      <c r="F11">
        <f t="shared" si="0"/>
        <v>1.2150668286755772E-2</v>
      </c>
    </row>
    <row r="12" spans="1:8" ht="96" x14ac:dyDescent="0.2">
      <c r="A12" s="4" t="s">
        <v>3058</v>
      </c>
      <c r="B12">
        <v>13.989571828099487</v>
      </c>
      <c r="C12" s="7">
        <v>1.3365735115431349E-2</v>
      </c>
      <c r="E12">
        <v>13.989571828099487</v>
      </c>
      <c r="F12">
        <f t="shared" si="0"/>
        <v>1.3365735115431349E-2</v>
      </c>
    </row>
    <row r="13" spans="1:8" ht="128" x14ac:dyDescent="0.2">
      <c r="A13" s="4" t="s">
        <v>3036</v>
      </c>
      <c r="B13">
        <v>14.366284623066875</v>
      </c>
      <c r="C13" s="7">
        <v>1.4580801944106925E-2</v>
      </c>
      <c r="E13">
        <v>14.366284623066875</v>
      </c>
      <c r="F13">
        <f t="shared" si="0"/>
        <v>1.4580801944106925E-2</v>
      </c>
    </row>
    <row r="14" spans="1:8" ht="112" x14ac:dyDescent="0.2">
      <c r="A14" s="4" t="s">
        <v>3066</v>
      </c>
      <c r="B14">
        <v>14.723387366366127</v>
      </c>
      <c r="C14" s="7">
        <v>1.5795868772782502E-2</v>
      </c>
      <c r="E14">
        <v>14.723387366366127</v>
      </c>
      <c r="F14">
        <f t="shared" si="0"/>
        <v>1.5795868772782502E-2</v>
      </c>
    </row>
    <row r="15" spans="1:8" ht="112" x14ac:dyDescent="0.2">
      <c r="A15" s="4" t="s">
        <v>3050</v>
      </c>
      <c r="B15">
        <v>14.939966234671262</v>
      </c>
      <c r="C15" s="7">
        <v>1.7010935601458079E-2</v>
      </c>
      <c r="E15">
        <v>14.939966234671262</v>
      </c>
      <c r="F15">
        <f t="shared" si="0"/>
        <v>1.7010935601458079E-2</v>
      </c>
    </row>
    <row r="16" spans="1:8" ht="112" x14ac:dyDescent="0.2">
      <c r="A16" s="4" t="s">
        <v>3052</v>
      </c>
      <c r="B16">
        <v>14.952691929930777</v>
      </c>
      <c r="C16" s="7">
        <v>1.8226002430133656E-2</v>
      </c>
      <c r="E16">
        <v>14.952691929930777</v>
      </c>
      <c r="F16">
        <f t="shared" si="0"/>
        <v>1.8226002430133656E-2</v>
      </c>
    </row>
    <row r="17" spans="1:6" ht="112" x14ac:dyDescent="0.2">
      <c r="A17" s="4" t="s">
        <v>3086</v>
      </c>
      <c r="B17">
        <v>15.291073113561577</v>
      </c>
      <c r="C17" s="7">
        <v>1.9441069258809233E-2</v>
      </c>
      <c r="E17">
        <v>15.291073113561577</v>
      </c>
      <c r="F17">
        <f t="shared" si="0"/>
        <v>1.9441069258809233E-2</v>
      </c>
    </row>
    <row r="18" spans="1:6" ht="96" x14ac:dyDescent="0.2">
      <c r="A18" s="4" t="s">
        <v>3062</v>
      </c>
      <c r="B18">
        <v>15.334018669984349</v>
      </c>
      <c r="C18" s="7">
        <v>2.0656136087484813E-2</v>
      </c>
      <c r="E18">
        <v>15.334018669984349</v>
      </c>
      <c r="F18">
        <f t="shared" si="0"/>
        <v>2.0656136087484813E-2</v>
      </c>
    </row>
    <row r="19" spans="1:6" ht="112" x14ac:dyDescent="0.2">
      <c r="A19" s="4" t="s">
        <v>3068</v>
      </c>
      <c r="B19">
        <v>15.48244773538047</v>
      </c>
      <c r="C19" s="7">
        <v>2.187120291616039E-2</v>
      </c>
      <c r="E19">
        <v>15.48244773538047</v>
      </c>
      <c r="F19">
        <f t="shared" si="0"/>
        <v>2.187120291616039E-2</v>
      </c>
    </row>
    <row r="20" spans="1:6" ht="112" x14ac:dyDescent="0.2">
      <c r="A20" s="4" t="s">
        <v>3076</v>
      </c>
      <c r="B20">
        <v>15.484705882352943</v>
      </c>
      <c r="C20" s="7">
        <v>2.3086269744835967E-2</v>
      </c>
      <c r="E20">
        <v>15.484705882352943</v>
      </c>
      <c r="F20">
        <f t="shared" si="0"/>
        <v>2.3086269744835967E-2</v>
      </c>
    </row>
    <row r="21" spans="1:6" ht="112" x14ac:dyDescent="0.2">
      <c r="A21" s="4" t="s">
        <v>3056</v>
      </c>
      <c r="B21">
        <v>15.844652151492687</v>
      </c>
      <c r="C21" s="7">
        <v>2.4301336573511544E-2</v>
      </c>
      <c r="E21">
        <v>15.844652151492687</v>
      </c>
      <c r="F21">
        <f t="shared" si="0"/>
        <v>2.4301336573511544E-2</v>
      </c>
    </row>
    <row r="22" spans="1:6" ht="112" x14ac:dyDescent="0.2">
      <c r="A22" s="4" t="s">
        <v>3072</v>
      </c>
      <c r="B22">
        <v>15.945872642775704</v>
      </c>
      <c r="C22" s="7">
        <v>2.551640340218712E-2</v>
      </c>
      <c r="E22">
        <v>15.945872642775704</v>
      </c>
      <c r="F22">
        <f t="shared" si="0"/>
        <v>2.551640340218712E-2</v>
      </c>
    </row>
    <row r="23" spans="1:6" ht="112" x14ac:dyDescent="0.2">
      <c r="A23" s="4" t="s">
        <v>3078</v>
      </c>
      <c r="B23">
        <v>16.169327827982187</v>
      </c>
      <c r="C23" s="7">
        <v>2.6731470230862697E-2</v>
      </c>
      <c r="E23">
        <v>16.169327827982187</v>
      </c>
      <c r="F23">
        <f t="shared" si="0"/>
        <v>2.6731470230862697E-2</v>
      </c>
    </row>
    <row r="24" spans="1:6" ht="112" x14ac:dyDescent="0.2">
      <c r="A24" s="4" t="s">
        <v>3096</v>
      </c>
      <c r="B24">
        <v>16.178940623301258</v>
      </c>
      <c r="C24" s="7">
        <v>2.7946537059538274E-2</v>
      </c>
      <c r="E24">
        <v>16.178940623301258</v>
      </c>
      <c r="F24">
        <f t="shared" si="0"/>
        <v>2.7946537059538274E-2</v>
      </c>
    </row>
    <row r="25" spans="1:6" ht="112" x14ac:dyDescent="0.2">
      <c r="A25" s="4" t="s">
        <v>3084</v>
      </c>
      <c r="B25">
        <v>16.622872573039391</v>
      </c>
      <c r="C25" s="7">
        <v>2.9161603888213851E-2</v>
      </c>
      <c r="E25">
        <v>16.622872573039391</v>
      </c>
      <c r="F25">
        <f t="shared" si="0"/>
        <v>2.9161603888213851E-2</v>
      </c>
    </row>
    <row r="26" spans="1:6" ht="112" x14ac:dyDescent="0.2">
      <c r="A26" s="4" t="s">
        <v>3074</v>
      </c>
      <c r="B26">
        <v>17.051207314617812</v>
      </c>
      <c r="C26" s="7">
        <v>3.0376670716889428E-2</v>
      </c>
      <c r="E26">
        <v>17.051207314617812</v>
      </c>
      <c r="F26">
        <f t="shared" si="0"/>
        <v>3.0376670716889428E-2</v>
      </c>
    </row>
    <row r="27" spans="1:6" ht="112" x14ac:dyDescent="0.2">
      <c r="A27" s="4" t="s">
        <v>3090</v>
      </c>
      <c r="B27">
        <v>17.211460574035407</v>
      </c>
      <c r="C27" s="7">
        <v>3.1591737545565005E-2</v>
      </c>
      <c r="E27">
        <v>17.211460574035407</v>
      </c>
      <c r="F27">
        <f t="shared" si="0"/>
        <v>3.1591737545565005E-2</v>
      </c>
    </row>
    <row r="28" spans="1:6" ht="112" x14ac:dyDescent="0.2">
      <c r="A28" s="4" t="s">
        <v>3064</v>
      </c>
      <c r="B28">
        <v>17.324563486564386</v>
      </c>
      <c r="C28" s="7">
        <v>3.2806804374240585E-2</v>
      </c>
      <c r="E28">
        <v>17.324563486564386</v>
      </c>
      <c r="F28">
        <f t="shared" si="0"/>
        <v>3.2806804374240585E-2</v>
      </c>
    </row>
    <row r="29" spans="1:6" ht="112" x14ac:dyDescent="0.2">
      <c r="A29" s="4" t="s">
        <v>3060</v>
      </c>
      <c r="B29">
        <v>17.330844909559023</v>
      </c>
      <c r="C29" s="7">
        <v>3.4021871202916158E-2</v>
      </c>
      <c r="E29">
        <v>17.330844909559023</v>
      </c>
      <c r="F29">
        <f t="shared" si="0"/>
        <v>3.4021871202916158E-2</v>
      </c>
    </row>
    <row r="30" spans="1:6" ht="112" x14ac:dyDescent="0.2">
      <c r="A30" s="4" t="s">
        <v>3080</v>
      </c>
      <c r="B30">
        <v>17.397787940140095</v>
      </c>
      <c r="C30" s="7">
        <v>3.5236938031591739E-2</v>
      </c>
      <c r="E30">
        <v>17.397787940140095</v>
      </c>
      <c r="F30">
        <f t="shared" si="0"/>
        <v>3.5236938031591739E-2</v>
      </c>
    </row>
    <row r="31" spans="1:6" ht="112" x14ac:dyDescent="0.2">
      <c r="A31" s="4" t="s">
        <v>3102</v>
      </c>
      <c r="B31">
        <v>17.456907910159341</v>
      </c>
      <c r="C31" s="7">
        <v>3.6452004860267312E-2</v>
      </c>
      <c r="E31">
        <v>17.456907910159341</v>
      </c>
      <c r="F31">
        <f t="shared" si="0"/>
        <v>3.6452004860267312E-2</v>
      </c>
    </row>
    <row r="32" spans="1:6" ht="112" x14ac:dyDescent="0.2">
      <c r="A32" s="4" t="s">
        <v>3118</v>
      </c>
      <c r="B32">
        <v>17.486975763052332</v>
      </c>
      <c r="C32" s="7">
        <v>3.7667071688942892E-2</v>
      </c>
      <c r="E32">
        <v>17.486975763052332</v>
      </c>
      <c r="F32">
        <f t="shared" si="0"/>
        <v>3.7667071688942892E-2</v>
      </c>
    </row>
    <row r="33" spans="1:6" ht="96" x14ac:dyDescent="0.2">
      <c r="A33" s="4" t="s">
        <v>3082</v>
      </c>
      <c r="B33">
        <v>17.511421066904504</v>
      </c>
      <c r="C33" s="7">
        <v>3.8882138517618466E-2</v>
      </c>
      <c r="E33">
        <v>17.511421066904504</v>
      </c>
      <c r="F33">
        <f t="shared" si="0"/>
        <v>3.8882138517618466E-2</v>
      </c>
    </row>
    <row r="34" spans="1:6" ht="112" x14ac:dyDescent="0.2">
      <c r="A34" s="4" t="s">
        <v>3116</v>
      </c>
      <c r="B34">
        <v>17.725734354769102</v>
      </c>
      <c r="C34" s="7">
        <v>4.0097205346294046E-2</v>
      </c>
      <c r="E34">
        <v>17.725734354769102</v>
      </c>
      <c r="F34">
        <f t="shared" si="0"/>
        <v>4.0097205346294046E-2</v>
      </c>
    </row>
    <row r="35" spans="1:6" ht="96" x14ac:dyDescent="0.2">
      <c r="A35" s="4" t="s">
        <v>3154</v>
      </c>
      <c r="B35">
        <v>18.33588487695544</v>
      </c>
      <c r="C35" s="7">
        <v>4.1312272174969626E-2</v>
      </c>
      <c r="E35">
        <v>18.33588487695544</v>
      </c>
      <c r="F35">
        <f t="shared" si="0"/>
        <v>4.1312272174969626E-2</v>
      </c>
    </row>
    <row r="36" spans="1:6" ht="112" x14ac:dyDescent="0.2">
      <c r="A36" s="4" t="s">
        <v>3070</v>
      </c>
      <c r="B36">
        <v>18.461834375202518</v>
      </c>
      <c r="C36" s="7">
        <v>4.25273390036452E-2</v>
      </c>
      <c r="E36">
        <v>18.461834375202518</v>
      </c>
      <c r="F36">
        <f t="shared" si="0"/>
        <v>4.25273390036452E-2</v>
      </c>
    </row>
    <row r="37" spans="1:6" ht="112" x14ac:dyDescent="0.2">
      <c r="A37" s="4" t="s">
        <v>3148</v>
      </c>
      <c r="B37">
        <v>18.462014128487535</v>
      </c>
      <c r="C37" s="7">
        <v>4.374240583232078E-2</v>
      </c>
      <c r="E37">
        <v>18.462014128487535</v>
      </c>
      <c r="F37">
        <f t="shared" si="0"/>
        <v>4.374240583232078E-2</v>
      </c>
    </row>
    <row r="38" spans="1:6" ht="112" x14ac:dyDescent="0.2">
      <c r="A38" s="4" t="s">
        <v>3122</v>
      </c>
      <c r="B38">
        <v>18.666379039642717</v>
      </c>
      <c r="C38" s="7">
        <v>4.4957472660996353E-2</v>
      </c>
      <c r="E38">
        <v>18.666379039642717</v>
      </c>
      <c r="F38">
        <f t="shared" si="0"/>
        <v>4.4957472660996353E-2</v>
      </c>
    </row>
    <row r="39" spans="1:6" ht="112" x14ac:dyDescent="0.2">
      <c r="A39" s="4" t="s">
        <v>3098</v>
      </c>
      <c r="B39">
        <v>18.668883735207608</v>
      </c>
      <c r="C39" s="7">
        <v>4.6172539489671933E-2</v>
      </c>
      <c r="E39">
        <v>18.668883735207608</v>
      </c>
      <c r="F39">
        <f t="shared" si="0"/>
        <v>4.6172539489671933E-2</v>
      </c>
    </row>
    <row r="40" spans="1:6" ht="112" x14ac:dyDescent="0.2">
      <c r="A40" s="4" t="s">
        <v>3132</v>
      </c>
      <c r="B40">
        <v>18.757014249651885</v>
      </c>
      <c r="C40" s="7">
        <v>4.7387606318347507E-2</v>
      </c>
      <c r="E40">
        <v>18.757014249651885</v>
      </c>
      <c r="F40">
        <f t="shared" si="0"/>
        <v>4.7387606318347507E-2</v>
      </c>
    </row>
    <row r="41" spans="1:6" ht="96" x14ac:dyDescent="0.2">
      <c r="A41" s="4" t="s">
        <v>3054</v>
      </c>
      <c r="B41">
        <v>18.833254299666947</v>
      </c>
      <c r="C41" s="7">
        <v>4.8602673147023087E-2</v>
      </c>
      <c r="E41">
        <v>18.833254299666947</v>
      </c>
      <c r="F41">
        <f t="shared" si="0"/>
        <v>4.8602673147023087E-2</v>
      </c>
    </row>
    <row r="42" spans="1:6" ht="112" x14ac:dyDescent="0.2">
      <c r="A42" s="4" t="s">
        <v>3108</v>
      </c>
      <c r="B42">
        <v>19.007518705050238</v>
      </c>
      <c r="C42" s="7">
        <v>4.9817739975698661E-2</v>
      </c>
      <c r="E42">
        <v>19.007518705050238</v>
      </c>
      <c r="F42">
        <f t="shared" si="0"/>
        <v>4.9817739975698661E-2</v>
      </c>
    </row>
    <row r="43" spans="1:6" ht="112" x14ac:dyDescent="0.2">
      <c r="A43" s="4" t="s">
        <v>3104</v>
      </c>
      <c r="B43">
        <v>19.090943047049898</v>
      </c>
      <c r="C43" s="7">
        <v>5.1032806804374241E-2</v>
      </c>
      <c r="E43">
        <v>19.090943047049898</v>
      </c>
      <c r="F43">
        <f t="shared" si="0"/>
        <v>5.1032806804374241E-2</v>
      </c>
    </row>
    <row r="44" spans="1:6" ht="96" x14ac:dyDescent="0.2">
      <c r="A44" s="4" t="s">
        <v>3162</v>
      </c>
      <c r="B44">
        <v>19.445183432294908</v>
      </c>
      <c r="C44" s="7">
        <v>5.2247873633049821E-2</v>
      </c>
      <c r="E44">
        <v>19.445183432294908</v>
      </c>
      <c r="F44">
        <f t="shared" si="0"/>
        <v>5.2247873633049821E-2</v>
      </c>
    </row>
    <row r="45" spans="1:6" ht="112" x14ac:dyDescent="0.2">
      <c r="A45" s="4" t="s">
        <v>3114</v>
      </c>
      <c r="B45">
        <v>19.525984456093163</v>
      </c>
      <c r="C45" s="7">
        <v>5.3462940461725394E-2</v>
      </c>
      <c r="E45">
        <v>19.525984456093163</v>
      </c>
      <c r="F45">
        <f t="shared" si="0"/>
        <v>5.3462940461725394E-2</v>
      </c>
    </row>
    <row r="46" spans="1:6" ht="112" x14ac:dyDescent="0.2">
      <c r="A46" s="4" t="s">
        <v>3120</v>
      </c>
      <c r="B46">
        <v>19.642283145006193</v>
      </c>
      <c r="C46" s="7">
        <v>5.4678007290400975E-2</v>
      </c>
      <c r="E46">
        <v>19.642283145006193</v>
      </c>
      <c r="F46">
        <f t="shared" si="0"/>
        <v>5.4678007290400975E-2</v>
      </c>
    </row>
    <row r="47" spans="1:6" ht="112" x14ac:dyDescent="0.2">
      <c r="A47" s="4" t="s">
        <v>3130</v>
      </c>
      <c r="B47">
        <v>19.790171173989009</v>
      </c>
      <c r="C47" s="7">
        <v>5.5893074119076548E-2</v>
      </c>
      <c r="E47">
        <v>19.790171173989009</v>
      </c>
      <c r="F47">
        <f t="shared" si="0"/>
        <v>5.5893074119076548E-2</v>
      </c>
    </row>
    <row r="48" spans="1:6" ht="112" x14ac:dyDescent="0.2">
      <c r="A48" s="4" t="s">
        <v>3176</v>
      </c>
      <c r="B48">
        <v>19.909699836034083</v>
      </c>
      <c r="C48" s="7">
        <v>5.7108140947752128E-2</v>
      </c>
      <c r="E48">
        <v>19.909699836034083</v>
      </c>
      <c r="F48">
        <f t="shared" si="0"/>
        <v>5.7108140947752128E-2</v>
      </c>
    </row>
    <row r="49" spans="1:6" ht="112" x14ac:dyDescent="0.2">
      <c r="A49" s="4" t="s">
        <v>3138</v>
      </c>
      <c r="B49">
        <v>20.082331839387571</v>
      </c>
      <c r="C49" s="7">
        <v>5.8323207776427702E-2</v>
      </c>
      <c r="E49">
        <v>20.082331839387571</v>
      </c>
      <c r="F49">
        <f t="shared" si="0"/>
        <v>5.8323207776427702E-2</v>
      </c>
    </row>
    <row r="50" spans="1:6" ht="112" x14ac:dyDescent="0.2">
      <c r="A50" s="4" t="s">
        <v>3124</v>
      </c>
      <c r="B50">
        <v>20.084732864508883</v>
      </c>
      <c r="C50" s="7">
        <v>5.9538274605103282E-2</v>
      </c>
      <c r="E50">
        <v>20.084732864508883</v>
      </c>
      <c r="F50">
        <f t="shared" si="0"/>
        <v>5.9538274605103282E-2</v>
      </c>
    </row>
    <row r="51" spans="1:6" ht="96" x14ac:dyDescent="0.2">
      <c r="A51" s="4" t="s">
        <v>3172</v>
      </c>
      <c r="B51">
        <v>20.158101421096823</v>
      </c>
      <c r="C51" s="7">
        <v>6.0753341433778855E-2</v>
      </c>
      <c r="E51">
        <v>20.158101421096823</v>
      </c>
      <c r="F51">
        <f t="shared" si="0"/>
        <v>6.0753341433778855E-2</v>
      </c>
    </row>
    <row r="52" spans="1:6" ht="112" x14ac:dyDescent="0.2">
      <c r="A52" s="4" t="s">
        <v>3142</v>
      </c>
      <c r="B52">
        <v>20.30613938206309</v>
      </c>
      <c r="C52" s="7">
        <v>6.1968408262454436E-2</v>
      </c>
      <c r="E52">
        <v>20.30613938206309</v>
      </c>
      <c r="F52">
        <f t="shared" si="0"/>
        <v>6.1968408262454436E-2</v>
      </c>
    </row>
    <row r="53" spans="1:6" ht="112" x14ac:dyDescent="0.2">
      <c r="A53" s="4" t="s">
        <v>3092</v>
      </c>
      <c r="B53">
        <v>20.612643838439617</v>
      </c>
      <c r="C53" s="7">
        <v>6.3183475091130009E-2</v>
      </c>
      <c r="E53">
        <v>20.612643838439617</v>
      </c>
      <c r="F53">
        <f t="shared" si="0"/>
        <v>6.3183475091130009E-2</v>
      </c>
    </row>
    <row r="54" spans="1:6" ht="112" x14ac:dyDescent="0.2">
      <c r="A54" s="4" t="s">
        <v>3094</v>
      </c>
      <c r="B54">
        <v>20.664271721335741</v>
      </c>
      <c r="C54" s="7">
        <v>6.4398541919805583E-2</v>
      </c>
      <c r="E54">
        <v>20.664271721335741</v>
      </c>
      <c r="F54">
        <f t="shared" si="0"/>
        <v>6.4398541919805583E-2</v>
      </c>
    </row>
    <row r="55" spans="1:6" ht="112" x14ac:dyDescent="0.2">
      <c r="A55" s="4" t="s">
        <v>3184</v>
      </c>
      <c r="B55">
        <v>20.719933084101559</v>
      </c>
      <c r="C55" s="7">
        <v>6.561360874848117E-2</v>
      </c>
      <c r="E55">
        <v>20.719933084101559</v>
      </c>
      <c r="F55">
        <f t="shared" si="0"/>
        <v>6.561360874848117E-2</v>
      </c>
    </row>
    <row r="56" spans="1:6" ht="112" x14ac:dyDescent="0.2">
      <c r="A56" s="4" t="s">
        <v>3156</v>
      </c>
      <c r="B56">
        <v>20.733246892727664</v>
      </c>
      <c r="C56" s="7">
        <v>6.6828675577156743E-2</v>
      </c>
      <c r="E56">
        <v>20.733246892727664</v>
      </c>
      <c r="F56">
        <f t="shared" si="0"/>
        <v>6.6828675577156743E-2</v>
      </c>
    </row>
    <row r="57" spans="1:6" ht="112" x14ac:dyDescent="0.2">
      <c r="A57" s="4" t="s">
        <v>3136</v>
      </c>
      <c r="B57">
        <v>20.987540161171978</v>
      </c>
      <c r="C57" s="7">
        <v>6.8043742405832316E-2</v>
      </c>
      <c r="E57">
        <v>20.987540161171978</v>
      </c>
      <c r="F57">
        <f t="shared" si="0"/>
        <v>6.8043742405832316E-2</v>
      </c>
    </row>
    <row r="58" spans="1:6" ht="112" x14ac:dyDescent="0.2">
      <c r="A58" s="4" t="s">
        <v>3112</v>
      </c>
      <c r="B58">
        <v>21.039878847414393</v>
      </c>
      <c r="C58" s="7">
        <v>6.9258809234507904E-2</v>
      </c>
      <c r="E58">
        <v>21.039878847414393</v>
      </c>
      <c r="F58">
        <f t="shared" si="0"/>
        <v>6.9258809234507904E-2</v>
      </c>
    </row>
    <row r="59" spans="1:6" ht="112" x14ac:dyDescent="0.2">
      <c r="A59" s="4" t="s">
        <v>3134</v>
      </c>
      <c r="B59">
        <v>21.081247795628457</v>
      </c>
      <c r="C59" s="7">
        <v>7.0473876063183477E-2</v>
      </c>
      <c r="E59">
        <v>21.081247795628457</v>
      </c>
      <c r="F59">
        <f t="shared" si="0"/>
        <v>7.0473876063183477E-2</v>
      </c>
    </row>
    <row r="60" spans="1:6" ht="112" x14ac:dyDescent="0.2">
      <c r="A60" s="4" t="s">
        <v>3182</v>
      </c>
      <c r="B60">
        <v>21.105603442107938</v>
      </c>
      <c r="C60" s="7">
        <v>7.168894289185905E-2</v>
      </c>
      <c r="E60">
        <v>21.105603442107938</v>
      </c>
      <c r="F60">
        <f t="shared" si="0"/>
        <v>7.168894289185905E-2</v>
      </c>
    </row>
    <row r="61" spans="1:6" ht="112" x14ac:dyDescent="0.2">
      <c r="A61" s="4" t="s">
        <v>3100</v>
      </c>
      <c r="B61">
        <v>21.199559723902517</v>
      </c>
      <c r="C61" s="7">
        <v>7.2904009720534624E-2</v>
      </c>
      <c r="E61">
        <v>21.199559723902517</v>
      </c>
      <c r="F61">
        <f t="shared" si="0"/>
        <v>7.2904009720534624E-2</v>
      </c>
    </row>
    <row r="62" spans="1:6" ht="112" x14ac:dyDescent="0.2">
      <c r="A62" s="4" t="s">
        <v>3140</v>
      </c>
      <c r="B62">
        <v>21.288732345921055</v>
      </c>
      <c r="C62" s="7">
        <v>7.4119076549210211E-2</v>
      </c>
      <c r="E62">
        <v>21.288732345921055</v>
      </c>
      <c r="F62">
        <f t="shared" si="0"/>
        <v>7.4119076549210211E-2</v>
      </c>
    </row>
    <row r="63" spans="1:6" ht="96" x14ac:dyDescent="0.2">
      <c r="A63" s="4" t="s">
        <v>3152</v>
      </c>
      <c r="B63">
        <v>21.315907944948293</v>
      </c>
      <c r="C63" s="7">
        <v>7.5334143377885784E-2</v>
      </c>
      <c r="E63">
        <v>21.315907944948293</v>
      </c>
      <c r="F63">
        <f t="shared" si="0"/>
        <v>7.5334143377885784E-2</v>
      </c>
    </row>
    <row r="64" spans="1:6" ht="112" x14ac:dyDescent="0.2">
      <c r="A64" s="4" t="s">
        <v>3186</v>
      </c>
      <c r="B64">
        <v>21.320451042600684</v>
      </c>
      <c r="C64" s="7">
        <v>7.6549210206561358E-2</v>
      </c>
      <c r="E64">
        <v>21.320451042600684</v>
      </c>
      <c r="F64">
        <f t="shared" si="0"/>
        <v>7.6549210206561358E-2</v>
      </c>
    </row>
    <row r="65" spans="1:6" ht="112" x14ac:dyDescent="0.2">
      <c r="A65" s="4" t="s">
        <v>3110</v>
      </c>
      <c r="B65">
        <v>21.32468549193749</v>
      </c>
      <c r="C65" s="7">
        <v>7.7764277035236931E-2</v>
      </c>
      <c r="E65">
        <v>21.32468549193749</v>
      </c>
      <c r="F65">
        <f t="shared" si="0"/>
        <v>7.7764277035236931E-2</v>
      </c>
    </row>
    <row r="66" spans="1:6" ht="112" x14ac:dyDescent="0.2">
      <c r="A66" s="4" t="s">
        <v>3160</v>
      </c>
      <c r="B66">
        <v>21.518757942693313</v>
      </c>
      <c r="C66" s="7">
        <v>7.8979343863912518E-2</v>
      </c>
      <c r="E66">
        <v>21.518757942693313</v>
      </c>
      <c r="F66">
        <f t="shared" si="0"/>
        <v>7.8979343863912518E-2</v>
      </c>
    </row>
    <row r="67" spans="1:6" ht="112" x14ac:dyDescent="0.2">
      <c r="A67" s="4" t="s">
        <v>3196</v>
      </c>
      <c r="B67">
        <v>21.759176945218616</v>
      </c>
      <c r="C67" s="7">
        <v>8.0194410692588092E-2</v>
      </c>
      <c r="E67">
        <v>21.759176945218616</v>
      </c>
      <c r="F67">
        <f t="shared" ref="F67:F130" si="1">_xlfn.RANK.EQ(E67,$E$2:$E$824,1)/COUNT($E$2:$E$824)</f>
        <v>8.0194410692588092E-2</v>
      </c>
    </row>
    <row r="68" spans="1:6" ht="112" x14ac:dyDescent="0.2">
      <c r="A68" s="4" t="s">
        <v>3144</v>
      </c>
      <c r="B68">
        <v>21.953054725718538</v>
      </c>
      <c r="C68" s="7">
        <v>8.1409477521263665E-2</v>
      </c>
      <c r="E68">
        <v>21.953054725718538</v>
      </c>
      <c r="F68">
        <f t="shared" si="1"/>
        <v>8.1409477521263665E-2</v>
      </c>
    </row>
    <row r="69" spans="1:6" ht="112" x14ac:dyDescent="0.2">
      <c r="A69" s="4" t="s">
        <v>3190</v>
      </c>
      <c r="B69">
        <v>22.039929113933695</v>
      </c>
      <c r="C69" s="7">
        <v>8.2624544349939252E-2</v>
      </c>
      <c r="E69">
        <v>22.039929113933695</v>
      </c>
      <c r="F69">
        <f t="shared" si="1"/>
        <v>8.2624544349939252E-2</v>
      </c>
    </row>
    <row r="70" spans="1:6" ht="96" x14ac:dyDescent="0.2">
      <c r="A70" s="4" t="s">
        <v>3208</v>
      </c>
      <c r="B70">
        <v>22.179030601952999</v>
      </c>
      <c r="C70" s="7">
        <v>8.3839611178614826E-2</v>
      </c>
      <c r="E70">
        <v>22.179030601952999</v>
      </c>
      <c r="F70">
        <f t="shared" si="1"/>
        <v>8.3839611178614826E-2</v>
      </c>
    </row>
    <row r="71" spans="1:6" ht="112" x14ac:dyDescent="0.2">
      <c r="A71" s="4" t="s">
        <v>3088</v>
      </c>
      <c r="B71">
        <v>22.230822050851014</v>
      </c>
      <c r="C71" s="7">
        <v>8.5054678007290399E-2</v>
      </c>
      <c r="E71">
        <v>22.230822050851014</v>
      </c>
      <c r="F71">
        <f t="shared" si="1"/>
        <v>8.5054678007290399E-2</v>
      </c>
    </row>
    <row r="72" spans="1:6" ht="96" x14ac:dyDescent="0.2">
      <c r="A72" s="4" t="s">
        <v>3200</v>
      </c>
      <c r="B72">
        <v>22.374781378839028</v>
      </c>
      <c r="C72" s="7">
        <v>8.6269744835965972E-2</v>
      </c>
      <c r="E72">
        <v>22.374781378839028</v>
      </c>
      <c r="F72">
        <f t="shared" si="1"/>
        <v>8.6269744835965972E-2</v>
      </c>
    </row>
    <row r="73" spans="1:6" ht="112" x14ac:dyDescent="0.2">
      <c r="A73" s="4" t="s">
        <v>3146</v>
      </c>
      <c r="B73">
        <v>22.400661766499056</v>
      </c>
      <c r="C73" s="7">
        <v>8.748481166464156E-2</v>
      </c>
      <c r="E73">
        <v>22.400661766499056</v>
      </c>
      <c r="F73">
        <f t="shared" si="1"/>
        <v>8.748481166464156E-2</v>
      </c>
    </row>
    <row r="74" spans="1:6" ht="112" x14ac:dyDescent="0.2">
      <c r="A74" s="4" t="s">
        <v>3194</v>
      </c>
      <c r="B74">
        <v>22.560910797538579</v>
      </c>
      <c r="C74" s="7">
        <v>8.8699878493317133E-2</v>
      </c>
      <c r="E74">
        <v>22.560910797538579</v>
      </c>
      <c r="F74">
        <f t="shared" si="1"/>
        <v>8.8699878493317133E-2</v>
      </c>
    </row>
    <row r="75" spans="1:6" ht="96" x14ac:dyDescent="0.2">
      <c r="A75" s="4" t="s">
        <v>3216</v>
      </c>
      <c r="B75">
        <v>22.639581286383915</v>
      </c>
      <c r="C75" s="7">
        <v>8.9914945321992706E-2</v>
      </c>
      <c r="E75">
        <v>22.639581286383915</v>
      </c>
      <c r="F75">
        <f t="shared" si="1"/>
        <v>8.9914945321992706E-2</v>
      </c>
    </row>
    <row r="76" spans="1:6" ht="96" x14ac:dyDescent="0.2">
      <c r="A76" s="4" t="s">
        <v>3220</v>
      </c>
      <c r="B76">
        <v>22.716773600414736</v>
      </c>
      <c r="C76" s="7">
        <v>9.1130012150668294E-2</v>
      </c>
      <c r="E76">
        <v>22.716773600414736</v>
      </c>
      <c r="F76">
        <f t="shared" si="1"/>
        <v>9.1130012150668294E-2</v>
      </c>
    </row>
    <row r="77" spans="1:6" ht="112" x14ac:dyDescent="0.2">
      <c r="A77" s="4" t="s">
        <v>3174</v>
      </c>
      <c r="B77">
        <v>22.732387732399097</v>
      </c>
      <c r="C77" s="7">
        <v>9.2345078979343867E-2</v>
      </c>
      <c r="E77">
        <v>22.732387732399097</v>
      </c>
      <c r="F77">
        <f t="shared" si="1"/>
        <v>9.2345078979343867E-2</v>
      </c>
    </row>
    <row r="78" spans="1:6" ht="112" x14ac:dyDescent="0.2">
      <c r="A78" s="4" t="s">
        <v>3170</v>
      </c>
      <c r="B78">
        <v>22.891268067758936</v>
      </c>
      <c r="C78" s="7">
        <v>9.356014580801944E-2</v>
      </c>
      <c r="E78">
        <v>22.891268067758936</v>
      </c>
      <c r="F78">
        <f t="shared" si="1"/>
        <v>9.356014580801944E-2</v>
      </c>
    </row>
    <row r="79" spans="1:6" ht="112" x14ac:dyDescent="0.2">
      <c r="A79" s="4" t="s">
        <v>3150</v>
      </c>
      <c r="B79">
        <v>22.946689895689747</v>
      </c>
      <c r="C79" s="7">
        <v>9.4775212636695014E-2</v>
      </c>
      <c r="E79">
        <v>22.946689895689747</v>
      </c>
      <c r="F79">
        <f t="shared" si="1"/>
        <v>9.4775212636695014E-2</v>
      </c>
    </row>
    <row r="80" spans="1:6" ht="112" x14ac:dyDescent="0.2">
      <c r="A80" s="4" t="s">
        <v>3126</v>
      </c>
      <c r="B80">
        <v>23.309098848527686</v>
      </c>
      <c r="C80" s="7">
        <v>9.5990279465370601E-2</v>
      </c>
      <c r="E80">
        <v>23.309098848527686</v>
      </c>
      <c r="F80">
        <f t="shared" si="1"/>
        <v>9.5990279465370601E-2</v>
      </c>
    </row>
    <row r="81" spans="1:6" ht="112" x14ac:dyDescent="0.2">
      <c r="A81" s="4" t="s">
        <v>3202</v>
      </c>
      <c r="B81">
        <v>23.323609085648425</v>
      </c>
      <c r="C81" s="7">
        <v>9.7205346294046174E-2</v>
      </c>
      <c r="E81">
        <v>23.323609085648425</v>
      </c>
      <c r="F81">
        <f t="shared" si="1"/>
        <v>9.7205346294046174E-2</v>
      </c>
    </row>
    <row r="82" spans="1:6" ht="112" x14ac:dyDescent="0.2">
      <c r="A82" s="4" t="s">
        <v>3158</v>
      </c>
      <c r="B82">
        <v>23.348176848785478</v>
      </c>
      <c r="C82" s="7">
        <v>9.8420413122721748E-2</v>
      </c>
      <c r="E82">
        <v>23.348176848785478</v>
      </c>
      <c r="F82">
        <f t="shared" si="1"/>
        <v>9.8420413122721748E-2</v>
      </c>
    </row>
    <row r="83" spans="1:6" ht="112" x14ac:dyDescent="0.2">
      <c r="A83" s="4" t="s">
        <v>3192</v>
      </c>
      <c r="B83">
        <v>23.46024061692296</v>
      </c>
      <c r="C83" s="7">
        <v>9.9635479951397321E-2</v>
      </c>
      <c r="E83">
        <v>23.46024061692296</v>
      </c>
      <c r="F83">
        <f t="shared" si="1"/>
        <v>9.9635479951397321E-2</v>
      </c>
    </row>
    <row r="84" spans="1:6" ht="112" x14ac:dyDescent="0.2">
      <c r="A84" s="4" t="s">
        <v>3188</v>
      </c>
      <c r="B84">
        <v>23.624111488053892</v>
      </c>
      <c r="C84" s="7">
        <v>0.10085054678007291</v>
      </c>
      <c r="E84">
        <v>23.624111488053892</v>
      </c>
      <c r="F84">
        <f t="shared" si="1"/>
        <v>0.10085054678007291</v>
      </c>
    </row>
    <row r="85" spans="1:6" ht="112" x14ac:dyDescent="0.2">
      <c r="A85" s="4" t="s">
        <v>3232</v>
      </c>
      <c r="B85">
        <v>23.710447233504908</v>
      </c>
      <c r="C85" s="7">
        <v>0.10206561360874848</v>
      </c>
      <c r="E85">
        <v>23.710447233504908</v>
      </c>
      <c r="F85">
        <f t="shared" si="1"/>
        <v>0.10206561360874848</v>
      </c>
    </row>
    <row r="86" spans="1:6" ht="112" x14ac:dyDescent="0.2">
      <c r="A86" s="4" t="s">
        <v>3164</v>
      </c>
      <c r="B86">
        <v>23.863475949736866</v>
      </c>
      <c r="C86" s="7">
        <v>0.10328068043742406</v>
      </c>
      <c r="E86">
        <v>23.863475949736866</v>
      </c>
      <c r="F86">
        <f t="shared" si="1"/>
        <v>0.10328068043742406</v>
      </c>
    </row>
    <row r="87" spans="1:6" ht="112" x14ac:dyDescent="0.2">
      <c r="A87" s="4" t="s">
        <v>3106</v>
      </c>
      <c r="B87">
        <v>23.954916198202259</v>
      </c>
      <c r="C87" s="7">
        <v>0.10449574726609964</v>
      </c>
      <c r="E87">
        <v>23.954916198202259</v>
      </c>
      <c r="F87">
        <f t="shared" si="1"/>
        <v>0.10449574726609964</v>
      </c>
    </row>
    <row r="88" spans="1:6" ht="112" x14ac:dyDescent="0.2">
      <c r="A88" s="4" t="s">
        <v>3180</v>
      </c>
      <c r="B88">
        <v>24.365649428489938</v>
      </c>
      <c r="C88" s="7">
        <v>0.10571081409477522</v>
      </c>
      <c r="E88">
        <v>24.365649428489938</v>
      </c>
      <c r="F88">
        <f t="shared" si="1"/>
        <v>0.10571081409477522</v>
      </c>
    </row>
    <row r="89" spans="1:6" ht="96" x14ac:dyDescent="0.2">
      <c r="A89" s="4" t="s">
        <v>3212</v>
      </c>
      <c r="B89">
        <v>24.571559029860005</v>
      </c>
      <c r="C89" s="7">
        <v>0.10692588092345079</v>
      </c>
      <c r="E89">
        <v>24.571559029860005</v>
      </c>
      <c r="F89">
        <f t="shared" si="1"/>
        <v>0.10692588092345079</v>
      </c>
    </row>
    <row r="90" spans="1:6" ht="112" x14ac:dyDescent="0.2">
      <c r="A90" s="4" t="s">
        <v>3218</v>
      </c>
      <c r="B90">
        <v>24.677930031250721</v>
      </c>
      <c r="C90" s="7">
        <v>0.10814094775212636</v>
      </c>
      <c r="E90">
        <v>24.677930031250721</v>
      </c>
      <c r="F90">
        <f t="shared" si="1"/>
        <v>0.10814094775212636</v>
      </c>
    </row>
    <row r="91" spans="1:6" ht="96" x14ac:dyDescent="0.2">
      <c r="A91" s="4" t="s">
        <v>3250</v>
      </c>
      <c r="B91">
        <v>24.704943567802612</v>
      </c>
      <c r="C91" s="7">
        <v>0.10935601458080195</v>
      </c>
      <c r="E91">
        <v>24.704943567802612</v>
      </c>
      <c r="F91">
        <f t="shared" si="1"/>
        <v>0.10935601458080195</v>
      </c>
    </row>
    <row r="92" spans="1:6" ht="96" x14ac:dyDescent="0.2">
      <c r="A92" s="4" t="s">
        <v>3198</v>
      </c>
      <c r="B92">
        <v>24.711940468312111</v>
      </c>
      <c r="C92" s="7">
        <v>0.11057108140947752</v>
      </c>
      <c r="E92">
        <v>24.711940468312111</v>
      </c>
      <c r="F92">
        <f t="shared" si="1"/>
        <v>0.11057108140947752</v>
      </c>
    </row>
    <row r="93" spans="1:6" ht="112" x14ac:dyDescent="0.2">
      <c r="A93" s="4" t="s">
        <v>3206</v>
      </c>
      <c r="B93">
        <v>24.715624999999999</v>
      </c>
      <c r="C93" s="7">
        <v>0.1117861482381531</v>
      </c>
      <c r="E93">
        <v>24.715624999999999</v>
      </c>
      <c r="F93">
        <f t="shared" si="1"/>
        <v>0.1117861482381531</v>
      </c>
    </row>
    <row r="94" spans="1:6" ht="112" x14ac:dyDescent="0.2">
      <c r="A94" s="4" t="s">
        <v>3244</v>
      </c>
      <c r="B94">
        <v>25.062020849107437</v>
      </c>
      <c r="C94" s="7">
        <v>0.11300121506682867</v>
      </c>
      <c r="E94">
        <v>25.062020849107437</v>
      </c>
      <c r="F94">
        <f t="shared" si="1"/>
        <v>0.11300121506682867</v>
      </c>
    </row>
    <row r="95" spans="1:6" ht="112" x14ac:dyDescent="0.2">
      <c r="A95" s="4" t="s">
        <v>3236</v>
      </c>
      <c r="B95">
        <v>25.201617296056963</v>
      </c>
      <c r="C95" s="7">
        <v>0.11421628189550426</v>
      </c>
      <c r="E95">
        <v>25.201617296056963</v>
      </c>
      <c r="F95">
        <f t="shared" si="1"/>
        <v>0.11421628189550426</v>
      </c>
    </row>
    <row r="96" spans="1:6" ht="112" x14ac:dyDescent="0.2">
      <c r="A96" s="4" t="s">
        <v>3178</v>
      </c>
      <c r="B96">
        <v>25.413943315658145</v>
      </c>
      <c r="C96" s="7">
        <v>0.11543134872417983</v>
      </c>
      <c r="E96">
        <v>25.413943315658145</v>
      </c>
      <c r="F96">
        <f t="shared" si="1"/>
        <v>0.11543134872417983</v>
      </c>
    </row>
    <row r="97" spans="1:6" ht="112" x14ac:dyDescent="0.2">
      <c r="A97" s="4" t="s">
        <v>3266</v>
      </c>
      <c r="B97">
        <v>25.433151651379699</v>
      </c>
      <c r="C97" s="7">
        <v>0.1166464155528554</v>
      </c>
      <c r="E97">
        <v>25.433151651379699</v>
      </c>
      <c r="F97">
        <f t="shared" si="1"/>
        <v>0.1166464155528554</v>
      </c>
    </row>
    <row r="98" spans="1:6" ht="112" x14ac:dyDescent="0.2">
      <c r="A98" s="4" t="s">
        <v>3204</v>
      </c>
      <c r="B98">
        <v>25.568651151402719</v>
      </c>
      <c r="C98" s="7">
        <v>0.11786148238153099</v>
      </c>
      <c r="E98">
        <v>25.568651151402719</v>
      </c>
      <c r="F98">
        <f t="shared" si="1"/>
        <v>0.11786148238153099</v>
      </c>
    </row>
    <row r="99" spans="1:6" ht="128" x14ac:dyDescent="0.2">
      <c r="A99" s="4" t="s">
        <v>3128</v>
      </c>
      <c r="B99">
        <v>25.572896993597759</v>
      </c>
      <c r="C99" s="7">
        <v>0.11907654921020656</v>
      </c>
      <c r="E99">
        <v>25.572896993597759</v>
      </c>
      <c r="F99">
        <f t="shared" si="1"/>
        <v>0.11907654921020656</v>
      </c>
    </row>
    <row r="100" spans="1:6" ht="96" x14ac:dyDescent="0.2">
      <c r="A100" s="4" t="s">
        <v>3314</v>
      </c>
      <c r="B100">
        <v>25.633046495211961</v>
      </c>
      <c r="C100" s="7">
        <v>0.12029161603888214</v>
      </c>
      <c r="E100">
        <v>25.633046495211961</v>
      </c>
      <c r="F100">
        <f t="shared" si="1"/>
        <v>0.12029161603888214</v>
      </c>
    </row>
    <row r="101" spans="1:6" ht="112" x14ac:dyDescent="0.2">
      <c r="A101" s="4" t="s">
        <v>3230</v>
      </c>
      <c r="B101">
        <v>25.661524927349081</v>
      </c>
      <c r="C101" s="7">
        <v>0.12150668286755771</v>
      </c>
      <c r="E101">
        <v>25.661524927349081</v>
      </c>
      <c r="F101">
        <f t="shared" si="1"/>
        <v>0.12150668286755771</v>
      </c>
    </row>
    <row r="102" spans="1:6" ht="96" x14ac:dyDescent="0.2">
      <c r="A102" s="4" t="s">
        <v>3166</v>
      </c>
      <c r="B102">
        <v>25.892747863745242</v>
      </c>
      <c r="C102" s="7">
        <v>0.1227217496962333</v>
      </c>
      <c r="E102">
        <v>25.892747863745242</v>
      </c>
      <c r="F102">
        <f t="shared" si="1"/>
        <v>0.1227217496962333</v>
      </c>
    </row>
    <row r="103" spans="1:6" ht="112" x14ac:dyDescent="0.2">
      <c r="A103" s="4" t="s">
        <v>3226</v>
      </c>
      <c r="B103">
        <v>25.967642678427897</v>
      </c>
      <c r="C103" s="7">
        <v>0.12393681652490887</v>
      </c>
      <c r="E103">
        <v>25.967642678427897</v>
      </c>
      <c r="F103">
        <f t="shared" si="1"/>
        <v>0.12393681652490887</v>
      </c>
    </row>
    <row r="104" spans="1:6" ht="96" x14ac:dyDescent="0.2">
      <c r="A104" s="4" t="s">
        <v>3246</v>
      </c>
      <c r="B104">
        <v>26.150100637154978</v>
      </c>
      <c r="C104" s="7">
        <v>0.12515188335358446</v>
      </c>
      <c r="E104">
        <v>26.150100637154978</v>
      </c>
      <c r="F104">
        <f t="shared" si="1"/>
        <v>0.12515188335358446</v>
      </c>
    </row>
    <row r="105" spans="1:6" ht="112" x14ac:dyDescent="0.2">
      <c r="A105" s="4" t="s">
        <v>3222</v>
      </c>
      <c r="B105">
        <v>26.409227940564008</v>
      </c>
      <c r="C105" s="7">
        <v>0.12636695018226002</v>
      </c>
      <c r="E105">
        <v>26.409227940564008</v>
      </c>
      <c r="F105">
        <f t="shared" si="1"/>
        <v>0.12636695018226002</v>
      </c>
    </row>
    <row r="106" spans="1:6" ht="96" x14ac:dyDescent="0.2">
      <c r="A106" s="4" t="s">
        <v>3298</v>
      </c>
      <c r="B106">
        <v>26.490213299312764</v>
      </c>
      <c r="C106" s="7">
        <v>0.12758201701093561</v>
      </c>
      <c r="E106">
        <v>26.490213299312764</v>
      </c>
      <c r="F106">
        <f t="shared" si="1"/>
        <v>0.12758201701093561</v>
      </c>
    </row>
    <row r="107" spans="1:6" ht="112" x14ac:dyDescent="0.2">
      <c r="A107" s="4" t="s">
        <v>3248</v>
      </c>
      <c r="B107">
        <v>26.572375615163455</v>
      </c>
      <c r="C107" s="7">
        <v>0.12879708383961117</v>
      </c>
      <c r="E107">
        <v>26.572375615163455</v>
      </c>
      <c r="F107">
        <f t="shared" si="1"/>
        <v>0.12879708383961117</v>
      </c>
    </row>
    <row r="108" spans="1:6" ht="112" x14ac:dyDescent="0.2">
      <c r="A108" s="4" t="s">
        <v>3240</v>
      </c>
      <c r="B108">
        <v>26.704432401409001</v>
      </c>
      <c r="C108" s="7">
        <v>0.13001215066828675</v>
      </c>
      <c r="E108">
        <v>26.704432401409001</v>
      </c>
      <c r="F108">
        <f t="shared" si="1"/>
        <v>0.13001215066828675</v>
      </c>
    </row>
    <row r="109" spans="1:6" ht="112" x14ac:dyDescent="0.2">
      <c r="A109" s="4" t="s">
        <v>3214</v>
      </c>
      <c r="B109">
        <v>26.839042065950434</v>
      </c>
      <c r="C109" s="7">
        <v>0.13122721749696234</v>
      </c>
      <c r="E109">
        <v>26.839042065950434</v>
      </c>
      <c r="F109">
        <f t="shared" si="1"/>
        <v>0.13122721749696234</v>
      </c>
    </row>
    <row r="110" spans="1:6" ht="112" x14ac:dyDescent="0.2">
      <c r="A110" s="4" t="s">
        <v>3282</v>
      </c>
      <c r="B110">
        <v>26.872479937030405</v>
      </c>
      <c r="C110" s="7">
        <v>0.1324422843256379</v>
      </c>
      <c r="E110">
        <v>26.872479937030405</v>
      </c>
      <c r="F110">
        <f t="shared" si="1"/>
        <v>0.1324422843256379</v>
      </c>
    </row>
    <row r="111" spans="1:6" ht="112" x14ac:dyDescent="0.2">
      <c r="A111" s="4" t="s">
        <v>3264</v>
      </c>
      <c r="B111">
        <v>26.965717130602091</v>
      </c>
      <c r="C111" s="7">
        <v>0.13365735115431349</v>
      </c>
      <c r="E111">
        <v>26.965717130602091</v>
      </c>
      <c r="F111">
        <f t="shared" si="1"/>
        <v>0.13365735115431349</v>
      </c>
    </row>
    <row r="112" spans="1:6" ht="96" x14ac:dyDescent="0.2">
      <c r="A112" s="4" t="s">
        <v>3294</v>
      </c>
      <c r="B112">
        <v>26.97495952936238</v>
      </c>
      <c r="C112" s="7">
        <v>0.13487241798298907</v>
      </c>
      <c r="E112">
        <v>26.97495952936238</v>
      </c>
      <c r="F112">
        <f t="shared" si="1"/>
        <v>0.13487241798298907</v>
      </c>
    </row>
    <row r="113" spans="1:6" ht="112" x14ac:dyDescent="0.2">
      <c r="A113" s="4" t="s">
        <v>3224</v>
      </c>
      <c r="B113">
        <v>27.060942748060224</v>
      </c>
      <c r="C113" s="7">
        <v>0.13608748481166463</v>
      </c>
      <c r="E113">
        <v>27.060942748060224</v>
      </c>
      <c r="F113">
        <f t="shared" si="1"/>
        <v>0.13608748481166463</v>
      </c>
    </row>
    <row r="114" spans="1:6" ht="96" x14ac:dyDescent="0.2">
      <c r="A114" s="4" t="s">
        <v>3310</v>
      </c>
      <c r="B114">
        <v>27.214858655326378</v>
      </c>
      <c r="C114" s="7">
        <v>0.13730255164034022</v>
      </c>
      <c r="E114">
        <v>27.214858655326378</v>
      </c>
      <c r="F114">
        <f t="shared" si="1"/>
        <v>0.13730255164034022</v>
      </c>
    </row>
    <row r="115" spans="1:6" ht="112" x14ac:dyDescent="0.2">
      <c r="A115" s="4" t="s">
        <v>3168</v>
      </c>
      <c r="B115">
        <v>27.605572559967605</v>
      </c>
      <c r="C115" s="7">
        <v>0.13851761846901581</v>
      </c>
      <c r="E115">
        <v>27.605572559967605</v>
      </c>
      <c r="F115">
        <f t="shared" si="1"/>
        <v>0.13851761846901581</v>
      </c>
    </row>
    <row r="116" spans="1:6" ht="96" x14ac:dyDescent="0.2">
      <c r="A116" s="4" t="s">
        <v>3242</v>
      </c>
      <c r="B116">
        <v>27.7288357274821</v>
      </c>
      <c r="C116" s="7">
        <v>0.13973268529769137</v>
      </c>
      <c r="E116">
        <v>27.7288357274821</v>
      </c>
      <c r="F116">
        <f t="shared" si="1"/>
        <v>0.13973268529769137</v>
      </c>
    </row>
    <row r="117" spans="1:6" ht="112" x14ac:dyDescent="0.2">
      <c r="A117" s="4" t="s">
        <v>3254</v>
      </c>
      <c r="B117">
        <v>27.74201566574391</v>
      </c>
      <c r="C117" s="7">
        <v>0.14094775212636695</v>
      </c>
      <c r="E117">
        <v>27.74201566574391</v>
      </c>
      <c r="F117">
        <f t="shared" si="1"/>
        <v>0.14094775212636695</v>
      </c>
    </row>
    <row r="118" spans="1:6" ht="112" x14ac:dyDescent="0.2">
      <c r="A118" s="4" t="s">
        <v>3210</v>
      </c>
      <c r="B118">
        <v>28.051810923333118</v>
      </c>
      <c r="C118" s="7">
        <v>0.14216281895504251</v>
      </c>
      <c r="E118">
        <v>28.051810923333118</v>
      </c>
      <c r="F118">
        <f t="shared" si="1"/>
        <v>0.14216281895504251</v>
      </c>
    </row>
    <row r="119" spans="1:6" ht="112" x14ac:dyDescent="0.2">
      <c r="A119" s="4" t="s">
        <v>3296</v>
      </c>
      <c r="B119">
        <v>28.077592515193952</v>
      </c>
      <c r="C119" s="7">
        <v>0.1433778857837181</v>
      </c>
      <c r="E119">
        <v>28.077592515193952</v>
      </c>
      <c r="F119">
        <f t="shared" si="1"/>
        <v>0.1433778857837181</v>
      </c>
    </row>
    <row r="120" spans="1:6" ht="112" x14ac:dyDescent="0.2">
      <c r="A120" s="4" t="s">
        <v>3276</v>
      </c>
      <c r="B120">
        <v>28.205184243004304</v>
      </c>
      <c r="C120" s="7">
        <v>0.14459295261239369</v>
      </c>
      <c r="E120">
        <v>28.205184243004304</v>
      </c>
      <c r="F120">
        <f t="shared" si="1"/>
        <v>0.14459295261239369</v>
      </c>
    </row>
    <row r="121" spans="1:6" ht="112" x14ac:dyDescent="0.2">
      <c r="A121" s="4" t="s">
        <v>3349</v>
      </c>
      <c r="B121">
        <v>28.276756626467968</v>
      </c>
      <c r="C121" s="7">
        <v>0.14580801944106925</v>
      </c>
      <c r="E121">
        <v>28.276756626467968</v>
      </c>
      <c r="F121">
        <f t="shared" si="1"/>
        <v>0.14580801944106925</v>
      </c>
    </row>
    <row r="122" spans="1:6" ht="112" x14ac:dyDescent="0.2">
      <c r="A122" s="4" t="s">
        <v>3339</v>
      </c>
      <c r="B122">
        <v>28.42549911034336</v>
      </c>
      <c r="C122" s="7">
        <v>0.14702308626974483</v>
      </c>
      <c r="E122">
        <v>28.42549911034336</v>
      </c>
      <c r="F122">
        <f t="shared" si="1"/>
        <v>0.14702308626974483</v>
      </c>
    </row>
    <row r="123" spans="1:6" ht="112" x14ac:dyDescent="0.2">
      <c r="A123" s="4" t="s">
        <v>3351</v>
      </c>
      <c r="B123">
        <v>28.628030899534696</v>
      </c>
      <c r="C123" s="7">
        <v>0.14823815309842042</v>
      </c>
      <c r="E123">
        <v>28.628030899534696</v>
      </c>
      <c r="F123">
        <f t="shared" si="1"/>
        <v>0.14823815309842042</v>
      </c>
    </row>
    <row r="124" spans="1:6" ht="112" x14ac:dyDescent="0.2">
      <c r="A124" s="4" t="s">
        <v>3262</v>
      </c>
      <c r="B124">
        <v>28.629092895165225</v>
      </c>
      <c r="C124" s="7">
        <v>0.14945321992709598</v>
      </c>
      <c r="E124">
        <v>28.629092895165225</v>
      </c>
      <c r="F124">
        <f t="shared" si="1"/>
        <v>0.14945321992709598</v>
      </c>
    </row>
    <row r="125" spans="1:6" ht="112" x14ac:dyDescent="0.2">
      <c r="A125" s="4" t="s">
        <v>3238</v>
      </c>
      <c r="B125">
        <v>28.839123089316491</v>
      </c>
      <c r="C125" s="7">
        <v>0.15066828675577157</v>
      </c>
      <c r="E125">
        <v>28.839123089316491</v>
      </c>
      <c r="F125">
        <f t="shared" si="1"/>
        <v>0.15066828675577157</v>
      </c>
    </row>
    <row r="126" spans="1:6" ht="112" x14ac:dyDescent="0.2">
      <c r="A126" s="4" t="s">
        <v>3268</v>
      </c>
      <c r="B126">
        <v>29.049249870990248</v>
      </c>
      <c r="C126" s="7">
        <v>0.15188335358444716</v>
      </c>
      <c r="E126">
        <v>29.049249870990248</v>
      </c>
      <c r="F126">
        <f t="shared" si="1"/>
        <v>0.15188335358444716</v>
      </c>
    </row>
    <row r="127" spans="1:6" ht="112" x14ac:dyDescent="0.2">
      <c r="A127" s="4" t="s">
        <v>3288</v>
      </c>
      <c r="B127">
        <v>29.067517628830334</v>
      </c>
      <c r="C127" s="7">
        <v>0.15309842041312272</v>
      </c>
      <c r="E127">
        <v>29.067517628830334</v>
      </c>
      <c r="F127">
        <f t="shared" si="1"/>
        <v>0.15309842041312272</v>
      </c>
    </row>
    <row r="128" spans="1:6" ht="112" x14ac:dyDescent="0.2">
      <c r="A128" s="4" t="s">
        <v>3270</v>
      </c>
      <c r="B128">
        <v>29.114070243345463</v>
      </c>
      <c r="C128" s="7">
        <v>0.1543134872417983</v>
      </c>
      <c r="E128">
        <v>29.114070243345463</v>
      </c>
      <c r="F128">
        <f t="shared" si="1"/>
        <v>0.1543134872417983</v>
      </c>
    </row>
    <row r="129" spans="1:6" ht="96" x14ac:dyDescent="0.2">
      <c r="A129" s="4" t="s">
        <v>3373</v>
      </c>
      <c r="B129">
        <v>29.136322539131367</v>
      </c>
      <c r="C129" s="7">
        <v>0.15552855407047386</v>
      </c>
      <c r="E129">
        <v>29.136322539131367</v>
      </c>
      <c r="F129">
        <f t="shared" si="1"/>
        <v>0.15552855407047386</v>
      </c>
    </row>
    <row r="130" spans="1:6" ht="112" x14ac:dyDescent="0.2">
      <c r="A130" s="4" t="s">
        <v>3278</v>
      </c>
      <c r="B130">
        <v>29.248831711780642</v>
      </c>
      <c r="C130" s="7">
        <v>0.15674362089914945</v>
      </c>
      <c r="E130">
        <v>29.248831711780642</v>
      </c>
      <c r="F130">
        <f t="shared" si="1"/>
        <v>0.15674362089914945</v>
      </c>
    </row>
    <row r="131" spans="1:6" ht="112" x14ac:dyDescent="0.2">
      <c r="A131" s="4" t="s">
        <v>3284</v>
      </c>
      <c r="B131">
        <v>29.262850992218294</v>
      </c>
      <c r="C131" s="7">
        <v>0.15795868772782504</v>
      </c>
      <c r="E131">
        <v>29.262850992218294</v>
      </c>
      <c r="F131">
        <f t="shared" ref="F131:F194" si="2">_xlfn.RANK.EQ(E131,$E$2:$E$824,1)/COUNT($E$2:$E$824)</f>
        <v>0.15795868772782504</v>
      </c>
    </row>
    <row r="132" spans="1:6" ht="112" x14ac:dyDescent="0.2">
      <c r="A132" s="4" t="s">
        <v>3234</v>
      </c>
      <c r="B132">
        <v>29.277417993548063</v>
      </c>
      <c r="C132" s="7">
        <v>0.1591737545565006</v>
      </c>
      <c r="E132">
        <v>29.277417993548063</v>
      </c>
      <c r="F132">
        <f t="shared" si="2"/>
        <v>0.1591737545565006</v>
      </c>
    </row>
    <row r="133" spans="1:6" ht="112" x14ac:dyDescent="0.2">
      <c r="A133" s="4" t="s">
        <v>3290</v>
      </c>
      <c r="B133">
        <v>29.299134976992068</v>
      </c>
      <c r="C133" s="7">
        <v>0.16038882138517618</v>
      </c>
      <c r="E133">
        <v>29.299134976992068</v>
      </c>
      <c r="F133">
        <f t="shared" si="2"/>
        <v>0.16038882138517618</v>
      </c>
    </row>
    <row r="134" spans="1:6" ht="112" x14ac:dyDescent="0.2">
      <c r="A134" s="4" t="s">
        <v>3326</v>
      </c>
      <c r="B134">
        <v>29.357802716776046</v>
      </c>
      <c r="C134" s="7">
        <v>0.16160388821385177</v>
      </c>
      <c r="E134">
        <v>29.357802716776046</v>
      </c>
      <c r="F134">
        <f t="shared" si="2"/>
        <v>0.16160388821385177</v>
      </c>
    </row>
    <row r="135" spans="1:6" ht="112" x14ac:dyDescent="0.2">
      <c r="A135" s="4" t="s">
        <v>3260</v>
      </c>
      <c r="B135">
        <v>29.474624070979438</v>
      </c>
      <c r="C135" s="7">
        <v>0.16281895504252733</v>
      </c>
      <c r="E135">
        <v>29.474624070979438</v>
      </c>
      <c r="F135">
        <f t="shared" si="2"/>
        <v>0.16281895504252733</v>
      </c>
    </row>
    <row r="136" spans="1:6" ht="112" x14ac:dyDescent="0.2">
      <c r="A136" s="4" t="s">
        <v>3312</v>
      </c>
      <c r="B136">
        <v>29.556948553710541</v>
      </c>
      <c r="C136" s="7">
        <v>0.16403402187120292</v>
      </c>
      <c r="E136">
        <v>29.556948553710541</v>
      </c>
      <c r="F136">
        <f t="shared" si="2"/>
        <v>0.16403402187120292</v>
      </c>
    </row>
    <row r="137" spans="1:6" ht="112" x14ac:dyDescent="0.2">
      <c r="A137" s="4" t="s">
        <v>3304</v>
      </c>
      <c r="B137">
        <v>29.72249621665728</v>
      </c>
      <c r="C137" s="7">
        <v>0.1652490886998785</v>
      </c>
      <c r="E137">
        <v>29.72249621665728</v>
      </c>
      <c r="F137">
        <f t="shared" si="2"/>
        <v>0.1652490886998785</v>
      </c>
    </row>
    <row r="138" spans="1:6" ht="112" x14ac:dyDescent="0.2">
      <c r="A138" s="4" t="s">
        <v>3272</v>
      </c>
      <c r="B138">
        <v>29.855429074414445</v>
      </c>
      <c r="C138" s="7">
        <v>0.16646415552855406</v>
      </c>
      <c r="E138">
        <v>29.855429074414445</v>
      </c>
      <c r="F138">
        <f t="shared" si="2"/>
        <v>0.16646415552855406</v>
      </c>
    </row>
    <row r="139" spans="1:6" ht="112" x14ac:dyDescent="0.2">
      <c r="A139" s="4" t="s">
        <v>3252</v>
      </c>
      <c r="B139">
        <v>29.944014816542776</v>
      </c>
      <c r="C139" s="7">
        <v>0.16767922235722965</v>
      </c>
      <c r="E139">
        <v>29.944014816542776</v>
      </c>
      <c r="F139">
        <f t="shared" si="2"/>
        <v>0.16767922235722965</v>
      </c>
    </row>
    <row r="140" spans="1:6" ht="112" x14ac:dyDescent="0.2">
      <c r="A140" s="4" t="s">
        <v>3355</v>
      </c>
      <c r="B140">
        <v>30.001951470094223</v>
      </c>
      <c r="C140" s="7">
        <v>0.16889428918590524</v>
      </c>
      <c r="E140">
        <v>30.001951470094223</v>
      </c>
      <c r="F140">
        <f t="shared" si="2"/>
        <v>0.16889428918590524</v>
      </c>
    </row>
    <row r="141" spans="1:6" ht="112" x14ac:dyDescent="0.2">
      <c r="A141" s="4" t="s">
        <v>3300</v>
      </c>
      <c r="B141">
        <v>30.02285549815964</v>
      </c>
      <c r="C141" s="7">
        <v>0.1701093560145808</v>
      </c>
      <c r="E141">
        <v>30.02285549815964</v>
      </c>
      <c r="F141">
        <f t="shared" si="2"/>
        <v>0.1701093560145808</v>
      </c>
    </row>
    <row r="142" spans="1:6" ht="112" x14ac:dyDescent="0.2">
      <c r="A142" s="4" t="s">
        <v>3228</v>
      </c>
      <c r="B142">
        <v>30.090578425812957</v>
      </c>
      <c r="C142" s="7">
        <v>0.17132442284325639</v>
      </c>
      <c r="E142">
        <v>30.090578425812957</v>
      </c>
      <c r="F142">
        <f t="shared" si="2"/>
        <v>0.17132442284325639</v>
      </c>
    </row>
    <row r="143" spans="1:6" ht="112" x14ac:dyDescent="0.2">
      <c r="A143" s="4" t="s">
        <v>3256</v>
      </c>
      <c r="B143">
        <v>30.166905992210356</v>
      </c>
      <c r="C143" s="7">
        <v>0.17253948967193194</v>
      </c>
      <c r="E143">
        <v>30.166905992210356</v>
      </c>
      <c r="F143">
        <f t="shared" si="2"/>
        <v>0.17253948967193194</v>
      </c>
    </row>
    <row r="144" spans="1:6" ht="112" x14ac:dyDescent="0.2">
      <c r="A144" s="4" t="s">
        <v>3316</v>
      </c>
      <c r="B144">
        <v>30.324375</v>
      </c>
      <c r="C144" s="7">
        <v>0.17375455650060753</v>
      </c>
      <c r="E144">
        <v>30.324375</v>
      </c>
      <c r="F144">
        <f t="shared" si="2"/>
        <v>0.17375455650060753</v>
      </c>
    </row>
    <row r="145" spans="1:6" ht="112" x14ac:dyDescent="0.2">
      <c r="A145" s="4" t="s">
        <v>3330</v>
      </c>
      <c r="B145">
        <v>30.347591643499587</v>
      </c>
      <c r="C145" s="7">
        <v>0.17496962332928312</v>
      </c>
      <c r="E145">
        <v>30.347591643499587</v>
      </c>
      <c r="F145">
        <f t="shared" si="2"/>
        <v>0.17496962332928312</v>
      </c>
    </row>
    <row r="146" spans="1:6" ht="112" x14ac:dyDescent="0.2">
      <c r="A146" s="4" t="s">
        <v>3363</v>
      </c>
      <c r="B146">
        <v>30.392995714502089</v>
      </c>
      <c r="C146" s="7">
        <v>0.17618469015795868</v>
      </c>
      <c r="E146">
        <v>30.392995714502089</v>
      </c>
      <c r="F146">
        <f t="shared" si="2"/>
        <v>0.17618469015795868</v>
      </c>
    </row>
    <row r="147" spans="1:6" ht="112" x14ac:dyDescent="0.2">
      <c r="A147" s="4" t="s">
        <v>3343</v>
      </c>
      <c r="B147">
        <v>30.599503068105232</v>
      </c>
      <c r="C147" s="7">
        <v>0.17739975698663427</v>
      </c>
      <c r="E147">
        <v>30.599503068105232</v>
      </c>
      <c r="F147">
        <f t="shared" si="2"/>
        <v>0.17739975698663427</v>
      </c>
    </row>
    <row r="148" spans="1:6" ht="112" x14ac:dyDescent="0.2">
      <c r="A148" s="4" t="s">
        <v>3280</v>
      </c>
      <c r="B148">
        <v>30.602</v>
      </c>
      <c r="C148" s="7">
        <v>0.17861482381530985</v>
      </c>
      <c r="E148">
        <v>30.602</v>
      </c>
      <c r="F148">
        <f t="shared" si="2"/>
        <v>0.17861482381530985</v>
      </c>
    </row>
    <row r="149" spans="1:6" ht="112" x14ac:dyDescent="0.2">
      <c r="A149" s="4" t="s">
        <v>3286</v>
      </c>
      <c r="B149">
        <v>30.721139820299754</v>
      </c>
      <c r="C149" s="7">
        <v>0.17982989064398541</v>
      </c>
      <c r="E149">
        <v>30.721139820299754</v>
      </c>
      <c r="F149">
        <f t="shared" si="2"/>
        <v>0.17982989064398541</v>
      </c>
    </row>
    <row r="150" spans="1:6" ht="96" x14ac:dyDescent="0.2">
      <c r="A150" s="4" t="s">
        <v>3462</v>
      </c>
      <c r="B150">
        <v>30.755326790116388</v>
      </c>
      <c r="C150" s="7">
        <v>0.181044957472661</v>
      </c>
      <c r="E150">
        <v>30.755326790116388</v>
      </c>
      <c r="F150">
        <f t="shared" si="2"/>
        <v>0.181044957472661</v>
      </c>
    </row>
    <row r="151" spans="1:6" ht="96" x14ac:dyDescent="0.2">
      <c r="A151" s="4" t="s">
        <v>3379</v>
      </c>
      <c r="B151">
        <v>30.809468547889459</v>
      </c>
      <c r="C151" s="7">
        <v>0.18226002430133659</v>
      </c>
      <c r="E151">
        <v>30.809468547889459</v>
      </c>
      <c r="F151">
        <f t="shared" si="2"/>
        <v>0.18226002430133659</v>
      </c>
    </row>
    <row r="152" spans="1:6" ht="112" x14ac:dyDescent="0.2">
      <c r="A152" s="4" t="s">
        <v>3322</v>
      </c>
      <c r="B152">
        <v>30.855129754108265</v>
      </c>
      <c r="C152" s="7">
        <v>0.18347509113001215</v>
      </c>
      <c r="E152">
        <v>30.855129754108265</v>
      </c>
      <c r="F152">
        <f t="shared" si="2"/>
        <v>0.18347509113001215</v>
      </c>
    </row>
    <row r="153" spans="1:6" ht="96" x14ac:dyDescent="0.2">
      <c r="A153" s="4" t="s">
        <v>3367</v>
      </c>
      <c r="B153">
        <v>30.902408507557212</v>
      </c>
      <c r="C153" s="7">
        <v>0.18469015795868773</v>
      </c>
      <c r="E153">
        <v>30.902408507557212</v>
      </c>
      <c r="F153">
        <f t="shared" si="2"/>
        <v>0.18469015795868773</v>
      </c>
    </row>
    <row r="154" spans="1:6" ht="112" x14ac:dyDescent="0.2">
      <c r="A154" s="4" t="s">
        <v>3345</v>
      </c>
      <c r="B154">
        <v>30.949223029508644</v>
      </c>
      <c r="C154" s="7">
        <v>0.18590522478736329</v>
      </c>
      <c r="E154">
        <v>30.949223029508644</v>
      </c>
      <c r="F154">
        <f t="shared" si="2"/>
        <v>0.18590522478736329</v>
      </c>
    </row>
    <row r="155" spans="1:6" ht="112" x14ac:dyDescent="0.2">
      <c r="A155" s="4" t="s">
        <v>3324</v>
      </c>
      <c r="B155">
        <v>30.975234137621594</v>
      </c>
      <c r="C155" s="7">
        <v>0.18712029161603888</v>
      </c>
      <c r="E155">
        <v>30.975234137621594</v>
      </c>
      <c r="F155">
        <f t="shared" si="2"/>
        <v>0.18712029161603888</v>
      </c>
    </row>
    <row r="156" spans="1:6" ht="112" x14ac:dyDescent="0.2">
      <c r="A156" s="4" t="s">
        <v>3357</v>
      </c>
      <c r="B156">
        <v>30.980288064015994</v>
      </c>
      <c r="C156" s="7">
        <v>0.18833535844471447</v>
      </c>
      <c r="E156">
        <v>30.980288064015994</v>
      </c>
      <c r="F156">
        <f t="shared" si="2"/>
        <v>0.18833535844471447</v>
      </c>
    </row>
    <row r="157" spans="1:6" ht="96" x14ac:dyDescent="0.2">
      <c r="A157" s="4" t="s">
        <v>3377</v>
      </c>
      <c r="B157">
        <v>31.122941176470587</v>
      </c>
      <c r="C157" s="7">
        <v>0.18955042527339003</v>
      </c>
      <c r="E157">
        <v>31.122941176470587</v>
      </c>
      <c r="F157">
        <f t="shared" si="2"/>
        <v>0.18955042527339003</v>
      </c>
    </row>
    <row r="158" spans="1:6" ht="112" x14ac:dyDescent="0.2">
      <c r="A158" s="4" t="s">
        <v>3292</v>
      </c>
      <c r="B158">
        <v>31.161104487531937</v>
      </c>
      <c r="C158" s="7">
        <v>0.19076549210206561</v>
      </c>
      <c r="E158">
        <v>31.161104487531937</v>
      </c>
      <c r="F158">
        <f t="shared" si="2"/>
        <v>0.19076549210206561</v>
      </c>
    </row>
    <row r="159" spans="1:6" ht="112" x14ac:dyDescent="0.2">
      <c r="A159" s="4" t="s">
        <v>3302</v>
      </c>
      <c r="B159">
        <v>31.287881789962309</v>
      </c>
      <c r="C159" s="7">
        <v>0.1919805589307412</v>
      </c>
      <c r="E159">
        <v>31.287881789962309</v>
      </c>
      <c r="F159">
        <f t="shared" si="2"/>
        <v>0.1919805589307412</v>
      </c>
    </row>
    <row r="160" spans="1:6" ht="96" x14ac:dyDescent="0.2">
      <c r="A160" s="4" t="s">
        <v>3334</v>
      </c>
      <c r="B160">
        <v>31.307245424410258</v>
      </c>
      <c r="C160" s="7">
        <v>0.19319562575941676</v>
      </c>
      <c r="E160">
        <v>31.307245424410258</v>
      </c>
      <c r="F160">
        <f t="shared" si="2"/>
        <v>0.19319562575941676</v>
      </c>
    </row>
    <row r="161" spans="1:6" ht="112" x14ac:dyDescent="0.2">
      <c r="A161" s="4" t="s">
        <v>3395</v>
      </c>
      <c r="B161">
        <v>31.31754379172731</v>
      </c>
      <c r="C161" s="7">
        <v>0.19441069258809235</v>
      </c>
      <c r="E161">
        <v>31.31754379172731</v>
      </c>
      <c r="F161">
        <f t="shared" si="2"/>
        <v>0.19441069258809235</v>
      </c>
    </row>
    <row r="162" spans="1:6" ht="112" x14ac:dyDescent="0.2">
      <c r="A162" s="4" t="s">
        <v>3320</v>
      </c>
      <c r="B162">
        <v>31.385255895138176</v>
      </c>
      <c r="C162" s="7">
        <v>0.19562575941676794</v>
      </c>
      <c r="E162">
        <v>31.385255895138176</v>
      </c>
      <c r="F162">
        <f t="shared" si="2"/>
        <v>0.19562575941676794</v>
      </c>
    </row>
    <row r="163" spans="1:6" ht="112" x14ac:dyDescent="0.2">
      <c r="A163" s="4" t="s">
        <v>3258</v>
      </c>
      <c r="B163">
        <v>31.739585942313013</v>
      </c>
      <c r="C163" s="7">
        <v>0.1968408262454435</v>
      </c>
      <c r="E163">
        <v>31.739585942313013</v>
      </c>
      <c r="F163">
        <f t="shared" si="2"/>
        <v>0.1968408262454435</v>
      </c>
    </row>
    <row r="164" spans="1:6" ht="112" x14ac:dyDescent="0.2">
      <c r="A164" s="4" t="s">
        <v>3337</v>
      </c>
      <c r="B164">
        <v>31.742263088563906</v>
      </c>
      <c r="C164" s="7">
        <v>0.19805589307411908</v>
      </c>
      <c r="E164">
        <v>31.742263088563906</v>
      </c>
      <c r="F164">
        <f t="shared" si="2"/>
        <v>0.19805589307411908</v>
      </c>
    </row>
    <row r="165" spans="1:6" ht="112" x14ac:dyDescent="0.2">
      <c r="A165" s="4" t="s">
        <v>3411</v>
      </c>
      <c r="B165">
        <v>31.874313515258109</v>
      </c>
      <c r="C165" s="7">
        <v>0.19927095990279464</v>
      </c>
      <c r="E165">
        <v>31.874313515258109</v>
      </c>
      <c r="F165">
        <f t="shared" si="2"/>
        <v>0.19927095990279464</v>
      </c>
    </row>
    <row r="166" spans="1:6" ht="112" x14ac:dyDescent="0.2">
      <c r="A166" s="4" t="s">
        <v>3375</v>
      </c>
      <c r="B166">
        <v>31.933893853433155</v>
      </c>
      <c r="C166" s="7">
        <v>0.20048602673147023</v>
      </c>
      <c r="E166">
        <v>31.933893853433155</v>
      </c>
      <c r="F166">
        <f t="shared" si="2"/>
        <v>0.20048602673147023</v>
      </c>
    </row>
    <row r="167" spans="1:6" ht="112" x14ac:dyDescent="0.2">
      <c r="A167" s="4" t="s">
        <v>3328</v>
      </c>
      <c r="B167">
        <v>31.947791594470388</v>
      </c>
      <c r="C167" s="7">
        <v>0.20170109356014582</v>
      </c>
      <c r="E167">
        <v>31.947791594470388</v>
      </c>
      <c r="F167">
        <f t="shared" si="2"/>
        <v>0.20170109356014582</v>
      </c>
    </row>
    <row r="168" spans="1:6" ht="96" x14ac:dyDescent="0.2">
      <c r="A168" s="4" t="s">
        <v>3365</v>
      </c>
      <c r="B168">
        <v>32.358735942999907</v>
      </c>
      <c r="C168" s="7">
        <v>0.20291616038882138</v>
      </c>
      <c r="E168">
        <v>32.358735942999907</v>
      </c>
      <c r="F168">
        <f t="shared" si="2"/>
        <v>0.20291616038882138</v>
      </c>
    </row>
    <row r="169" spans="1:6" ht="112" x14ac:dyDescent="0.2">
      <c r="A169" s="4" t="s">
        <v>3353</v>
      </c>
      <c r="B169">
        <v>32.38825944690452</v>
      </c>
      <c r="C169" s="7">
        <v>0.20413122721749696</v>
      </c>
      <c r="E169">
        <v>32.38825944690452</v>
      </c>
      <c r="F169">
        <f t="shared" si="2"/>
        <v>0.20413122721749696</v>
      </c>
    </row>
    <row r="170" spans="1:6" ht="96" x14ac:dyDescent="0.2">
      <c r="A170" s="4" t="s">
        <v>3129</v>
      </c>
      <c r="B170">
        <v>32.533079508980741</v>
      </c>
      <c r="C170" s="7">
        <v>0.20534629404617255</v>
      </c>
      <c r="E170">
        <v>32.533079508980741</v>
      </c>
      <c r="F170">
        <f t="shared" si="2"/>
        <v>0.20534629404617255</v>
      </c>
    </row>
    <row r="171" spans="1:6" ht="112" x14ac:dyDescent="0.2">
      <c r="A171" s="4" t="s">
        <v>3427</v>
      </c>
      <c r="B171">
        <v>32.554504150243595</v>
      </c>
      <c r="C171" s="7">
        <v>0.20656136087484811</v>
      </c>
      <c r="E171">
        <v>32.554504150243595</v>
      </c>
      <c r="F171">
        <f t="shared" si="2"/>
        <v>0.20656136087484811</v>
      </c>
    </row>
    <row r="172" spans="1:6" ht="112" x14ac:dyDescent="0.2">
      <c r="A172" s="4" t="s">
        <v>3397</v>
      </c>
      <c r="B172">
        <v>32.570007987337107</v>
      </c>
      <c r="C172" s="7">
        <v>0.2077764277035237</v>
      </c>
      <c r="E172">
        <v>32.570007987337107</v>
      </c>
      <c r="F172">
        <f t="shared" si="2"/>
        <v>0.2077764277035237</v>
      </c>
    </row>
    <row r="173" spans="1:6" ht="112" x14ac:dyDescent="0.2">
      <c r="A173" s="4" t="s">
        <v>3308</v>
      </c>
      <c r="B173">
        <v>32.75073217005108</v>
      </c>
      <c r="C173" s="7">
        <v>0.20899149453219928</v>
      </c>
      <c r="E173">
        <v>32.75073217005108</v>
      </c>
      <c r="F173">
        <f t="shared" si="2"/>
        <v>0.20899149453219928</v>
      </c>
    </row>
    <row r="174" spans="1:6" ht="96" x14ac:dyDescent="0.2">
      <c r="A174" s="4" t="s">
        <v>3468</v>
      </c>
      <c r="B174">
        <v>32.785555555555554</v>
      </c>
      <c r="C174" s="7">
        <v>0.21020656136087484</v>
      </c>
      <c r="E174">
        <v>32.785555555555554</v>
      </c>
      <c r="F174">
        <f t="shared" si="2"/>
        <v>0.21020656136087484</v>
      </c>
    </row>
    <row r="175" spans="1:6" ht="112" x14ac:dyDescent="0.2">
      <c r="A175" s="4" t="s">
        <v>3383</v>
      </c>
      <c r="B175">
        <v>32.857552121508149</v>
      </c>
      <c r="C175" s="7">
        <v>0.21142162818955043</v>
      </c>
      <c r="E175">
        <v>32.857552121508149</v>
      </c>
      <c r="F175">
        <f t="shared" si="2"/>
        <v>0.21142162818955043</v>
      </c>
    </row>
    <row r="176" spans="1:6" ht="112" x14ac:dyDescent="0.2">
      <c r="A176" s="4" t="s">
        <v>3433</v>
      </c>
      <c r="B176">
        <v>32.924625706701988</v>
      </c>
      <c r="C176" s="7">
        <v>0.21263669501822599</v>
      </c>
      <c r="E176">
        <v>32.924625706701988</v>
      </c>
      <c r="F176">
        <f t="shared" si="2"/>
        <v>0.21263669501822599</v>
      </c>
    </row>
    <row r="177" spans="1:6" ht="112" x14ac:dyDescent="0.2">
      <c r="A177" s="4" t="s">
        <v>3306</v>
      </c>
      <c r="B177">
        <v>32.989407420004937</v>
      </c>
      <c r="C177" s="7">
        <v>0.21385176184690158</v>
      </c>
      <c r="E177">
        <v>32.989407420004937</v>
      </c>
      <c r="F177">
        <f t="shared" si="2"/>
        <v>0.21385176184690158</v>
      </c>
    </row>
    <row r="178" spans="1:6" ht="112" x14ac:dyDescent="0.2">
      <c r="A178" s="4" t="s">
        <v>3318</v>
      </c>
      <c r="B178">
        <v>33.017666247081571</v>
      </c>
      <c r="C178" s="7">
        <v>0.21506682867557717</v>
      </c>
      <c r="E178">
        <v>33.017666247081571</v>
      </c>
      <c r="F178">
        <f t="shared" si="2"/>
        <v>0.21506682867557717</v>
      </c>
    </row>
    <row r="179" spans="1:6" ht="96" x14ac:dyDescent="0.2">
      <c r="A179" s="4" t="s">
        <v>3458</v>
      </c>
      <c r="B179">
        <v>33.25815777078143</v>
      </c>
      <c r="C179" s="7">
        <v>0.21628189550425272</v>
      </c>
      <c r="E179">
        <v>33.25815777078143</v>
      </c>
      <c r="F179">
        <f t="shared" si="2"/>
        <v>0.21628189550425272</v>
      </c>
    </row>
    <row r="180" spans="1:6" ht="128" x14ac:dyDescent="0.2">
      <c r="A180" s="4" t="s">
        <v>3341</v>
      </c>
      <c r="B180">
        <v>33.412161896719773</v>
      </c>
      <c r="C180" s="7">
        <v>0.21749696233292831</v>
      </c>
      <c r="E180">
        <v>33.412161896719773</v>
      </c>
      <c r="F180">
        <f t="shared" si="2"/>
        <v>0.21749696233292831</v>
      </c>
    </row>
    <row r="181" spans="1:6" ht="112" x14ac:dyDescent="0.2">
      <c r="A181" s="4" t="s">
        <v>3361</v>
      </c>
      <c r="B181">
        <v>33.690292765267593</v>
      </c>
      <c r="C181" s="7">
        <v>0.2187120291616039</v>
      </c>
      <c r="E181">
        <v>33.690292765267593</v>
      </c>
      <c r="F181">
        <f t="shared" si="2"/>
        <v>0.2187120291616039</v>
      </c>
    </row>
    <row r="182" spans="1:6" ht="112" x14ac:dyDescent="0.2">
      <c r="A182" s="4" t="s">
        <v>3415</v>
      </c>
      <c r="B182">
        <v>33.793537933466013</v>
      </c>
      <c r="C182" s="7">
        <v>0.21992709599027946</v>
      </c>
      <c r="E182">
        <v>33.793537933466013</v>
      </c>
      <c r="F182">
        <f t="shared" si="2"/>
        <v>0.21992709599027946</v>
      </c>
    </row>
    <row r="183" spans="1:6" ht="112" x14ac:dyDescent="0.2">
      <c r="A183" s="4" t="s">
        <v>3407</v>
      </c>
      <c r="B183">
        <v>33.854374999999997</v>
      </c>
      <c r="C183" s="7">
        <v>0.22114216281895505</v>
      </c>
      <c r="E183">
        <v>33.854374999999997</v>
      </c>
      <c r="F183">
        <f t="shared" si="2"/>
        <v>0.22114216281895505</v>
      </c>
    </row>
    <row r="184" spans="1:6" ht="112" x14ac:dyDescent="0.2">
      <c r="A184" s="4" t="s">
        <v>3409</v>
      </c>
      <c r="B184">
        <v>33.951376165472468</v>
      </c>
      <c r="C184" s="7">
        <v>0.22235722964763063</v>
      </c>
      <c r="E184">
        <v>33.951376165472468</v>
      </c>
      <c r="F184">
        <f t="shared" si="2"/>
        <v>0.22235722964763063</v>
      </c>
    </row>
    <row r="185" spans="1:6" ht="112" x14ac:dyDescent="0.2">
      <c r="A185" s="4" t="s">
        <v>3371</v>
      </c>
      <c r="B185">
        <v>34.086441006714125</v>
      </c>
      <c r="C185" s="7">
        <v>0.22357229647630619</v>
      </c>
      <c r="E185">
        <v>34.086441006714125</v>
      </c>
      <c r="F185">
        <f t="shared" si="2"/>
        <v>0.22357229647630619</v>
      </c>
    </row>
    <row r="186" spans="1:6" ht="112" x14ac:dyDescent="0.2">
      <c r="A186" s="4" t="s">
        <v>3369</v>
      </c>
      <c r="B186">
        <v>34.094522952213055</v>
      </c>
      <c r="C186" s="7">
        <v>0.22478736330498178</v>
      </c>
      <c r="E186">
        <v>34.094522952213055</v>
      </c>
      <c r="F186">
        <f t="shared" si="2"/>
        <v>0.22478736330498178</v>
      </c>
    </row>
    <row r="187" spans="1:6" ht="112" x14ac:dyDescent="0.2">
      <c r="A187" s="4" t="s">
        <v>3274</v>
      </c>
      <c r="B187">
        <v>34.185612999596657</v>
      </c>
      <c r="C187" s="7">
        <v>0.22600243013365734</v>
      </c>
      <c r="E187">
        <v>34.185612999596657</v>
      </c>
      <c r="F187">
        <f t="shared" si="2"/>
        <v>0.22600243013365734</v>
      </c>
    </row>
    <row r="188" spans="1:6" ht="112" x14ac:dyDescent="0.2">
      <c r="A188" s="4" t="s">
        <v>3401</v>
      </c>
      <c r="B188">
        <v>34.199229199246297</v>
      </c>
      <c r="C188" s="7">
        <v>0.22721749696233293</v>
      </c>
      <c r="E188">
        <v>34.199229199246297</v>
      </c>
      <c r="F188">
        <f t="shared" si="2"/>
        <v>0.22721749696233293</v>
      </c>
    </row>
    <row r="189" spans="1:6" ht="112" x14ac:dyDescent="0.2">
      <c r="A189" s="4" t="s">
        <v>3451</v>
      </c>
      <c r="B189">
        <v>34.209754833730862</v>
      </c>
      <c r="C189" s="7">
        <v>0.22843256379100851</v>
      </c>
      <c r="E189">
        <v>34.209754833730862</v>
      </c>
      <c r="F189">
        <f t="shared" si="2"/>
        <v>0.22843256379100851</v>
      </c>
    </row>
    <row r="190" spans="1:6" ht="112" x14ac:dyDescent="0.2">
      <c r="A190" s="4" t="s">
        <v>3403</v>
      </c>
      <c r="B190">
        <v>34.229074229091339</v>
      </c>
      <c r="C190" s="7">
        <v>0.22964763061968407</v>
      </c>
      <c r="E190">
        <v>34.229074229091339</v>
      </c>
      <c r="F190">
        <f t="shared" si="2"/>
        <v>0.22964763061968407</v>
      </c>
    </row>
    <row r="191" spans="1:6" ht="128" x14ac:dyDescent="0.2">
      <c r="A191" s="4" t="s">
        <v>3417</v>
      </c>
      <c r="B191">
        <v>34.291120132234987</v>
      </c>
      <c r="C191" s="7">
        <v>0.23086269744835966</v>
      </c>
      <c r="E191">
        <v>34.291120132234987</v>
      </c>
      <c r="F191">
        <f t="shared" si="2"/>
        <v>0.23086269744835966</v>
      </c>
    </row>
    <row r="192" spans="1:6" ht="112" x14ac:dyDescent="0.2">
      <c r="A192" s="4" t="s">
        <v>3385</v>
      </c>
      <c r="B192">
        <v>34.300431508461614</v>
      </c>
      <c r="C192" s="7">
        <v>0.23207776427703525</v>
      </c>
      <c r="E192">
        <v>34.300431508461614</v>
      </c>
      <c r="F192">
        <f t="shared" si="2"/>
        <v>0.23207776427703525</v>
      </c>
    </row>
    <row r="193" spans="1:6" ht="112" x14ac:dyDescent="0.2">
      <c r="A193" s="4" t="s">
        <v>3421</v>
      </c>
      <c r="B193">
        <v>34.454539240025028</v>
      </c>
      <c r="C193" s="7">
        <v>0.23329283110571081</v>
      </c>
      <c r="E193">
        <v>34.454539240025028</v>
      </c>
      <c r="F193">
        <f t="shared" si="2"/>
        <v>0.23329283110571081</v>
      </c>
    </row>
    <row r="194" spans="1:6" ht="96" x14ac:dyDescent="0.2">
      <c r="A194" s="4" t="s">
        <v>3405</v>
      </c>
      <c r="B194">
        <v>34.736942037962415</v>
      </c>
      <c r="C194" s="7">
        <v>0.23450789793438639</v>
      </c>
      <c r="E194">
        <v>34.736942037962415</v>
      </c>
      <c r="F194">
        <f t="shared" si="2"/>
        <v>0.23450789793438639</v>
      </c>
    </row>
    <row r="195" spans="1:6" ht="112" x14ac:dyDescent="0.2">
      <c r="A195" s="4" t="s">
        <v>3389</v>
      </c>
      <c r="B195">
        <v>35.053984726666826</v>
      </c>
      <c r="C195" s="7">
        <v>0.23572296476306198</v>
      </c>
      <c r="E195">
        <v>35.053984726666826</v>
      </c>
      <c r="F195">
        <f t="shared" ref="F195:F258" si="3">_xlfn.RANK.EQ(E195,$E$2:$E$824,1)/COUNT($E$2:$E$824)</f>
        <v>0.23572296476306198</v>
      </c>
    </row>
    <row r="196" spans="1:6" ht="128" x14ac:dyDescent="0.2">
      <c r="A196" s="4" t="s">
        <v>3332</v>
      </c>
      <c r="B196">
        <v>35.178230931530386</v>
      </c>
      <c r="C196" s="7">
        <v>0.23693803159173754</v>
      </c>
      <c r="E196">
        <v>35.178230931530386</v>
      </c>
      <c r="F196">
        <f t="shared" si="3"/>
        <v>0.23693803159173754</v>
      </c>
    </row>
    <row r="197" spans="1:6" ht="112" x14ac:dyDescent="0.2">
      <c r="A197" s="4" t="s">
        <v>3484</v>
      </c>
      <c r="B197">
        <v>35.295689313592128</v>
      </c>
      <c r="C197" s="7">
        <v>0.23815309842041313</v>
      </c>
      <c r="E197">
        <v>35.295689313592128</v>
      </c>
      <c r="F197">
        <f t="shared" si="3"/>
        <v>0.23815309842041313</v>
      </c>
    </row>
    <row r="198" spans="1:6" ht="96" x14ac:dyDescent="0.2">
      <c r="A198" s="4" t="s">
        <v>3535</v>
      </c>
      <c r="B198">
        <v>35.398002095061543</v>
      </c>
      <c r="C198" s="7">
        <v>0.23936816524908869</v>
      </c>
      <c r="E198">
        <v>35.398002095061543</v>
      </c>
      <c r="F198">
        <f t="shared" si="3"/>
        <v>0.23936816524908869</v>
      </c>
    </row>
    <row r="199" spans="1:6" ht="112" x14ac:dyDescent="0.2">
      <c r="A199" s="4" t="s">
        <v>3443</v>
      </c>
      <c r="B199">
        <v>35.577367414374621</v>
      </c>
      <c r="C199" s="7">
        <v>0.24058323207776428</v>
      </c>
      <c r="E199">
        <v>35.577367414374621</v>
      </c>
      <c r="F199">
        <f t="shared" si="3"/>
        <v>0.24058323207776428</v>
      </c>
    </row>
    <row r="200" spans="1:6" ht="112" x14ac:dyDescent="0.2">
      <c r="A200" s="4" t="s">
        <v>3393</v>
      </c>
      <c r="B200">
        <v>35.63460953728832</v>
      </c>
      <c r="C200" s="7">
        <v>0.24179829890643986</v>
      </c>
      <c r="E200">
        <v>35.63460953728832</v>
      </c>
      <c r="F200">
        <f t="shared" si="3"/>
        <v>0.24179829890643986</v>
      </c>
    </row>
    <row r="201" spans="1:6" ht="128" x14ac:dyDescent="0.2">
      <c r="A201" s="4" t="s">
        <v>3347</v>
      </c>
      <c r="B201">
        <v>35.752025963573026</v>
      </c>
      <c r="C201" s="7">
        <v>0.24301336573511542</v>
      </c>
      <c r="E201">
        <v>35.752025963573026</v>
      </c>
      <c r="F201">
        <f t="shared" si="3"/>
        <v>0.24301336573511542</v>
      </c>
    </row>
    <row r="202" spans="1:6" ht="112" x14ac:dyDescent="0.2">
      <c r="A202" s="4" t="s">
        <v>3387</v>
      </c>
      <c r="B202">
        <v>35.831700090333932</v>
      </c>
      <c r="C202" s="7">
        <v>0.24422843256379101</v>
      </c>
      <c r="E202">
        <v>35.831700090333932</v>
      </c>
      <c r="F202">
        <f t="shared" si="3"/>
        <v>0.24422843256379101</v>
      </c>
    </row>
    <row r="203" spans="1:6" ht="112" x14ac:dyDescent="0.2">
      <c r="A203" s="4" t="s">
        <v>3429</v>
      </c>
      <c r="B203">
        <v>35.838165838183755</v>
      </c>
      <c r="C203" s="7">
        <v>0.2454434993924666</v>
      </c>
      <c r="E203">
        <v>35.838165838183755</v>
      </c>
      <c r="F203">
        <f t="shared" si="3"/>
        <v>0.2454434993924666</v>
      </c>
    </row>
    <row r="204" spans="1:6" ht="112" x14ac:dyDescent="0.2">
      <c r="A204" s="4" t="s">
        <v>3391</v>
      </c>
      <c r="B204">
        <v>35.89237807795562</v>
      </c>
      <c r="C204" s="7">
        <v>0.24665856622114216</v>
      </c>
      <c r="E204">
        <v>35.89237807795562</v>
      </c>
      <c r="F204">
        <f t="shared" si="3"/>
        <v>0.24665856622114216</v>
      </c>
    </row>
    <row r="205" spans="1:6" ht="128" x14ac:dyDescent="0.2">
      <c r="A205" s="4" t="s">
        <v>3478</v>
      </c>
      <c r="B205">
        <v>35.912913322665702</v>
      </c>
      <c r="C205" s="7">
        <v>0.24787363304981774</v>
      </c>
      <c r="E205">
        <v>35.912913322665702</v>
      </c>
      <c r="F205">
        <f t="shared" si="3"/>
        <v>0.24787363304981774</v>
      </c>
    </row>
    <row r="206" spans="1:6" ht="112" x14ac:dyDescent="0.2">
      <c r="A206" s="4" t="s">
        <v>3453</v>
      </c>
      <c r="B206">
        <v>36.039446428069603</v>
      </c>
      <c r="C206" s="7">
        <v>0.24908869987849333</v>
      </c>
      <c r="E206">
        <v>36.039446428069603</v>
      </c>
      <c r="F206">
        <f t="shared" si="3"/>
        <v>0.24908869987849333</v>
      </c>
    </row>
    <row r="207" spans="1:6" ht="112" x14ac:dyDescent="0.2">
      <c r="A207" s="4" t="s">
        <v>3381</v>
      </c>
      <c r="B207">
        <v>36.099324376851101</v>
      </c>
      <c r="C207" s="7">
        <v>0.25030376670716892</v>
      </c>
      <c r="E207">
        <v>36.099324376851101</v>
      </c>
      <c r="F207">
        <f t="shared" si="3"/>
        <v>0.25030376670716892</v>
      </c>
    </row>
    <row r="208" spans="1:6" ht="112" x14ac:dyDescent="0.2">
      <c r="A208" s="4" t="s">
        <v>3480</v>
      </c>
      <c r="B208">
        <v>36.195371099784218</v>
      </c>
      <c r="C208" s="7">
        <v>0.25151883353584448</v>
      </c>
      <c r="E208">
        <v>36.195371099784218</v>
      </c>
      <c r="F208">
        <f t="shared" si="3"/>
        <v>0.25151883353584448</v>
      </c>
    </row>
    <row r="209" spans="1:6" ht="112" x14ac:dyDescent="0.2">
      <c r="A209" s="4" t="s">
        <v>3447</v>
      </c>
      <c r="B209">
        <v>36.198124999999997</v>
      </c>
      <c r="C209" s="7">
        <v>0.25273390036452004</v>
      </c>
      <c r="E209">
        <v>36.198124999999997</v>
      </c>
      <c r="F209">
        <f t="shared" si="3"/>
        <v>0.25273390036452004</v>
      </c>
    </row>
    <row r="210" spans="1:6" ht="96" x14ac:dyDescent="0.2">
      <c r="A210" s="4" t="s">
        <v>3553</v>
      </c>
      <c r="B210">
        <v>36.317797446382492</v>
      </c>
      <c r="C210" s="7">
        <v>0.25394896719319565</v>
      </c>
      <c r="E210">
        <v>36.317797446382492</v>
      </c>
      <c r="F210">
        <f t="shared" si="3"/>
        <v>0.25394896719319565</v>
      </c>
    </row>
    <row r="211" spans="1:6" ht="112" x14ac:dyDescent="0.2">
      <c r="A211" s="4" t="s">
        <v>3413</v>
      </c>
      <c r="B211">
        <v>36.321333333333335</v>
      </c>
      <c r="C211" s="7">
        <v>0.25516403402187121</v>
      </c>
      <c r="E211">
        <v>36.321333333333335</v>
      </c>
      <c r="F211">
        <f t="shared" si="3"/>
        <v>0.25516403402187121</v>
      </c>
    </row>
    <row r="212" spans="1:6" ht="112" x14ac:dyDescent="0.2">
      <c r="A212" s="4" t="s">
        <v>3431</v>
      </c>
      <c r="B212">
        <v>36.457139989285324</v>
      </c>
      <c r="C212" s="7">
        <v>0.25637910085054677</v>
      </c>
      <c r="E212">
        <v>36.457139989285324</v>
      </c>
      <c r="F212">
        <f t="shared" si="3"/>
        <v>0.25637910085054677</v>
      </c>
    </row>
    <row r="213" spans="1:6" ht="112" x14ac:dyDescent="0.2">
      <c r="A213" s="4" t="s">
        <v>3457</v>
      </c>
      <c r="B213">
        <v>36.536124077389836</v>
      </c>
      <c r="C213" s="7">
        <v>0.25759416767922233</v>
      </c>
      <c r="E213">
        <v>36.536124077389836</v>
      </c>
      <c r="F213">
        <f t="shared" si="3"/>
        <v>0.25759416767922233</v>
      </c>
    </row>
    <row r="214" spans="1:6" ht="112" x14ac:dyDescent="0.2">
      <c r="A214" s="4" t="s">
        <v>3489</v>
      </c>
      <c r="B214">
        <v>36.96985562343351</v>
      </c>
      <c r="C214" s="7">
        <v>0.25880923450789795</v>
      </c>
      <c r="E214">
        <v>36.96985562343351</v>
      </c>
      <c r="F214">
        <f t="shared" si="3"/>
        <v>0.25880923450789795</v>
      </c>
    </row>
    <row r="215" spans="1:6" ht="112" x14ac:dyDescent="0.2">
      <c r="A215" s="4" t="s">
        <v>3435</v>
      </c>
      <c r="B215">
        <v>37.229667785306056</v>
      </c>
      <c r="C215" s="7">
        <v>0.2600243013365735</v>
      </c>
      <c r="E215">
        <v>37.229667785306056</v>
      </c>
      <c r="F215">
        <f t="shared" si="3"/>
        <v>0.2600243013365735</v>
      </c>
    </row>
    <row r="216" spans="1:6" ht="112" x14ac:dyDescent="0.2">
      <c r="A216" s="4" t="s">
        <v>3455</v>
      </c>
      <c r="B216">
        <v>37.379764873413812</v>
      </c>
      <c r="C216" s="7">
        <v>0.26123936816524906</v>
      </c>
      <c r="E216">
        <v>37.379764873413812</v>
      </c>
      <c r="F216">
        <f t="shared" si="3"/>
        <v>0.26123936816524906</v>
      </c>
    </row>
    <row r="217" spans="1:6" ht="112" x14ac:dyDescent="0.2">
      <c r="A217" s="4" t="s">
        <v>3460</v>
      </c>
      <c r="B217">
        <v>37.385354430925567</v>
      </c>
      <c r="C217" s="7">
        <v>0.26245443499392468</v>
      </c>
      <c r="E217">
        <v>37.385354430925567</v>
      </c>
      <c r="F217">
        <f t="shared" si="3"/>
        <v>0.26245443499392468</v>
      </c>
    </row>
    <row r="218" spans="1:6" ht="96" x14ac:dyDescent="0.2">
      <c r="A218" s="4" t="s">
        <v>3423</v>
      </c>
      <c r="B218">
        <v>37.422587245682443</v>
      </c>
      <c r="C218" s="7">
        <v>0.26366950182260024</v>
      </c>
      <c r="E218">
        <v>37.422587245682443</v>
      </c>
      <c r="F218">
        <f t="shared" si="3"/>
        <v>0.26366950182260024</v>
      </c>
    </row>
    <row r="219" spans="1:6" ht="112" x14ac:dyDescent="0.2">
      <c r="A219" s="4" t="s">
        <v>3476</v>
      </c>
      <c r="B219">
        <v>37.892030204733516</v>
      </c>
      <c r="C219" s="7">
        <v>0.2648845686512758</v>
      </c>
      <c r="E219">
        <v>37.892030204733516</v>
      </c>
      <c r="F219">
        <f t="shared" si="3"/>
        <v>0.2648845686512758</v>
      </c>
    </row>
    <row r="220" spans="1:6" ht="112" x14ac:dyDescent="0.2">
      <c r="A220" s="4" t="s">
        <v>3441</v>
      </c>
      <c r="B220">
        <v>38.153974056226254</v>
      </c>
      <c r="C220" s="7">
        <v>0.26609963547995141</v>
      </c>
      <c r="E220">
        <v>38.153974056226254</v>
      </c>
      <c r="F220">
        <f t="shared" si="3"/>
        <v>0.26609963547995141</v>
      </c>
    </row>
    <row r="221" spans="1:6" ht="112" x14ac:dyDescent="0.2">
      <c r="A221" s="4" t="s">
        <v>3523</v>
      </c>
      <c r="B221">
        <v>38.160580269387289</v>
      </c>
      <c r="C221" s="7">
        <v>0.26731470230862697</v>
      </c>
      <c r="E221">
        <v>38.160580269387289</v>
      </c>
      <c r="F221">
        <f t="shared" si="3"/>
        <v>0.26731470230862697</v>
      </c>
    </row>
    <row r="222" spans="1:6" ht="112" x14ac:dyDescent="0.2">
      <c r="A222" s="4" t="s">
        <v>3630</v>
      </c>
      <c r="B222">
        <v>38.34625097409284</v>
      </c>
      <c r="C222" s="7">
        <v>0.26852976913730253</v>
      </c>
      <c r="E222">
        <v>38.34625097409284</v>
      </c>
      <c r="F222">
        <f t="shared" si="3"/>
        <v>0.26852976913730253</v>
      </c>
    </row>
    <row r="223" spans="1:6" ht="112" x14ac:dyDescent="0.2">
      <c r="A223" s="4" t="s">
        <v>3437</v>
      </c>
      <c r="B223">
        <v>38.488991926881006</v>
      </c>
      <c r="C223" s="7">
        <v>0.26974483596597815</v>
      </c>
      <c r="E223">
        <v>38.488991926881006</v>
      </c>
      <c r="F223">
        <f t="shared" si="3"/>
        <v>0.26974483596597815</v>
      </c>
    </row>
    <row r="224" spans="1:6" ht="112" x14ac:dyDescent="0.2">
      <c r="A224" s="4" t="s">
        <v>3359</v>
      </c>
      <c r="B224">
        <v>38.546717847544194</v>
      </c>
      <c r="C224" s="7">
        <v>0.27095990279465371</v>
      </c>
      <c r="E224">
        <v>38.546717847544194</v>
      </c>
      <c r="F224">
        <f t="shared" si="3"/>
        <v>0.27095990279465371</v>
      </c>
    </row>
    <row r="225" spans="1:6" ht="112" x14ac:dyDescent="0.2">
      <c r="A225" s="4" t="s">
        <v>3515</v>
      </c>
      <c r="B225">
        <v>38.583019215770442</v>
      </c>
      <c r="C225" s="7">
        <v>0.27217496962332927</v>
      </c>
      <c r="E225">
        <v>38.583019215770442</v>
      </c>
      <c r="F225">
        <f t="shared" si="3"/>
        <v>0.27217496962332927</v>
      </c>
    </row>
    <row r="226" spans="1:6" ht="96" x14ac:dyDescent="0.2">
      <c r="A226" s="4" t="s">
        <v>3555</v>
      </c>
      <c r="B226">
        <v>38.705660915760049</v>
      </c>
      <c r="C226" s="7">
        <v>0.27339003645200488</v>
      </c>
      <c r="E226">
        <v>38.705660915760049</v>
      </c>
      <c r="F226">
        <f t="shared" si="3"/>
        <v>0.27339003645200488</v>
      </c>
    </row>
    <row r="227" spans="1:6" ht="112" x14ac:dyDescent="0.2">
      <c r="A227" s="4" t="s">
        <v>3449</v>
      </c>
      <c r="B227">
        <v>38.78409183957551</v>
      </c>
      <c r="C227" s="7">
        <v>0.27460510328068044</v>
      </c>
      <c r="E227">
        <v>38.78409183957551</v>
      </c>
      <c r="F227">
        <f t="shared" si="3"/>
        <v>0.27460510328068044</v>
      </c>
    </row>
    <row r="228" spans="1:6" ht="112" x14ac:dyDescent="0.2">
      <c r="A228" s="4" t="s">
        <v>3466</v>
      </c>
      <c r="B228">
        <v>38.830256697804508</v>
      </c>
      <c r="C228" s="7">
        <v>0.275820170109356</v>
      </c>
      <c r="E228">
        <v>38.830256697804508</v>
      </c>
      <c r="F228">
        <f t="shared" si="3"/>
        <v>0.275820170109356</v>
      </c>
    </row>
    <row r="229" spans="1:6" ht="128" x14ac:dyDescent="0.2">
      <c r="A229" s="4" t="s">
        <v>3439</v>
      </c>
      <c r="B229">
        <v>38.888270748945857</v>
      </c>
      <c r="C229" s="7">
        <v>0.27703523693803161</v>
      </c>
      <c r="E229">
        <v>38.888270748945857</v>
      </c>
      <c r="F229">
        <f t="shared" si="3"/>
        <v>0.27703523693803161</v>
      </c>
    </row>
    <row r="230" spans="1:6" ht="112" x14ac:dyDescent="0.2">
      <c r="A230" s="4" t="s">
        <v>3470</v>
      </c>
      <c r="B230">
        <v>38.915316778872565</v>
      </c>
      <c r="C230" s="7">
        <v>0.27825030376670717</v>
      </c>
      <c r="E230">
        <v>38.915316778872565</v>
      </c>
      <c r="F230">
        <f t="shared" si="3"/>
        <v>0.27825030376670717</v>
      </c>
    </row>
    <row r="231" spans="1:6" ht="112" x14ac:dyDescent="0.2">
      <c r="A231" s="4" t="s">
        <v>3544</v>
      </c>
      <c r="B231">
        <v>38.951827719897665</v>
      </c>
      <c r="C231" s="7">
        <v>0.27946537059538273</v>
      </c>
      <c r="E231">
        <v>38.951827719897665</v>
      </c>
      <c r="F231">
        <f t="shared" si="3"/>
        <v>0.27946537059538273</v>
      </c>
    </row>
    <row r="232" spans="1:6" ht="112" x14ac:dyDescent="0.2">
      <c r="A232" s="4" t="s">
        <v>3419</v>
      </c>
      <c r="B232">
        <v>38.998984608481933</v>
      </c>
      <c r="C232" s="7">
        <v>0.28068043742405835</v>
      </c>
      <c r="E232">
        <v>38.998984608481933</v>
      </c>
      <c r="F232">
        <f t="shared" si="3"/>
        <v>0.28068043742405835</v>
      </c>
    </row>
    <row r="233" spans="1:6" ht="112" x14ac:dyDescent="0.2">
      <c r="A233" s="4" t="s">
        <v>3493</v>
      </c>
      <c r="B233">
        <v>39.084943151097178</v>
      </c>
      <c r="C233" s="7">
        <v>0.28189550425273391</v>
      </c>
      <c r="E233">
        <v>39.084943151097178</v>
      </c>
      <c r="F233">
        <f t="shared" si="3"/>
        <v>0.28189550425273391</v>
      </c>
    </row>
    <row r="234" spans="1:6" ht="112" x14ac:dyDescent="0.2">
      <c r="A234" s="4" t="s">
        <v>3399</v>
      </c>
      <c r="B234">
        <v>39.12682531939523</v>
      </c>
      <c r="C234" s="7">
        <v>0.28311057108140947</v>
      </c>
      <c r="E234">
        <v>39.12682531939523</v>
      </c>
      <c r="F234">
        <f t="shared" si="3"/>
        <v>0.28311057108140947</v>
      </c>
    </row>
    <row r="235" spans="1:6" ht="112" x14ac:dyDescent="0.2">
      <c r="A235" s="4" t="s">
        <v>3557</v>
      </c>
      <c r="B235">
        <v>39.17007654767734</v>
      </c>
      <c r="C235" s="7">
        <v>0.28432563791008503</v>
      </c>
      <c r="E235">
        <v>39.17007654767734</v>
      </c>
      <c r="F235">
        <f t="shared" si="3"/>
        <v>0.28432563791008503</v>
      </c>
    </row>
    <row r="236" spans="1:6" ht="112" x14ac:dyDescent="0.2">
      <c r="A236" s="4" t="s">
        <v>3392</v>
      </c>
      <c r="B236">
        <v>39.327822299710505</v>
      </c>
      <c r="C236" s="7">
        <v>0.28554070473876064</v>
      </c>
      <c r="E236">
        <v>39.327822299710505</v>
      </c>
      <c r="F236">
        <f t="shared" si="3"/>
        <v>0.28554070473876064</v>
      </c>
    </row>
    <row r="237" spans="1:6" ht="112" x14ac:dyDescent="0.2">
      <c r="A237" s="4" t="s">
        <v>3539</v>
      </c>
      <c r="B237">
        <v>39.438594906502871</v>
      </c>
      <c r="C237" s="7">
        <v>0.2867557715674362</v>
      </c>
      <c r="E237">
        <v>39.438594906502871</v>
      </c>
      <c r="F237">
        <f t="shared" si="3"/>
        <v>0.2867557715674362</v>
      </c>
    </row>
    <row r="238" spans="1:6" ht="96" x14ac:dyDescent="0.2">
      <c r="A238" s="4" t="s">
        <v>3570</v>
      </c>
      <c r="B238">
        <v>39.521436590512955</v>
      </c>
      <c r="C238" s="7">
        <v>0.28797083839611176</v>
      </c>
      <c r="E238">
        <v>39.521436590512955</v>
      </c>
      <c r="F238">
        <f t="shared" si="3"/>
        <v>0.28797083839611176</v>
      </c>
    </row>
    <row r="239" spans="1:6" ht="112" x14ac:dyDescent="0.2">
      <c r="A239" s="4" t="s">
        <v>3503</v>
      </c>
      <c r="B239">
        <v>39.526009476055314</v>
      </c>
      <c r="C239" s="7">
        <v>0.28918590522478738</v>
      </c>
      <c r="E239">
        <v>39.526009476055314</v>
      </c>
      <c r="F239">
        <f t="shared" si="3"/>
        <v>0.28918590522478738</v>
      </c>
    </row>
    <row r="240" spans="1:6" ht="112" x14ac:dyDescent="0.2">
      <c r="A240" s="4" t="s">
        <v>3510</v>
      </c>
      <c r="B240">
        <v>39.575889074232265</v>
      </c>
      <c r="C240" s="7">
        <v>0.29040097205346294</v>
      </c>
      <c r="E240">
        <v>39.575889074232265</v>
      </c>
      <c r="F240">
        <f t="shared" si="3"/>
        <v>0.29040097205346294</v>
      </c>
    </row>
    <row r="241" spans="1:6" ht="112" x14ac:dyDescent="0.2">
      <c r="A241" s="4" t="s">
        <v>3529</v>
      </c>
      <c r="B241">
        <v>39.590250656969985</v>
      </c>
      <c r="C241" s="7">
        <v>0.2916160388821385</v>
      </c>
      <c r="E241">
        <v>39.590250656969985</v>
      </c>
      <c r="F241">
        <f t="shared" si="3"/>
        <v>0.2916160388821385</v>
      </c>
    </row>
    <row r="242" spans="1:6" ht="112" x14ac:dyDescent="0.2">
      <c r="A242" s="4" t="s">
        <v>3499</v>
      </c>
      <c r="B242">
        <v>39.807659560325597</v>
      </c>
      <c r="C242" s="7">
        <v>0.29283110571081411</v>
      </c>
      <c r="E242">
        <v>39.807659560325597</v>
      </c>
      <c r="F242">
        <f t="shared" si="3"/>
        <v>0.29283110571081411</v>
      </c>
    </row>
    <row r="243" spans="1:6" ht="96" x14ac:dyDescent="0.2">
      <c r="A243" s="4" t="s">
        <v>3617</v>
      </c>
      <c r="B243">
        <v>39.959303899933026</v>
      </c>
      <c r="C243" s="7">
        <v>0.29404617253948967</v>
      </c>
      <c r="E243">
        <v>39.959303899933026</v>
      </c>
      <c r="F243">
        <f t="shared" si="3"/>
        <v>0.29404617253948967</v>
      </c>
    </row>
    <row r="244" spans="1:6" ht="112" x14ac:dyDescent="0.2">
      <c r="A244" s="4" t="s">
        <v>3497</v>
      </c>
      <c r="B244">
        <v>40.171994863437092</v>
      </c>
      <c r="C244" s="7">
        <v>0.29526123936816523</v>
      </c>
      <c r="E244">
        <v>40.171994863437092</v>
      </c>
      <c r="F244">
        <f t="shared" si="3"/>
        <v>0.29526123936816523</v>
      </c>
    </row>
    <row r="245" spans="1:6" ht="112" x14ac:dyDescent="0.2">
      <c r="A245" s="4" t="s">
        <v>3512</v>
      </c>
      <c r="B245">
        <v>40.195898086133361</v>
      </c>
      <c r="C245" s="7">
        <v>0.29647630619684084</v>
      </c>
      <c r="E245">
        <v>40.195898086133361</v>
      </c>
      <c r="F245">
        <f t="shared" si="3"/>
        <v>0.29647630619684084</v>
      </c>
    </row>
    <row r="246" spans="1:6" ht="112" x14ac:dyDescent="0.2">
      <c r="A246" s="4" t="s">
        <v>3474</v>
      </c>
      <c r="B246">
        <v>40.232110982751585</v>
      </c>
      <c r="C246" s="7">
        <v>0.2976913730255164</v>
      </c>
      <c r="E246">
        <v>40.232110982751585</v>
      </c>
      <c r="F246">
        <f t="shared" si="3"/>
        <v>0.2976913730255164</v>
      </c>
    </row>
    <row r="247" spans="1:6" ht="112" x14ac:dyDescent="0.2">
      <c r="A247" s="4" t="s">
        <v>3487</v>
      </c>
      <c r="B247">
        <v>40.26902489075411</v>
      </c>
      <c r="C247" s="7">
        <v>0.29890643985419196</v>
      </c>
      <c r="E247">
        <v>40.26902489075411</v>
      </c>
      <c r="F247">
        <f t="shared" si="3"/>
        <v>0.29890643985419196</v>
      </c>
    </row>
    <row r="248" spans="1:6" ht="112" x14ac:dyDescent="0.2">
      <c r="A248" s="4" t="s">
        <v>3464</v>
      </c>
      <c r="B248">
        <v>40.340485291095931</v>
      </c>
      <c r="C248" s="7">
        <v>0.30012150668286758</v>
      </c>
      <c r="E248">
        <v>40.340485291095931</v>
      </c>
      <c r="F248">
        <f t="shared" si="3"/>
        <v>0.30012150668286758</v>
      </c>
    </row>
    <row r="249" spans="1:6" ht="112" x14ac:dyDescent="0.2">
      <c r="A249" s="4" t="s">
        <v>3582</v>
      </c>
      <c r="B249">
        <v>40.37225432675838</v>
      </c>
      <c r="C249" s="7">
        <v>0.30133657351154314</v>
      </c>
      <c r="E249">
        <v>40.37225432675838</v>
      </c>
      <c r="F249">
        <f t="shared" si="3"/>
        <v>0.30133657351154314</v>
      </c>
    </row>
    <row r="250" spans="1:6" ht="112" x14ac:dyDescent="0.2">
      <c r="A250" s="4" t="s">
        <v>3438</v>
      </c>
      <c r="B250">
        <v>40.735145615159993</v>
      </c>
      <c r="C250" s="7">
        <v>0.3025516403402187</v>
      </c>
      <c r="E250">
        <v>40.735145615159993</v>
      </c>
      <c r="F250">
        <f t="shared" si="3"/>
        <v>0.3025516403402187</v>
      </c>
    </row>
    <row r="251" spans="1:6" ht="128" x14ac:dyDescent="0.2">
      <c r="A251" s="4" t="s">
        <v>3533</v>
      </c>
      <c r="B251">
        <v>40.758363003591185</v>
      </c>
      <c r="C251" s="7">
        <v>0.30376670716889431</v>
      </c>
      <c r="E251">
        <v>40.758363003591185</v>
      </c>
      <c r="F251">
        <f t="shared" si="3"/>
        <v>0.30376670716889431</v>
      </c>
    </row>
    <row r="252" spans="1:6" ht="96" x14ac:dyDescent="0.2">
      <c r="A252" s="4" t="s">
        <v>3521</v>
      </c>
      <c r="B252">
        <v>40.842517641305299</v>
      </c>
      <c r="C252" s="7">
        <v>0.30498177399756987</v>
      </c>
      <c r="E252">
        <v>40.842517641305299</v>
      </c>
      <c r="F252">
        <f t="shared" si="3"/>
        <v>0.30498177399756987</v>
      </c>
    </row>
    <row r="253" spans="1:6" ht="112" x14ac:dyDescent="0.2">
      <c r="A253" s="4" t="s">
        <v>3601</v>
      </c>
      <c r="B253">
        <v>41.217144451682991</v>
      </c>
      <c r="C253" s="7">
        <v>0.30619684082624543</v>
      </c>
      <c r="E253">
        <v>41.217144451682991</v>
      </c>
      <c r="F253">
        <f t="shared" si="3"/>
        <v>0.30619684082624543</v>
      </c>
    </row>
    <row r="254" spans="1:6" ht="112" x14ac:dyDescent="0.2">
      <c r="A254" s="4" t="s">
        <v>3537</v>
      </c>
      <c r="B254">
        <v>41.443686977080567</v>
      </c>
      <c r="C254" s="7">
        <v>0.30741190765492105</v>
      </c>
      <c r="E254">
        <v>41.443686977080567</v>
      </c>
      <c r="F254">
        <f t="shared" si="3"/>
        <v>0.30741190765492105</v>
      </c>
    </row>
    <row r="255" spans="1:6" ht="112" x14ac:dyDescent="0.2">
      <c r="A255" s="4" t="s">
        <v>3508</v>
      </c>
      <c r="B255">
        <v>41.457485489157449</v>
      </c>
      <c r="C255" s="7">
        <v>0.30862697448359661</v>
      </c>
      <c r="E255">
        <v>41.457485489157449</v>
      </c>
      <c r="F255">
        <f t="shared" si="3"/>
        <v>0.30862697448359661</v>
      </c>
    </row>
    <row r="256" spans="1:6" ht="96" x14ac:dyDescent="0.2">
      <c r="A256" s="4" t="s">
        <v>3542</v>
      </c>
      <c r="B256">
        <v>41.51355927117482</v>
      </c>
      <c r="C256" s="7">
        <v>0.30984204131227217</v>
      </c>
      <c r="E256">
        <v>41.51355927117482</v>
      </c>
      <c r="F256">
        <f t="shared" si="3"/>
        <v>0.30984204131227217</v>
      </c>
    </row>
    <row r="257" spans="1:6" ht="96" x14ac:dyDescent="0.2">
      <c r="A257" s="4" t="s">
        <v>3568</v>
      </c>
      <c r="B257">
        <v>41.55530398499949</v>
      </c>
      <c r="C257" s="7">
        <v>0.31105710814094772</v>
      </c>
      <c r="E257">
        <v>41.55530398499949</v>
      </c>
      <c r="F257">
        <f t="shared" si="3"/>
        <v>0.31105710814094772</v>
      </c>
    </row>
    <row r="258" spans="1:6" ht="112" x14ac:dyDescent="0.2">
      <c r="A258" s="4" t="s">
        <v>3517</v>
      </c>
      <c r="B258">
        <v>41.564707520976832</v>
      </c>
      <c r="C258" s="7">
        <v>0.31227217496962334</v>
      </c>
      <c r="E258">
        <v>41.564707520976832</v>
      </c>
      <c r="F258">
        <f t="shared" si="3"/>
        <v>0.31227217496962334</v>
      </c>
    </row>
    <row r="259" spans="1:6" ht="112" x14ac:dyDescent="0.2">
      <c r="A259" s="4" t="s">
        <v>3524</v>
      </c>
      <c r="B259">
        <v>41.660131272679685</v>
      </c>
      <c r="C259" s="7">
        <v>0.3134872417982989</v>
      </c>
      <c r="E259">
        <v>41.660131272679685</v>
      </c>
      <c r="F259">
        <f t="shared" ref="F259:F322" si="4">_xlfn.RANK.EQ(E259,$E$2:$E$824,1)/COUNT($E$2:$E$824)</f>
        <v>0.3134872417982989</v>
      </c>
    </row>
    <row r="260" spans="1:6" ht="128" x14ac:dyDescent="0.2">
      <c r="A260" s="4" t="s">
        <v>3580</v>
      </c>
      <c r="B260">
        <v>41.714121589696688</v>
      </c>
      <c r="C260" s="7">
        <v>0.31470230862697446</v>
      </c>
      <c r="E260">
        <v>41.714121589696688</v>
      </c>
      <c r="F260">
        <f t="shared" si="4"/>
        <v>0.31470230862697446</v>
      </c>
    </row>
    <row r="261" spans="1:6" ht="112" x14ac:dyDescent="0.2">
      <c r="A261" s="4" t="s">
        <v>3506</v>
      </c>
      <c r="B261">
        <v>41.714134637691195</v>
      </c>
      <c r="C261" s="7">
        <v>0.31591737545565007</v>
      </c>
      <c r="E261">
        <v>41.714134637691195</v>
      </c>
      <c r="F261">
        <f t="shared" si="4"/>
        <v>0.31591737545565007</v>
      </c>
    </row>
    <row r="262" spans="1:6" ht="112" x14ac:dyDescent="0.2">
      <c r="A262" s="4" t="s">
        <v>3546</v>
      </c>
      <c r="B262">
        <v>41.81605603346749</v>
      </c>
      <c r="C262" s="7">
        <v>0.31713244228432563</v>
      </c>
      <c r="E262">
        <v>41.81605603346749</v>
      </c>
      <c r="F262">
        <f t="shared" si="4"/>
        <v>0.31713244228432563</v>
      </c>
    </row>
    <row r="263" spans="1:6" ht="112" x14ac:dyDescent="0.2">
      <c r="A263" s="4" t="s">
        <v>3425</v>
      </c>
      <c r="B263">
        <v>41.871313895963453</v>
      </c>
      <c r="C263" s="7">
        <v>0.31834750911300119</v>
      </c>
      <c r="E263">
        <v>41.871313895963453</v>
      </c>
      <c r="F263">
        <f t="shared" si="4"/>
        <v>0.31834750911300119</v>
      </c>
    </row>
    <row r="264" spans="1:6" ht="112" x14ac:dyDescent="0.2">
      <c r="A264" s="4" t="s">
        <v>3509</v>
      </c>
      <c r="B264">
        <v>41.910303382199643</v>
      </c>
      <c r="C264" s="7">
        <v>0.31956257594167681</v>
      </c>
      <c r="E264">
        <v>41.910303382199643</v>
      </c>
      <c r="F264">
        <f t="shared" si="4"/>
        <v>0.31956257594167681</v>
      </c>
    </row>
    <row r="265" spans="1:6" ht="112" x14ac:dyDescent="0.2">
      <c r="A265" s="4" t="s">
        <v>3519</v>
      </c>
      <c r="B265">
        <v>41.936244994608039</v>
      </c>
      <c r="C265" s="7">
        <v>0.32077764277035237</v>
      </c>
      <c r="E265">
        <v>41.936244994608039</v>
      </c>
      <c r="F265">
        <f t="shared" si="4"/>
        <v>0.32077764277035237</v>
      </c>
    </row>
    <row r="266" spans="1:6" ht="112" x14ac:dyDescent="0.2">
      <c r="A266" s="4" t="s">
        <v>3445</v>
      </c>
      <c r="B266">
        <v>42.02731087351723</v>
      </c>
      <c r="C266" s="7">
        <v>0.32199270959902793</v>
      </c>
      <c r="E266">
        <v>42.02731087351723</v>
      </c>
      <c r="F266">
        <f t="shared" si="4"/>
        <v>0.32199270959902793</v>
      </c>
    </row>
    <row r="267" spans="1:6" ht="96" x14ac:dyDescent="0.2">
      <c r="A267" s="4" t="s">
        <v>3652</v>
      </c>
      <c r="B267">
        <v>42.047877537245633</v>
      </c>
      <c r="C267" s="7">
        <v>0.32320777642770354</v>
      </c>
      <c r="E267">
        <v>42.047877537245633</v>
      </c>
      <c r="F267">
        <f t="shared" si="4"/>
        <v>0.32320777642770354</v>
      </c>
    </row>
    <row r="268" spans="1:6" ht="96" x14ac:dyDescent="0.2">
      <c r="A268" s="4" t="s">
        <v>3611</v>
      </c>
      <c r="B268">
        <v>42.190074631899563</v>
      </c>
      <c r="C268" s="7">
        <v>0.3244228432563791</v>
      </c>
      <c r="E268">
        <v>42.190074631899563</v>
      </c>
      <c r="F268">
        <f t="shared" si="4"/>
        <v>0.3244228432563791</v>
      </c>
    </row>
    <row r="269" spans="1:6" ht="96" x14ac:dyDescent="0.2">
      <c r="A269" s="4" t="s">
        <v>3491</v>
      </c>
      <c r="B269">
        <v>42.253532168934399</v>
      </c>
      <c r="C269" s="7">
        <v>0.32563791008505466</v>
      </c>
      <c r="E269">
        <v>42.253532168934399</v>
      </c>
      <c r="F269">
        <f t="shared" si="4"/>
        <v>0.32563791008505466</v>
      </c>
    </row>
    <row r="270" spans="1:6" ht="128" x14ac:dyDescent="0.2">
      <c r="A270" s="4" t="s">
        <v>3573</v>
      </c>
      <c r="B270">
        <v>42.386109485631437</v>
      </c>
      <c r="C270" s="7">
        <v>0.32685297691373028</v>
      </c>
      <c r="E270">
        <v>42.386109485631437</v>
      </c>
      <c r="F270">
        <f t="shared" si="4"/>
        <v>0.32685297691373028</v>
      </c>
    </row>
    <row r="271" spans="1:6" ht="112" x14ac:dyDescent="0.2">
      <c r="A271" s="4" t="s">
        <v>3636</v>
      </c>
      <c r="B271">
        <v>42.38704648168541</v>
      </c>
      <c r="C271" s="7">
        <v>0.32806804374240583</v>
      </c>
      <c r="E271">
        <v>42.38704648168541</v>
      </c>
      <c r="F271">
        <f t="shared" si="4"/>
        <v>0.32806804374240583</v>
      </c>
    </row>
    <row r="272" spans="1:6" ht="112" x14ac:dyDescent="0.2">
      <c r="A272" s="4" t="s">
        <v>3501</v>
      </c>
      <c r="B272">
        <v>42.423342631150597</v>
      </c>
      <c r="C272" s="7">
        <v>0.32928311057108139</v>
      </c>
      <c r="E272">
        <v>42.423342631150597</v>
      </c>
      <c r="F272">
        <f t="shared" si="4"/>
        <v>0.32928311057108139</v>
      </c>
    </row>
    <row r="273" spans="1:6" ht="112" x14ac:dyDescent="0.2">
      <c r="A273" s="4" t="s">
        <v>3575</v>
      </c>
      <c r="B273">
        <v>42.43671071212114</v>
      </c>
      <c r="C273" s="7">
        <v>0.33049817739975701</v>
      </c>
      <c r="E273">
        <v>42.43671071212114</v>
      </c>
      <c r="F273">
        <f t="shared" si="4"/>
        <v>0.33049817739975701</v>
      </c>
    </row>
    <row r="274" spans="1:6" ht="112" x14ac:dyDescent="0.2">
      <c r="A274" s="4" t="s">
        <v>3612</v>
      </c>
      <c r="B274">
        <v>42.497261661405304</v>
      </c>
      <c r="C274" s="7">
        <v>0.33171324422843257</v>
      </c>
      <c r="E274">
        <v>42.497261661405304</v>
      </c>
      <c r="F274">
        <f t="shared" si="4"/>
        <v>0.33171324422843257</v>
      </c>
    </row>
    <row r="275" spans="1:6" ht="112" x14ac:dyDescent="0.2">
      <c r="A275" s="4" t="s">
        <v>3364</v>
      </c>
      <c r="B275">
        <v>42.534157056474676</v>
      </c>
      <c r="C275" s="7">
        <v>0.33292831105710813</v>
      </c>
      <c r="E275">
        <v>42.534157056474676</v>
      </c>
      <c r="F275">
        <f t="shared" si="4"/>
        <v>0.33292831105710813</v>
      </c>
    </row>
    <row r="276" spans="1:6" ht="96" x14ac:dyDescent="0.2">
      <c r="A276" s="4" t="s">
        <v>3698</v>
      </c>
      <c r="B276">
        <v>42.640268901145845</v>
      </c>
      <c r="C276" s="7">
        <v>0.33414337788578374</v>
      </c>
      <c r="E276">
        <v>42.640268901145845</v>
      </c>
      <c r="F276">
        <f t="shared" si="4"/>
        <v>0.33414337788578374</v>
      </c>
    </row>
    <row r="277" spans="1:6" ht="112" x14ac:dyDescent="0.2">
      <c r="A277" s="4" t="s">
        <v>3566</v>
      </c>
      <c r="B277">
        <v>42.734126882623549</v>
      </c>
      <c r="C277" s="7">
        <v>0.3353584447144593</v>
      </c>
      <c r="E277">
        <v>42.734126882623549</v>
      </c>
      <c r="F277">
        <f t="shared" si="4"/>
        <v>0.3353584447144593</v>
      </c>
    </row>
    <row r="278" spans="1:6" ht="112" x14ac:dyDescent="0.2">
      <c r="A278" s="4" t="s">
        <v>3527</v>
      </c>
      <c r="B278">
        <v>42.868783284287751</v>
      </c>
      <c r="C278" s="7">
        <v>0.33657351154313486</v>
      </c>
      <c r="E278">
        <v>42.868783284287751</v>
      </c>
      <c r="F278">
        <f t="shared" si="4"/>
        <v>0.33657351154313486</v>
      </c>
    </row>
    <row r="279" spans="1:6" ht="112" x14ac:dyDescent="0.2">
      <c r="A279" s="4" t="s">
        <v>3594</v>
      </c>
      <c r="B279">
        <v>42.94047079406338</v>
      </c>
      <c r="C279" s="7">
        <v>0.33778857837181048</v>
      </c>
      <c r="E279">
        <v>42.94047079406338</v>
      </c>
      <c r="F279">
        <f t="shared" si="4"/>
        <v>0.33778857837181048</v>
      </c>
    </row>
    <row r="280" spans="1:6" ht="112" x14ac:dyDescent="0.2">
      <c r="A280" s="4" t="s">
        <v>3578</v>
      </c>
      <c r="B280">
        <v>42.954452664287608</v>
      </c>
      <c r="C280" s="7">
        <v>0.33900364520048604</v>
      </c>
      <c r="E280">
        <v>42.954452664287608</v>
      </c>
      <c r="F280">
        <f t="shared" si="4"/>
        <v>0.33900364520048604</v>
      </c>
    </row>
    <row r="281" spans="1:6" ht="128" x14ac:dyDescent="0.2">
      <c r="A281" s="4" t="s">
        <v>3596</v>
      </c>
      <c r="B281">
        <v>43.038814541560704</v>
      </c>
      <c r="C281" s="7">
        <v>0.3402187120291616</v>
      </c>
      <c r="E281">
        <v>43.038814541560704</v>
      </c>
      <c r="F281">
        <f t="shared" si="4"/>
        <v>0.3402187120291616</v>
      </c>
    </row>
    <row r="282" spans="1:6" ht="112" x14ac:dyDescent="0.2">
      <c r="A282" s="4" t="s">
        <v>3588</v>
      </c>
      <c r="B282">
        <v>43.061999809576889</v>
      </c>
      <c r="C282" s="7">
        <v>0.34143377885783716</v>
      </c>
      <c r="E282">
        <v>43.061999809576889</v>
      </c>
      <c r="F282">
        <f t="shared" si="4"/>
        <v>0.34143377885783716</v>
      </c>
    </row>
    <row r="283" spans="1:6" ht="128" x14ac:dyDescent="0.2">
      <c r="A283" s="4" t="s">
        <v>3610</v>
      </c>
      <c r="B283">
        <v>43.395625000000003</v>
      </c>
      <c r="C283" s="7">
        <v>0.34264884568651277</v>
      </c>
      <c r="E283">
        <v>43.395625000000003</v>
      </c>
      <c r="F283">
        <f t="shared" si="4"/>
        <v>0.34264884568651277</v>
      </c>
    </row>
    <row r="284" spans="1:6" ht="96" x14ac:dyDescent="0.2">
      <c r="A284" s="4" t="s">
        <v>3621</v>
      </c>
      <c r="B284">
        <v>43.559723277532527</v>
      </c>
      <c r="C284" s="7">
        <v>0.34386391251518833</v>
      </c>
      <c r="E284">
        <v>43.559723277532527</v>
      </c>
      <c r="F284">
        <f t="shared" si="4"/>
        <v>0.34386391251518833</v>
      </c>
    </row>
    <row r="285" spans="1:6" ht="112" x14ac:dyDescent="0.2">
      <c r="A285" s="4" t="s">
        <v>3525</v>
      </c>
      <c r="B285">
        <v>43.605242694843362</v>
      </c>
      <c r="C285" s="7">
        <v>0.34507897934386389</v>
      </c>
      <c r="E285">
        <v>43.605242694843362</v>
      </c>
      <c r="F285">
        <f t="shared" si="4"/>
        <v>0.34507897934386389</v>
      </c>
    </row>
    <row r="286" spans="1:6" ht="112" x14ac:dyDescent="0.2">
      <c r="A286" s="4" t="s">
        <v>3551</v>
      </c>
      <c r="B286">
        <v>43.618847775686817</v>
      </c>
      <c r="C286" s="7">
        <v>0.3462940461725395</v>
      </c>
      <c r="E286">
        <v>43.618847775686817</v>
      </c>
      <c r="F286">
        <f t="shared" si="4"/>
        <v>0.3462940461725395</v>
      </c>
    </row>
    <row r="287" spans="1:6" ht="112" x14ac:dyDescent="0.2">
      <c r="A287" s="4" t="s">
        <v>3422</v>
      </c>
      <c r="B287">
        <v>43.657823279065759</v>
      </c>
      <c r="C287" s="7">
        <v>0.34750911300121506</v>
      </c>
      <c r="E287">
        <v>43.657823279065759</v>
      </c>
      <c r="F287">
        <f t="shared" si="4"/>
        <v>0.34750911300121506</v>
      </c>
    </row>
    <row r="288" spans="1:6" ht="112" x14ac:dyDescent="0.2">
      <c r="A288" s="4" t="s">
        <v>3599</v>
      </c>
      <c r="B288">
        <v>43.777738863490889</v>
      </c>
      <c r="C288" s="7">
        <v>0.34872417982989062</v>
      </c>
      <c r="E288">
        <v>43.777738863490889</v>
      </c>
      <c r="F288">
        <f t="shared" si="4"/>
        <v>0.34872417982989062</v>
      </c>
    </row>
    <row r="289" spans="1:6" ht="112" x14ac:dyDescent="0.2">
      <c r="A289" s="4" t="s">
        <v>3615</v>
      </c>
      <c r="B289">
        <v>43.883124310169507</v>
      </c>
      <c r="C289" s="7">
        <v>0.34993924665856624</v>
      </c>
      <c r="E289">
        <v>43.883124310169507</v>
      </c>
      <c r="F289">
        <f t="shared" si="4"/>
        <v>0.34993924665856624</v>
      </c>
    </row>
    <row r="290" spans="1:6" ht="112" x14ac:dyDescent="0.2">
      <c r="A290" s="4" t="s">
        <v>3654</v>
      </c>
      <c r="B290">
        <v>44.023853978469973</v>
      </c>
      <c r="C290" s="7">
        <v>0.3511543134872418</v>
      </c>
      <c r="E290">
        <v>44.023853978469973</v>
      </c>
      <c r="F290">
        <f t="shared" si="4"/>
        <v>0.3511543134872418</v>
      </c>
    </row>
    <row r="291" spans="1:6" ht="112" x14ac:dyDescent="0.2">
      <c r="A291" s="4" t="s">
        <v>3549</v>
      </c>
      <c r="B291">
        <v>44.027035215950455</v>
      </c>
      <c r="C291" s="7">
        <v>0.35236938031591736</v>
      </c>
      <c r="E291">
        <v>44.027035215950455</v>
      </c>
      <c r="F291">
        <f t="shared" si="4"/>
        <v>0.35236938031591736</v>
      </c>
    </row>
    <row r="292" spans="1:6" ht="112" x14ac:dyDescent="0.2">
      <c r="A292" s="4" t="s">
        <v>3626</v>
      </c>
      <c r="B292">
        <v>44.039582165335048</v>
      </c>
      <c r="C292" s="7">
        <v>0.35358444714459297</v>
      </c>
      <c r="E292">
        <v>44.039582165335048</v>
      </c>
      <c r="F292">
        <f t="shared" si="4"/>
        <v>0.35358444714459297</v>
      </c>
    </row>
    <row r="293" spans="1:6" ht="112" x14ac:dyDescent="0.2">
      <c r="A293" s="4" t="s">
        <v>3545</v>
      </c>
      <c r="B293">
        <v>44.171238532310383</v>
      </c>
      <c r="C293" s="7">
        <v>0.35479951397326853</v>
      </c>
      <c r="E293">
        <v>44.171238532310383</v>
      </c>
      <c r="F293">
        <f t="shared" si="4"/>
        <v>0.35479951397326853</v>
      </c>
    </row>
    <row r="294" spans="1:6" ht="112" x14ac:dyDescent="0.2">
      <c r="A294" s="4" t="s">
        <v>3495</v>
      </c>
      <c r="B294">
        <v>44.223674046305177</v>
      </c>
      <c r="C294" s="7">
        <v>0.35601458080194409</v>
      </c>
      <c r="E294">
        <v>44.223674046305177</v>
      </c>
      <c r="F294">
        <f t="shared" si="4"/>
        <v>0.35601458080194409</v>
      </c>
    </row>
    <row r="295" spans="1:6" ht="112" x14ac:dyDescent="0.2">
      <c r="A295" s="4" t="s">
        <v>3619</v>
      </c>
      <c r="B295">
        <v>44.410825578584195</v>
      </c>
      <c r="C295" s="7">
        <v>0.35722964763061971</v>
      </c>
      <c r="E295">
        <v>44.410825578584195</v>
      </c>
      <c r="F295">
        <f t="shared" si="4"/>
        <v>0.35722964763061971</v>
      </c>
    </row>
    <row r="296" spans="1:6" ht="112" x14ac:dyDescent="0.2">
      <c r="A296" s="4" t="s">
        <v>3684</v>
      </c>
      <c r="B296">
        <v>44.417618523911088</v>
      </c>
      <c r="C296" s="7">
        <v>0.35844471445929527</v>
      </c>
      <c r="E296">
        <v>44.417618523911088</v>
      </c>
      <c r="F296">
        <f t="shared" si="4"/>
        <v>0.35844471445929527</v>
      </c>
    </row>
    <row r="297" spans="1:6" ht="112" x14ac:dyDescent="0.2">
      <c r="A297" s="4" t="s">
        <v>3366</v>
      </c>
      <c r="B297">
        <v>44.443358708960481</v>
      </c>
      <c r="C297" s="7">
        <v>0.35965978128797083</v>
      </c>
      <c r="E297">
        <v>44.443358708960481</v>
      </c>
      <c r="F297">
        <f t="shared" si="4"/>
        <v>0.35965978128797083</v>
      </c>
    </row>
    <row r="298" spans="1:6" ht="112" x14ac:dyDescent="0.2">
      <c r="A298" s="4" t="s">
        <v>3689</v>
      </c>
      <c r="B298">
        <v>44.569585173470166</v>
      </c>
      <c r="C298" s="7">
        <v>0.36087484811664644</v>
      </c>
      <c r="E298">
        <v>44.569585173470166</v>
      </c>
      <c r="F298">
        <f t="shared" si="4"/>
        <v>0.36087484811664644</v>
      </c>
    </row>
    <row r="299" spans="1:6" ht="112" x14ac:dyDescent="0.2">
      <c r="A299" s="4" t="s">
        <v>3692</v>
      </c>
      <c r="B299">
        <v>44.678175695194909</v>
      </c>
      <c r="C299" s="7">
        <v>0.362089914945322</v>
      </c>
      <c r="E299">
        <v>44.678175695194909</v>
      </c>
      <c r="F299">
        <f t="shared" si="4"/>
        <v>0.362089914945322</v>
      </c>
    </row>
    <row r="300" spans="1:6" ht="112" x14ac:dyDescent="0.2">
      <c r="A300" s="4" t="s">
        <v>3558</v>
      </c>
      <c r="B300">
        <v>44.686637277531965</v>
      </c>
      <c r="C300" s="7">
        <v>0.36330498177399756</v>
      </c>
      <c r="E300">
        <v>44.686637277531965</v>
      </c>
      <c r="F300">
        <f t="shared" si="4"/>
        <v>0.36330498177399756</v>
      </c>
    </row>
    <row r="301" spans="1:6" ht="128" x14ac:dyDescent="0.2">
      <c r="A301" s="4" t="s">
        <v>3716</v>
      </c>
      <c r="B301">
        <v>44.781238441873846</v>
      </c>
      <c r="C301" s="7">
        <v>0.36452004860267317</v>
      </c>
      <c r="E301">
        <v>44.781238441873846</v>
      </c>
      <c r="F301">
        <f t="shared" si="4"/>
        <v>0.36452004860267317</v>
      </c>
    </row>
    <row r="302" spans="1:6" ht="112" x14ac:dyDescent="0.2">
      <c r="A302" s="4" t="s">
        <v>3622</v>
      </c>
      <c r="B302">
        <v>44.887559887582327</v>
      </c>
      <c r="C302" s="7">
        <v>0.36573511543134873</v>
      </c>
      <c r="E302">
        <v>44.887559887582327</v>
      </c>
      <c r="F302">
        <f t="shared" si="4"/>
        <v>0.36573511543134873</v>
      </c>
    </row>
    <row r="303" spans="1:6" ht="112" x14ac:dyDescent="0.2">
      <c r="A303" s="4" t="s">
        <v>3452</v>
      </c>
      <c r="B303">
        <v>44.8942494566097</v>
      </c>
      <c r="C303" s="7">
        <v>0.36695018226002429</v>
      </c>
      <c r="E303">
        <v>44.8942494566097</v>
      </c>
      <c r="F303">
        <f t="shared" si="4"/>
        <v>0.36695018226002429</v>
      </c>
    </row>
    <row r="304" spans="1:6" ht="112" x14ac:dyDescent="0.2">
      <c r="A304" s="4" t="s">
        <v>3585</v>
      </c>
      <c r="B304">
        <v>44.939216458660773</v>
      </c>
      <c r="C304" s="7">
        <v>0.36816524908869985</v>
      </c>
      <c r="E304">
        <v>44.939216458660773</v>
      </c>
      <c r="F304">
        <f t="shared" si="4"/>
        <v>0.36816524908869985</v>
      </c>
    </row>
    <row r="305" spans="1:6" ht="128" x14ac:dyDescent="0.2">
      <c r="A305" s="4" t="s">
        <v>3638</v>
      </c>
      <c r="B305">
        <v>45.009914725780668</v>
      </c>
      <c r="C305" s="7">
        <v>0.36938031591737547</v>
      </c>
      <c r="E305">
        <v>45.009914725780668</v>
      </c>
      <c r="F305">
        <f t="shared" si="4"/>
        <v>0.36938031591737547</v>
      </c>
    </row>
    <row r="306" spans="1:6" ht="112" x14ac:dyDescent="0.2">
      <c r="A306" s="4" t="s">
        <v>3677</v>
      </c>
      <c r="B306">
        <v>45.138305175511931</v>
      </c>
      <c r="C306" s="7">
        <v>0.37059538274605103</v>
      </c>
      <c r="E306">
        <v>45.138305175511931</v>
      </c>
      <c r="F306">
        <f t="shared" si="4"/>
        <v>0.37059538274605103</v>
      </c>
    </row>
    <row r="307" spans="1:6" ht="112" x14ac:dyDescent="0.2">
      <c r="A307" s="4" t="s">
        <v>3605</v>
      </c>
      <c r="B307">
        <v>45.378190131991516</v>
      </c>
      <c r="C307" s="7">
        <v>0.37181044957472659</v>
      </c>
      <c r="E307">
        <v>45.378190131991516</v>
      </c>
      <c r="F307">
        <f t="shared" si="4"/>
        <v>0.37181044957472659</v>
      </c>
    </row>
    <row r="308" spans="1:6" ht="112" x14ac:dyDescent="0.2">
      <c r="A308" s="4" t="s">
        <v>3541</v>
      </c>
      <c r="B308">
        <v>45.470579772783815</v>
      </c>
      <c r="C308" s="7">
        <v>0.3730255164034022</v>
      </c>
      <c r="E308">
        <v>45.470579772783815</v>
      </c>
      <c r="F308">
        <f t="shared" si="4"/>
        <v>0.3730255164034022</v>
      </c>
    </row>
    <row r="309" spans="1:6" ht="112" x14ac:dyDescent="0.2">
      <c r="A309" s="4" t="s">
        <v>3592</v>
      </c>
      <c r="B309">
        <v>45.517930263209777</v>
      </c>
      <c r="C309" s="7">
        <v>0.37424058323207776</v>
      </c>
      <c r="E309">
        <v>45.517930263209777</v>
      </c>
      <c r="F309">
        <f t="shared" si="4"/>
        <v>0.37424058323207776</v>
      </c>
    </row>
    <row r="310" spans="1:6" ht="112" x14ac:dyDescent="0.2">
      <c r="A310" s="4" t="s">
        <v>3711</v>
      </c>
      <c r="B310">
        <v>45.564068026107137</v>
      </c>
      <c r="C310" s="7">
        <v>0.37545565006075332</v>
      </c>
      <c r="E310">
        <v>45.564068026107137</v>
      </c>
      <c r="F310">
        <f t="shared" si="4"/>
        <v>0.37545565006075332</v>
      </c>
    </row>
    <row r="311" spans="1:6" ht="112" x14ac:dyDescent="0.2">
      <c r="A311" s="4" t="s">
        <v>3378</v>
      </c>
      <c r="B311">
        <v>45.61012561144134</v>
      </c>
      <c r="C311" s="7">
        <v>0.37667071688942894</v>
      </c>
      <c r="E311">
        <v>45.61012561144134</v>
      </c>
      <c r="F311">
        <f t="shared" si="4"/>
        <v>0.37667071688942894</v>
      </c>
    </row>
    <row r="312" spans="1:6" ht="112" x14ac:dyDescent="0.2">
      <c r="A312" s="4" t="s">
        <v>3119</v>
      </c>
      <c r="B312">
        <v>45.664143591581862</v>
      </c>
      <c r="C312" s="7">
        <v>0.3778857837181045</v>
      </c>
      <c r="E312">
        <v>45.664143591581862</v>
      </c>
      <c r="F312">
        <f t="shared" si="4"/>
        <v>0.3778857837181045</v>
      </c>
    </row>
    <row r="313" spans="1:6" ht="112" x14ac:dyDescent="0.2">
      <c r="A313" s="4" t="s">
        <v>3249</v>
      </c>
      <c r="B313">
        <v>45.817623111603027</v>
      </c>
      <c r="C313" s="7">
        <v>0.37910085054678005</v>
      </c>
      <c r="E313">
        <v>45.817623111603027</v>
      </c>
      <c r="F313">
        <f t="shared" si="4"/>
        <v>0.37910085054678005</v>
      </c>
    </row>
    <row r="314" spans="1:6" ht="112" x14ac:dyDescent="0.2">
      <c r="A314" s="4" t="s">
        <v>3590</v>
      </c>
      <c r="B314">
        <v>45.825834090998782</v>
      </c>
      <c r="C314" s="7">
        <v>0.38031591737545567</v>
      </c>
      <c r="E314">
        <v>45.825834090998782</v>
      </c>
      <c r="F314">
        <f t="shared" si="4"/>
        <v>0.38031591737545567</v>
      </c>
    </row>
    <row r="315" spans="1:6" ht="112" x14ac:dyDescent="0.2">
      <c r="A315" s="4" t="s">
        <v>3663</v>
      </c>
      <c r="B315">
        <v>45.853124999999999</v>
      </c>
      <c r="C315" s="7">
        <v>0.38153098420413123</v>
      </c>
      <c r="E315">
        <v>45.853124999999999</v>
      </c>
      <c r="F315">
        <f t="shared" si="4"/>
        <v>0.38153098420413123</v>
      </c>
    </row>
    <row r="316" spans="1:6" ht="128" x14ac:dyDescent="0.2">
      <c r="A316" s="4" t="s">
        <v>3664</v>
      </c>
      <c r="B316">
        <v>45.97175143285191</v>
      </c>
      <c r="C316" s="7">
        <v>0.38274605103280679</v>
      </c>
      <c r="E316">
        <v>45.97175143285191</v>
      </c>
      <c r="F316">
        <f t="shared" si="4"/>
        <v>0.38274605103280679</v>
      </c>
    </row>
    <row r="317" spans="1:6" ht="112" x14ac:dyDescent="0.2">
      <c r="A317" s="4" t="s">
        <v>3400</v>
      </c>
      <c r="B317">
        <v>45.991350593473172</v>
      </c>
      <c r="C317" s="7">
        <v>0.3839611178614824</v>
      </c>
      <c r="E317">
        <v>45.991350593473172</v>
      </c>
      <c r="F317">
        <f t="shared" si="4"/>
        <v>0.3839611178614824</v>
      </c>
    </row>
    <row r="318" spans="1:6" ht="112" x14ac:dyDescent="0.2">
      <c r="A318" s="4" t="s">
        <v>3530</v>
      </c>
      <c r="B318">
        <v>46.019304830625344</v>
      </c>
      <c r="C318" s="7">
        <v>0.38517618469015796</v>
      </c>
      <c r="E318">
        <v>46.019304830625344</v>
      </c>
      <c r="F318">
        <f t="shared" si="4"/>
        <v>0.38517618469015796</v>
      </c>
    </row>
    <row r="319" spans="1:6" ht="112" x14ac:dyDescent="0.2">
      <c r="A319" s="4" t="s">
        <v>3646</v>
      </c>
      <c r="B319">
        <v>46.045152640721227</v>
      </c>
      <c r="C319" s="7">
        <v>0.38639125151883352</v>
      </c>
      <c r="E319">
        <v>46.045152640721227</v>
      </c>
      <c r="F319">
        <f t="shared" si="4"/>
        <v>0.38639125151883352</v>
      </c>
    </row>
    <row r="320" spans="1:6" ht="128" x14ac:dyDescent="0.2">
      <c r="A320" s="4" t="s">
        <v>3608</v>
      </c>
      <c r="B320">
        <v>46.055760591922052</v>
      </c>
      <c r="C320" s="7">
        <v>0.38760631834750914</v>
      </c>
      <c r="E320">
        <v>46.055760591922052</v>
      </c>
      <c r="F320">
        <f t="shared" si="4"/>
        <v>0.38760631834750914</v>
      </c>
    </row>
    <row r="321" spans="1:6" ht="112" x14ac:dyDescent="0.2">
      <c r="A321" s="4" t="s">
        <v>3189</v>
      </c>
      <c r="B321">
        <v>46.114602488120418</v>
      </c>
      <c r="C321" s="7">
        <v>0.3888213851761847</v>
      </c>
      <c r="E321">
        <v>46.114602488120418</v>
      </c>
      <c r="F321">
        <f t="shared" si="4"/>
        <v>0.3888213851761847</v>
      </c>
    </row>
    <row r="322" spans="1:6" ht="128" x14ac:dyDescent="0.2">
      <c r="A322" s="4" t="s">
        <v>3472</v>
      </c>
      <c r="B322">
        <v>46.278970860450627</v>
      </c>
      <c r="C322" s="7">
        <v>0.39003645200486026</v>
      </c>
      <c r="E322">
        <v>46.278970860450627</v>
      </c>
      <c r="F322">
        <f t="shared" si="4"/>
        <v>0.39003645200486026</v>
      </c>
    </row>
    <row r="323" spans="1:6" ht="128" x14ac:dyDescent="0.2">
      <c r="A323" s="4" t="s">
        <v>3586</v>
      </c>
      <c r="B323">
        <v>46.319009553816144</v>
      </c>
      <c r="C323" s="7">
        <v>0.39125151883353587</v>
      </c>
      <c r="E323">
        <v>46.319009553816144</v>
      </c>
      <c r="F323">
        <f t="shared" ref="F323:F386" si="5">_xlfn.RANK.EQ(E323,$E$2:$E$824,1)/COUNT($E$2:$E$824)</f>
        <v>0.39125151883353587</v>
      </c>
    </row>
    <row r="324" spans="1:6" ht="112" x14ac:dyDescent="0.2">
      <c r="A324" s="4" t="s">
        <v>3606</v>
      </c>
      <c r="B324">
        <v>46.400373877221575</v>
      </c>
      <c r="C324" s="7">
        <v>0.39246658566221143</v>
      </c>
      <c r="E324">
        <v>46.400373877221575</v>
      </c>
      <c r="F324">
        <f t="shared" si="5"/>
        <v>0.39246658566221143</v>
      </c>
    </row>
    <row r="325" spans="1:6" ht="112" x14ac:dyDescent="0.2">
      <c r="A325" s="4" t="s">
        <v>3735</v>
      </c>
      <c r="B325">
        <v>46.437532407025159</v>
      </c>
      <c r="C325" s="7">
        <v>0.39368165249088699</v>
      </c>
      <c r="E325">
        <v>46.437532407025159</v>
      </c>
      <c r="F325">
        <f t="shared" si="5"/>
        <v>0.39368165249088699</v>
      </c>
    </row>
    <row r="326" spans="1:6" ht="112" x14ac:dyDescent="0.2">
      <c r="A326" s="4" t="s">
        <v>3700</v>
      </c>
      <c r="B326">
        <v>46.7606310028754</v>
      </c>
      <c r="C326" s="7">
        <v>0.39489671931956255</v>
      </c>
      <c r="E326">
        <v>46.7606310028754</v>
      </c>
      <c r="F326">
        <f t="shared" si="5"/>
        <v>0.39489671931956255</v>
      </c>
    </row>
    <row r="327" spans="1:6" ht="112" x14ac:dyDescent="0.2">
      <c r="A327" s="4" t="s">
        <v>3483</v>
      </c>
      <c r="B327">
        <v>46.76428571428572</v>
      </c>
      <c r="C327" s="7">
        <v>0.39611178614823817</v>
      </c>
      <c r="E327">
        <v>46.76428571428572</v>
      </c>
      <c r="F327">
        <f t="shared" si="5"/>
        <v>0.39611178614823817</v>
      </c>
    </row>
    <row r="328" spans="1:6" ht="112" x14ac:dyDescent="0.2">
      <c r="A328" s="4" t="s">
        <v>3620</v>
      </c>
      <c r="B328">
        <v>46.981993501327494</v>
      </c>
      <c r="C328" s="7">
        <v>0.39732685297691372</v>
      </c>
      <c r="E328">
        <v>46.981993501327494</v>
      </c>
      <c r="F328">
        <f t="shared" si="5"/>
        <v>0.39732685297691372</v>
      </c>
    </row>
    <row r="329" spans="1:6" ht="128" x14ac:dyDescent="0.2">
      <c r="A329" s="4" t="s">
        <v>3658</v>
      </c>
      <c r="B329">
        <v>47.008902726662889</v>
      </c>
      <c r="C329" s="7">
        <v>0.39854191980558928</v>
      </c>
      <c r="E329">
        <v>47.008902726662889</v>
      </c>
      <c r="F329">
        <f t="shared" si="5"/>
        <v>0.39854191980558928</v>
      </c>
    </row>
    <row r="330" spans="1:6" ht="112" x14ac:dyDescent="0.2">
      <c r="A330" s="4" t="s">
        <v>3603</v>
      </c>
      <c r="B330">
        <v>47.162909274848658</v>
      </c>
      <c r="C330" s="7">
        <v>0.3997569866342649</v>
      </c>
      <c r="E330">
        <v>47.162909274848658</v>
      </c>
      <c r="F330">
        <f t="shared" si="5"/>
        <v>0.3997569866342649</v>
      </c>
    </row>
    <row r="331" spans="1:6" ht="112" x14ac:dyDescent="0.2">
      <c r="A331" s="4" t="s">
        <v>3173</v>
      </c>
      <c r="B331">
        <v>47.176331964440038</v>
      </c>
      <c r="C331" s="7">
        <v>0.40097205346294046</v>
      </c>
      <c r="E331">
        <v>47.176331964440038</v>
      </c>
      <c r="F331">
        <f t="shared" si="5"/>
        <v>0.40097205346294046</v>
      </c>
    </row>
    <row r="332" spans="1:6" ht="112" x14ac:dyDescent="0.2">
      <c r="A332" s="4" t="s">
        <v>3656</v>
      </c>
      <c r="B332">
        <v>47.20228883547933</v>
      </c>
      <c r="C332" s="7">
        <v>0.40218712029161602</v>
      </c>
      <c r="E332">
        <v>47.20228883547933</v>
      </c>
      <c r="F332">
        <f t="shared" si="5"/>
        <v>0.40218712029161602</v>
      </c>
    </row>
    <row r="333" spans="1:6" ht="112" x14ac:dyDescent="0.2">
      <c r="A333" s="4" t="s">
        <v>3693</v>
      </c>
      <c r="B333">
        <v>47.22795736076872</v>
      </c>
      <c r="C333" s="7">
        <v>0.40340218712029163</v>
      </c>
      <c r="E333">
        <v>47.22795736076872</v>
      </c>
      <c r="F333">
        <f t="shared" si="5"/>
        <v>0.40340218712029163</v>
      </c>
    </row>
    <row r="334" spans="1:6" ht="112" x14ac:dyDescent="0.2">
      <c r="A334" s="4" t="s">
        <v>3416</v>
      </c>
      <c r="B334">
        <v>47.302478051407853</v>
      </c>
      <c r="C334" s="7">
        <v>0.40461725394896719</v>
      </c>
      <c r="E334">
        <v>47.302478051407853</v>
      </c>
      <c r="F334">
        <f t="shared" si="5"/>
        <v>0.40461725394896719</v>
      </c>
    </row>
    <row r="335" spans="1:6" ht="128" x14ac:dyDescent="0.2">
      <c r="A335" s="4" t="s">
        <v>3554</v>
      </c>
      <c r="B335">
        <v>47.418672418696126</v>
      </c>
      <c r="C335" s="7">
        <v>0.40583232077764275</v>
      </c>
      <c r="E335">
        <v>47.418672418696126</v>
      </c>
      <c r="F335">
        <f t="shared" si="5"/>
        <v>0.40583232077764275</v>
      </c>
    </row>
    <row r="336" spans="1:6" ht="112" x14ac:dyDescent="0.2">
      <c r="A336" s="4" t="s">
        <v>3721</v>
      </c>
      <c r="B336">
        <v>47.43216489932793</v>
      </c>
      <c r="C336" s="7">
        <v>0.40704738760631837</v>
      </c>
      <c r="E336">
        <v>47.43216489932793</v>
      </c>
      <c r="F336">
        <f t="shared" si="5"/>
        <v>0.40704738760631837</v>
      </c>
    </row>
    <row r="337" spans="1:6" ht="96" x14ac:dyDescent="0.2">
      <c r="A337" s="4" t="s">
        <v>3675</v>
      </c>
      <c r="B337">
        <v>47.433794721773175</v>
      </c>
      <c r="C337" s="7">
        <v>0.40826245443499393</v>
      </c>
      <c r="E337">
        <v>47.433794721773175</v>
      </c>
      <c r="F337">
        <f t="shared" si="5"/>
        <v>0.40826245443499393</v>
      </c>
    </row>
    <row r="338" spans="1:6" ht="112" x14ac:dyDescent="0.2">
      <c r="A338" s="4" t="s">
        <v>3227</v>
      </c>
      <c r="B338">
        <v>47.439333333333337</v>
      </c>
      <c r="C338" s="7">
        <v>0.40947752126366949</v>
      </c>
      <c r="E338">
        <v>47.439333333333337</v>
      </c>
      <c r="F338">
        <f t="shared" si="5"/>
        <v>0.40947752126366949</v>
      </c>
    </row>
    <row r="339" spans="1:6" ht="112" x14ac:dyDescent="0.2">
      <c r="A339" s="4" t="s">
        <v>3536</v>
      </c>
      <c r="B339">
        <v>47.463295977686826</v>
      </c>
      <c r="C339" s="7">
        <v>0.4106925880923451</v>
      </c>
      <c r="E339">
        <v>47.463295977686826</v>
      </c>
      <c r="F339">
        <f t="shared" si="5"/>
        <v>0.4106925880923451</v>
      </c>
    </row>
    <row r="340" spans="1:6" ht="112" x14ac:dyDescent="0.2">
      <c r="A340" s="4" t="s">
        <v>3650</v>
      </c>
      <c r="B340">
        <v>47.466848720636712</v>
      </c>
      <c r="C340" s="7">
        <v>0.41190765492102066</v>
      </c>
      <c r="E340">
        <v>47.466848720636712</v>
      </c>
      <c r="F340">
        <f t="shared" si="5"/>
        <v>0.41190765492102066</v>
      </c>
    </row>
    <row r="341" spans="1:6" ht="128" x14ac:dyDescent="0.2">
      <c r="A341" s="4" t="s">
        <v>3704</v>
      </c>
      <c r="B341">
        <v>47.494374999999998</v>
      </c>
      <c r="C341" s="7">
        <v>0.41312272174969622</v>
      </c>
      <c r="E341">
        <v>47.494374999999998</v>
      </c>
      <c r="F341">
        <f t="shared" si="5"/>
        <v>0.41312272174969622</v>
      </c>
    </row>
    <row r="342" spans="1:6" ht="112" x14ac:dyDescent="0.2">
      <c r="A342" s="4" t="s">
        <v>3583</v>
      </c>
      <c r="B342">
        <v>47.506647681844932</v>
      </c>
      <c r="C342" s="7">
        <v>0.41433778857837184</v>
      </c>
      <c r="E342">
        <v>47.506647681844932</v>
      </c>
      <c r="F342">
        <f t="shared" si="5"/>
        <v>0.41433778857837184</v>
      </c>
    </row>
    <row r="343" spans="1:6" ht="128" x14ac:dyDescent="0.2">
      <c r="A343" s="4" t="s">
        <v>3562</v>
      </c>
      <c r="B343">
        <v>47.554968194711272</v>
      </c>
      <c r="C343" s="7">
        <v>0.41555285540704739</v>
      </c>
      <c r="E343">
        <v>47.554968194711272</v>
      </c>
      <c r="F343">
        <f t="shared" si="5"/>
        <v>0.41555285540704739</v>
      </c>
    </row>
    <row r="344" spans="1:6" ht="112" x14ac:dyDescent="0.2">
      <c r="A344" s="4" t="s">
        <v>3113</v>
      </c>
      <c r="B344">
        <v>47.601563353895635</v>
      </c>
      <c r="C344" s="7">
        <v>0.41676792223572295</v>
      </c>
      <c r="E344">
        <v>47.601563353895635</v>
      </c>
      <c r="F344">
        <f t="shared" si="5"/>
        <v>0.41676792223572295</v>
      </c>
    </row>
    <row r="345" spans="1:6" ht="112" x14ac:dyDescent="0.2">
      <c r="A345" s="4" t="s">
        <v>3456</v>
      </c>
      <c r="B345">
        <v>47.712305879531826</v>
      </c>
      <c r="C345" s="7">
        <v>0.41798298906439857</v>
      </c>
      <c r="E345">
        <v>47.712305879531826</v>
      </c>
      <c r="F345">
        <f t="shared" si="5"/>
        <v>0.41798298906439857</v>
      </c>
    </row>
    <row r="346" spans="1:6" ht="96" x14ac:dyDescent="0.2">
      <c r="A346" s="4" t="s">
        <v>3531</v>
      </c>
      <c r="B346">
        <v>47.740045822571673</v>
      </c>
      <c r="C346" s="7">
        <v>0.41919805589307413</v>
      </c>
      <c r="E346">
        <v>47.740045822571673</v>
      </c>
      <c r="F346">
        <f t="shared" si="5"/>
        <v>0.41919805589307413</v>
      </c>
    </row>
    <row r="347" spans="1:6" ht="112" x14ac:dyDescent="0.2">
      <c r="A347" s="4" t="s">
        <v>3632</v>
      </c>
      <c r="B347">
        <v>47.742663254355989</v>
      </c>
      <c r="C347" s="7">
        <v>0.42041312272174969</v>
      </c>
      <c r="E347">
        <v>47.742663254355989</v>
      </c>
      <c r="F347">
        <f t="shared" si="5"/>
        <v>0.42041312272174969</v>
      </c>
    </row>
    <row r="348" spans="1:6" ht="112" x14ac:dyDescent="0.2">
      <c r="A348" s="4" t="s">
        <v>3305</v>
      </c>
      <c r="B348">
        <v>47.771779654557939</v>
      </c>
      <c r="C348" s="7">
        <v>0.42162818955042525</v>
      </c>
      <c r="E348">
        <v>47.771779654557939</v>
      </c>
      <c r="F348">
        <f t="shared" si="5"/>
        <v>0.42162818955042525</v>
      </c>
    </row>
    <row r="349" spans="1:6" ht="112" x14ac:dyDescent="0.2">
      <c r="A349" s="4" t="s">
        <v>3724</v>
      </c>
      <c r="B349">
        <v>47.817231454466679</v>
      </c>
      <c r="C349" s="7">
        <v>0.42284325637910086</v>
      </c>
      <c r="E349">
        <v>47.817231454466679</v>
      </c>
      <c r="F349">
        <f t="shared" si="5"/>
        <v>0.42284325637910086</v>
      </c>
    </row>
    <row r="350" spans="1:6" ht="112" x14ac:dyDescent="0.2">
      <c r="A350" s="4" t="s">
        <v>3380</v>
      </c>
      <c r="B350">
        <v>47.8441811089249</v>
      </c>
      <c r="C350" s="7">
        <v>0.42405832320777642</v>
      </c>
      <c r="E350">
        <v>47.8441811089249</v>
      </c>
      <c r="F350">
        <f t="shared" si="5"/>
        <v>0.42405832320777642</v>
      </c>
    </row>
    <row r="351" spans="1:6" ht="112" x14ac:dyDescent="0.2">
      <c r="A351" s="4" t="s">
        <v>3428</v>
      </c>
      <c r="B351">
        <v>47.864165233643355</v>
      </c>
      <c r="C351" s="7">
        <v>0.42527339003645198</v>
      </c>
      <c r="E351">
        <v>47.864165233643355</v>
      </c>
      <c r="F351">
        <f t="shared" si="5"/>
        <v>0.42527339003645198</v>
      </c>
    </row>
    <row r="352" spans="1:6" ht="112" x14ac:dyDescent="0.2">
      <c r="A352" s="4" t="s">
        <v>3093</v>
      </c>
      <c r="B352">
        <v>47.956439376137283</v>
      </c>
      <c r="C352" s="7">
        <v>0.4264884568651276</v>
      </c>
      <c r="E352">
        <v>47.956439376137283</v>
      </c>
      <c r="F352">
        <f t="shared" si="5"/>
        <v>0.4264884568651276</v>
      </c>
    </row>
    <row r="353" spans="1:6" ht="112" x14ac:dyDescent="0.2">
      <c r="A353" s="4" t="s">
        <v>3661</v>
      </c>
      <c r="B353">
        <v>47.964678562567158</v>
      </c>
      <c r="C353" s="7">
        <v>0.42770352369380316</v>
      </c>
      <c r="E353">
        <v>47.964678562567158</v>
      </c>
      <c r="F353">
        <f t="shared" si="5"/>
        <v>0.42770352369380316</v>
      </c>
    </row>
    <row r="354" spans="1:6" ht="112" x14ac:dyDescent="0.2">
      <c r="A354" s="4" t="s">
        <v>3271</v>
      </c>
      <c r="B354">
        <v>47.976552279160714</v>
      </c>
      <c r="C354" s="7">
        <v>0.42891859052247872</v>
      </c>
      <c r="E354">
        <v>47.976552279160714</v>
      </c>
      <c r="F354">
        <f t="shared" si="5"/>
        <v>0.42891859052247872</v>
      </c>
    </row>
    <row r="355" spans="1:6" ht="96" x14ac:dyDescent="0.2">
      <c r="A355" s="4" t="s">
        <v>3635</v>
      </c>
      <c r="B355">
        <v>47.987085332872581</v>
      </c>
      <c r="C355" s="7">
        <v>0.43013365735115433</v>
      </c>
      <c r="E355">
        <v>47.987085332872581</v>
      </c>
      <c r="F355">
        <f t="shared" si="5"/>
        <v>0.43013365735115433</v>
      </c>
    </row>
    <row r="356" spans="1:6" ht="96" x14ac:dyDescent="0.2">
      <c r="A356" s="4" t="s">
        <v>3666</v>
      </c>
      <c r="B356">
        <v>48.000077795521001</v>
      </c>
      <c r="C356" s="7">
        <v>0.43134872417982989</v>
      </c>
      <c r="E356">
        <v>48.000077795521001</v>
      </c>
      <c r="F356">
        <f t="shared" si="5"/>
        <v>0.43134872417982989</v>
      </c>
    </row>
    <row r="357" spans="1:6" ht="112" x14ac:dyDescent="0.2">
      <c r="A357" s="4" t="s">
        <v>3736</v>
      </c>
      <c r="B357">
        <v>48.100458158853073</v>
      </c>
      <c r="C357" s="7">
        <v>0.43256379100850545</v>
      </c>
      <c r="E357">
        <v>48.100458158853073</v>
      </c>
      <c r="F357">
        <f t="shared" si="5"/>
        <v>0.43256379100850545</v>
      </c>
    </row>
    <row r="358" spans="1:6" ht="96" x14ac:dyDescent="0.2">
      <c r="A358" s="4" t="s">
        <v>3760</v>
      </c>
      <c r="B358">
        <v>48.122741249301477</v>
      </c>
      <c r="C358" s="7">
        <v>0.43377885783718106</v>
      </c>
      <c r="E358">
        <v>48.122741249301477</v>
      </c>
      <c r="F358">
        <f t="shared" si="5"/>
        <v>0.43377885783718106</v>
      </c>
    </row>
    <row r="359" spans="1:6" ht="96" x14ac:dyDescent="0.2">
      <c r="A359" s="4" t="s">
        <v>3643</v>
      </c>
      <c r="B359">
        <v>48.125333333333337</v>
      </c>
      <c r="C359" s="7">
        <v>0.43499392466585662</v>
      </c>
      <c r="E359">
        <v>48.125333333333337</v>
      </c>
      <c r="F359">
        <f t="shared" si="5"/>
        <v>0.43499392466585662</v>
      </c>
    </row>
    <row r="360" spans="1:6" ht="112" x14ac:dyDescent="0.2">
      <c r="A360" s="4" t="s">
        <v>3647</v>
      </c>
      <c r="B360">
        <v>48.213004864125296</v>
      </c>
      <c r="C360" s="7">
        <v>0.43620899149453218</v>
      </c>
      <c r="E360">
        <v>48.213004864125296</v>
      </c>
      <c r="F360">
        <f t="shared" si="5"/>
        <v>0.43620899149453218</v>
      </c>
    </row>
    <row r="361" spans="1:6" ht="112" x14ac:dyDescent="0.2">
      <c r="A361" s="4" t="s">
        <v>3547</v>
      </c>
      <c r="B361">
        <v>48.300979841169074</v>
      </c>
      <c r="C361" s="7">
        <v>0.4374240583232078</v>
      </c>
      <c r="E361">
        <v>48.300979841169074</v>
      </c>
      <c r="F361">
        <f t="shared" si="5"/>
        <v>0.4374240583232078</v>
      </c>
    </row>
    <row r="362" spans="1:6" ht="96" x14ac:dyDescent="0.2">
      <c r="A362" s="4" t="s">
        <v>3820</v>
      </c>
      <c r="B362">
        <v>48.426935348284125</v>
      </c>
      <c r="C362" s="7">
        <v>0.43863912515188336</v>
      </c>
      <c r="E362">
        <v>48.426935348284125</v>
      </c>
      <c r="F362">
        <f t="shared" si="5"/>
        <v>0.43863912515188336</v>
      </c>
    </row>
    <row r="363" spans="1:6" ht="112" x14ac:dyDescent="0.2">
      <c r="A363" s="4" t="s">
        <v>3362</v>
      </c>
      <c r="B363">
        <v>48.434487132675514</v>
      </c>
      <c r="C363" s="7">
        <v>0.43985419198055892</v>
      </c>
      <c r="E363">
        <v>48.434487132675514</v>
      </c>
      <c r="F363">
        <f t="shared" si="5"/>
        <v>0.43985419198055892</v>
      </c>
    </row>
    <row r="364" spans="1:6" ht="112" x14ac:dyDescent="0.2">
      <c r="A364" s="4" t="s">
        <v>3762</v>
      </c>
      <c r="B364">
        <v>48.487616471104772</v>
      </c>
      <c r="C364" s="7">
        <v>0.44106925880923453</v>
      </c>
      <c r="E364">
        <v>48.487616471104772</v>
      </c>
      <c r="F364">
        <f t="shared" si="5"/>
        <v>0.44106925880923453</v>
      </c>
    </row>
    <row r="365" spans="1:6" ht="112" x14ac:dyDescent="0.2">
      <c r="A365" s="4" t="s">
        <v>3398</v>
      </c>
      <c r="B365">
        <v>48.543650477562593</v>
      </c>
      <c r="C365" s="7">
        <v>0.44228432563791009</v>
      </c>
      <c r="E365">
        <v>48.543650477562593</v>
      </c>
      <c r="F365">
        <f t="shared" si="5"/>
        <v>0.44228432563791009</v>
      </c>
    </row>
    <row r="366" spans="1:6" ht="112" x14ac:dyDescent="0.2">
      <c r="A366" s="4" t="s">
        <v>3430</v>
      </c>
      <c r="B366">
        <v>48.559980540785411</v>
      </c>
      <c r="C366" s="7">
        <v>0.44349939246658565</v>
      </c>
      <c r="E366">
        <v>48.559980540785411</v>
      </c>
      <c r="F366">
        <f t="shared" si="5"/>
        <v>0.44349939246658565</v>
      </c>
    </row>
    <row r="367" spans="1:6" ht="112" x14ac:dyDescent="0.2">
      <c r="A367" s="4" t="s">
        <v>3714</v>
      </c>
      <c r="B367">
        <v>48.581118866043838</v>
      </c>
      <c r="C367" s="7">
        <v>0.44471445929526127</v>
      </c>
      <c r="E367">
        <v>48.581118866043838</v>
      </c>
      <c r="F367">
        <f t="shared" si="5"/>
        <v>0.44471445929526127</v>
      </c>
    </row>
    <row r="368" spans="1:6" ht="112" x14ac:dyDescent="0.2">
      <c r="A368" s="4" t="s">
        <v>3564</v>
      </c>
      <c r="B368">
        <v>48.760121299283895</v>
      </c>
      <c r="C368" s="7">
        <v>0.44592952612393683</v>
      </c>
      <c r="E368">
        <v>48.760121299283895</v>
      </c>
      <c r="F368">
        <f t="shared" si="5"/>
        <v>0.44592952612393683</v>
      </c>
    </row>
    <row r="369" spans="1:6" ht="112" x14ac:dyDescent="0.2">
      <c r="A369" s="4" t="s">
        <v>3728</v>
      </c>
      <c r="B369">
        <v>48.797745282086382</v>
      </c>
      <c r="C369" s="7">
        <v>0.44714459295261239</v>
      </c>
      <c r="E369">
        <v>48.797745282086382</v>
      </c>
      <c r="F369">
        <f t="shared" si="5"/>
        <v>0.44714459295261239</v>
      </c>
    </row>
    <row r="370" spans="1:6" ht="96" x14ac:dyDescent="0.2">
      <c r="A370" s="4" t="s">
        <v>3744</v>
      </c>
      <c r="B370">
        <v>48.932874705284547</v>
      </c>
      <c r="C370" s="7">
        <v>0.44835965978128794</v>
      </c>
      <c r="E370">
        <v>48.932874705284547</v>
      </c>
      <c r="F370">
        <f t="shared" si="5"/>
        <v>0.44835965978128794</v>
      </c>
    </row>
    <row r="371" spans="1:6" ht="96" x14ac:dyDescent="0.2">
      <c r="A371" s="4" t="s">
        <v>3720</v>
      </c>
      <c r="B371">
        <v>48.985998197113318</v>
      </c>
      <c r="C371" s="7">
        <v>0.44957472660996356</v>
      </c>
      <c r="E371">
        <v>48.985998197113318</v>
      </c>
      <c r="F371">
        <f t="shared" si="5"/>
        <v>0.44957472660996356</v>
      </c>
    </row>
    <row r="372" spans="1:6" ht="112" x14ac:dyDescent="0.2">
      <c r="A372" s="4" t="s">
        <v>3275</v>
      </c>
      <c r="B372">
        <v>49.037034526862243</v>
      </c>
      <c r="C372" s="7">
        <v>0.45078979343863912</v>
      </c>
      <c r="E372">
        <v>49.037034526862243</v>
      </c>
      <c r="F372">
        <f t="shared" si="5"/>
        <v>0.45078979343863912</v>
      </c>
    </row>
    <row r="373" spans="1:6" ht="96" x14ac:dyDescent="0.2">
      <c r="A373" s="4" t="s">
        <v>3749</v>
      </c>
      <c r="B373">
        <v>49.041916060471706</v>
      </c>
      <c r="C373" s="7">
        <v>0.45200486026731468</v>
      </c>
      <c r="E373">
        <v>49.041916060471706</v>
      </c>
      <c r="F373">
        <f t="shared" si="5"/>
        <v>0.45200486026731468</v>
      </c>
    </row>
    <row r="374" spans="1:6" ht="128" x14ac:dyDescent="0.2">
      <c r="A374" s="4" t="s">
        <v>3624</v>
      </c>
      <c r="B374">
        <v>49.081953487744109</v>
      </c>
      <c r="C374" s="7">
        <v>0.45321992709599029</v>
      </c>
      <c r="E374">
        <v>49.081953487744109</v>
      </c>
      <c r="F374">
        <f t="shared" si="5"/>
        <v>0.45321992709599029</v>
      </c>
    </row>
    <row r="375" spans="1:6" ht="112" x14ac:dyDescent="0.2">
      <c r="A375" s="4" t="s">
        <v>3639</v>
      </c>
      <c r="B375">
        <v>49.08830541964106</v>
      </c>
      <c r="C375" s="7">
        <v>0.45443499392466585</v>
      </c>
      <c r="E375">
        <v>49.08830541964106</v>
      </c>
      <c r="F375">
        <f t="shared" si="5"/>
        <v>0.45443499392466585</v>
      </c>
    </row>
    <row r="376" spans="1:6" ht="112" x14ac:dyDescent="0.2">
      <c r="A376" s="4" t="s">
        <v>3569</v>
      </c>
      <c r="B376">
        <v>49.162690499308532</v>
      </c>
      <c r="C376" s="7">
        <v>0.45565006075334141</v>
      </c>
      <c r="E376">
        <v>49.162690499308532</v>
      </c>
      <c r="F376">
        <f t="shared" si="5"/>
        <v>0.45565006075334141</v>
      </c>
    </row>
    <row r="377" spans="1:6" ht="112" x14ac:dyDescent="0.2">
      <c r="A377" s="4" t="s">
        <v>3390</v>
      </c>
      <c r="B377">
        <v>49.228686763256071</v>
      </c>
      <c r="C377" s="7">
        <v>0.45686512758201703</v>
      </c>
      <c r="E377">
        <v>49.228686763256071</v>
      </c>
      <c r="F377">
        <f t="shared" si="5"/>
        <v>0.45686512758201703</v>
      </c>
    </row>
    <row r="378" spans="1:6" ht="112" x14ac:dyDescent="0.2">
      <c r="A378" s="4" t="s">
        <v>3560</v>
      </c>
      <c r="B378">
        <v>49.238627321089247</v>
      </c>
      <c r="C378" s="7">
        <v>0.45808019441069259</v>
      </c>
      <c r="E378">
        <v>49.238627321089247</v>
      </c>
      <c r="F378">
        <f t="shared" si="5"/>
        <v>0.45808019441069259</v>
      </c>
    </row>
    <row r="379" spans="1:6" ht="112" x14ac:dyDescent="0.2">
      <c r="A379" s="4" t="s">
        <v>3755</v>
      </c>
      <c r="B379">
        <v>49.277175616756949</v>
      </c>
      <c r="C379" s="7">
        <v>0.45929526123936815</v>
      </c>
      <c r="E379">
        <v>49.277175616756949</v>
      </c>
      <c r="F379">
        <f t="shared" si="5"/>
        <v>0.45929526123936815</v>
      </c>
    </row>
    <row r="380" spans="1:6" ht="112" x14ac:dyDescent="0.2">
      <c r="A380" s="4" t="s">
        <v>3687</v>
      </c>
      <c r="B380">
        <v>49.288495702554059</v>
      </c>
      <c r="C380" s="7">
        <v>0.46051032806804376</v>
      </c>
      <c r="E380">
        <v>49.288495702554059</v>
      </c>
      <c r="F380">
        <f t="shared" si="5"/>
        <v>0.46051032806804376</v>
      </c>
    </row>
    <row r="381" spans="1:6" ht="96" x14ac:dyDescent="0.2">
      <c r="A381" s="4" t="s">
        <v>3732</v>
      </c>
      <c r="B381">
        <v>49.471125500312979</v>
      </c>
      <c r="C381" s="7">
        <v>0.46172539489671932</v>
      </c>
      <c r="E381">
        <v>49.471125500312979</v>
      </c>
      <c r="F381">
        <f t="shared" si="5"/>
        <v>0.46172539489671932</v>
      </c>
    </row>
    <row r="382" spans="1:6" ht="112" x14ac:dyDescent="0.2">
      <c r="A382" s="4" t="s">
        <v>3718</v>
      </c>
      <c r="B382">
        <v>49.488956294730045</v>
      </c>
      <c r="C382" s="7">
        <v>0.46294046172539488</v>
      </c>
      <c r="E382">
        <v>49.488956294730045</v>
      </c>
      <c r="F382">
        <f t="shared" si="5"/>
        <v>0.46294046172539488</v>
      </c>
    </row>
    <row r="383" spans="1:6" ht="112" x14ac:dyDescent="0.2">
      <c r="A383" s="4" t="s">
        <v>3502</v>
      </c>
      <c r="B383">
        <v>49.624512230945832</v>
      </c>
      <c r="C383" s="7">
        <v>0.4641555285540705</v>
      </c>
      <c r="E383">
        <v>49.624512230945832</v>
      </c>
      <c r="F383">
        <f t="shared" si="5"/>
        <v>0.4641555285540705</v>
      </c>
    </row>
    <row r="384" spans="1:6" ht="112" x14ac:dyDescent="0.2">
      <c r="A384" s="4" t="s">
        <v>3660</v>
      </c>
      <c r="B384">
        <v>49.669679825997406</v>
      </c>
      <c r="C384" s="7">
        <v>0.46537059538274606</v>
      </c>
      <c r="E384">
        <v>49.669679825997406</v>
      </c>
      <c r="F384">
        <f t="shared" si="5"/>
        <v>0.46537059538274606</v>
      </c>
    </row>
    <row r="385" spans="1:6" ht="112" x14ac:dyDescent="0.2">
      <c r="A385" s="4" t="s">
        <v>3649</v>
      </c>
      <c r="B385">
        <v>49.817794454973388</v>
      </c>
      <c r="C385" s="7">
        <v>0.46658566221142161</v>
      </c>
      <c r="E385">
        <v>49.817794454973388</v>
      </c>
      <c r="F385">
        <f t="shared" si="5"/>
        <v>0.46658566221142161</v>
      </c>
    </row>
    <row r="386" spans="1:6" ht="112" x14ac:dyDescent="0.2">
      <c r="A386" s="4" t="s">
        <v>3688</v>
      </c>
      <c r="B386">
        <v>49.847598983395869</v>
      </c>
      <c r="C386" s="7">
        <v>0.46780072904009723</v>
      </c>
      <c r="E386">
        <v>49.847598983395869</v>
      </c>
      <c r="F386">
        <f t="shared" si="5"/>
        <v>0.46780072904009723</v>
      </c>
    </row>
    <row r="387" spans="1:6" ht="112" x14ac:dyDescent="0.2">
      <c r="A387" s="4" t="s">
        <v>3752</v>
      </c>
      <c r="B387">
        <v>49.852505911542472</v>
      </c>
      <c r="C387" s="7">
        <v>0.46901579586877279</v>
      </c>
      <c r="E387">
        <v>49.852505911542472</v>
      </c>
      <c r="F387">
        <f t="shared" ref="F387:F450" si="6">_xlfn.RANK.EQ(E387,$E$2:$E$824,1)/COUNT($E$2:$E$824)</f>
        <v>0.46901579586877279</v>
      </c>
    </row>
    <row r="388" spans="1:6" ht="96" x14ac:dyDescent="0.2">
      <c r="A388" s="4" t="s">
        <v>3648</v>
      </c>
      <c r="B388">
        <v>49.922102825063277</v>
      </c>
      <c r="C388" s="7">
        <v>0.47023086269744835</v>
      </c>
      <c r="E388">
        <v>49.922102825063277</v>
      </c>
      <c r="F388">
        <f t="shared" si="6"/>
        <v>0.47023086269744835</v>
      </c>
    </row>
    <row r="389" spans="1:6" ht="112" x14ac:dyDescent="0.2">
      <c r="A389" s="4" t="s">
        <v>3673</v>
      </c>
      <c r="B389">
        <v>50.026978194497488</v>
      </c>
      <c r="C389" s="7">
        <v>0.47144592952612396</v>
      </c>
      <c r="E389">
        <v>50.026978194497488</v>
      </c>
      <c r="F389">
        <f t="shared" si="6"/>
        <v>0.47144592952612396</v>
      </c>
    </row>
    <row r="390" spans="1:6" ht="112" x14ac:dyDescent="0.2">
      <c r="A390" s="4" t="s">
        <v>3420</v>
      </c>
      <c r="B390">
        <v>50.115668528091533</v>
      </c>
      <c r="C390" s="7">
        <v>0.47266099635479952</v>
      </c>
      <c r="E390">
        <v>50.115668528091533</v>
      </c>
      <c r="F390">
        <f t="shared" si="6"/>
        <v>0.47266099635479952</v>
      </c>
    </row>
    <row r="391" spans="1:6" ht="112" x14ac:dyDescent="0.2">
      <c r="A391" s="4" t="s">
        <v>3706</v>
      </c>
      <c r="B391">
        <v>50.165853647897009</v>
      </c>
      <c r="C391" s="7">
        <v>0.47387606318347508</v>
      </c>
      <c r="E391">
        <v>50.165853647897009</v>
      </c>
      <c r="F391">
        <f t="shared" si="6"/>
        <v>0.47387606318347508</v>
      </c>
    </row>
    <row r="392" spans="1:6" ht="96" x14ac:dyDescent="0.2">
      <c r="A392" s="4" t="s">
        <v>3748</v>
      </c>
      <c r="B392">
        <v>50.313843919168818</v>
      </c>
      <c r="C392" s="7">
        <v>0.47509113001215064</v>
      </c>
      <c r="E392">
        <v>50.313843919168818</v>
      </c>
      <c r="F392">
        <f t="shared" si="6"/>
        <v>0.47509113001215064</v>
      </c>
    </row>
    <row r="393" spans="1:6" ht="112" x14ac:dyDescent="0.2">
      <c r="A393" s="4" t="s">
        <v>3567</v>
      </c>
      <c r="B393">
        <v>50.379258571665865</v>
      </c>
      <c r="C393" s="7">
        <v>0.47630619684082626</v>
      </c>
      <c r="E393">
        <v>50.379258571665865</v>
      </c>
      <c r="F393">
        <f t="shared" si="6"/>
        <v>0.47630619684082626</v>
      </c>
    </row>
    <row r="394" spans="1:6" ht="112" x14ac:dyDescent="0.2">
      <c r="A394" s="4" t="s">
        <v>3803</v>
      </c>
      <c r="B394">
        <v>50.461082285972601</v>
      </c>
      <c r="C394" s="7">
        <v>0.47752126366950182</v>
      </c>
      <c r="E394">
        <v>50.461082285972601</v>
      </c>
      <c r="F394">
        <f t="shared" si="6"/>
        <v>0.47752126366950182</v>
      </c>
    </row>
    <row r="395" spans="1:6" ht="128" x14ac:dyDescent="0.2">
      <c r="A395" s="4" t="s">
        <v>3712</v>
      </c>
      <c r="B395">
        <v>50.714811126997795</v>
      </c>
      <c r="C395" s="7">
        <v>0.47873633049817738</v>
      </c>
      <c r="E395">
        <v>50.714811126997795</v>
      </c>
      <c r="F395">
        <f t="shared" si="6"/>
        <v>0.47873633049817738</v>
      </c>
    </row>
    <row r="396" spans="1:6" ht="112" x14ac:dyDescent="0.2">
      <c r="A396" s="4" t="s">
        <v>3633</v>
      </c>
      <c r="B396">
        <v>50.729249066103968</v>
      </c>
      <c r="C396" s="7">
        <v>0.47995139732685299</v>
      </c>
      <c r="E396">
        <v>50.729249066103968</v>
      </c>
      <c r="F396">
        <f t="shared" si="6"/>
        <v>0.47995139732685299</v>
      </c>
    </row>
    <row r="397" spans="1:6" ht="112" x14ac:dyDescent="0.2">
      <c r="A397" s="4" t="s">
        <v>3424</v>
      </c>
      <c r="B397">
        <v>50.937880178879688</v>
      </c>
      <c r="C397" s="7">
        <v>0.48116646415552855</v>
      </c>
      <c r="E397">
        <v>50.937880178879688</v>
      </c>
      <c r="F397">
        <f t="shared" si="6"/>
        <v>0.48116646415552855</v>
      </c>
    </row>
    <row r="398" spans="1:6" ht="112" x14ac:dyDescent="0.2">
      <c r="A398" s="4" t="s">
        <v>3482</v>
      </c>
      <c r="B398">
        <v>51.030961193792137</v>
      </c>
      <c r="C398" s="7">
        <v>0.48238153098420411</v>
      </c>
      <c r="E398">
        <v>51.030961193792137</v>
      </c>
      <c r="F398">
        <f t="shared" si="6"/>
        <v>0.48238153098420411</v>
      </c>
    </row>
    <row r="399" spans="1:6" ht="112" x14ac:dyDescent="0.2">
      <c r="A399" s="4" t="s">
        <v>3079</v>
      </c>
      <c r="B399">
        <v>51.034573468380493</v>
      </c>
      <c r="C399" s="7">
        <v>0.48359659781287972</v>
      </c>
      <c r="E399">
        <v>51.034573468380493</v>
      </c>
      <c r="F399">
        <f t="shared" si="6"/>
        <v>0.48359659781287972</v>
      </c>
    </row>
    <row r="400" spans="1:6" ht="112" x14ac:dyDescent="0.2">
      <c r="A400" s="4" t="s">
        <v>3577</v>
      </c>
      <c r="B400">
        <v>51.045632448530647</v>
      </c>
      <c r="C400" s="7">
        <v>0.48481166464155528</v>
      </c>
      <c r="E400">
        <v>51.045632448530647</v>
      </c>
      <c r="F400">
        <f t="shared" si="6"/>
        <v>0.48481166464155528</v>
      </c>
    </row>
    <row r="401" spans="1:6" ht="112" x14ac:dyDescent="0.2">
      <c r="A401" s="4" t="s">
        <v>3133</v>
      </c>
      <c r="B401">
        <v>51.067999999999998</v>
      </c>
      <c r="C401" s="7">
        <v>0.48602673147023084</v>
      </c>
      <c r="E401">
        <v>51.067999999999998</v>
      </c>
      <c r="F401">
        <f t="shared" si="6"/>
        <v>0.48602673147023084</v>
      </c>
    </row>
    <row r="402" spans="1:6" ht="112" x14ac:dyDescent="0.2">
      <c r="A402" s="4" t="s">
        <v>3593</v>
      </c>
      <c r="B402">
        <v>51.223114850270768</v>
      </c>
      <c r="C402" s="7">
        <v>0.48724179829890646</v>
      </c>
      <c r="E402">
        <v>51.223114850270768</v>
      </c>
      <c r="F402">
        <f t="shared" si="6"/>
        <v>0.48724179829890646</v>
      </c>
    </row>
    <row r="403" spans="1:6" ht="112" x14ac:dyDescent="0.2">
      <c r="A403" s="4" t="s">
        <v>3679</v>
      </c>
      <c r="B403">
        <v>51.300995255628422</v>
      </c>
      <c r="C403" s="7">
        <v>0.48845686512758202</v>
      </c>
      <c r="E403">
        <v>51.300995255628422</v>
      </c>
      <c r="F403">
        <f t="shared" si="6"/>
        <v>0.48845686512758202</v>
      </c>
    </row>
    <row r="404" spans="1:6" ht="112" x14ac:dyDescent="0.2">
      <c r="A404" s="4" t="s">
        <v>3775</v>
      </c>
      <c r="B404">
        <v>51.423005570063054</v>
      </c>
      <c r="C404" s="7">
        <v>0.48967193195625758</v>
      </c>
      <c r="E404">
        <v>51.423005570063054</v>
      </c>
      <c r="F404">
        <f t="shared" si="6"/>
        <v>0.48967193195625758</v>
      </c>
    </row>
    <row r="405" spans="1:6" ht="112" x14ac:dyDescent="0.2">
      <c r="A405" s="4" t="s">
        <v>3730</v>
      </c>
      <c r="B405">
        <v>51.566600832895972</v>
      </c>
      <c r="C405" s="7">
        <v>0.49088699878493319</v>
      </c>
      <c r="E405">
        <v>51.566600832895972</v>
      </c>
      <c r="F405">
        <f t="shared" si="6"/>
        <v>0.49088699878493319</v>
      </c>
    </row>
    <row r="406" spans="1:6" ht="96" x14ac:dyDescent="0.2">
      <c r="A406" s="4" t="s">
        <v>3800</v>
      </c>
      <c r="B406">
        <v>51.590400727035259</v>
      </c>
      <c r="C406" s="7">
        <v>0.49210206561360875</v>
      </c>
      <c r="E406">
        <v>51.590400727035259</v>
      </c>
      <c r="F406">
        <f t="shared" si="6"/>
        <v>0.49210206561360875</v>
      </c>
    </row>
    <row r="407" spans="1:6" ht="112" x14ac:dyDescent="0.2">
      <c r="A407" s="4" t="s">
        <v>3426</v>
      </c>
      <c r="B407">
        <v>51.669789557740373</v>
      </c>
      <c r="C407" s="7">
        <v>0.49331713244228431</v>
      </c>
      <c r="E407">
        <v>51.669789557740373</v>
      </c>
      <c r="F407">
        <f t="shared" si="6"/>
        <v>0.49331713244228431</v>
      </c>
    </row>
    <row r="408" spans="1:6" ht="112" x14ac:dyDescent="0.2">
      <c r="A408" s="4" t="s">
        <v>3764</v>
      </c>
      <c r="B408">
        <v>51.720191071059254</v>
      </c>
      <c r="C408" s="7">
        <v>0.49453219927095993</v>
      </c>
      <c r="E408">
        <v>51.720191071059254</v>
      </c>
      <c r="F408">
        <f t="shared" si="6"/>
        <v>0.49453219927095993</v>
      </c>
    </row>
    <row r="409" spans="1:6" ht="112" x14ac:dyDescent="0.2">
      <c r="A409" s="4" t="s">
        <v>3352</v>
      </c>
      <c r="B409">
        <v>51.736240956861728</v>
      </c>
      <c r="C409" s="7">
        <v>0.49574726609963549</v>
      </c>
      <c r="E409">
        <v>51.736240956861728</v>
      </c>
      <c r="F409">
        <f t="shared" si="6"/>
        <v>0.49574726609963549</v>
      </c>
    </row>
    <row r="410" spans="1:6" ht="112" x14ac:dyDescent="0.2">
      <c r="A410" s="4" t="s">
        <v>3742</v>
      </c>
      <c r="B410">
        <v>51.899595553637781</v>
      </c>
      <c r="C410" s="7">
        <v>0.49696233292831105</v>
      </c>
      <c r="E410">
        <v>51.899595553637781</v>
      </c>
      <c r="F410">
        <f t="shared" si="6"/>
        <v>0.49696233292831105</v>
      </c>
    </row>
    <row r="411" spans="1:6" ht="112" x14ac:dyDescent="0.2">
      <c r="A411" s="4" t="s">
        <v>3183</v>
      </c>
      <c r="B411">
        <v>51.93470641651831</v>
      </c>
      <c r="C411" s="7">
        <v>0.49817739975698666</v>
      </c>
      <c r="E411">
        <v>51.93470641651831</v>
      </c>
      <c r="F411">
        <f t="shared" si="6"/>
        <v>0.49817739975698666</v>
      </c>
    </row>
    <row r="412" spans="1:6" ht="112" x14ac:dyDescent="0.2">
      <c r="A412" s="4" t="s">
        <v>3750</v>
      </c>
      <c r="B412">
        <v>51.985500197940191</v>
      </c>
      <c r="C412" s="7">
        <v>0.49939246658566222</v>
      </c>
      <c r="E412">
        <v>51.985500197940191</v>
      </c>
      <c r="F412">
        <f t="shared" si="6"/>
        <v>0.49939246658566222</v>
      </c>
    </row>
    <row r="413" spans="1:6" ht="112" x14ac:dyDescent="0.2">
      <c r="A413" s="4" t="s">
        <v>3651</v>
      </c>
      <c r="B413">
        <v>51.998853049760299</v>
      </c>
      <c r="C413" s="7">
        <v>0.50060753341433784</v>
      </c>
      <c r="E413">
        <v>51.998853049760299</v>
      </c>
      <c r="F413">
        <f t="shared" si="6"/>
        <v>0.50060753341433784</v>
      </c>
    </row>
    <row r="414" spans="1:6" ht="112" x14ac:dyDescent="0.2">
      <c r="A414" s="4" t="s">
        <v>3135</v>
      </c>
      <c r="B414">
        <v>52.048010467222085</v>
      </c>
      <c r="C414" s="7">
        <v>0.50182260024301339</v>
      </c>
      <c r="E414">
        <v>52.048010467222085</v>
      </c>
      <c r="F414">
        <f t="shared" si="6"/>
        <v>0.50182260024301339</v>
      </c>
    </row>
    <row r="415" spans="1:6" ht="112" x14ac:dyDescent="0.2">
      <c r="A415" s="4" t="s">
        <v>3694</v>
      </c>
      <c r="B415">
        <v>52.063363418384554</v>
      </c>
      <c r="C415" s="7">
        <v>0.50303766707168895</v>
      </c>
      <c r="E415">
        <v>52.063363418384554</v>
      </c>
      <c r="F415">
        <f t="shared" si="6"/>
        <v>0.50303766707168895</v>
      </c>
    </row>
    <row r="416" spans="1:6" ht="96" x14ac:dyDescent="0.2">
      <c r="A416" s="4" t="s">
        <v>3770</v>
      </c>
      <c r="B416">
        <v>52.091911854146367</v>
      </c>
      <c r="C416" s="7">
        <v>0.50425273390036451</v>
      </c>
      <c r="E416">
        <v>52.091911854146367</v>
      </c>
      <c r="F416">
        <f t="shared" si="6"/>
        <v>0.50425273390036451</v>
      </c>
    </row>
    <row r="417" spans="1:6" ht="112" x14ac:dyDescent="0.2">
      <c r="A417" s="4" t="s">
        <v>3372</v>
      </c>
      <c r="B417">
        <v>52.258856561189411</v>
      </c>
      <c r="C417" s="7">
        <v>0.50546780072904007</v>
      </c>
      <c r="E417">
        <v>52.258856561189411</v>
      </c>
      <c r="F417">
        <f t="shared" si="6"/>
        <v>0.50546780072904007</v>
      </c>
    </row>
    <row r="418" spans="1:6" ht="112" x14ac:dyDescent="0.2">
      <c r="A418" s="4" t="s">
        <v>3758</v>
      </c>
      <c r="B418">
        <v>52.373470809447973</v>
      </c>
      <c r="C418" s="7">
        <v>0.50668286755771563</v>
      </c>
      <c r="E418">
        <v>52.373470809447973</v>
      </c>
      <c r="F418">
        <f t="shared" si="6"/>
        <v>0.50668286755771563</v>
      </c>
    </row>
    <row r="419" spans="1:6" ht="112" x14ac:dyDescent="0.2">
      <c r="A419" s="4" t="s">
        <v>3754</v>
      </c>
      <c r="B419">
        <v>52.390491221372095</v>
      </c>
      <c r="C419" s="7">
        <v>0.5078979343863913</v>
      </c>
      <c r="E419">
        <v>52.390491221372095</v>
      </c>
      <c r="F419">
        <f t="shared" si="6"/>
        <v>0.5078979343863913</v>
      </c>
    </row>
    <row r="420" spans="1:6" ht="112" x14ac:dyDescent="0.2">
      <c r="A420" s="4" t="s">
        <v>3277</v>
      </c>
      <c r="B420">
        <v>52.447142929178625</v>
      </c>
      <c r="C420" s="7">
        <v>0.50911300121506686</v>
      </c>
      <c r="E420">
        <v>52.447142929178625</v>
      </c>
      <c r="F420">
        <f t="shared" si="6"/>
        <v>0.50911300121506686</v>
      </c>
    </row>
    <row r="421" spans="1:6" ht="112" x14ac:dyDescent="0.2">
      <c r="A421" s="4" t="s">
        <v>3589</v>
      </c>
      <c r="B421">
        <v>52.476560272647255</v>
      </c>
      <c r="C421" s="7">
        <v>0.51032806804374242</v>
      </c>
      <c r="E421">
        <v>52.476560272647255</v>
      </c>
      <c r="F421">
        <f t="shared" si="6"/>
        <v>0.51032806804374242</v>
      </c>
    </row>
    <row r="422" spans="1:6" ht="112" x14ac:dyDescent="0.2">
      <c r="A422" s="4" t="s">
        <v>3727</v>
      </c>
      <c r="B422">
        <v>52.567402644760058</v>
      </c>
      <c r="C422" s="7">
        <v>0.51154313487241798</v>
      </c>
      <c r="E422">
        <v>52.567402644760058</v>
      </c>
      <c r="F422">
        <f t="shared" si="6"/>
        <v>0.51154313487241798</v>
      </c>
    </row>
    <row r="423" spans="1:6" ht="112" x14ac:dyDescent="0.2">
      <c r="A423" s="4" t="s">
        <v>3598</v>
      </c>
      <c r="B423">
        <v>52.608929621485053</v>
      </c>
      <c r="C423" s="7">
        <v>0.51275820170109354</v>
      </c>
      <c r="E423">
        <v>52.608929621485053</v>
      </c>
      <c r="F423">
        <f t="shared" si="6"/>
        <v>0.51275820170109354</v>
      </c>
    </row>
    <row r="424" spans="1:6" ht="112" x14ac:dyDescent="0.2">
      <c r="A424" s="4" t="s">
        <v>3513</v>
      </c>
      <c r="B424">
        <v>52.653529376189304</v>
      </c>
      <c r="C424" s="7">
        <v>0.5139732685297691</v>
      </c>
      <c r="E424">
        <v>52.653529376189304</v>
      </c>
      <c r="F424">
        <f t="shared" si="6"/>
        <v>0.5139732685297691</v>
      </c>
    </row>
    <row r="425" spans="1:6" ht="128" x14ac:dyDescent="0.2">
      <c r="A425" s="4" t="s">
        <v>3628</v>
      </c>
      <c r="B425">
        <v>52.663595683034778</v>
      </c>
      <c r="C425" s="7">
        <v>0.51518833535844466</v>
      </c>
      <c r="E425">
        <v>52.663595683034778</v>
      </c>
      <c r="F425">
        <f t="shared" si="6"/>
        <v>0.51518833535844466</v>
      </c>
    </row>
    <row r="426" spans="1:6" ht="112" x14ac:dyDescent="0.2">
      <c r="A426" s="4" t="s">
        <v>3741</v>
      </c>
      <c r="B426">
        <v>52.720106369886757</v>
      </c>
      <c r="C426" s="7">
        <v>0.51640340218712033</v>
      </c>
      <c r="E426">
        <v>52.720106369886757</v>
      </c>
      <c r="F426">
        <f t="shared" si="6"/>
        <v>0.51640340218712033</v>
      </c>
    </row>
    <row r="427" spans="1:6" ht="96" x14ac:dyDescent="0.2">
      <c r="A427" s="4" t="s">
        <v>3629</v>
      </c>
      <c r="B427">
        <v>52.760643861303855</v>
      </c>
      <c r="C427" s="7">
        <v>0.51761846901579589</v>
      </c>
      <c r="E427">
        <v>52.760643861303855</v>
      </c>
      <c r="F427">
        <f t="shared" si="6"/>
        <v>0.51761846901579589</v>
      </c>
    </row>
    <row r="428" spans="1:6" ht="112" x14ac:dyDescent="0.2">
      <c r="A428" s="4" t="s">
        <v>3768</v>
      </c>
      <c r="B428">
        <v>52.775145668843464</v>
      </c>
      <c r="C428" s="7">
        <v>0.51883353584447145</v>
      </c>
      <c r="E428">
        <v>52.775145668843464</v>
      </c>
      <c r="F428">
        <f t="shared" si="6"/>
        <v>0.51883353584447145</v>
      </c>
    </row>
    <row r="429" spans="1:6" ht="112" x14ac:dyDescent="0.2">
      <c r="A429" s="4" t="s">
        <v>3579</v>
      </c>
      <c r="B429">
        <v>52.889746219587913</v>
      </c>
      <c r="C429" s="7">
        <v>0.52004860267314701</v>
      </c>
      <c r="E429">
        <v>52.889746219587913</v>
      </c>
      <c r="F429">
        <f t="shared" si="6"/>
        <v>0.52004860267314701</v>
      </c>
    </row>
    <row r="430" spans="1:6" ht="112" x14ac:dyDescent="0.2">
      <c r="A430" s="4" t="s">
        <v>3388</v>
      </c>
      <c r="B430">
        <v>52.998558963005522</v>
      </c>
      <c r="C430" s="7">
        <v>0.52126366950182257</v>
      </c>
      <c r="E430">
        <v>52.998558963005522</v>
      </c>
      <c r="F430">
        <f t="shared" si="6"/>
        <v>0.52126366950182257</v>
      </c>
    </row>
    <row r="431" spans="1:6" ht="112" x14ac:dyDescent="0.2">
      <c r="A431" s="4" t="s">
        <v>3552</v>
      </c>
      <c r="B431">
        <v>53.053979940704153</v>
      </c>
      <c r="C431" s="7">
        <v>0.52247873633049813</v>
      </c>
      <c r="E431">
        <v>53.053979940704153</v>
      </c>
      <c r="F431">
        <f t="shared" si="6"/>
        <v>0.52247873633049813</v>
      </c>
    </row>
    <row r="432" spans="1:6" ht="112" x14ac:dyDescent="0.2">
      <c r="A432" s="4" t="s">
        <v>3121</v>
      </c>
      <c r="B432">
        <v>53.097864927997755</v>
      </c>
      <c r="C432" s="7">
        <v>0.5236938031591738</v>
      </c>
      <c r="E432">
        <v>53.097864927997755</v>
      </c>
      <c r="F432">
        <f t="shared" si="6"/>
        <v>0.5236938031591738</v>
      </c>
    </row>
    <row r="433" spans="1:6" ht="112" x14ac:dyDescent="0.2">
      <c r="A433" s="4" t="s">
        <v>3257</v>
      </c>
      <c r="B433">
        <v>53.109809762454574</v>
      </c>
      <c r="C433" s="7">
        <v>0.52490886998784936</v>
      </c>
      <c r="E433">
        <v>53.109809762454574</v>
      </c>
      <c r="F433">
        <f t="shared" si="6"/>
        <v>0.52490886998784936</v>
      </c>
    </row>
    <row r="434" spans="1:6" ht="112" x14ac:dyDescent="0.2">
      <c r="A434" s="4" t="s">
        <v>3465</v>
      </c>
      <c r="B434">
        <v>53.189609822816422</v>
      </c>
      <c r="C434" s="7">
        <v>0.52612393681652492</v>
      </c>
      <c r="E434">
        <v>53.189609822816422</v>
      </c>
      <c r="F434">
        <f t="shared" si="6"/>
        <v>0.52612393681652492</v>
      </c>
    </row>
    <row r="435" spans="1:6" ht="112" x14ac:dyDescent="0.2">
      <c r="A435" s="4" t="s">
        <v>3382</v>
      </c>
      <c r="B435">
        <v>53.320623381368847</v>
      </c>
      <c r="C435" s="7">
        <v>0.52733900364520048</v>
      </c>
      <c r="E435">
        <v>53.320623381368847</v>
      </c>
      <c r="F435">
        <f t="shared" si="6"/>
        <v>0.52733900364520048</v>
      </c>
    </row>
    <row r="436" spans="1:6" ht="112" x14ac:dyDescent="0.2">
      <c r="A436" s="4" t="s">
        <v>3436</v>
      </c>
      <c r="B436">
        <v>53.479980715036739</v>
      </c>
      <c r="C436" s="7">
        <v>0.52855407047387604</v>
      </c>
      <c r="E436">
        <v>53.479980715036739</v>
      </c>
      <c r="F436">
        <f t="shared" si="6"/>
        <v>0.52855407047387604</v>
      </c>
    </row>
    <row r="437" spans="1:6" ht="128" x14ac:dyDescent="0.2">
      <c r="A437" s="4" t="s">
        <v>3245</v>
      </c>
      <c r="B437">
        <v>53.490122099698596</v>
      </c>
      <c r="C437" s="7">
        <v>0.5297691373025516</v>
      </c>
      <c r="E437">
        <v>53.490122099698596</v>
      </c>
      <c r="F437">
        <f t="shared" si="6"/>
        <v>0.5297691373025516</v>
      </c>
    </row>
    <row r="438" spans="1:6" ht="112" x14ac:dyDescent="0.2">
      <c r="A438" s="4" t="s">
        <v>3139</v>
      </c>
      <c r="B438">
        <v>53.552153802840429</v>
      </c>
      <c r="C438" s="7">
        <v>0.53098420413122727</v>
      </c>
      <c r="E438">
        <v>53.552153802840429</v>
      </c>
      <c r="F438">
        <f t="shared" si="6"/>
        <v>0.53098420413122727</v>
      </c>
    </row>
    <row r="439" spans="1:6" ht="112" x14ac:dyDescent="0.2">
      <c r="A439" s="4" t="s">
        <v>3640</v>
      </c>
      <c r="B439">
        <v>53.557206270766329</v>
      </c>
      <c r="C439" s="7">
        <v>0.53219927095990283</v>
      </c>
      <c r="E439">
        <v>53.557206270766329</v>
      </c>
      <c r="F439">
        <f t="shared" si="6"/>
        <v>0.53219927095990283</v>
      </c>
    </row>
    <row r="440" spans="1:6" ht="112" x14ac:dyDescent="0.2">
      <c r="A440" s="4" t="s">
        <v>3781</v>
      </c>
      <c r="B440">
        <v>53.560085588560888</v>
      </c>
      <c r="C440" s="7">
        <v>0.53341433778857839</v>
      </c>
      <c r="E440">
        <v>53.560085588560888</v>
      </c>
      <c r="F440">
        <f t="shared" si="6"/>
        <v>0.53341433778857839</v>
      </c>
    </row>
    <row r="441" spans="1:6" ht="112" x14ac:dyDescent="0.2">
      <c r="A441" s="4" t="s">
        <v>3219</v>
      </c>
      <c r="B441">
        <v>53.630636930168421</v>
      </c>
      <c r="C441" s="7">
        <v>0.53462940461725394</v>
      </c>
      <c r="E441">
        <v>53.630636930168421</v>
      </c>
      <c r="F441">
        <f t="shared" si="6"/>
        <v>0.53462940461725394</v>
      </c>
    </row>
    <row r="442" spans="1:6" ht="112" x14ac:dyDescent="0.2">
      <c r="A442" s="4" t="s">
        <v>3672</v>
      </c>
      <c r="B442">
        <v>53.675967932401335</v>
      </c>
      <c r="C442" s="7">
        <v>0.5358444714459295</v>
      </c>
      <c r="E442">
        <v>53.675967932401335</v>
      </c>
      <c r="F442">
        <f t="shared" si="6"/>
        <v>0.5358444714459295</v>
      </c>
    </row>
    <row r="443" spans="1:6" ht="112" x14ac:dyDescent="0.2">
      <c r="A443" s="4" t="s">
        <v>3584</v>
      </c>
      <c r="B443">
        <v>53.693102961413956</v>
      </c>
      <c r="C443" s="7">
        <v>0.53705953827460506</v>
      </c>
      <c r="E443">
        <v>53.693102961413956</v>
      </c>
      <c r="F443">
        <f t="shared" si="6"/>
        <v>0.53705953827460506</v>
      </c>
    </row>
    <row r="444" spans="1:6" ht="112" x14ac:dyDescent="0.2">
      <c r="A444" s="4" t="s">
        <v>3374</v>
      </c>
      <c r="B444">
        <v>53.783124999999998</v>
      </c>
      <c r="C444" s="7">
        <v>0.53827460510328073</v>
      </c>
      <c r="E444">
        <v>53.783124999999998</v>
      </c>
      <c r="F444">
        <f t="shared" si="6"/>
        <v>0.53827460510328073</v>
      </c>
    </row>
    <row r="445" spans="1:6" ht="112" x14ac:dyDescent="0.2">
      <c r="A445" s="4" t="s">
        <v>3705</v>
      </c>
      <c r="B445">
        <v>53.783468032930799</v>
      </c>
      <c r="C445" s="7">
        <v>0.53948967193195629</v>
      </c>
      <c r="E445">
        <v>53.783468032930799</v>
      </c>
      <c r="F445">
        <f t="shared" si="6"/>
        <v>0.53948967193195629</v>
      </c>
    </row>
    <row r="446" spans="1:6" ht="112" x14ac:dyDescent="0.2">
      <c r="A446" s="4" t="s">
        <v>3778</v>
      </c>
      <c r="B446">
        <v>53.885684006892667</v>
      </c>
      <c r="C446" s="7">
        <v>0.54070473876063185</v>
      </c>
      <c r="E446">
        <v>53.885684006892667</v>
      </c>
      <c r="F446">
        <f t="shared" si="6"/>
        <v>0.54070473876063185</v>
      </c>
    </row>
    <row r="447" spans="1:6" ht="112" x14ac:dyDescent="0.2">
      <c r="A447" s="4" t="s">
        <v>3753</v>
      </c>
      <c r="B447">
        <v>53.946556244306784</v>
      </c>
      <c r="C447" s="7">
        <v>0.54191980558930741</v>
      </c>
      <c r="E447">
        <v>53.946556244306784</v>
      </c>
      <c r="F447">
        <f t="shared" si="6"/>
        <v>0.54191980558930741</v>
      </c>
    </row>
    <row r="448" spans="1:6" ht="112" x14ac:dyDescent="0.2">
      <c r="A448" s="4" t="s">
        <v>3235</v>
      </c>
      <c r="B448">
        <v>53.982818021886914</v>
      </c>
      <c r="C448" s="7">
        <v>0.54313487241798297</v>
      </c>
      <c r="E448">
        <v>53.982818021886914</v>
      </c>
      <c r="F448">
        <f t="shared" si="6"/>
        <v>0.54313487241798297</v>
      </c>
    </row>
    <row r="449" spans="1:6" ht="112" x14ac:dyDescent="0.2">
      <c r="A449" s="4" t="s">
        <v>3756</v>
      </c>
      <c r="B449">
        <v>54.210666666666661</v>
      </c>
      <c r="C449" s="7">
        <v>0.54434993924665853</v>
      </c>
      <c r="E449">
        <v>54.210666666666661</v>
      </c>
      <c r="F449">
        <f t="shared" si="6"/>
        <v>0.54434993924665853</v>
      </c>
    </row>
    <row r="450" spans="1:6" ht="112" x14ac:dyDescent="0.2">
      <c r="A450" s="4" t="s">
        <v>3049</v>
      </c>
      <c r="B450">
        <v>54.252973928483819</v>
      </c>
      <c r="C450" s="7">
        <v>0.54556500607533409</v>
      </c>
      <c r="E450">
        <v>54.252973928483819</v>
      </c>
      <c r="F450">
        <f t="shared" si="6"/>
        <v>0.54556500607533409</v>
      </c>
    </row>
    <row r="451" spans="1:6" ht="112" x14ac:dyDescent="0.2">
      <c r="A451" s="4" t="s">
        <v>3707</v>
      </c>
      <c r="B451">
        <v>54.355586578088385</v>
      </c>
      <c r="C451" s="7">
        <v>0.54678007290400976</v>
      </c>
      <c r="E451">
        <v>54.355586578088385</v>
      </c>
      <c r="F451">
        <f t="shared" ref="F451:F514" si="7">_xlfn.RANK.EQ(E451,$E$2:$E$824,1)/COUNT($E$2:$E$824)</f>
        <v>0.54678007290400976</v>
      </c>
    </row>
    <row r="452" spans="1:6" ht="112" x14ac:dyDescent="0.2">
      <c r="A452" s="4" t="s">
        <v>3739</v>
      </c>
      <c r="B452">
        <v>54.359722816173033</v>
      </c>
      <c r="C452" s="7">
        <v>0.54799513973268532</v>
      </c>
      <c r="E452">
        <v>54.359722816173033</v>
      </c>
      <c r="F452">
        <f t="shared" si="7"/>
        <v>0.54799513973268532</v>
      </c>
    </row>
    <row r="453" spans="1:6" ht="112" x14ac:dyDescent="0.2">
      <c r="A453" s="4" t="s">
        <v>3634</v>
      </c>
      <c r="B453">
        <v>54.387462248408539</v>
      </c>
      <c r="C453" s="7">
        <v>0.54921020656136088</v>
      </c>
      <c r="E453">
        <v>54.387462248408539</v>
      </c>
      <c r="F453">
        <f t="shared" si="7"/>
        <v>0.54921020656136088</v>
      </c>
    </row>
    <row r="454" spans="1:6" ht="112" x14ac:dyDescent="0.2">
      <c r="A454" s="4" t="s">
        <v>3488</v>
      </c>
      <c r="B454">
        <v>54.433105395181727</v>
      </c>
      <c r="C454" s="7">
        <v>0.55042527339003644</v>
      </c>
      <c r="E454">
        <v>54.433105395181727</v>
      </c>
      <c r="F454">
        <f t="shared" si="7"/>
        <v>0.55042527339003644</v>
      </c>
    </row>
    <row r="455" spans="1:6" ht="96" x14ac:dyDescent="0.2">
      <c r="A455" s="4" t="s">
        <v>3811</v>
      </c>
      <c r="B455">
        <v>54.490850611477143</v>
      </c>
      <c r="C455" s="7">
        <v>0.551640340218712</v>
      </c>
      <c r="E455">
        <v>54.490850611477143</v>
      </c>
      <c r="F455">
        <f t="shared" si="7"/>
        <v>0.551640340218712</v>
      </c>
    </row>
    <row r="456" spans="1:6" ht="112" x14ac:dyDescent="0.2">
      <c r="A456" s="4" t="s">
        <v>3153</v>
      </c>
      <c r="B456">
        <v>54.526198193049872</v>
      </c>
      <c r="C456" s="7">
        <v>0.55285540704738756</v>
      </c>
      <c r="E456">
        <v>54.526198193049872</v>
      </c>
      <c r="F456">
        <f t="shared" si="7"/>
        <v>0.55285540704738756</v>
      </c>
    </row>
    <row r="457" spans="1:6" ht="112" x14ac:dyDescent="0.2">
      <c r="A457" s="4" t="s">
        <v>3772</v>
      </c>
      <c r="B457">
        <v>54.746633531010133</v>
      </c>
      <c r="C457" s="7">
        <v>0.55407047387606323</v>
      </c>
      <c r="E457">
        <v>54.746633531010133</v>
      </c>
      <c r="F457">
        <f t="shared" si="7"/>
        <v>0.55407047387606323</v>
      </c>
    </row>
    <row r="458" spans="1:6" ht="112" x14ac:dyDescent="0.2">
      <c r="A458" s="4" t="s">
        <v>3485</v>
      </c>
      <c r="B458">
        <v>54.812997400387353</v>
      </c>
      <c r="C458" s="7">
        <v>0.55528554070473879</v>
      </c>
      <c r="E458">
        <v>54.812997400387353</v>
      </c>
      <c r="F458">
        <f t="shared" si="7"/>
        <v>0.55528554070473879</v>
      </c>
    </row>
    <row r="459" spans="1:6" ht="112" x14ac:dyDescent="0.2">
      <c r="A459" s="4" t="s">
        <v>3283</v>
      </c>
      <c r="B459">
        <v>54.891245315940886</v>
      </c>
      <c r="C459" s="7">
        <v>0.55650060753341435</v>
      </c>
      <c r="E459">
        <v>54.891245315940886</v>
      </c>
      <c r="F459">
        <f t="shared" si="7"/>
        <v>0.55650060753341435</v>
      </c>
    </row>
    <row r="460" spans="1:6" ht="96" x14ac:dyDescent="0.2">
      <c r="A460" s="4" t="s">
        <v>3815</v>
      </c>
      <c r="B460">
        <v>54.922551870926377</v>
      </c>
      <c r="C460" s="7">
        <v>0.55771567436208991</v>
      </c>
      <c r="E460">
        <v>54.922551870926377</v>
      </c>
      <c r="F460">
        <f t="shared" si="7"/>
        <v>0.55771567436208991</v>
      </c>
    </row>
    <row r="461" spans="1:6" ht="112" x14ac:dyDescent="0.2">
      <c r="A461" s="4" t="s">
        <v>3496</v>
      </c>
      <c r="B461">
        <v>54.945701227059907</v>
      </c>
      <c r="C461" s="7">
        <v>0.55893074119076547</v>
      </c>
      <c r="E461">
        <v>54.945701227059907</v>
      </c>
      <c r="F461">
        <f t="shared" si="7"/>
        <v>0.55893074119076547</v>
      </c>
    </row>
    <row r="462" spans="1:6" ht="112" x14ac:dyDescent="0.2">
      <c r="A462" s="4" t="s">
        <v>3774</v>
      </c>
      <c r="B462">
        <v>54.965425090599766</v>
      </c>
      <c r="C462" s="7">
        <v>0.56014580801944103</v>
      </c>
      <c r="E462">
        <v>54.965425090599766</v>
      </c>
      <c r="F462">
        <f t="shared" si="7"/>
        <v>0.56014580801944103</v>
      </c>
    </row>
    <row r="463" spans="1:6" ht="112" x14ac:dyDescent="0.2">
      <c r="A463" s="4" t="s">
        <v>3207</v>
      </c>
      <c r="B463">
        <v>54.969844533315509</v>
      </c>
      <c r="C463" s="7">
        <v>0.5613608748481167</v>
      </c>
      <c r="E463">
        <v>54.969844533315509</v>
      </c>
      <c r="F463">
        <f t="shared" si="7"/>
        <v>0.5613608748481167</v>
      </c>
    </row>
    <row r="464" spans="1:6" ht="112" x14ac:dyDescent="0.2">
      <c r="A464" s="4" t="s">
        <v>3761</v>
      </c>
      <c r="B464">
        <v>55.007056236896162</v>
      </c>
      <c r="C464" s="7">
        <v>0.56257594167679226</v>
      </c>
      <c r="E464">
        <v>55.007056236896162</v>
      </c>
      <c r="F464">
        <f t="shared" si="7"/>
        <v>0.56257594167679226</v>
      </c>
    </row>
    <row r="465" spans="1:6" ht="128" x14ac:dyDescent="0.2">
      <c r="A465" s="4" t="s">
        <v>3795</v>
      </c>
      <c r="B465">
        <v>55.040413473961252</v>
      </c>
      <c r="C465" s="7">
        <v>0.56379100850546782</v>
      </c>
      <c r="E465">
        <v>55.040413473961252</v>
      </c>
      <c r="F465">
        <f t="shared" si="7"/>
        <v>0.56379100850546782</v>
      </c>
    </row>
    <row r="466" spans="1:6" ht="112" x14ac:dyDescent="0.2">
      <c r="A466" s="4" t="s">
        <v>3796</v>
      </c>
      <c r="B466">
        <v>55.087556570711122</v>
      </c>
      <c r="C466" s="7">
        <v>0.56500607533414338</v>
      </c>
      <c r="E466">
        <v>55.087556570711122</v>
      </c>
      <c r="F466">
        <f t="shared" si="7"/>
        <v>0.56500607533414338</v>
      </c>
    </row>
    <row r="467" spans="1:6" ht="112" x14ac:dyDescent="0.2">
      <c r="A467" s="4" t="s">
        <v>3685</v>
      </c>
      <c r="B467">
        <v>55.102088017418275</v>
      </c>
      <c r="C467" s="7">
        <v>0.56622114216281894</v>
      </c>
      <c r="E467">
        <v>55.102088017418275</v>
      </c>
      <c r="F467">
        <f t="shared" si="7"/>
        <v>0.56622114216281894</v>
      </c>
    </row>
    <row r="468" spans="1:6" ht="112" x14ac:dyDescent="0.2">
      <c r="A468" s="4" t="s">
        <v>3571</v>
      </c>
      <c r="B468">
        <v>55.176893801468609</v>
      </c>
      <c r="C468" s="7">
        <v>0.5674362089914945</v>
      </c>
      <c r="E468">
        <v>55.176893801468609</v>
      </c>
      <c r="F468">
        <f t="shared" si="7"/>
        <v>0.5674362089914945</v>
      </c>
    </row>
    <row r="469" spans="1:6" ht="112" x14ac:dyDescent="0.2">
      <c r="A469" s="4" t="s">
        <v>3746</v>
      </c>
      <c r="B469">
        <v>55.205715880584769</v>
      </c>
      <c r="C469" s="7">
        <v>0.56865127582017005</v>
      </c>
      <c r="E469">
        <v>55.205715880584769</v>
      </c>
      <c r="F469">
        <f t="shared" si="7"/>
        <v>0.56865127582017005</v>
      </c>
    </row>
    <row r="470" spans="1:6" ht="112" x14ac:dyDescent="0.2">
      <c r="A470" s="4" t="s">
        <v>3285</v>
      </c>
      <c r="B470">
        <v>55.41536183741848</v>
      </c>
      <c r="C470" s="7">
        <v>0.56986634264884573</v>
      </c>
      <c r="E470">
        <v>55.41536183741848</v>
      </c>
      <c r="F470">
        <f t="shared" si="7"/>
        <v>0.56986634264884573</v>
      </c>
    </row>
    <row r="471" spans="1:6" ht="112" x14ac:dyDescent="0.2">
      <c r="A471" s="4" t="s">
        <v>3075</v>
      </c>
      <c r="B471">
        <v>55.440890162496935</v>
      </c>
      <c r="C471" s="7">
        <v>0.57108140947752128</v>
      </c>
      <c r="E471">
        <v>55.440890162496935</v>
      </c>
      <c r="F471">
        <f t="shared" si="7"/>
        <v>0.57108140947752128</v>
      </c>
    </row>
    <row r="472" spans="1:6" ht="112" x14ac:dyDescent="0.2">
      <c r="A472" s="4" t="s">
        <v>3791</v>
      </c>
      <c r="B472">
        <v>55.462810122339334</v>
      </c>
      <c r="C472" s="7">
        <v>0.57229647630619684</v>
      </c>
      <c r="E472">
        <v>55.462810122339334</v>
      </c>
      <c r="F472">
        <f t="shared" si="7"/>
        <v>0.57229647630619684</v>
      </c>
    </row>
    <row r="473" spans="1:6" ht="112" x14ac:dyDescent="0.2">
      <c r="A473" s="4" t="s">
        <v>3221</v>
      </c>
      <c r="B473">
        <v>55.627056936121342</v>
      </c>
      <c r="C473" s="7">
        <v>0.5735115431348724</v>
      </c>
      <c r="E473">
        <v>55.627056936121342</v>
      </c>
      <c r="F473">
        <f t="shared" si="7"/>
        <v>0.5735115431348724</v>
      </c>
    </row>
    <row r="474" spans="1:6" ht="96" x14ac:dyDescent="0.2">
      <c r="A474" s="4" t="s">
        <v>3812</v>
      </c>
      <c r="B474">
        <v>55.740750775081032</v>
      </c>
      <c r="C474" s="7">
        <v>0.57472660996354796</v>
      </c>
      <c r="E474">
        <v>55.740750775081032</v>
      </c>
      <c r="F474">
        <f t="shared" si="7"/>
        <v>0.57472660996354796</v>
      </c>
    </row>
    <row r="475" spans="1:6" ht="112" x14ac:dyDescent="0.2">
      <c r="A475" s="4" t="s">
        <v>3039</v>
      </c>
      <c r="B475">
        <v>55.805163028967634</v>
      </c>
      <c r="C475" s="7">
        <v>0.57594167679222352</v>
      </c>
      <c r="E475">
        <v>55.805163028967634</v>
      </c>
      <c r="F475">
        <f t="shared" si="7"/>
        <v>0.57594167679222352</v>
      </c>
    </row>
    <row r="476" spans="1:6" ht="112" x14ac:dyDescent="0.2">
      <c r="A476" s="4" t="s">
        <v>3159</v>
      </c>
      <c r="B476">
        <v>55.926322460746533</v>
      </c>
      <c r="C476" s="7">
        <v>0.57715674362089919</v>
      </c>
      <c r="E476">
        <v>55.926322460746533</v>
      </c>
      <c r="F476">
        <f t="shared" si="7"/>
        <v>0.57715674362089919</v>
      </c>
    </row>
    <row r="477" spans="1:6" ht="112" x14ac:dyDescent="0.2">
      <c r="A477" s="4" t="s">
        <v>3323</v>
      </c>
      <c r="B477">
        <v>55.940247506541454</v>
      </c>
      <c r="C477" s="7">
        <v>0.57837181044957475</v>
      </c>
      <c r="E477">
        <v>55.940247506541454</v>
      </c>
      <c r="F477">
        <f t="shared" si="7"/>
        <v>0.57837181044957475</v>
      </c>
    </row>
    <row r="478" spans="1:6" ht="112" x14ac:dyDescent="0.2">
      <c r="A478" s="4" t="s">
        <v>3550</v>
      </c>
      <c r="B478">
        <v>55.9551939395581</v>
      </c>
      <c r="C478" s="7">
        <v>0.57958687727825031</v>
      </c>
      <c r="E478">
        <v>55.9551939395581</v>
      </c>
      <c r="F478">
        <f t="shared" si="7"/>
        <v>0.57958687727825031</v>
      </c>
    </row>
    <row r="479" spans="1:6" ht="112" x14ac:dyDescent="0.2">
      <c r="A479" s="4" t="s">
        <v>3269</v>
      </c>
      <c r="B479">
        <v>56.022025080477476</v>
      </c>
      <c r="C479" s="7">
        <v>0.58080194410692587</v>
      </c>
      <c r="E479">
        <v>56.022025080477476</v>
      </c>
      <c r="F479">
        <f t="shared" si="7"/>
        <v>0.58080194410692587</v>
      </c>
    </row>
    <row r="480" spans="1:6" ht="112" x14ac:dyDescent="0.2">
      <c r="A480" s="4" t="s">
        <v>3231</v>
      </c>
      <c r="B480">
        <v>56.054429411098049</v>
      </c>
      <c r="C480" s="7">
        <v>0.58201701093560143</v>
      </c>
      <c r="E480">
        <v>56.054429411098049</v>
      </c>
      <c r="F480">
        <f t="shared" si="7"/>
        <v>0.58201701093560143</v>
      </c>
    </row>
    <row r="481" spans="1:6" ht="112" x14ac:dyDescent="0.2">
      <c r="A481" s="4" t="s">
        <v>3239</v>
      </c>
      <c r="B481">
        <v>56.090593454465015</v>
      </c>
      <c r="C481" s="7">
        <v>0.58323207776427699</v>
      </c>
      <c r="E481">
        <v>56.090593454465015</v>
      </c>
      <c r="F481">
        <f t="shared" si="7"/>
        <v>0.58323207776427699</v>
      </c>
    </row>
    <row r="482" spans="1:6" ht="112" x14ac:dyDescent="0.2">
      <c r="A482" s="4" t="s">
        <v>3805</v>
      </c>
      <c r="B482">
        <v>56.25</v>
      </c>
      <c r="C482" s="7">
        <v>0.58444714459295266</v>
      </c>
      <c r="E482">
        <v>56.25</v>
      </c>
      <c r="F482">
        <f t="shared" si="7"/>
        <v>0.58444714459295266</v>
      </c>
    </row>
    <row r="483" spans="1:6" ht="112" x14ac:dyDescent="0.2">
      <c r="A483" s="4" t="s">
        <v>3534</v>
      </c>
      <c r="B483">
        <v>56.273110118366674</v>
      </c>
      <c r="C483" s="7">
        <v>0.58566221142162822</v>
      </c>
      <c r="E483">
        <v>56.273110118366674</v>
      </c>
      <c r="F483">
        <f t="shared" si="7"/>
        <v>0.58566221142162822</v>
      </c>
    </row>
    <row r="484" spans="1:6" ht="96" x14ac:dyDescent="0.2">
      <c r="A484" s="4" t="s">
        <v>3784</v>
      </c>
      <c r="B484">
        <v>56.44712485087377</v>
      </c>
      <c r="C484" s="7">
        <v>0.58687727825030378</v>
      </c>
      <c r="E484">
        <v>56.44712485087377</v>
      </c>
      <c r="F484">
        <f t="shared" si="7"/>
        <v>0.58687727825030378</v>
      </c>
    </row>
    <row r="485" spans="1:6" ht="112" x14ac:dyDescent="0.2">
      <c r="A485" s="4" t="s">
        <v>3402</v>
      </c>
      <c r="B485">
        <v>56.498564780568998</v>
      </c>
      <c r="C485" s="7">
        <v>0.58809234507897934</v>
      </c>
      <c r="E485">
        <v>56.498564780568998</v>
      </c>
      <c r="F485">
        <f t="shared" si="7"/>
        <v>0.58809234507897934</v>
      </c>
    </row>
    <row r="486" spans="1:6" ht="112" x14ac:dyDescent="0.2">
      <c r="A486" s="4" t="s">
        <v>3670</v>
      </c>
      <c r="B486">
        <v>56.515806641899886</v>
      </c>
      <c r="C486" s="7">
        <v>0.5893074119076549</v>
      </c>
      <c r="E486">
        <v>56.515806641899886</v>
      </c>
      <c r="F486">
        <f t="shared" si="7"/>
        <v>0.5893074119076549</v>
      </c>
    </row>
    <row r="487" spans="1:6" ht="112" x14ac:dyDescent="0.2">
      <c r="A487" s="4" t="s">
        <v>3738</v>
      </c>
      <c r="B487">
        <v>56.628941780650123</v>
      </c>
      <c r="C487" s="7">
        <v>0.59052247873633046</v>
      </c>
      <c r="E487">
        <v>56.628941780650123</v>
      </c>
      <c r="F487">
        <f t="shared" si="7"/>
        <v>0.59052247873633046</v>
      </c>
    </row>
    <row r="488" spans="1:6" ht="112" x14ac:dyDescent="0.2">
      <c r="A488" s="4" t="s">
        <v>3479</v>
      </c>
      <c r="B488">
        <v>56.633887463171526</v>
      </c>
      <c r="C488" s="7">
        <v>0.59173754556500613</v>
      </c>
      <c r="E488">
        <v>56.633887463171526</v>
      </c>
      <c r="F488">
        <f t="shared" si="7"/>
        <v>0.59173754556500613</v>
      </c>
    </row>
    <row r="489" spans="1:6" ht="112" x14ac:dyDescent="0.2">
      <c r="A489" s="4" t="s">
        <v>3185</v>
      </c>
      <c r="B489">
        <v>56.673298343206028</v>
      </c>
      <c r="C489" s="7">
        <v>0.59295261239368169</v>
      </c>
      <c r="E489">
        <v>56.673298343206028</v>
      </c>
      <c r="F489">
        <f t="shared" si="7"/>
        <v>0.59295261239368169</v>
      </c>
    </row>
    <row r="490" spans="1:6" ht="96" x14ac:dyDescent="0.2">
      <c r="A490" s="4" t="s">
        <v>3818</v>
      </c>
      <c r="B490">
        <v>56.725425343355646</v>
      </c>
      <c r="C490" s="7">
        <v>0.59416767922235725</v>
      </c>
      <c r="E490">
        <v>56.725425343355646</v>
      </c>
      <c r="F490">
        <f t="shared" si="7"/>
        <v>0.59416767922235725</v>
      </c>
    </row>
    <row r="491" spans="1:6" ht="112" x14ac:dyDescent="0.2">
      <c r="A491" s="4" t="s">
        <v>3095</v>
      </c>
      <c r="B491">
        <v>56.772237181015207</v>
      </c>
      <c r="C491" s="7">
        <v>0.59538274605103281</v>
      </c>
      <c r="E491">
        <v>56.772237181015207</v>
      </c>
      <c r="F491">
        <f t="shared" si="7"/>
        <v>0.59538274605103281</v>
      </c>
    </row>
    <row r="492" spans="1:6" ht="112" x14ac:dyDescent="0.2">
      <c r="A492" s="4" t="s">
        <v>3051</v>
      </c>
      <c r="B492">
        <v>57.046566241974638</v>
      </c>
      <c r="C492" s="7">
        <v>0.59659781287970837</v>
      </c>
      <c r="E492">
        <v>57.046566241974638</v>
      </c>
      <c r="F492">
        <f t="shared" si="7"/>
        <v>0.59659781287970837</v>
      </c>
    </row>
    <row r="493" spans="1:6" ht="112" x14ac:dyDescent="0.2">
      <c r="A493" s="4" t="s">
        <v>3111</v>
      </c>
      <c r="B493">
        <v>57.150177694423682</v>
      </c>
      <c r="C493" s="7">
        <v>0.59781287970838393</v>
      </c>
      <c r="E493">
        <v>57.150177694423682</v>
      </c>
      <c r="F493">
        <f t="shared" si="7"/>
        <v>0.59781287970838393</v>
      </c>
    </row>
    <row r="494" spans="1:6" ht="112" x14ac:dyDescent="0.2">
      <c r="A494" s="4" t="s">
        <v>3641</v>
      </c>
      <c r="B494">
        <v>57.154056820045689</v>
      </c>
      <c r="C494" s="7">
        <v>0.59902794653705949</v>
      </c>
      <c r="E494">
        <v>57.154056820045689</v>
      </c>
      <c r="F494">
        <f t="shared" si="7"/>
        <v>0.59902794653705949</v>
      </c>
    </row>
    <row r="495" spans="1:6" ht="96" x14ac:dyDescent="0.2">
      <c r="A495" s="4" t="s">
        <v>3821</v>
      </c>
      <c r="B495">
        <v>57.334591194591951</v>
      </c>
      <c r="C495" s="7">
        <v>0.60024301336573516</v>
      </c>
      <c r="E495">
        <v>57.334591194591951</v>
      </c>
      <c r="F495">
        <f t="shared" si="7"/>
        <v>0.60024301336573516</v>
      </c>
    </row>
    <row r="496" spans="1:6" ht="112" x14ac:dyDescent="0.2">
      <c r="A496" s="4" t="s">
        <v>3261</v>
      </c>
      <c r="B496">
        <v>57.339333333333336</v>
      </c>
      <c r="C496" s="7">
        <v>0.60145808019441072</v>
      </c>
      <c r="E496">
        <v>57.339333333333336</v>
      </c>
      <c r="F496">
        <f t="shared" si="7"/>
        <v>0.60145808019441072</v>
      </c>
    </row>
    <row r="497" spans="1:6" ht="112" x14ac:dyDescent="0.2">
      <c r="A497" s="4" t="s">
        <v>3526</v>
      </c>
      <c r="B497">
        <v>57.412666666666667</v>
      </c>
      <c r="C497" s="7">
        <v>0.60267314702308628</v>
      </c>
      <c r="E497">
        <v>57.412666666666667</v>
      </c>
      <c r="F497">
        <f t="shared" si="7"/>
        <v>0.60267314702308628</v>
      </c>
    </row>
    <row r="498" spans="1:6" ht="112" x14ac:dyDescent="0.2">
      <c r="A498" s="4" t="s">
        <v>3358</v>
      </c>
      <c r="B498">
        <v>57.414747903850845</v>
      </c>
      <c r="C498" s="7">
        <v>0.60388821385176183</v>
      </c>
      <c r="E498">
        <v>57.414747903850845</v>
      </c>
      <c r="F498">
        <f t="shared" si="7"/>
        <v>0.60388821385176183</v>
      </c>
    </row>
    <row r="499" spans="1:6" ht="112" x14ac:dyDescent="0.2">
      <c r="A499" s="4" t="s">
        <v>3710</v>
      </c>
      <c r="B499">
        <v>57.419458834002427</v>
      </c>
      <c r="C499" s="7">
        <v>0.60510328068043739</v>
      </c>
      <c r="E499">
        <v>57.419458834002427</v>
      </c>
      <c r="F499">
        <f t="shared" si="7"/>
        <v>0.60510328068043739</v>
      </c>
    </row>
    <row r="500" spans="1:6" ht="112" x14ac:dyDescent="0.2">
      <c r="A500" s="4" t="s">
        <v>3655</v>
      </c>
      <c r="B500">
        <v>57.445967097305278</v>
      </c>
      <c r="C500" s="7">
        <v>0.60631834750911295</v>
      </c>
      <c r="E500">
        <v>57.445967097305278</v>
      </c>
      <c r="F500">
        <f t="shared" si="7"/>
        <v>0.60631834750911295</v>
      </c>
    </row>
    <row r="501" spans="1:6" ht="112" x14ac:dyDescent="0.2">
      <c r="A501" s="4" t="s">
        <v>3414</v>
      </c>
      <c r="B501">
        <v>57.452886289752719</v>
      </c>
      <c r="C501" s="7">
        <v>0.60753341433778862</v>
      </c>
      <c r="E501">
        <v>57.452886289752719</v>
      </c>
      <c r="F501">
        <f t="shared" si="7"/>
        <v>0.60753341433778862</v>
      </c>
    </row>
    <row r="502" spans="1:6" ht="112" x14ac:dyDescent="0.2">
      <c r="A502" s="4" t="s">
        <v>3047</v>
      </c>
      <c r="B502">
        <v>57.495866465261074</v>
      </c>
      <c r="C502" s="7">
        <v>0.60874848116646418</v>
      </c>
      <c r="E502">
        <v>57.495866465261074</v>
      </c>
      <c r="F502">
        <f t="shared" si="7"/>
        <v>0.60874848116646418</v>
      </c>
    </row>
    <row r="503" spans="1:6" ht="112" x14ac:dyDescent="0.2">
      <c r="A503" s="4" t="s">
        <v>3792</v>
      </c>
      <c r="B503">
        <v>57.505550426058193</v>
      </c>
      <c r="C503" s="7">
        <v>0.60996354799513974</v>
      </c>
      <c r="E503">
        <v>57.505550426058193</v>
      </c>
      <c r="F503">
        <f t="shared" si="7"/>
        <v>0.60996354799513974</v>
      </c>
    </row>
    <row r="504" spans="1:6" ht="112" x14ac:dyDescent="0.2">
      <c r="A504" s="4" t="s">
        <v>3376</v>
      </c>
      <c r="B504">
        <v>57.55712066512065</v>
      </c>
      <c r="C504" s="7">
        <v>0.6111786148238153</v>
      </c>
      <c r="E504">
        <v>57.55712066512065</v>
      </c>
      <c r="F504">
        <f t="shared" si="7"/>
        <v>0.6111786148238153</v>
      </c>
    </row>
    <row r="505" spans="1:6" ht="112" x14ac:dyDescent="0.2">
      <c r="A505" s="4" t="s">
        <v>3771</v>
      </c>
      <c r="B505">
        <v>57.558997559026338</v>
      </c>
      <c r="C505" s="7">
        <v>0.61239368165249086</v>
      </c>
      <c r="E505">
        <v>57.558997559026338</v>
      </c>
      <c r="F505">
        <f t="shared" si="7"/>
        <v>0.61239368165249086</v>
      </c>
    </row>
    <row r="506" spans="1:6" ht="112" x14ac:dyDescent="0.2">
      <c r="A506" s="4" t="s">
        <v>3279</v>
      </c>
      <c r="B506">
        <v>57.605899007294354</v>
      </c>
      <c r="C506" s="7">
        <v>0.61360874848116642</v>
      </c>
      <c r="E506">
        <v>57.605899007294354</v>
      </c>
      <c r="F506">
        <f t="shared" si="7"/>
        <v>0.61360874848116642</v>
      </c>
    </row>
    <row r="507" spans="1:6" ht="112" x14ac:dyDescent="0.2">
      <c r="A507" s="4" t="s">
        <v>3676</v>
      </c>
      <c r="B507">
        <v>57.911623185678366</v>
      </c>
      <c r="C507" s="7">
        <v>0.61482381530984209</v>
      </c>
      <c r="E507">
        <v>57.911623185678366</v>
      </c>
      <c r="F507">
        <f t="shared" si="7"/>
        <v>0.61482381530984209</v>
      </c>
    </row>
    <row r="508" spans="1:6" ht="112" x14ac:dyDescent="0.2">
      <c r="A508" s="4" t="s">
        <v>3325</v>
      </c>
      <c r="B508">
        <v>57.948290621595667</v>
      </c>
      <c r="C508" s="7">
        <v>0.61603888213851765</v>
      </c>
      <c r="E508">
        <v>57.948290621595667</v>
      </c>
      <c r="F508">
        <f t="shared" si="7"/>
        <v>0.61603888213851765</v>
      </c>
    </row>
    <row r="509" spans="1:6" ht="112" x14ac:dyDescent="0.2">
      <c r="A509" s="4" t="s">
        <v>3187</v>
      </c>
      <c r="B509">
        <v>57.981449026167752</v>
      </c>
      <c r="C509" s="7">
        <v>0.61725394896719321</v>
      </c>
      <c r="E509">
        <v>57.981449026167752</v>
      </c>
      <c r="F509">
        <f t="shared" si="7"/>
        <v>0.61725394896719321</v>
      </c>
    </row>
    <row r="510" spans="1:6" ht="112" x14ac:dyDescent="0.2">
      <c r="A510" s="4" t="s">
        <v>3574</v>
      </c>
      <c r="B510">
        <v>58.082186239844653</v>
      </c>
      <c r="C510" s="7">
        <v>0.61846901579586877</v>
      </c>
      <c r="E510">
        <v>58.082186239844653</v>
      </c>
      <c r="F510">
        <f t="shared" si="7"/>
        <v>0.61846901579586877</v>
      </c>
    </row>
    <row r="511" spans="1:6" ht="112" x14ac:dyDescent="0.2">
      <c r="A511" s="4" t="s">
        <v>3103</v>
      </c>
      <c r="B511">
        <v>58.095086304577592</v>
      </c>
      <c r="C511" s="7">
        <v>0.61968408262454433</v>
      </c>
      <c r="E511">
        <v>58.095086304577592</v>
      </c>
      <c r="F511">
        <f t="shared" si="7"/>
        <v>0.61968408262454433</v>
      </c>
    </row>
    <row r="512" spans="1:6" ht="112" x14ac:dyDescent="0.2">
      <c r="A512" s="4" t="s">
        <v>3682</v>
      </c>
      <c r="B512">
        <v>58.13559819788636</v>
      </c>
      <c r="C512" s="7">
        <v>0.62089914945321989</v>
      </c>
      <c r="E512">
        <v>58.13559819788636</v>
      </c>
      <c r="F512">
        <f t="shared" si="7"/>
        <v>0.62089914945321989</v>
      </c>
    </row>
    <row r="513" spans="1:6" ht="112" x14ac:dyDescent="0.2">
      <c r="A513" s="4" t="s">
        <v>3780</v>
      </c>
      <c r="B513">
        <v>58.164183304853069</v>
      </c>
      <c r="C513" s="7">
        <v>0.62211421628189545</v>
      </c>
      <c r="E513">
        <v>58.164183304853069</v>
      </c>
      <c r="F513">
        <f t="shared" si="7"/>
        <v>0.62211421628189545</v>
      </c>
    </row>
    <row r="514" spans="1:6" ht="112" x14ac:dyDescent="0.2">
      <c r="A514" s="4" t="s">
        <v>3043</v>
      </c>
      <c r="B514">
        <v>58.445255185943026</v>
      </c>
      <c r="C514" s="7">
        <v>0.62332928311057112</v>
      </c>
      <c r="E514">
        <v>58.445255185943026</v>
      </c>
      <c r="F514">
        <f t="shared" si="7"/>
        <v>0.62332928311057112</v>
      </c>
    </row>
    <row r="515" spans="1:6" ht="112" x14ac:dyDescent="0.2">
      <c r="A515" s="4" t="s">
        <v>3623</v>
      </c>
      <c r="B515">
        <v>58.552871563693863</v>
      </c>
      <c r="C515" s="7">
        <v>0.62454434993924668</v>
      </c>
      <c r="E515">
        <v>58.552871563693863</v>
      </c>
      <c r="F515">
        <f t="shared" ref="F515:F578" si="8">_xlfn.RANK.EQ(E515,$E$2:$E$824,1)/COUNT($E$2:$E$824)</f>
        <v>0.62454434993924668</v>
      </c>
    </row>
    <row r="516" spans="1:6" ht="112" x14ac:dyDescent="0.2">
      <c r="A516" s="4" t="s">
        <v>3147</v>
      </c>
      <c r="B516">
        <v>58.607705180236387</v>
      </c>
      <c r="C516" s="7">
        <v>0.62575941676792224</v>
      </c>
      <c r="E516">
        <v>58.607705180236387</v>
      </c>
      <c r="F516">
        <f t="shared" si="8"/>
        <v>0.62575941676792224</v>
      </c>
    </row>
    <row r="517" spans="1:6" ht="112" x14ac:dyDescent="0.2">
      <c r="A517" s="4" t="s">
        <v>3708</v>
      </c>
      <c r="B517">
        <v>58.614657223640464</v>
      </c>
      <c r="C517" s="7">
        <v>0.6269744835965978</v>
      </c>
      <c r="E517">
        <v>58.614657223640464</v>
      </c>
      <c r="F517">
        <f t="shared" si="8"/>
        <v>0.6269744835965978</v>
      </c>
    </row>
    <row r="518" spans="1:6" ht="112" x14ac:dyDescent="0.2">
      <c r="A518" s="4" t="s">
        <v>3625</v>
      </c>
      <c r="B518">
        <v>58.618155031468589</v>
      </c>
      <c r="C518" s="7">
        <v>0.62818955042527336</v>
      </c>
      <c r="E518">
        <v>58.618155031468589</v>
      </c>
      <c r="F518">
        <f t="shared" si="8"/>
        <v>0.62818955042527336</v>
      </c>
    </row>
    <row r="519" spans="1:6" ht="112" x14ac:dyDescent="0.2">
      <c r="A519" s="4" t="s">
        <v>3344</v>
      </c>
      <c r="B519">
        <v>58.744130306055659</v>
      </c>
      <c r="C519" s="7">
        <v>0.62940461725394892</v>
      </c>
      <c r="E519">
        <v>58.744130306055659</v>
      </c>
      <c r="F519">
        <f t="shared" si="8"/>
        <v>0.62940461725394892</v>
      </c>
    </row>
    <row r="520" spans="1:6" ht="112" x14ac:dyDescent="0.2">
      <c r="A520" s="4" t="s">
        <v>3346</v>
      </c>
      <c r="B520">
        <v>58.764261251139345</v>
      </c>
      <c r="C520" s="7">
        <v>0.63061968408262459</v>
      </c>
      <c r="E520">
        <v>58.764261251139345</v>
      </c>
      <c r="F520">
        <f t="shared" si="8"/>
        <v>0.63061968408262459</v>
      </c>
    </row>
    <row r="521" spans="1:6" ht="112" x14ac:dyDescent="0.2">
      <c r="A521" s="4" t="s">
        <v>3609</v>
      </c>
      <c r="B521">
        <v>58.810626107994167</v>
      </c>
      <c r="C521" s="7">
        <v>0.63183475091130015</v>
      </c>
      <c r="E521">
        <v>58.810626107994167</v>
      </c>
      <c r="F521">
        <f t="shared" si="8"/>
        <v>0.63183475091130015</v>
      </c>
    </row>
    <row r="522" spans="1:6" ht="128" x14ac:dyDescent="0.2">
      <c r="A522" s="4" t="s">
        <v>3386</v>
      </c>
      <c r="B522">
        <v>58.828082527015191</v>
      </c>
      <c r="C522" s="7">
        <v>0.63304981773997571</v>
      </c>
      <c r="E522">
        <v>58.828082527015191</v>
      </c>
      <c r="F522">
        <f t="shared" si="8"/>
        <v>0.63304981773997571</v>
      </c>
    </row>
    <row r="523" spans="1:6" ht="112" x14ac:dyDescent="0.2">
      <c r="A523" s="4" t="s">
        <v>3561</v>
      </c>
      <c r="B523">
        <v>58.853432229954969</v>
      </c>
      <c r="C523" s="7">
        <v>0.63426488456865127</v>
      </c>
      <c r="E523">
        <v>58.853432229954969</v>
      </c>
      <c r="F523">
        <f t="shared" si="8"/>
        <v>0.63426488456865127</v>
      </c>
    </row>
    <row r="524" spans="1:6" ht="112" x14ac:dyDescent="0.2">
      <c r="A524" s="4" t="s">
        <v>3518</v>
      </c>
      <c r="B524">
        <v>59.135240136624624</v>
      </c>
      <c r="C524" s="7">
        <v>0.63547995139732683</v>
      </c>
      <c r="E524">
        <v>59.135240136624624</v>
      </c>
      <c r="F524">
        <f t="shared" si="8"/>
        <v>0.63547995139732683</v>
      </c>
    </row>
    <row r="525" spans="1:6" ht="112" x14ac:dyDescent="0.2">
      <c r="A525" s="4" t="s">
        <v>3779</v>
      </c>
      <c r="B525">
        <v>59.196954072220407</v>
      </c>
      <c r="C525" s="7">
        <v>0.63669501822600238</v>
      </c>
      <c r="E525">
        <v>59.196954072220407</v>
      </c>
      <c r="F525">
        <f t="shared" si="8"/>
        <v>0.63669501822600238</v>
      </c>
    </row>
    <row r="526" spans="1:6" ht="112" x14ac:dyDescent="0.2">
      <c r="A526" s="4" t="s">
        <v>3213</v>
      </c>
      <c r="B526">
        <v>59.245292809502445</v>
      </c>
      <c r="C526" s="7">
        <v>0.63791008505467806</v>
      </c>
      <c r="E526">
        <v>59.245292809502445</v>
      </c>
      <c r="F526">
        <f t="shared" si="8"/>
        <v>0.63791008505467806</v>
      </c>
    </row>
    <row r="527" spans="1:6" ht="112" x14ac:dyDescent="0.2">
      <c r="A527" s="4" t="s">
        <v>3331</v>
      </c>
      <c r="B527">
        <v>59.437683356510838</v>
      </c>
      <c r="C527" s="7">
        <v>0.63912515188335361</v>
      </c>
      <c r="E527">
        <v>59.437683356510838</v>
      </c>
      <c r="F527">
        <f t="shared" si="8"/>
        <v>0.63912515188335361</v>
      </c>
    </row>
    <row r="528" spans="1:6" ht="112" x14ac:dyDescent="0.2">
      <c r="A528" s="4" t="s">
        <v>3699</v>
      </c>
      <c r="B528">
        <v>59.480058704363906</v>
      </c>
      <c r="C528" s="7">
        <v>0.64034021871202917</v>
      </c>
      <c r="E528">
        <v>59.480058704363906</v>
      </c>
      <c r="F528">
        <f t="shared" si="8"/>
        <v>0.64034021871202917</v>
      </c>
    </row>
    <row r="529" spans="1:6" ht="112" x14ac:dyDescent="0.2">
      <c r="A529" s="4" t="s">
        <v>3481</v>
      </c>
      <c r="B529">
        <v>59.59151028314426</v>
      </c>
      <c r="C529" s="7">
        <v>0.64155528554070473</v>
      </c>
      <c r="E529">
        <v>59.59151028314426</v>
      </c>
      <c r="F529">
        <f t="shared" si="8"/>
        <v>0.64155528554070473</v>
      </c>
    </row>
    <row r="530" spans="1:6" ht="112" x14ac:dyDescent="0.2">
      <c r="A530" s="4" t="s">
        <v>3125</v>
      </c>
      <c r="B530">
        <v>59.651710499120234</v>
      </c>
      <c r="C530" s="7">
        <v>0.64277035236938029</v>
      </c>
      <c r="E530">
        <v>59.651710499120234</v>
      </c>
      <c r="F530">
        <f t="shared" si="8"/>
        <v>0.64277035236938029</v>
      </c>
    </row>
    <row r="531" spans="1:6" ht="112" x14ac:dyDescent="0.2">
      <c r="A531" s="4" t="s">
        <v>3418</v>
      </c>
      <c r="B531">
        <v>59.661565728878081</v>
      </c>
      <c r="C531" s="7">
        <v>0.64398541919805585</v>
      </c>
      <c r="E531">
        <v>59.661565728878081</v>
      </c>
      <c r="F531">
        <f t="shared" si="8"/>
        <v>0.64398541919805585</v>
      </c>
    </row>
    <row r="532" spans="1:6" ht="96" x14ac:dyDescent="0.2">
      <c r="A532" s="4" t="s">
        <v>3834</v>
      </c>
      <c r="B532">
        <v>59.666024230301964</v>
      </c>
      <c r="C532" s="7">
        <v>0.64520048602673152</v>
      </c>
      <c r="E532">
        <v>59.666024230301964</v>
      </c>
      <c r="F532">
        <f t="shared" si="8"/>
        <v>0.64520048602673152</v>
      </c>
    </row>
    <row r="533" spans="1:6" ht="112" x14ac:dyDescent="0.2">
      <c r="A533" s="4" t="s">
        <v>3061</v>
      </c>
      <c r="B533">
        <v>59.708493254031012</v>
      </c>
      <c r="C533" s="7">
        <v>0.64641555285540708</v>
      </c>
      <c r="E533">
        <v>59.708493254031012</v>
      </c>
      <c r="F533">
        <f t="shared" si="8"/>
        <v>0.64641555285540708</v>
      </c>
    </row>
    <row r="534" spans="1:6" ht="112" x14ac:dyDescent="0.2">
      <c r="A534" s="4" t="s">
        <v>3045</v>
      </c>
      <c r="B534">
        <v>59.717070283674389</v>
      </c>
      <c r="C534" s="7">
        <v>0.64763061968408264</v>
      </c>
      <c r="E534">
        <v>59.717070283674389</v>
      </c>
      <c r="F534">
        <f t="shared" si="8"/>
        <v>0.64763061968408264</v>
      </c>
    </row>
    <row r="535" spans="1:6" ht="112" x14ac:dyDescent="0.2">
      <c r="A535" s="4" t="s">
        <v>3773</v>
      </c>
      <c r="B535">
        <v>59.735684047888839</v>
      </c>
      <c r="C535" s="7">
        <v>0.6488456865127582</v>
      </c>
      <c r="E535">
        <v>59.735684047888839</v>
      </c>
      <c r="F535">
        <f t="shared" si="8"/>
        <v>0.6488456865127582</v>
      </c>
    </row>
    <row r="536" spans="1:6" ht="128" x14ac:dyDescent="0.2">
      <c r="A536" s="4" t="s">
        <v>3165</v>
      </c>
      <c r="B536">
        <v>59.839406012595909</v>
      </c>
      <c r="C536" s="7">
        <v>0.65006075334143376</v>
      </c>
      <c r="E536">
        <v>59.839406012595909</v>
      </c>
      <c r="F536">
        <f t="shared" si="8"/>
        <v>0.65006075334143376</v>
      </c>
    </row>
    <row r="537" spans="1:6" ht="96" x14ac:dyDescent="0.2">
      <c r="A537" s="4" t="s">
        <v>3291</v>
      </c>
      <c r="B537">
        <v>59.890704624866146</v>
      </c>
      <c r="C537" s="7">
        <v>0.65127582017010932</v>
      </c>
      <c r="E537">
        <v>59.890704624866146</v>
      </c>
      <c r="F537">
        <f t="shared" si="8"/>
        <v>0.65127582017010932</v>
      </c>
    </row>
    <row r="538" spans="1:6" ht="112" x14ac:dyDescent="0.2">
      <c r="A538" s="4" t="s">
        <v>3471</v>
      </c>
      <c r="B538">
        <v>59.902694461005048</v>
      </c>
      <c r="C538" s="7">
        <v>0.65249088699878488</v>
      </c>
      <c r="E538">
        <v>59.902694461005048</v>
      </c>
      <c r="F538">
        <f t="shared" si="8"/>
        <v>0.65249088699878488</v>
      </c>
    </row>
    <row r="539" spans="1:6" ht="112" x14ac:dyDescent="0.2">
      <c r="A539" s="4" t="s">
        <v>3828</v>
      </c>
      <c r="B539">
        <v>60.032781724266272</v>
      </c>
      <c r="C539" s="7">
        <v>0.65370595382746055</v>
      </c>
      <c r="E539">
        <v>60.032781724266272</v>
      </c>
      <c r="F539">
        <f t="shared" si="8"/>
        <v>0.65370595382746055</v>
      </c>
    </row>
    <row r="540" spans="1:6" ht="112" x14ac:dyDescent="0.2">
      <c r="A540" s="4" t="s">
        <v>3067</v>
      </c>
      <c r="B540">
        <v>60.035738899327995</v>
      </c>
      <c r="C540" s="7">
        <v>0.65492102065613611</v>
      </c>
      <c r="E540">
        <v>60.035738899327995</v>
      </c>
      <c r="F540">
        <f t="shared" si="8"/>
        <v>0.65492102065613611</v>
      </c>
    </row>
    <row r="541" spans="1:6" ht="112" x14ac:dyDescent="0.2">
      <c r="A541" s="4" t="s">
        <v>3410</v>
      </c>
      <c r="B541">
        <v>60.060358842143991</v>
      </c>
      <c r="C541" s="7">
        <v>0.65613608748481167</v>
      </c>
      <c r="E541">
        <v>60.060358842143991</v>
      </c>
      <c r="F541">
        <f t="shared" si="8"/>
        <v>0.65613608748481167</v>
      </c>
    </row>
    <row r="542" spans="1:6" ht="112" x14ac:dyDescent="0.2">
      <c r="A542" s="4" t="s">
        <v>3338</v>
      </c>
      <c r="B542">
        <v>60.106586966797188</v>
      </c>
      <c r="C542" s="7">
        <v>0.65735115431348723</v>
      </c>
      <c r="E542">
        <v>60.106586966797188</v>
      </c>
      <c r="F542">
        <f t="shared" si="8"/>
        <v>0.65735115431348723</v>
      </c>
    </row>
    <row r="543" spans="1:6" ht="112" x14ac:dyDescent="0.2">
      <c r="A543" s="4" t="s">
        <v>3659</v>
      </c>
      <c r="B543">
        <v>60.111167784616192</v>
      </c>
      <c r="C543" s="7">
        <v>0.65856622114216279</v>
      </c>
      <c r="E543">
        <v>60.111167784616192</v>
      </c>
      <c r="F543">
        <f t="shared" si="8"/>
        <v>0.65856622114216279</v>
      </c>
    </row>
    <row r="544" spans="1:6" ht="112" x14ac:dyDescent="0.2">
      <c r="A544" s="4" t="s">
        <v>3273</v>
      </c>
      <c r="B544">
        <v>60.302788348208303</v>
      </c>
      <c r="C544" s="7">
        <v>0.65978128797083835</v>
      </c>
      <c r="E544">
        <v>60.302788348208303</v>
      </c>
      <c r="F544">
        <f t="shared" si="8"/>
        <v>0.65978128797083835</v>
      </c>
    </row>
    <row r="545" spans="1:6" ht="96" x14ac:dyDescent="0.2">
      <c r="A545" s="4" t="s">
        <v>3788</v>
      </c>
      <c r="B545">
        <v>60.410236004154704</v>
      </c>
      <c r="C545" s="7">
        <v>0.66099635479951402</v>
      </c>
      <c r="E545">
        <v>60.410236004154704</v>
      </c>
      <c r="F545">
        <f t="shared" si="8"/>
        <v>0.66099635479951402</v>
      </c>
    </row>
    <row r="546" spans="1:6" ht="112" x14ac:dyDescent="0.2">
      <c r="A546" s="4" t="s">
        <v>3342</v>
      </c>
      <c r="B546">
        <v>60.505731022689403</v>
      </c>
      <c r="C546" s="7">
        <v>0.66221142162818958</v>
      </c>
      <c r="E546">
        <v>60.505731022689403</v>
      </c>
      <c r="F546">
        <f t="shared" si="8"/>
        <v>0.66221142162818958</v>
      </c>
    </row>
    <row r="547" spans="1:6" ht="112" x14ac:dyDescent="0.2">
      <c r="A547" s="4" t="s">
        <v>3175</v>
      </c>
      <c r="B547">
        <v>60.650827598152418</v>
      </c>
      <c r="C547" s="7">
        <v>0.66342648845686514</v>
      </c>
      <c r="E547">
        <v>60.650827598152418</v>
      </c>
      <c r="F547">
        <f t="shared" si="8"/>
        <v>0.66342648845686514</v>
      </c>
    </row>
    <row r="548" spans="1:6" ht="96" x14ac:dyDescent="0.2">
      <c r="A548" s="4" t="s">
        <v>3793</v>
      </c>
      <c r="B548">
        <v>60.728495152847415</v>
      </c>
      <c r="C548" s="7">
        <v>0.6646415552855407</v>
      </c>
      <c r="E548">
        <v>60.728495152847415</v>
      </c>
      <c r="F548">
        <f t="shared" si="8"/>
        <v>0.6646415552855407</v>
      </c>
    </row>
    <row r="549" spans="1:6" ht="112" x14ac:dyDescent="0.2">
      <c r="A549" s="4" t="s">
        <v>3335</v>
      </c>
      <c r="B549">
        <v>60.751828609168619</v>
      </c>
      <c r="C549" s="7">
        <v>0.66585662211421626</v>
      </c>
      <c r="E549">
        <v>60.751828609168619</v>
      </c>
      <c r="F549">
        <f t="shared" si="8"/>
        <v>0.66585662211421626</v>
      </c>
    </row>
    <row r="550" spans="1:6" ht="112" x14ac:dyDescent="0.2">
      <c r="A550" s="4" t="s">
        <v>3311</v>
      </c>
      <c r="B550">
        <v>60.757423001819824</v>
      </c>
      <c r="C550" s="7">
        <v>0.66707168894289182</v>
      </c>
      <c r="E550">
        <v>60.757423001819824</v>
      </c>
      <c r="F550">
        <f t="shared" si="8"/>
        <v>0.66707168894289182</v>
      </c>
    </row>
    <row r="551" spans="1:6" ht="112" x14ac:dyDescent="0.2">
      <c r="A551" s="4" t="s">
        <v>3259</v>
      </c>
      <c r="B551">
        <v>60.856689740004022</v>
      </c>
      <c r="C551" s="7">
        <v>0.66828675577156749</v>
      </c>
      <c r="E551">
        <v>60.856689740004022</v>
      </c>
      <c r="F551">
        <f t="shared" si="8"/>
        <v>0.66828675577156749</v>
      </c>
    </row>
    <row r="552" spans="1:6" ht="112" x14ac:dyDescent="0.2">
      <c r="A552" s="4" t="s">
        <v>3807</v>
      </c>
      <c r="B552">
        <v>60.93056715827656</v>
      </c>
      <c r="C552" s="7">
        <v>0.66950182260024305</v>
      </c>
      <c r="E552">
        <v>60.93056715827656</v>
      </c>
      <c r="F552">
        <f t="shared" si="8"/>
        <v>0.66950182260024305</v>
      </c>
    </row>
    <row r="553" spans="1:6" ht="128" x14ac:dyDescent="0.2">
      <c r="A553" s="4" t="s">
        <v>3123</v>
      </c>
      <c r="B553">
        <v>60.984285714285718</v>
      </c>
      <c r="C553" s="7">
        <v>0.67071688942891861</v>
      </c>
      <c r="E553">
        <v>60.984285714285718</v>
      </c>
      <c r="F553">
        <f t="shared" si="8"/>
        <v>0.67071688942891861</v>
      </c>
    </row>
    <row r="554" spans="1:6" ht="112" x14ac:dyDescent="0.2">
      <c r="A554" s="4" t="s">
        <v>3396</v>
      </c>
      <c r="B554">
        <v>61.030546030576545</v>
      </c>
      <c r="C554" s="7">
        <v>0.67193195625759417</v>
      </c>
      <c r="E554">
        <v>61.030546030576545</v>
      </c>
      <c r="F554">
        <f t="shared" si="8"/>
        <v>0.67193195625759417</v>
      </c>
    </row>
    <row r="555" spans="1:6" ht="112" x14ac:dyDescent="0.2">
      <c r="A555" s="4" t="s">
        <v>3734</v>
      </c>
      <c r="B555">
        <v>61.071115444755613</v>
      </c>
      <c r="C555" s="7">
        <v>0.67314702308626972</v>
      </c>
      <c r="E555">
        <v>61.071115444755613</v>
      </c>
      <c r="F555">
        <f t="shared" si="8"/>
        <v>0.67314702308626972</v>
      </c>
    </row>
    <row r="556" spans="1:6" ht="128" x14ac:dyDescent="0.2">
      <c r="A556" s="4" t="s">
        <v>3265</v>
      </c>
      <c r="B556">
        <v>61.130758401111265</v>
      </c>
      <c r="C556" s="7">
        <v>0.67436208991494528</v>
      </c>
      <c r="E556">
        <v>61.130758401111265</v>
      </c>
      <c r="F556">
        <f t="shared" si="8"/>
        <v>0.67436208991494528</v>
      </c>
    </row>
    <row r="557" spans="1:6" ht="112" x14ac:dyDescent="0.2">
      <c r="A557" s="4" t="s">
        <v>3444</v>
      </c>
      <c r="B557">
        <v>61.16062942791531</v>
      </c>
      <c r="C557" s="7">
        <v>0.67557715674362095</v>
      </c>
      <c r="E557">
        <v>61.16062942791531</v>
      </c>
      <c r="F557">
        <f t="shared" si="8"/>
        <v>0.67557715674362095</v>
      </c>
    </row>
    <row r="558" spans="1:6" ht="112" x14ac:dyDescent="0.2">
      <c r="A558" s="4" t="s">
        <v>3814</v>
      </c>
      <c r="B558">
        <v>61.165464485290691</v>
      </c>
      <c r="C558" s="7">
        <v>0.67679222357229651</v>
      </c>
      <c r="E558">
        <v>61.165464485290691</v>
      </c>
      <c r="F558">
        <f t="shared" si="8"/>
        <v>0.67679222357229651</v>
      </c>
    </row>
    <row r="559" spans="1:6" ht="96" x14ac:dyDescent="0.2">
      <c r="A559" s="4" t="s">
        <v>3842</v>
      </c>
      <c r="B559">
        <v>61.302794636328613</v>
      </c>
      <c r="C559" s="7">
        <v>0.67800729040097207</v>
      </c>
      <c r="E559">
        <v>61.302794636328613</v>
      </c>
      <c r="F559">
        <f t="shared" si="8"/>
        <v>0.67800729040097207</v>
      </c>
    </row>
    <row r="560" spans="1:6" ht="112" x14ac:dyDescent="0.2">
      <c r="A560" s="4" t="s">
        <v>3809</v>
      </c>
      <c r="B560">
        <v>61.381134912841148</v>
      </c>
      <c r="C560" s="7">
        <v>0.67922235722964763</v>
      </c>
      <c r="E560">
        <v>61.381134912841148</v>
      </c>
      <c r="F560">
        <f t="shared" si="8"/>
        <v>0.67922235722964763</v>
      </c>
    </row>
    <row r="561" spans="1:6" ht="96" x14ac:dyDescent="0.2">
      <c r="A561" s="4" t="s">
        <v>3767</v>
      </c>
      <c r="B561">
        <v>61.42383622744962</v>
      </c>
      <c r="C561" s="7">
        <v>0.68043742405832319</v>
      </c>
      <c r="E561">
        <v>61.42383622744962</v>
      </c>
      <c r="F561">
        <f t="shared" si="8"/>
        <v>0.68043742405832319</v>
      </c>
    </row>
    <row r="562" spans="1:6" ht="112" x14ac:dyDescent="0.2">
      <c r="A562" s="4" t="s">
        <v>3105</v>
      </c>
      <c r="B562">
        <v>61.477155648799062</v>
      </c>
      <c r="C562" s="7">
        <v>0.68165249088699875</v>
      </c>
      <c r="E562">
        <v>61.477155648799062</v>
      </c>
      <c r="F562">
        <f t="shared" si="8"/>
        <v>0.68165249088699875</v>
      </c>
    </row>
    <row r="563" spans="1:6" ht="112" x14ac:dyDescent="0.2">
      <c r="A563" s="4" t="s">
        <v>3751</v>
      </c>
      <c r="B563">
        <v>61.478593395772705</v>
      </c>
      <c r="C563" s="7">
        <v>0.68286755771567431</v>
      </c>
      <c r="E563">
        <v>61.478593395772705</v>
      </c>
      <c r="F563">
        <f t="shared" si="8"/>
        <v>0.68286755771567431</v>
      </c>
    </row>
    <row r="564" spans="1:6" ht="112" x14ac:dyDescent="0.2">
      <c r="A564" s="4" t="s">
        <v>3702</v>
      </c>
      <c r="B564">
        <v>61.490668903539536</v>
      </c>
      <c r="C564" s="7">
        <v>0.68408262454434998</v>
      </c>
      <c r="E564">
        <v>61.490668903539536</v>
      </c>
      <c r="F564">
        <f t="shared" si="8"/>
        <v>0.68408262454434998</v>
      </c>
    </row>
    <row r="565" spans="1:6" ht="112" x14ac:dyDescent="0.2">
      <c r="A565" s="4" t="s">
        <v>3450</v>
      </c>
      <c r="B565">
        <v>61.542838404360651</v>
      </c>
      <c r="C565" s="7">
        <v>0.68529769137302554</v>
      </c>
      <c r="E565">
        <v>61.542838404360651</v>
      </c>
      <c r="F565">
        <f t="shared" si="8"/>
        <v>0.68529769137302554</v>
      </c>
    </row>
    <row r="566" spans="1:6" ht="112" x14ac:dyDescent="0.2">
      <c r="A566" s="4" t="s">
        <v>3681</v>
      </c>
      <c r="B566">
        <v>61.651949545173252</v>
      </c>
      <c r="C566" s="7">
        <v>0.6865127582017011</v>
      </c>
      <c r="E566">
        <v>61.651949545173252</v>
      </c>
      <c r="F566">
        <f t="shared" si="8"/>
        <v>0.6865127582017011</v>
      </c>
    </row>
    <row r="567" spans="1:6" ht="112" x14ac:dyDescent="0.2">
      <c r="A567" s="4" t="s">
        <v>3327</v>
      </c>
      <c r="B567">
        <v>61.673537875841113</v>
      </c>
      <c r="C567" s="7">
        <v>0.68772782503037666</v>
      </c>
      <c r="E567">
        <v>61.673537875841113</v>
      </c>
      <c r="F567">
        <f t="shared" si="8"/>
        <v>0.68772782503037666</v>
      </c>
    </row>
    <row r="568" spans="1:6" ht="112" x14ac:dyDescent="0.2">
      <c r="A568" s="4" t="s">
        <v>3243</v>
      </c>
      <c r="B568">
        <v>61.791502490229192</v>
      </c>
      <c r="C568" s="7">
        <v>0.68894289185905222</v>
      </c>
      <c r="E568">
        <v>61.791502490229192</v>
      </c>
      <c r="F568">
        <f t="shared" si="8"/>
        <v>0.68894289185905222</v>
      </c>
    </row>
    <row r="569" spans="1:6" ht="112" x14ac:dyDescent="0.2">
      <c r="A569" s="4" t="s">
        <v>3195</v>
      </c>
      <c r="B569">
        <v>61.844959013525219</v>
      </c>
      <c r="C569" s="7">
        <v>0.69015795868772778</v>
      </c>
      <c r="E569">
        <v>61.844959013525219</v>
      </c>
      <c r="F569">
        <f t="shared" si="8"/>
        <v>0.69015795868772778</v>
      </c>
    </row>
    <row r="570" spans="1:6" ht="112" x14ac:dyDescent="0.2">
      <c r="A570" s="4" t="s">
        <v>3309</v>
      </c>
      <c r="B570">
        <v>61.90729955815128</v>
      </c>
      <c r="C570" s="7">
        <v>0.69137302551640345</v>
      </c>
      <c r="E570">
        <v>61.90729955815128</v>
      </c>
      <c r="F570">
        <f t="shared" si="8"/>
        <v>0.69137302551640345</v>
      </c>
    </row>
    <row r="571" spans="1:6" ht="112" x14ac:dyDescent="0.2">
      <c r="A571" s="4" t="s">
        <v>3492</v>
      </c>
      <c r="B571">
        <v>61.914184965967216</v>
      </c>
      <c r="C571" s="7">
        <v>0.69258809234507901</v>
      </c>
      <c r="E571">
        <v>61.914184965967216</v>
      </c>
      <c r="F571">
        <f t="shared" si="8"/>
        <v>0.69258809234507901</v>
      </c>
    </row>
    <row r="572" spans="1:6" ht="128" x14ac:dyDescent="0.2">
      <c r="A572" s="4" t="s">
        <v>3835</v>
      </c>
      <c r="B572">
        <v>61.927824454042778</v>
      </c>
      <c r="C572" s="7">
        <v>0.69380315917375457</v>
      </c>
      <c r="E572">
        <v>61.927824454042778</v>
      </c>
      <c r="F572">
        <f t="shared" si="8"/>
        <v>0.69380315917375457</v>
      </c>
    </row>
    <row r="573" spans="1:6" ht="96" x14ac:dyDescent="0.2">
      <c r="A573" s="4" t="s">
        <v>3844</v>
      </c>
      <c r="B573">
        <v>61.928933613381126</v>
      </c>
      <c r="C573" s="7">
        <v>0.69501822600243013</v>
      </c>
      <c r="E573">
        <v>61.928933613381126</v>
      </c>
      <c r="F573">
        <f t="shared" si="8"/>
        <v>0.69501822600243013</v>
      </c>
    </row>
    <row r="574" spans="1:6" ht="112" x14ac:dyDescent="0.2">
      <c r="A574" s="4" t="s">
        <v>3083</v>
      </c>
      <c r="B574">
        <v>61.995730307040638</v>
      </c>
      <c r="C574" s="7">
        <v>0.69623329283110569</v>
      </c>
      <c r="E574">
        <v>61.995730307040638</v>
      </c>
      <c r="F574">
        <f t="shared" si="8"/>
        <v>0.69623329283110569</v>
      </c>
    </row>
    <row r="575" spans="1:6" ht="112" x14ac:dyDescent="0.2">
      <c r="A575" s="4" t="s">
        <v>3477</v>
      </c>
      <c r="B575">
        <v>62.152713709533458</v>
      </c>
      <c r="C575" s="7">
        <v>0.69744835965978125</v>
      </c>
      <c r="E575">
        <v>62.152713709533458</v>
      </c>
      <c r="F575">
        <f t="shared" si="8"/>
        <v>0.69744835965978125</v>
      </c>
    </row>
    <row r="576" spans="1:6" ht="112" x14ac:dyDescent="0.2">
      <c r="A576" s="4" t="s">
        <v>3507</v>
      </c>
      <c r="B576">
        <v>62.26920271089071</v>
      </c>
      <c r="C576" s="7">
        <v>0.69866342648845692</v>
      </c>
      <c r="E576">
        <v>62.26920271089071</v>
      </c>
      <c r="F576">
        <f t="shared" si="8"/>
        <v>0.69866342648845692</v>
      </c>
    </row>
    <row r="577" spans="1:6" ht="112" x14ac:dyDescent="0.2">
      <c r="A577" s="4" t="s">
        <v>3665</v>
      </c>
      <c r="B577">
        <v>62.502311568442018</v>
      </c>
      <c r="C577" s="7">
        <v>0.69987849331713248</v>
      </c>
      <c r="E577">
        <v>62.502311568442018</v>
      </c>
      <c r="F577">
        <f t="shared" si="8"/>
        <v>0.69987849331713248</v>
      </c>
    </row>
    <row r="578" spans="1:6" ht="96" x14ac:dyDescent="0.2">
      <c r="A578" s="4" t="s">
        <v>3801</v>
      </c>
      <c r="B578">
        <v>62.50802517473241</v>
      </c>
      <c r="C578" s="7">
        <v>0.70109356014580804</v>
      </c>
      <c r="E578">
        <v>62.50802517473241</v>
      </c>
      <c r="F578">
        <f t="shared" si="8"/>
        <v>0.70109356014580804</v>
      </c>
    </row>
    <row r="579" spans="1:6" ht="96" x14ac:dyDescent="0.2">
      <c r="A579" s="4" t="s">
        <v>3825</v>
      </c>
      <c r="B579">
        <v>62.59534954918923</v>
      </c>
      <c r="C579" s="7">
        <v>0.7023086269744836</v>
      </c>
      <c r="E579">
        <v>62.59534954918923</v>
      </c>
      <c r="F579">
        <f t="shared" ref="F579:F642" si="9">_xlfn.RANK.EQ(E579,$E$2:$E$824,1)/COUNT($E$2:$E$824)</f>
        <v>0.7023086269744836</v>
      </c>
    </row>
    <row r="580" spans="1:6" ht="112" x14ac:dyDescent="0.2">
      <c r="A580" s="4" t="s">
        <v>3446</v>
      </c>
      <c r="B580">
        <v>62.674935037975025</v>
      </c>
      <c r="C580" s="7">
        <v>0.70352369380315916</v>
      </c>
      <c r="E580">
        <v>62.674935037975025</v>
      </c>
      <c r="F580">
        <f t="shared" si="9"/>
        <v>0.70352369380315916</v>
      </c>
    </row>
    <row r="581" spans="1:6" ht="96" x14ac:dyDescent="0.2">
      <c r="A581" s="4" t="s">
        <v>3783</v>
      </c>
      <c r="B581">
        <v>62.713914508605669</v>
      </c>
      <c r="C581" s="7">
        <v>0.70473876063183472</v>
      </c>
      <c r="E581">
        <v>62.713914508605669</v>
      </c>
      <c r="F581">
        <f t="shared" si="9"/>
        <v>0.70473876063183472</v>
      </c>
    </row>
    <row r="582" spans="1:6" ht="112" x14ac:dyDescent="0.2">
      <c r="A582" s="4" t="s">
        <v>3810</v>
      </c>
      <c r="B582">
        <v>62.809677917982057</v>
      </c>
      <c r="C582" s="7">
        <v>0.70595382746051027</v>
      </c>
      <c r="E582">
        <v>62.809677917982057</v>
      </c>
      <c r="F582">
        <f t="shared" si="9"/>
        <v>0.70595382746051027</v>
      </c>
    </row>
    <row r="583" spans="1:6" ht="112" x14ac:dyDescent="0.2">
      <c r="A583" s="4" t="s">
        <v>3301</v>
      </c>
      <c r="B583">
        <v>62.898117267035154</v>
      </c>
      <c r="C583" s="7">
        <v>0.70716889428918595</v>
      </c>
      <c r="E583">
        <v>62.898117267035154</v>
      </c>
      <c r="F583">
        <f t="shared" si="9"/>
        <v>0.70716889428918595</v>
      </c>
    </row>
    <row r="584" spans="1:6" ht="112" x14ac:dyDescent="0.2">
      <c r="A584" s="4" t="s">
        <v>3333</v>
      </c>
      <c r="B584">
        <v>63.020625000000003</v>
      </c>
      <c r="C584" s="7">
        <v>0.7083839611178615</v>
      </c>
      <c r="E584">
        <v>63.020625000000003</v>
      </c>
      <c r="F584">
        <f t="shared" si="9"/>
        <v>0.7083839611178615</v>
      </c>
    </row>
    <row r="585" spans="1:6" ht="96" x14ac:dyDescent="0.2">
      <c r="A585" s="4" t="s">
        <v>3799</v>
      </c>
      <c r="B585">
        <v>63.129149227999918</v>
      </c>
      <c r="C585" s="7">
        <v>0.70959902794653706</v>
      </c>
      <c r="E585">
        <v>63.129149227999918</v>
      </c>
      <c r="F585">
        <f t="shared" si="9"/>
        <v>0.70959902794653706</v>
      </c>
    </row>
    <row r="586" spans="1:6" ht="112" x14ac:dyDescent="0.2">
      <c r="A586" s="4" t="s">
        <v>3368</v>
      </c>
      <c r="B586">
        <v>63.164815402506434</v>
      </c>
      <c r="C586" s="7">
        <v>0.71081409477521262</v>
      </c>
      <c r="E586">
        <v>63.164815402506434</v>
      </c>
      <c r="F586">
        <f t="shared" si="9"/>
        <v>0.71081409477521262</v>
      </c>
    </row>
    <row r="587" spans="1:6" ht="112" x14ac:dyDescent="0.2">
      <c r="A587" s="4" t="s">
        <v>3511</v>
      </c>
      <c r="B587">
        <v>63.234166666666674</v>
      </c>
      <c r="C587" s="7">
        <v>0.71202916160388818</v>
      </c>
      <c r="E587">
        <v>63.234166666666674</v>
      </c>
      <c r="F587">
        <f t="shared" si="9"/>
        <v>0.71202916160388818</v>
      </c>
    </row>
    <row r="588" spans="1:6" ht="128" x14ac:dyDescent="0.2">
      <c r="A588" s="4" t="s">
        <v>3097</v>
      </c>
      <c r="B588">
        <v>63.657840641239822</v>
      </c>
      <c r="C588" s="7">
        <v>0.71324422843256374</v>
      </c>
      <c r="E588">
        <v>63.657840641239822</v>
      </c>
      <c r="F588">
        <f t="shared" si="9"/>
        <v>0.71324422843256374</v>
      </c>
    </row>
    <row r="589" spans="1:6" ht="112" x14ac:dyDescent="0.2">
      <c r="A589" s="4" t="s">
        <v>3303</v>
      </c>
      <c r="B589">
        <v>63.723465222789002</v>
      </c>
      <c r="C589" s="7">
        <v>0.71445929526123941</v>
      </c>
      <c r="E589">
        <v>63.723465222789002</v>
      </c>
      <c r="F589">
        <f t="shared" si="9"/>
        <v>0.71445929526123941</v>
      </c>
    </row>
    <row r="590" spans="1:6" ht="112" x14ac:dyDescent="0.2">
      <c r="A590" s="4" t="s">
        <v>3683</v>
      </c>
      <c r="B590">
        <v>63.876959214122138</v>
      </c>
      <c r="C590" s="7">
        <v>0.71567436208991497</v>
      </c>
      <c r="E590">
        <v>63.876959214122138</v>
      </c>
      <c r="F590">
        <f t="shared" si="9"/>
        <v>0.71567436208991497</v>
      </c>
    </row>
    <row r="591" spans="1:6" ht="128" x14ac:dyDescent="0.2">
      <c r="A591" s="4" t="s">
        <v>3540</v>
      </c>
      <c r="B591">
        <v>64.006359423830745</v>
      </c>
      <c r="C591" s="7">
        <v>0.71688942891859053</v>
      </c>
      <c r="E591">
        <v>64.006359423830745</v>
      </c>
      <c r="F591">
        <f t="shared" si="9"/>
        <v>0.71688942891859053</v>
      </c>
    </row>
    <row r="592" spans="1:6" ht="112" x14ac:dyDescent="0.2">
      <c r="A592" s="4" t="s">
        <v>3177</v>
      </c>
      <c r="B592">
        <v>64.036232928600285</v>
      </c>
      <c r="C592" s="7">
        <v>0.71810449574726609</v>
      </c>
      <c r="E592">
        <v>64.036232928600285</v>
      </c>
      <c r="F592">
        <f t="shared" si="9"/>
        <v>0.71810449574726609</v>
      </c>
    </row>
    <row r="593" spans="1:6" ht="128" x14ac:dyDescent="0.2">
      <c r="A593" s="4" t="s">
        <v>3406</v>
      </c>
      <c r="B593">
        <v>64.046620365707497</v>
      </c>
      <c r="C593" s="7">
        <v>0.71931956257594165</v>
      </c>
      <c r="E593">
        <v>64.046620365707497</v>
      </c>
      <c r="F593">
        <f t="shared" si="9"/>
        <v>0.71931956257594165</v>
      </c>
    </row>
    <row r="594" spans="1:6" ht="112" x14ac:dyDescent="0.2">
      <c r="A594" s="4" t="s">
        <v>3295</v>
      </c>
      <c r="B594">
        <v>64.069958221553634</v>
      </c>
      <c r="C594" s="7">
        <v>0.72053462940461721</v>
      </c>
      <c r="E594">
        <v>64.069958221553634</v>
      </c>
      <c r="F594">
        <f t="shared" si="9"/>
        <v>0.72053462940461721</v>
      </c>
    </row>
    <row r="595" spans="1:6" ht="128" x14ac:dyDescent="0.2">
      <c r="A595" s="4" t="s">
        <v>3490</v>
      </c>
      <c r="B595">
        <v>64.279518120251097</v>
      </c>
      <c r="C595" s="7">
        <v>0.72174969623329288</v>
      </c>
      <c r="E595">
        <v>64.279518120251097</v>
      </c>
      <c r="F595">
        <f t="shared" si="9"/>
        <v>0.72174969623329288</v>
      </c>
    </row>
    <row r="596" spans="1:6" ht="128" x14ac:dyDescent="0.2">
      <c r="A596" s="4" t="s">
        <v>3759</v>
      </c>
      <c r="B596">
        <v>64.310139995571461</v>
      </c>
      <c r="C596" s="7">
        <v>0.72296476306196844</v>
      </c>
      <c r="E596">
        <v>64.310139995571461</v>
      </c>
      <c r="F596">
        <f t="shared" si="9"/>
        <v>0.72296476306196844</v>
      </c>
    </row>
    <row r="597" spans="1:6" ht="112" x14ac:dyDescent="0.2">
      <c r="A597" s="4" t="s">
        <v>3027</v>
      </c>
      <c r="B597">
        <v>64.458996067622721</v>
      </c>
      <c r="C597" s="7">
        <v>0.724179829890644</v>
      </c>
      <c r="E597">
        <v>64.458996067622721</v>
      </c>
      <c r="F597">
        <f t="shared" si="9"/>
        <v>0.724179829890644</v>
      </c>
    </row>
    <row r="598" spans="1:6" ht="112" x14ac:dyDescent="0.2">
      <c r="A598" s="4" t="s">
        <v>3607</v>
      </c>
      <c r="B598">
        <v>64.490326596593661</v>
      </c>
      <c r="C598" s="7">
        <v>0.72539489671931956</v>
      </c>
      <c r="E598">
        <v>64.490326596593661</v>
      </c>
      <c r="F598">
        <f t="shared" si="9"/>
        <v>0.72539489671931956</v>
      </c>
    </row>
    <row r="599" spans="1:6" ht="112" x14ac:dyDescent="0.2">
      <c r="A599" s="4" t="s">
        <v>3631</v>
      </c>
      <c r="B599">
        <v>64.521954273463635</v>
      </c>
      <c r="C599" s="7">
        <v>0.72660996354799512</v>
      </c>
      <c r="E599">
        <v>64.521954273463635</v>
      </c>
      <c r="F599">
        <f t="shared" si="9"/>
        <v>0.72660996354799512</v>
      </c>
    </row>
    <row r="600" spans="1:6" ht="112" x14ac:dyDescent="0.2">
      <c r="A600" s="4" t="s">
        <v>3680</v>
      </c>
      <c r="B600">
        <v>64.528844060081667</v>
      </c>
      <c r="C600" s="7">
        <v>0.72782503037667068</v>
      </c>
      <c r="E600">
        <v>64.528844060081667</v>
      </c>
      <c r="F600">
        <f t="shared" si="9"/>
        <v>0.72782503037667068</v>
      </c>
    </row>
    <row r="601" spans="1:6" ht="112" x14ac:dyDescent="0.2">
      <c r="A601" s="4" t="s">
        <v>3826</v>
      </c>
      <c r="B601">
        <v>64.627815060716571</v>
      </c>
      <c r="C601" s="7">
        <v>0.72904009720534635</v>
      </c>
      <c r="E601">
        <v>64.627815060716571</v>
      </c>
      <c r="F601">
        <f t="shared" si="9"/>
        <v>0.72904009720534635</v>
      </c>
    </row>
    <row r="602" spans="1:6" ht="112" x14ac:dyDescent="0.2">
      <c r="A602" s="4" t="s">
        <v>3671</v>
      </c>
      <c r="B602">
        <v>64.654494654526971</v>
      </c>
      <c r="C602" s="7">
        <v>0.73025516403402191</v>
      </c>
      <c r="E602">
        <v>64.654494654526971</v>
      </c>
      <c r="F602">
        <f t="shared" si="9"/>
        <v>0.73025516403402191</v>
      </c>
    </row>
    <row r="603" spans="1:6" ht="112" x14ac:dyDescent="0.2">
      <c r="A603" s="4" t="s">
        <v>3223</v>
      </c>
      <c r="B603">
        <v>64.661760009116932</v>
      </c>
      <c r="C603" s="7">
        <v>0.73147023086269747</v>
      </c>
      <c r="E603">
        <v>64.661760009116932</v>
      </c>
      <c r="F603">
        <f t="shared" si="9"/>
        <v>0.73147023086269747</v>
      </c>
    </row>
    <row r="604" spans="1:6" ht="96" x14ac:dyDescent="0.2">
      <c r="A604" s="4" t="s">
        <v>3757</v>
      </c>
      <c r="B604">
        <v>64.756674408006887</v>
      </c>
      <c r="C604" s="7">
        <v>0.73268529769137303</v>
      </c>
      <c r="E604">
        <v>64.756674408006887</v>
      </c>
      <c r="F604">
        <f t="shared" si="9"/>
        <v>0.73268529769137303</v>
      </c>
    </row>
    <row r="605" spans="1:6" ht="112" x14ac:dyDescent="0.2">
      <c r="A605" s="4" t="s">
        <v>3033</v>
      </c>
      <c r="B605">
        <v>64.813733298276759</v>
      </c>
      <c r="C605" s="7">
        <v>0.73390036452004859</v>
      </c>
      <c r="E605">
        <v>64.813733298276759</v>
      </c>
      <c r="F605">
        <f t="shared" si="9"/>
        <v>0.73390036452004859</v>
      </c>
    </row>
    <row r="606" spans="1:6" ht="112" x14ac:dyDescent="0.2">
      <c r="A606" s="4" t="s">
        <v>3384</v>
      </c>
      <c r="B606">
        <v>64.896249509445127</v>
      </c>
      <c r="C606" s="7">
        <v>0.73511543134872415</v>
      </c>
      <c r="E606">
        <v>64.896249509445127</v>
      </c>
      <c r="F606">
        <f t="shared" si="9"/>
        <v>0.73511543134872415</v>
      </c>
    </row>
    <row r="607" spans="1:6" ht="112" x14ac:dyDescent="0.2">
      <c r="A607" s="4" t="s">
        <v>3145</v>
      </c>
      <c r="B607">
        <v>64.948027142152625</v>
      </c>
      <c r="C607" s="7">
        <v>0.73633049817739971</v>
      </c>
      <c r="E607">
        <v>64.948027142152625</v>
      </c>
      <c r="F607">
        <f t="shared" si="9"/>
        <v>0.73633049817739971</v>
      </c>
    </row>
    <row r="608" spans="1:6" ht="112" x14ac:dyDescent="0.2">
      <c r="A608" s="4" t="s">
        <v>3538</v>
      </c>
      <c r="B608">
        <v>65.075875837857581</v>
      </c>
      <c r="C608" s="7">
        <v>0.73754556500607538</v>
      </c>
      <c r="E608">
        <v>65.075875837857581</v>
      </c>
      <c r="F608">
        <f t="shared" si="9"/>
        <v>0.73754556500607538</v>
      </c>
    </row>
    <row r="609" spans="1:6" ht="112" x14ac:dyDescent="0.2">
      <c r="A609" s="4" t="s">
        <v>3151</v>
      </c>
      <c r="B609">
        <v>65.08048572515591</v>
      </c>
      <c r="C609" s="7">
        <v>0.73876063183475094</v>
      </c>
      <c r="E609">
        <v>65.08048572515591</v>
      </c>
      <c r="F609">
        <f t="shared" si="9"/>
        <v>0.73876063183475094</v>
      </c>
    </row>
    <row r="610" spans="1:6" ht="112" x14ac:dyDescent="0.2">
      <c r="A610" s="4" t="s">
        <v>3565</v>
      </c>
      <c r="B610">
        <v>65.377616371795227</v>
      </c>
      <c r="C610" s="7">
        <v>0.7399756986634265</v>
      </c>
      <c r="E610">
        <v>65.377616371795227</v>
      </c>
      <c r="F610">
        <f t="shared" si="9"/>
        <v>0.7399756986634265</v>
      </c>
    </row>
    <row r="611" spans="1:6" ht="112" x14ac:dyDescent="0.2">
      <c r="A611" s="4" t="s">
        <v>3454</v>
      </c>
      <c r="B611">
        <v>65.392354582770523</v>
      </c>
      <c r="C611" s="7">
        <v>0.74119076549210205</v>
      </c>
      <c r="E611">
        <v>65.392354582770523</v>
      </c>
      <c r="F611">
        <f t="shared" si="9"/>
        <v>0.74119076549210205</v>
      </c>
    </row>
    <row r="612" spans="1:6" ht="128" x14ac:dyDescent="0.2">
      <c r="A612" s="4" t="s">
        <v>3785</v>
      </c>
      <c r="B612">
        <v>65.420312409430665</v>
      </c>
      <c r="C612" s="7">
        <v>0.74240583232077761</v>
      </c>
      <c r="E612">
        <v>65.420312409430665</v>
      </c>
      <c r="F612">
        <f t="shared" si="9"/>
        <v>0.74240583232077761</v>
      </c>
    </row>
    <row r="613" spans="1:6" ht="112" x14ac:dyDescent="0.2">
      <c r="A613" s="4" t="s">
        <v>3847</v>
      </c>
      <c r="B613">
        <v>65.42190484248512</v>
      </c>
      <c r="C613" s="7">
        <v>0.74362089914945317</v>
      </c>
      <c r="E613">
        <v>65.42190484248512</v>
      </c>
      <c r="F613">
        <f t="shared" si="9"/>
        <v>0.74362089914945317</v>
      </c>
    </row>
    <row r="614" spans="1:6" ht="112" x14ac:dyDescent="0.2">
      <c r="A614" s="4" t="s">
        <v>3225</v>
      </c>
      <c r="B614">
        <v>65.508697772171189</v>
      </c>
      <c r="C614" s="7">
        <v>0.74483596597812884</v>
      </c>
      <c r="E614">
        <v>65.508697772171189</v>
      </c>
      <c r="F614">
        <f t="shared" si="9"/>
        <v>0.74483596597812884</v>
      </c>
    </row>
    <row r="615" spans="1:6" ht="112" x14ac:dyDescent="0.2">
      <c r="A615" s="4" t="s">
        <v>3786</v>
      </c>
      <c r="B615">
        <v>65.626142923094349</v>
      </c>
      <c r="C615" s="7">
        <v>0.7460510328068044</v>
      </c>
      <c r="E615">
        <v>65.626142923094349</v>
      </c>
      <c r="F615">
        <f t="shared" si="9"/>
        <v>0.7460510328068044</v>
      </c>
    </row>
    <row r="616" spans="1:6" ht="112" x14ac:dyDescent="0.2">
      <c r="A616" s="4" t="s">
        <v>3085</v>
      </c>
      <c r="B616">
        <v>65.637652457928397</v>
      </c>
      <c r="C616" s="7">
        <v>0.74726609963547996</v>
      </c>
      <c r="E616">
        <v>65.637652457928397</v>
      </c>
      <c r="F616">
        <f t="shared" si="9"/>
        <v>0.74726609963547996</v>
      </c>
    </row>
    <row r="617" spans="1:6" ht="112" x14ac:dyDescent="0.2">
      <c r="A617" s="4" t="s">
        <v>3169</v>
      </c>
      <c r="B617">
        <v>65.71977794877553</v>
      </c>
      <c r="C617" s="7">
        <v>0.74848116646415552</v>
      </c>
      <c r="E617">
        <v>65.71977794877553</v>
      </c>
      <c r="F617">
        <f t="shared" si="9"/>
        <v>0.74848116646415552</v>
      </c>
    </row>
    <row r="618" spans="1:6" ht="112" x14ac:dyDescent="0.2">
      <c r="A618" s="4" t="s">
        <v>3669</v>
      </c>
      <c r="B618">
        <v>65.74949823900802</v>
      </c>
      <c r="C618" s="7">
        <v>0.74969623329283108</v>
      </c>
      <c r="E618">
        <v>65.74949823900802</v>
      </c>
      <c r="F618">
        <f t="shared" si="9"/>
        <v>0.74969623329283108</v>
      </c>
    </row>
    <row r="619" spans="1:6" ht="112" x14ac:dyDescent="0.2">
      <c r="A619" s="4" t="s">
        <v>3701</v>
      </c>
      <c r="B619">
        <v>65.916893904309788</v>
      </c>
      <c r="C619" s="7">
        <v>0.75091130012150664</v>
      </c>
      <c r="E619">
        <v>65.916893904309788</v>
      </c>
      <c r="F619">
        <f t="shared" si="9"/>
        <v>0.75091130012150664</v>
      </c>
    </row>
    <row r="620" spans="1:6" ht="112" x14ac:dyDescent="0.2">
      <c r="A620" s="4" t="s">
        <v>3765</v>
      </c>
      <c r="B620">
        <v>65.921980739472502</v>
      </c>
      <c r="C620" s="7">
        <v>0.75212636695018231</v>
      </c>
      <c r="E620">
        <v>65.921980739472502</v>
      </c>
      <c r="F620">
        <f t="shared" si="9"/>
        <v>0.75212636695018231</v>
      </c>
    </row>
    <row r="621" spans="1:6" ht="112" x14ac:dyDescent="0.2">
      <c r="A621" s="4" t="s">
        <v>3769</v>
      </c>
      <c r="B621">
        <v>66.052307588654756</v>
      </c>
      <c r="C621" s="7">
        <v>0.75334143377885787</v>
      </c>
      <c r="E621">
        <v>66.052307588654756</v>
      </c>
      <c r="F621">
        <f t="shared" si="9"/>
        <v>0.75334143377885787</v>
      </c>
    </row>
    <row r="622" spans="1:6" ht="112" x14ac:dyDescent="0.2">
      <c r="A622" s="4" t="s">
        <v>3101</v>
      </c>
      <c r="B622">
        <v>66.10152521448164</v>
      </c>
      <c r="C622" s="7">
        <v>0.75455650060753343</v>
      </c>
      <c r="E622">
        <v>66.10152521448164</v>
      </c>
      <c r="F622">
        <f t="shared" si="9"/>
        <v>0.75455650060753343</v>
      </c>
    </row>
    <row r="623" spans="1:6" ht="112" x14ac:dyDescent="0.2">
      <c r="A623" s="4" t="s">
        <v>3776</v>
      </c>
      <c r="B623">
        <v>66.172161188918508</v>
      </c>
      <c r="C623" s="7">
        <v>0.75577156743620899</v>
      </c>
      <c r="E623">
        <v>66.172161188918508</v>
      </c>
      <c r="F623">
        <f t="shared" si="9"/>
        <v>0.75577156743620899</v>
      </c>
    </row>
    <row r="624" spans="1:6" ht="112" x14ac:dyDescent="0.2">
      <c r="A624" s="4" t="s">
        <v>3287</v>
      </c>
      <c r="B624">
        <v>66.340543067118119</v>
      </c>
      <c r="C624" s="7">
        <v>0.75698663426488455</v>
      </c>
      <c r="E624">
        <v>66.340543067118119</v>
      </c>
      <c r="F624">
        <f t="shared" si="9"/>
        <v>0.75698663426488455</v>
      </c>
    </row>
    <row r="625" spans="1:6" ht="112" x14ac:dyDescent="0.2">
      <c r="A625" s="4" t="s">
        <v>3737</v>
      </c>
      <c r="B625">
        <v>66.418851573964531</v>
      </c>
      <c r="C625" s="7">
        <v>0.75820170109356011</v>
      </c>
      <c r="E625">
        <v>66.418851573964531</v>
      </c>
      <c r="F625">
        <f t="shared" si="9"/>
        <v>0.75820170109356011</v>
      </c>
    </row>
    <row r="626" spans="1:6" ht="128" x14ac:dyDescent="0.2">
      <c r="A626" s="4" t="s">
        <v>3587</v>
      </c>
      <c r="B626">
        <v>66.496400571255023</v>
      </c>
      <c r="C626" s="7">
        <v>0.75941676792223567</v>
      </c>
      <c r="E626">
        <v>66.496400571255023</v>
      </c>
      <c r="F626">
        <f t="shared" si="9"/>
        <v>0.75941676792223567</v>
      </c>
    </row>
    <row r="627" spans="1:6" ht="112" x14ac:dyDescent="0.2">
      <c r="A627" s="4" t="s">
        <v>3434</v>
      </c>
      <c r="B627">
        <v>66.508119097463222</v>
      </c>
      <c r="C627" s="7">
        <v>0.76063183475091134</v>
      </c>
      <c r="E627">
        <v>66.508119097463222</v>
      </c>
      <c r="F627">
        <f t="shared" si="9"/>
        <v>0.76063183475091134</v>
      </c>
    </row>
    <row r="628" spans="1:6" ht="128" x14ac:dyDescent="0.2">
      <c r="A628" s="4" t="s">
        <v>3505</v>
      </c>
      <c r="B628">
        <v>66.540829513443583</v>
      </c>
      <c r="C628" s="7">
        <v>0.7618469015795869</v>
      </c>
      <c r="E628">
        <v>66.540829513443583</v>
      </c>
      <c r="F628">
        <f t="shared" si="9"/>
        <v>0.7618469015795869</v>
      </c>
    </row>
    <row r="629" spans="1:6" ht="112" x14ac:dyDescent="0.2">
      <c r="A629" s="4" t="s">
        <v>3171</v>
      </c>
      <c r="B629">
        <v>66.646056871743923</v>
      </c>
      <c r="C629" s="7">
        <v>0.76306196840826246</v>
      </c>
      <c r="E629">
        <v>66.646056871743923</v>
      </c>
      <c r="F629">
        <f t="shared" si="9"/>
        <v>0.76306196840826246</v>
      </c>
    </row>
    <row r="630" spans="1:6" ht="112" x14ac:dyDescent="0.2">
      <c r="A630" s="4" t="s">
        <v>3729</v>
      </c>
      <c r="B630">
        <v>66.682741471868738</v>
      </c>
      <c r="C630" s="7">
        <v>0.76427703523693802</v>
      </c>
      <c r="E630">
        <v>66.682741471868738</v>
      </c>
      <c r="F630">
        <f t="shared" si="9"/>
        <v>0.76427703523693802</v>
      </c>
    </row>
    <row r="631" spans="1:6" ht="112" x14ac:dyDescent="0.2">
      <c r="A631" s="4" t="s">
        <v>3229</v>
      </c>
      <c r="B631">
        <v>66.795936642992388</v>
      </c>
      <c r="C631" s="7">
        <v>0.76549210206561358</v>
      </c>
      <c r="E631">
        <v>66.795936642992388</v>
      </c>
      <c r="F631">
        <f t="shared" si="9"/>
        <v>0.76549210206561358</v>
      </c>
    </row>
    <row r="632" spans="1:6" ht="112" x14ac:dyDescent="0.2">
      <c r="A632" s="4" t="s">
        <v>3035</v>
      </c>
      <c r="B632">
        <v>66.94264560054377</v>
      </c>
      <c r="C632" s="7">
        <v>0.76670716889428914</v>
      </c>
      <c r="E632">
        <v>66.94264560054377</v>
      </c>
      <c r="F632">
        <f t="shared" si="9"/>
        <v>0.76670716889428914</v>
      </c>
    </row>
    <row r="633" spans="1:6" ht="112" x14ac:dyDescent="0.2">
      <c r="A633" s="4" t="s">
        <v>3722</v>
      </c>
      <c r="B633">
        <v>67.093852323297256</v>
      </c>
      <c r="C633" s="7">
        <v>0.76792223572296481</v>
      </c>
      <c r="E633">
        <v>67.093852323297256</v>
      </c>
      <c r="F633">
        <f t="shared" si="9"/>
        <v>0.76792223572296481</v>
      </c>
    </row>
    <row r="634" spans="1:6" ht="96" x14ac:dyDescent="0.2">
      <c r="A634" s="4" t="s">
        <v>3849</v>
      </c>
      <c r="B634">
        <v>67.312157073032211</v>
      </c>
      <c r="C634" s="7">
        <v>0.76913730255164037</v>
      </c>
      <c r="E634">
        <v>67.312157073032211</v>
      </c>
      <c r="F634">
        <f t="shared" si="9"/>
        <v>0.76913730255164037</v>
      </c>
    </row>
    <row r="635" spans="1:6" ht="112" x14ac:dyDescent="0.2">
      <c r="A635" s="4" t="s">
        <v>3107</v>
      </c>
      <c r="B635">
        <v>67.553503068722463</v>
      </c>
      <c r="C635" s="7">
        <v>0.77035236938031593</v>
      </c>
      <c r="E635">
        <v>67.553503068722463</v>
      </c>
      <c r="F635">
        <f t="shared" si="9"/>
        <v>0.77035236938031593</v>
      </c>
    </row>
    <row r="636" spans="1:6" ht="112" x14ac:dyDescent="0.2">
      <c r="A636" s="4" t="s">
        <v>3548</v>
      </c>
      <c r="B636">
        <v>67.659485606159606</v>
      </c>
      <c r="C636" s="7">
        <v>0.77156743620899149</v>
      </c>
      <c r="E636">
        <v>67.659485606159606</v>
      </c>
      <c r="F636">
        <f t="shared" si="9"/>
        <v>0.77156743620899149</v>
      </c>
    </row>
    <row r="637" spans="1:6" ht="112" x14ac:dyDescent="0.2">
      <c r="A637" s="4" t="s">
        <v>3823</v>
      </c>
      <c r="B637">
        <v>67.714249568274738</v>
      </c>
      <c r="C637" s="7">
        <v>0.77278250303766705</v>
      </c>
      <c r="E637">
        <v>67.714249568274738</v>
      </c>
      <c r="F637">
        <f t="shared" si="9"/>
        <v>0.77278250303766705</v>
      </c>
    </row>
    <row r="638" spans="1:6" ht="112" x14ac:dyDescent="0.2">
      <c r="A638" s="4" t="s">
        <v>3408</v>
      </c>
      <c r="B638">
        <v>67.777208558629795</v>
      </c>
      <c r="C638" s="7">
        <v>0.77399756986634261</v>
      </c>
      <c r="E638">
        <v>67.777208558629795</v>
      </c>
      <c r="F638">
        <f t="shared" si="9"/>
        <v>0.77399756986634261</v>
      </c>
    </row>
    <row r="639" spans="1:6" ht="112" x14ac:dyDescent="0.2">
      <c r="A639" s="4" t="s">
        <v>3616</v>
      </c>
      <c r="B639">
        <v>67.833073245053001</v>
      </c>
      <c r="C639" s="7">
        <v>0.77521263669501828</v>
      </c>
      <c r="E639">
        <v>67.833073245053001</v>
      </c>
      <c r="F639">
        <f t="shared" si="9"/>
        <v>0.77521263669501828</v>
      </c>
    </row>
    <row r="640" spans="1:6" ht="112" x14ac:dyDescent="0.2">
      <c r="A640" s="4" t="s">
        <v>3071</v>
      </c>
      <c r="B640">
        <v>67.887797518467167</v>
      </c>
      <c r="C640" s="7">
        <v>0.77642770352369384</v>
      </c>
      <c r="E640">
        <v>67.887797518467167</v>
      </c>
      <c r="F640">
        <f t="shared" si="9"/>
        <v>0.77642770352369384</v>
      </c>
    </row>
    <row r="641" spans="1:6" ht="112" x14ac:dyDescent="0.2">
      <c r="A641" s="4" t="s">
        <v>3251</v>
      </c>
      <c r="B641">
        <v>67.974135423250956</v>
      </c>
      <c r="C641" s="7">
        <v>0.77764277035236939</v>
      </c>
      <c r="E641">
        <v>67.974135423250956</v>
      </c>
      <c r="F641">
        <f t="shared" si="9"/>
        <v>0.77764277035236939</v>
      </c>
    </row>
    <row r="642" spans="1:6" ht="96" x14ac:dyDescent="0.2">
      <c r="A642" s="4" t="s">
        <v>3843</v>
      </c>
      <c r="B642">
        <v>68.275442534877314</v>
      </c>
      <c r="C642" s="7">
        <v>0.77885783718104495</v>
      </c>
      <c r="E642">
        <v>68.275442534877314</v>
      </c>
      <c r="F642">
        <f t="shared" si="9"/>
        <v>0.77885783718104495</v>
      </c>
    </row>
    <row r="643" spans="1:6" ht="112" x14ac:dyDescent="0.2">
      <c r="A643" s="4" t="s">
        <v>3556</v>
      </c>
      <c r="B643">
        <v>68.338883163463549</v>
      </c>
      <c r="C643" s="7">
        <v>0.78007290400972051</v>
      </c>
      <c r="E643">
        <v>68.338883163463549</v>
      </c>
      <c r="F643">
        <f t="shared" ref="F643:F706" si="10">_xlfn.RANK.EQ(E643,$E$2:$E$824,1)/COUNT($E$2:$E$824)</f>
        <v>0.78007290400972051</v>
      </c>
    </row>
    <row r="644" spans="1:6" ht="112" x14ac:dyDescent="0.2">
      <c r="A644" s="4" t="s">
        <v>3500</v>
      </c>
      <c r="B644">
        <v>68.393124999999998</v>
      </c>
      <c r="C644" s="7">
        <v>0.78128797083839607</v>
      </c>
      <c r="E644">
        <v>68.393124999999998</v>
      </c>
      <c r="F644">
        <f t="shared" si="10"/>
        <v>0.78128797083839607</v>
      </c>
    </row>
    <row r="645" spans="1:6" ht="112" x14ac:dyDescent="0.2">
      <c r="A645" s="4" t="s">
        <v>3572</v>
      </c>
      <c r="B645">
        <v>68.395925941832331</v>
      </c>
      <c r="C645" s="7">
        <v>0.78250303766707174</v>
      </c>
      <c r="E645">
        <v>68.395925941832331</v>
      </c>
      <c r="F645">
        <f t="shared" si="10"/>
        <v>0.78250303766707174</v>
      </c>
    </row>
    <row r="646" spans="1:6" ht="112" x14ac:dyDescent="0.2">
      <c r="A646" s="4" t="s">
        <v>3543</v>
      </c>
      <c r="B646">
        <v>68.75513074206323</v>
      </c>
      <c r="C646" s="7">
        <v>0.7837181044957473</v>
      </c>
      <c r="E646">
        <v>68.75513074206323</v>
      </c>
      <c r="F646">
        <f t="shared" si="10"/>
        <v>0.7837181044957473</v>
      </c>
    </row>
    <row r="647" spans="1:6" ht="112" x14ac:dyDescent="0.2">
      <c r="A647" s="4" t="s">
        <v>3161</v>
      </c>
      <c r="B647">
        <v>68.813705605306978</v>
      </c>
      <c r="C647" s="7">
        <v>0.78493317132442286</v>
      </c>
      <c r="E647">
        <v>68.813705605306978</v>
      </c>
      <c r="F647">
        <f t="shared" si="10"/>
        <v>0.78493317132442286</v>
      </c>
    </row>
    <row r="648" spans="1:6" ht="112" x14ac:dyDescent="0.2">
      <c r="A648" s="4" t="s">
        <v>3053</v>
      </c>
      <c r="B648">
        <v>68.838300872736937</v>
      </c>
      <c r="C648" s="7">
        <v>0.78614823815309842</v>
      </c>
      <c r="E648">
        <v>68.838300872736937</v>
      </c>
      <c r="F648">
        <f t="shared" si="10"/>
        <v>0.78614823815309842</v>
      </c>
    </row>
    <row r="649" spans="1:6" ht="112" x14ac:dyDescent="0.2">
      <c r="A649" s="4" t="s">
        <v>3201</v>
      </c>
      <c r="B649">
        <v>68.843245182104752</v>
      </c>
      <c r="C649" s="7">
        <v>0.78736330498177398</v>
      </c>
      <c r="E649">
        <v>68.843245182104752</v>
      </c>
      <c r="F649">
        <f t="shared" si="10"/>
        <v>0.78736330498177398</v>
      </c>
    </row>
    <row r="650" spans="1:6" ht="112" x14ac:dyDescent="0.2">
      <c r="A650" s="4" t="s">
        <v>3077</v>
      </c>
      <c r="B650">
        <v>68.868710734133955</v>
      </c>
      <c r="C650" s="7">
        <v>0.78857837181044954</v>
      </c>
      <c r="E650">
        <v>68.868710734133955</v>
      </c>
      <c r="F650">
        <f t="shared" si="10"/>
        <v>0.78857837181044954</v>
      </c>
    </row>
    <row r="651" spans="1:6" ht="112" x14ac:dyDescent="0.2">
      <c r="A651" s="4" t="s">
        <v>3317</v>
      </c>
      <c r="B651">
        <v>68.891415079167672</v>
      </c>
      <c r="C651" s="7">
        <v>0.7897934386391251</v>
      </c>
      <c r="E651">
        <v>68.891415079167672</v>
      </c>
      <c r="F651">
        <f t="shared" si="10"/>
        <v>0.7897934386391251</v>
      </c>
    </row>
    <row r="652" spans="1:6" ht="128" x14ac:dyDescent="0.2">
      <c r="A652" s="4" t="s">
        <v>3143</v>
      </c>
      <c r="B652">
        <v>68.917512244536979</v>
      </c>
      <c r="C652" s="7">
        <v>0.79100850546780077</v>
      </c>
      <c r="E652">
        <v>68.917512244536979</v>
      </c>
      <c r="F652">
        <f t="shared" si="10"/>
        <v>0.79100850546780077</v>
      </c>
    </row>
    <row r="653" spans="1:6" ht="96" x14ac:dyDescent="0.2">
      <c r="A653" s="4" t="s">
        <v>3819</v>
      </c>
      <c r="B653">
        <v>68.945776676666867</v>
      </c>
      <c r="C653" s="7">
        <v>0.79222357229647633</v>
      </c>
      <c r="E653">
        <v>68.945776676666867</v>
      </c>
      <c r="F653">
        <f t="shared" si="10"/>
        <v>0.79222357229647633</v>
      </c>
    </row>
    <row r="654" spans="1:6" ht="96" x14ac:dyDescent="0.2">
      <c r="A654" s="4" t="s">
        <v>3763</v>
      </c>
      <c r="B654">
        <v>69.393620535346898</v>
      </c>
      <c r="C654" s="7">
        <v>0.79343863912515189</v>
      </c>
      <c r="E654">
        <v>69.393620535346898</v>
      </c>
      <c r="F654">
        <f t="shared" si="10"/>
        <v>0.79343863912515189</v>
      </c>
    </row>
    <row r="655" spans="1:6" ht="112" x14ac:dyDescent="0.2">
      <c r="A655" s="4" t="s">
        <v>3841</v>
      </c>
      <c r="B655">
        <v>69.493034185975304</v>
      </c>
      <c r="C655" s="7">
        <v>0.79465370595382745</v>
      </c>
      <c r="E655">
        <v>69.493034185975304</v>
      </c>
      <c r="F655">
        <f t="shared" si="10"/>
        <v>0.79465370595382745</v>
      </c>
    </row>
    <row r="656" spans="1:6" ht="112" x14ac:dyDescent="0.2">
      <c r="A656" s="4" t="s">
        <v>3199</v>
      </c>
      <c r="B656">
        <v>69.598071315210333</v>
      </c>
      <c r="C656" s="7">
        <v>0.79586877278250301</v>
      </c>
      <c r="E656">
        <v>69.598071315210333</v>
      </c>
      <c r="F656">
        <f t="shared" si="10"/>
        <v>0.79586877278250301</v>
      </c>
    </row>
    <row r="657" spans="1:6" ht="112" x14ac:dyDescent="0.2">
      <c r="A657" s="4" t="s">
        <v>3091</v>
      </c>
      <c r="B657">
        <v>69.685586036172637</v>
      </c>
      <c r="C657" s="7">
        <v>0.79708383961117857</v>
      </c>
      <c r="E657">
        <v>69.685586036172637</v>
      </c>
      <c r="F657">
        <f t="shared" si="10"/>
        <v>0.79708383961117857</v>
      </c>
    </row>
    <row r="658" spans="1:6" ht="112" x14ac:dyDescent="0.2">
      <c r="A658" s="4" t="s">
        <v>3394</v>
      </c>
      <c r="B658">
        <v>69.719574532170384</v>
      </c>
      <c r="C658" s="7">
        <v>0.79829890643985424</v>
      </c>
      <c r="E658">
        <v>69.719574532170384</v>
      </c>
      <c r="F658">
        <f t="shared" si="10"/>
        <v>0.79829890643985424</v>
      </c>
    </row>
    <row r="659" spans="1:6" ht="112" x14ac:dyDescent="0.2">
      <c r="A659" s="4" t="s">
        <v>3203</v>
      </c>
      <c r="B659">
        <v>69.789147011913016</v>
      </c>
      <c r="C659" s="7">
        <v>0.7995139732685298</v>
      </c>
      <c r="E659">
        <v>69.789147011913016</v>
      </c>
      <c r="F659">
        <f t="shared" si="10"/>
        <v>0.7995139732685298</v>
      </c>
    </row>
    <row r="660" spans="1:6" ht="112" x14ac:dyDescent="0.2">
      <c r="A660" s="4" t="s">
        <v>3141</v>
      </c>
      <c r="B660">
        <v>69.815912303876047</v>
      </c>
      <c r="C660" s="7">
        <v>0.80072904009720536</v>
      </c>
      <c r="E660">
        <v>69.815912303876047</v>
      </c>
      <c r="F660">
        <f t="shared" si="10"/>
        <v>0.80072904009720536</v>
      </c>
    </row>
    <row r="661" spans="1:6" ht="96" x14ac:dyDescent="0.2">
      <c r="A661" s="4" t="s">
        <v>3602</v>
      </c>
      <c r="B661">
        <v>69.831031975152712</v>
      </c>
      <c r="C661" s="7">
        <v>0.80194410692588092</v>
      </c>
      <c r="E661">
        <v>69.831031975152712</v>
      </c>
      <c r="F661">
        <f t="shared" si="10"/>
        <v>0.80194410692588092</v>
      </c>
    </row>
    <row r="662" spans="1:6" ht="112" x14ac:dyDescent="0.2">
      <c r="A662" s="4" t="s">
        <v>3181</v>
      </c>
      <c r="B662">
        <v>69.974277106103358</v>
      </c>
      <c r="C662" s="7">
        <v>0.80315917375455648</v>
      </c>
      <c r="E662">
        <v>69.974277106103358</v>
      </c>
      <c r="F662">
        <f t="shared" si="10"/>
        <v>0.80315917375455648</v>
      </c>
    </row>
    <row r="663" spans="1:6" ht="128" x14ac:dyDescent="0.2">
      <c r="A663" s="4" t="s">
        <v>3731</v>
      </c>
      <c r="B663">
        <v>69.989144258608334</v>
      </c>
      <c r="C663" s="7">
        <v>0.80437424058323204</v>
      </c>
      <c r="E663">
        <v>69.989144258608334</v>
      </c>
      <c r="F663">
        <f t="shared" si="10"/>
        <v>0.80437424058323204</v>
      </c>
    </row>
    <row r="664" spans="1:6" ht="112" x14ac:dyDescent="0.2">
      <c r="A664" s="4" t="s">
        <v>3211</v>
      </c>
      <c r="B664">
        <v>70.050623095724788</v>
      </c>
      <c r="C664" s="7">
        <v>0.80558930741190771</v>
      </c>
      <c r="E664">
        <v>70.050623095724788</v>
      </c>
      <c r="F664">
        <f t="shared" si="10"/>
        <v>0.80558930741190771</v>
      </c>
    </row>
    <row r="665" spans="1:6" ht="112" x14ac:dyDescent="0.2">
      <c r="A665" s="4" t="s">
        <v>3830</v>
      </c>
      <c r="B665">
        <v>70.382830709648729</v>
      </c>
      <c r="C665" s="7">
        <v>0.80680437424058327</v>
      </c>
      <c r="E665">
        <v>70.382830709648729</v>
      </c>
      <c r="F665">
        <f t="shared" si="10"/>
        <v>0.80680437424058327</v>
      </c>
    </row>
    <row r="666" spans="1:6" ht="112" x14ac:dyDescent="0.2">
      <c r="A666" s="4" t="s">
        <v>3233</v>
      </c>
      <c r="B666">
        <v>70.38900190419541</v>
      </c>
      <c r="C666" s="7">
        <v>0.80801944106925883</v>
      </c>
      <c r="E666">
        <v>70.38900190419541</v>
      </c>
      <c r="F666">
        <f t="shared" si="10"/>
        <v>0.80801944106925883</v>
      </c>
    </row>
    <row r="667" spans="1:6" ht="112" x14ac:dyDescent="0.2">
      <c r="A667" s="4" t="s">
        <v>3412</v>
      </c>
      <c r="B667">
        <v>70.539424419773397</v>
      </c>
      <c r="C667" s="7">
        <v>0.80923450789793439</v>
      </c>
      <c r="E667">
        <v>70.539424419773397</v>
      </c>
      <c r="F667">
        <f t="shared" si="10"/>
        <v>0.80923450789793439</v>
      </c>
    </row>
    <row r="668" spans="1:6" ht="96" x14ac:dyDescent="0.2">
      <c r="A668" s="4" t="s">
        <v>3789</v>
      </c>
      <c r="B668">
        <v>70.676688835719688</v>
      </c>
      <c r="C668" s="7">
        <v>0.81044957472660994</v>
      </c>
      <c r="E668">
        <v>70.676688835719688</v>
      </c>
      <c r="F668">
        <f t="shared" si="10"/>
        <v>0.81044957472660994</v>
      </c>
    </row>
    <row r="669" spans="1:6" ht="112" x14ac:dyDescent="0.2">
      <c r="A669" s="4" t="s">
        <v>3697</v>
      </c>
      <c r="B669">
        <v>70.763123903581587</v>
      </c>
      <c r="C669" s="7">
        <v>0.8116646415552855</v>
      </c>
      <c r="E669">
        <v>70.763123903581587</v>
      </c>
      <c r="F669">
        <f t="shared" si="10"/>
        <v>0.8116646415552855</v>
      </c>
    </row>
    <row r="670" spans="1:6" ht="112" x14ac:dyDescent="0.2">
      <c r="A670" s="4" t="s">
        <v>3205</v>
      </c>
      <c r="B670">
        <v>70.783779542970379</v>
      </c>
      <c r="C670" s="7">
        <v>0.81287970838396106</v>
      </c>
      <c r="E670">
        <v>70.783779542970379</v>
      </c>
      <c r="F670">
        <f t="shared" si="10"/>
        <v>0.81287970838396106</v>
      </c>
    </row>
    <row r="671" spans="1:6" ht="112" x14ac:dyDescent="0.2">
      <c r="A671" s="4" t="s">
        <v>3370</v>
      </c>
      <c r="B671">
        <v>70.861879824675057</v>
      </c>
      <c r="C671" s="7">
        <v>0.81409477521263673</v>
      </c>
      <c r="E671">
        <v>70.861879824675057</v>
      </c>
      <c r="F671">
        <f t="shared" si="10"/>
        <v>0.81409477521263673</v>
      </c>
    </row>
    <row r="672" spans="1:6" ht="112" x14ac:dyDescent="0.2">
      <c r="A672" s="4" t="s">
        <v>3637</v>
      </c>
      <c r="B672">
        <v>70.906996201399934</v>
      </c>
      <c r="C672" s="7">
        <v>0.81530984204131229</v>
      </c>
      <c r="E672">
        <v>70.906996201399934</v>
      </c>
      <c r="F672">
        <f t="shared" si="10"/>
        <v>0.81530984204131229</v>
      </c>
    </row>
    <row r="673" spans="1:6" ht="112" x14ac:dyDescent="0.2">
      <c r="A673" s="4" t="s">
        <v>3836</v>
      </c>
      <c r="B673">
        <v>70.967439738520525</v>
      </c>
      <c r="C673" s="7">
        <v>0.81652490886998785</v>
      </c>
      <c r="E673">
        <v>70.967439738520525</v>
      </c>
      <c r="F673">
        <f t="shared" si="10"/>
        <v>0.81652490886998785</v>
      </c>
    </row>
    <row r="674" spans="1:6" ht="112" x14ac:dyDescent="0.2">
      <c r="A674" s="4" t="s">
        <v>3293</v>
      </c>
      <c r="B674">
        <v>71.040094512735408</v>
      </c>
      <c r="C674" s="7">
        <v>0.81773997569866341</v>
      </c>
      <c r="E674">
        <v>71.040094512735408</v>
      </c>
      <c r="F674">
        <f t="shared" si="10"/>
        <v>0.81773997569866341</v>
      </c>
    </row>
    <row r="675" spans="1:6" ht="112" x14ac:dyDescent="0.2">
      <c r="A675" s="4" t="s">
        <v>3215</v>
      </c>
      <c r="B675">
        <v>71.353299963988462</v>
      </c>
      <c r="C675" s="7">
        <v>0.81895504252733897</v>
      </c>
      <c r="E675">
        <v>71.353299963988462</v>
      </c>
      <c r="F675">
        <f t="shared" si="10"/>
        <v>0.81895504252733897</v>
      </c>
    </row>
    <row r="676" spans="1:6" ht="112" x14ac:dyDescent="0.2">
      <c r="A676" s="4" t="s">
        <v>3473</v>
      </c>
      <c r="B676">
        <v>71.366908274828745</v>
      </c>
      <c r="C676" s="7">
        <v>0.82017010935601453</v>
      </c>
      <c r="E676">
        <v>71.366908274828745</v>
      </c>
      <c r="F676">
        <f t="shared" si="10"/>
        <v>0.82017010935601453</v>
      </c>
    </row>
    <row r="677" spans="1:6" ht="112" x14ac:dyDescent="0.2">
      <c r="A677" s="4" t="s">
        <v>3157</v>
      </c>
      <c r="B677">
        <v>71.390650123744564</v>
      </c>
      <c r="C677" s="7">
        <v>0.8213851761846902</v>
      </c>
      <c r="E677">
        <v>71.390650123744564</v>
      </c>
      <c r="F677">
        <f t="shared" si="10"/>
        <v>0.8213851761846902</v>
      </c>
    </row>
    <row r="678" spans="1:6" ht="112" x14ac:dyDescent="0.2">
      <c r="A678" s="4" t="s">
        <v>3667</v>
      </c>
      <c r="B678">
        <v>71.48552948830816</v>
      </c>
      <c r="C678" s="7">
        <v>0.82260024301336576</v>
      </c>
      <c r="E678">
        <v>71.48552948830816</v>
      </c>
      <c r="F678">
        <f t="shared" si="10"/>
        <v>0.82260024301336576</v>
      </c>
    </row>
    <row r="679" spans="1:6" ht="112" x14ac:dyDescent="0.2">
      <c r="A679" s="4" t="s">
        <v>3494</v>
      </c>
      <c r="B679">
        <v>71.84804848069696</v>
      </c>
      <c r="C679" s="7">
        <v>0.82381530984204132</v>
      </c>
      <c r="E679">
        <v>71.84804848069696</v>
      </c>
      <c r="F679">
        <f t="shared" si="10"/>
        <v>0.82381530984204132</v>
      </c>
    </row>
    <row r="680" spans="1:6" ht="112" x14ac:dyDescent="0.2">
      <c r="A680" s="4" t="s">
        <v>3782</v>
      </c>
      <c r="B680">
        <v>71.985398797830129</v>
      </c>
      <c r="C680" s="7">
        <v>0.82503037667071688</v>
      </c>
      <c r="E680">
        <v>71.985398797830129</v>
      </c>
      <c r="F680">
        <f t="shared" si="10"/>
        <v>0.82503037667071688</v>
      </c>
    </row>
    <row r="681" spans="1:6" ht="112" x14ac:dyDescent="0.2">
      <c r="A681" s="4" t="s">
        <v>3247</v>
      </c>
      <c r="B681">
        <v>72.097352576425521</v>
      </c>
      <c r="C681" s="7">
        <v>0.82624544349939244</v>
      </c>
      <c r="E681">
        <v>72.097352576425521</v>
      </c>
      <c r="F681">
        <f t="shared" si="10"/>
        <v>0.82624544349939244</v>
      </c>
    </row>
    <row r="682" spans="1:6" ht="112" x14ac:dyDescent="0.2">
      <c r="A682" s="4" t="s">
        <v>3253</v>
      </c>
      <c r="B682">
        <v>72.152277494011329</v>
      </c>
      <c r="C682" s="7">
        <v>0.827460510328068</v>
      </c>
      <c r="E682">
        <v>72.152277494011329</v>
      </c>
      <c r="F682">
        <f t="shared" si="10"/>
        <v>0.827460510328068</v>
      </c>
    </row>
    <row r="683" spans="1:6" ht="112" x14ac:dyDescent="0.2">
      <c r="A683" s="4" t="s">
        <v>3041</v>
      </c>
      <c r="B683">
        <v>72.159625059164796</v>
      </c>
      <c r="C683" s="7">
        <v>0.82867557715674367</v>
      </c>
      <c r="E683">
        <v>72.159625059164796</v>
      </c>
      <c r="F683">
        <f t="shared" si="10"/>
        <v>0.82867557715674367</v>
      </c>
    </row>
    <row r="684" spans="1:6" ht="112" x14ac:dyDescent="0.2">
      <c r="A684" s="4" t="s">
        <v>3131</v>
      </c>
      <c r="B684">
        <v>72.358811940009431</v>
      </c>
      <c r="C684" s="7">
        <v>0.82989064398541923</v>
      </c>
      <c r="E684">
        <v>72.358811940009431</v>
      </c>
      <c r="F684">
        <f t="shared" si="10"/>
        <v>0.82989064398541923</v>
      </c>
    </row>
    <row r="685" spans="1:6" ht="112" x14ac:dyDescent="0.2">
      <c r="A685" s="4" t="s">
        <v>3055</v>
      </c>
      <c r="B685">
        <v>72.565901297743466</v>
      </c>
      <c r="C685" s="7">
        <v>0.83110571081409479</v>
      </c>
      <c r="E685">
        <v>72.565901297743466</v>
      </c>
      <c r="F685">
        <f t="shared" si="10"/>
        <v>0.83110571081409479</v>
      </c>
    </row>
    <row r="686" spans="1:6" ht="112" x14ac:dyDescent="0.2">
      <c r="A686" s="4" t="s">
        <v>3319</v>
      </c>
      <c r="B686">
        <v>72.577070035044784</v>
      </c>
      <c r="C686" s="7">
        <v>0.83232077764277035</v>
      </c>
      <c r="E686">
        <v>72.577070035044784</v>
      </c>
      <c r="F686">
        <f t="shared" si="10"/>
        <v>0.83232077764277035</v>
      </c>
    </row>
    <row r="687" spans="1:6" ht="112" x14ac:dyDescent="0.2">
      <c r="A687" s="4" t="s">
        <v>3155</v>
      </c>
      <c r="B687">
        <v>72.78145973927468</v>
      </c>
      <c r="C687" s="7">
        <v>0.83353584447144591</v>
      </c>
      <c r="E687">
        <v>72.78145973927468</v>
      </c>
      <c r="F687">
        <f t="shared" si="10"/>
        <v>0.83353584447144591</v>
      </c>
    </row>
    <row r="688" spans="1:6" ht="112" x14ac:dyDescent="0.2">
      <c r="A688" s="4" t="s">
        <v>3459</v>
      </c>
      <c r="B688">
        <v>72.947928280278205</v>
      </c>
      <c r="C688" s="7">
        <v>0.83475091130012147</v>
      </c>
      <c r="E688">
        <v>72.947928280278205</v>
      </c>
      <c r="F688">
        <f t="shared" si="10"/>
        <v>0.83475091130012147</v>
      </c>
    </row>
    <row r="689" spans="1:6" ht="112" x14ac:dyDescent="0.2">
      <c r="A689" s="4" t="s">
        <v>3089</v>
      </c>
      <c r="B689">
        <v>72.997884903365261</v>
      </c>
      <c r="C689" s="7">
        <v>0.83596597812879714</v>
      </c>
      <c r="E689">
        <v>72.997884903365261</v>
      </c>
      <c r="F689">
        <f t="shared" si="10"/>
        <v>0.83596597812879714</v>
      </c>
    </row>
    <row r="690" spans="1:6" ht="96" x14ac:dyDescent="0.2">
      <c r="A690" s="4" t="s">
        <v>3806</v>
      </c>
      <c r="B690">
        <v>73.02098882009517</v>
      </c>
      <c r="C690" s="7">
        <v>0.8371810449574727</v>
      </c>
      <c r="E690">
        <v>73.02098882009517</v>
      </c>
      <c r="F690">
        <f t="shared" si="10"/>
        <v>0.8371810449574727</v>
      </c>
    </row>
    <row r="691" spans="1:6" ht="128" x14ac:dyDescent="0.2">
      <c r="A691" s="4" t="s">
        <v>3217</v>
      </c>
      <c r="B691">
        <v>73.02411764705883</v>
      </c>
      <c r="C691" s="7">
        <v>0.83839611178614826</v>
      </c>
      <c r="E691">
        <v>73.02411764705883</v>
      </c>
      <c r="F691">
        <f t="shared" si="10"/>
        <v>0.83839611178614826</v>
      </c>
    </row>
    <row r="692" spans="1:6" ht="112" x14ac:dyDescent="0.2">
      <c r="A692" s="4" t="s">
        <v>3442</v>
      </c>
      <c r="B692">
        <v>73.037110629691938</v>
      </c>
      <c r="C692" s="7">
        <v>0.83961117861482382</v>
      </c>
      <c r="E692">
        <v>73.037110629691938</v>
      </c>
      <c r="F692">
        <f t="shared" si="10"/>
        <v>0.83961117861482382</v>
      </c>
    </row>
    <row r="693" spans="1:6" ht="128" x14ac:dyDescent="0.2">
      <c r="A693" s="4" t="s">
        <v>3797</v>
      </c>
      <c r="B693">
        <v>73.45403018954751</v>
      </c>
      <c r="C693" s="7">
        <v>0.84082624544349938</v>
      </c>
      <c r="E693">
        <v>73.45403018954751</v>
      </c>
      <c r="F693">
        <f t="shared" si="10"/>
        <v>0.84082624544349938</v>
      </c>
    </row>
    <row r="694" spans="1:6" ht="112" x14ac:dyDescent="0.2">
      <c r="A694" s="4" t="s">
        <v>3059</v>
      </c>
      <c r="B694">
        <v>73.769346001369001</v>
      </c>
      <c r="C694" s="7">
        <v>0.84204131227217494</v>
      </c>
      <c r="E694">
        <v>73.769346001369001</v>
      </c>
      <c r="F694">
        <f t="shared" si="10"/>
        <v>0.84204131227217494</v>
      </c>
    </row>
    <row r="695" spans="1:6" ht="112" x14ac:dyDescent="0.2">
      <c r="A695" s="4" t="s">
        <v>3747</v>
      </c>
      <c r="B695">
        <v>74.087187086044651</v>
      </c>
      <c r="C695" s="7">
        <v>0.84325637910085049</v>
      </c>
      <c r="E695">
        <v>74.087187086044651</v>
      </c>
      <c r="F695">
        <f t="shared" si="10"/>
        <v>0.84325637910085049</v>
      </c>
    </row>
    <row r="696" spans="1:6" ht="96" x14ac:dyDescent="0.2">
      <c r="A696" s="4" t="s">
        <v>3822</v>
      </c>
      <c r="B696">
        <v>74.410047351300236</v>
      </c>
      <c r="C696" s="7">
        <v>0.84447144592952617</v>
      </c>
      <c r="E696">
        <v>74.410047351300236</v>
      </c>
      <c r="F696">
        <f t="shared" si="10"/>
        <v>0.84447144592952617</v>
      </c>
    </row>
    <row r="697" spans="1:6" ht="112" x14ac:dyDescent="0.2">
      <c r="A697" s="4" t="s">
        <v>3808</v>
      </c>
      <c r="B697">
        <v>74.429700770362345</v>
      </c>
      <c r="C697" s="7">
        <v>0.84568651275820172</v>
      </c>
      <c r="E697">
        <v>74.429700770362345</v>
      </c>
      <c r="F697">
        <f t="shared" si="10"/>
        <v>0.84568651275820172</v>
      </c>
    </row>
    <row r="698" spans="1:6" ht="112" x14ac:dyDescent="0.2">
      <c r="A698" s="4" t="s">
        <v>3329</v>
      </c>
      <c r="B698">
        <v>74.624216406220469</v>
      </c>
      <c r="C698" s="7">
        <v>0.84690157958687728</v>
      </c>
      <c r="E698">
        <v>74.624216406220469</v>
      </c>
      <c r="F698">
        <f t="shared" si="10"/>
        <v>0.84690157958687728</v>
      </c>
    </row>
    <row r="699" spans="1:6" ht="112" x14ac:dyDescent="0.2">
      <c r="A699" s="4" t="s">
        <v>3356</v>
      </c>
      <c r="B699">
        <v>74.64959234715819</v>
      </c>
      <c r="C699" s="7">
        <v>0.84811664641555284</v>
      </c>
      <c r="E699">
        <v>74.64959234715819</v>
      </c>
      <c r="F699">
        <f t="shared" si="10"/>
        <v>0.84811664641555284</v>
      </c>
    </row>
    <row r="700" spans="1:6" ht="128" x14ac:dyDescent="0.2">
      <c r="A700" s="4" t="s">
        <v>3516</v>
      </c>
      <c r="B700">
        <v>74.875817495773475</v>
      </c>
      <c r="C700" s="7">
        <v>0.8493317132442284</v>
      </c>
      <c r="E700">
        <v>74.875817495773475</v>
      </c>
      <c r="F700">
        <f t="shared" si="10"/>
        <v>0.8493317132442284</v>
      </c>
    </row>
    <row r="701" spans="1:6" ht="112" x14ac:dyDescent="0.2">
      <c r="A701" s="4" t="s">
        <v>3179</v>
      </c>
      <c r="B701">
        <v>75.190808537966632</v>
      </c>
      <c r="C701" s="7">
        <v>0.85054678007290396</v>
      </c>
      <c r="E701">
        <v>75.190808537966632</v>
      </c>
      <c r="F701">
        <f t="shared" si="10"/>
        <v>0.85054678007290396</v>
      </c>
    </row>
    <row r="702" spans="1:6" ht="112" x14ac:dyDescent="0.2">
      <c r="A702" s="4" t="s">
        <v>3645</v>
      </c>
      <c r="B702">
        <v>75.283205449124139</v>
      </c>
      <c r="C702" s="7">
        <v>0.85176184690157963</v>
      </c>
      <c r="E702">
        <v>75.283205449124139</v>
      </c>
      <c r="F702">
        <f t="shared" si="10"/>
        <v>0.85176184690157963</v>
      </c>
    </row>
    <row r="703" spans="1:6" ht="96" x14ac:dyDescent="0.2">
      <c r="A703" s="4" t="s">
        <v>3532</v>
      </c>
      <c r="B703">
        <v>75.290836177924973</v>
      </c>
      <c r="C703" s="7">
        <v>0.85297691373025519</v>
      </c>
      <c r="E703">
        <v>75.290836177924973</v>
      </c>
      <c r="F703">
        <f t="shared" si="10"/>
        <v>0.85297691373025519</v>
      </c>
    </row>
    <row r="704" spans="1:6" ht="112" x14ac:dyDescent="0.2">
      <c r="A704" s="4" t="s">
        <v>3563</v>
      </c>
      <c r="B704">
        <v>75.58906677574393</v>
      </c>
      <c r="C704" s="7">
        <v>0.85419198055893075</v>
      </c>
      <c r="E704">
        <v>75.58906677574393</v>
      </c>
      <c r="F704">
        <f t="shared" si="10"/>
        <v>0.85419198055893075</v>
      </c>
    </row>
    <row r="705" spans="1:6" ht="96" x14ac:dyDescent="0.2">
      <c r="A705" s="4" t="s">
        <v>3831</v>
      </c>
      <c r="B705">
        <v>75.665207158754455</v>
      </c>
      <c r="C705" s="7">
        <v>0.85540704738760631</v>
      </c>
      <c r="E705">
        <v>75.665207158754455</v>
      </c>
      <c r="F705">
        <f t="shared" si="10"/>
        <v>0.85540704738760631</v>
      </c>
    </row>
    <row r="706" spans="1:6" ht="112" x14ac:dyDescent="0.2">
      <c r="A706" s="4" t="s">
        <v>3057</v>
      </c>
      <c r="B706">
        <v>75.762151191406957</v>
      </c>
      <c r="C706" s="7">
        <v>0.85662211421628187</v>
      </c>
      <c r="E706">
        <v>75.762151191406957</v>
      </c>
      <c r="F706">
        <f t="shared" si="10"/>
        <v>0.85662211421628187</v>
      </c>
    </row>
    <row r="707" spans="1:6" ht="112" x14ac:dyDescent="0.2">
      <c r="A707" s="4" t="s">
        <v>3354</v>
      </c>
      <c r="B707">
        <v>75.996686530640034</v>
      </c>
      <c r="C707" s="7">
        <v>0.85783718104495743</v>
      </c>
      <c r="E707">
        <v>75.996686530640034</v>
      </c>
      <c r="F707">
        <f t="shared" ref="F707:F770" si="11">_xlfn.RANK.EQ(E707,$E$2:$E$824,1)/COUNT($E$2:$E$824)</f>
        <v>0.85783718104495743</v>
      </c>
    </row>
    <row r="708" spans="1:6" ht="112" x14ac:dyDescent="0.2">
      <c r="A708" s="4" t="s">
        <v>3475</v>
      </c>
      <c r="B708">
        <v>76.669509275084508</v>
      </c>
      <c r="C708" s="7">
        <v>0.8590522478736331</v>
      </c>
      <c r="E708">
        <v>76.669509275084508</v>
      </c>
      <c r="F708">
        <f t="shared" si="11"/>
        <v>0.8590522478736331</v>
      </c>
    </row>
    <row r="709" spans="1:6" ht="128" x14ac:dyDescent="0.2">
      <c r="A709" s="4" t="s">
        <v>3281</v>
      </c>
      <c r="B709">
        <v>77.292942360903623</v>
      </c>
      <c r="C709" s="7">
        <v>0.86026731470230866</v>
      </c>
      <c r="E709">
        <v>77.292942360903623</v>
      </c>
      <c r="F709">
        <f t="shared" si="11"/>
        <v>0.86026731470230866</v>
      </c>
    </row>
    <row r="710" spans="1:6" ht="112" x14ac:dyDescent="0.2">
      <c r="A710" s="4" t="s">
        <v>3448</v>
      </c>
      <c r="B710">
        <v>77.443524641497973</v>
      </c>
      <c r="C710" s="7">
        <v>0.86148238153098422</v>
      </c>
      <c r="E710">
        <v>77.443524641497973</v>
      </c>
      <c r="F710">
        <f t="shared" si="11"/>
        <v>0.86148238153098422</v>
      </c>
    </row>
    <row r="711" spans="1:6" ht="112" x14ac:dyDescent="0.2">
      <c r="A711" s="4" t="s">
        <v>3299</v>
      </c>
      <c r="B711">
        <v>77.813566074895292</v>
      </c>
      <c r="C711" s="7">
        <v>0.86269744835965978</v>
      </c>
      <c r="E711">
        <v>77.813566074895292</v>
      </c>
      <c r="F711">
        <f t="shared" si="11"/>
        <v>0.86269744835965978</v>
      </c>
    </row>
    <row r="712" spans="1:6" ht="128" x14ac:dyDescent="0.2">
      <c r="A712" s="4" t="s">
        <v>3498</v>
      </c>
      <c r="B712">
        <v>77.93235109512041</v>
      </c>
      <c r="C712" s="7">
        <v>0.86391251518833534</v>
      </c>
      <c r="E712">
        <v>77.93235109512041</v>
      </c>
      <c r="F712">
        <f t="shared" si="11"/>
        <v>0.86391251518833534</v>
      </c>
    </row>
    <row r="713" spans="1:6" ht="112" x14ac:dyDescent="0.2">
      <c r="A713" s="4" t="s">
        <v>3690</v>
      </c>
      <c r="B713">
        <v>78.154846976120467</v>
      </c>
      <c r="C713" s="7">
        <v>0.8651275820170109</v>
      </c>
      <c r="E713">
        <v>78.154846976120467</v>
      </c>
      <c r="F713">
        <f t="shared" si="11"/>
        <v>0.8651275820170109</v>
      </c>
    </row>
    <row r="714" spans="1:6" ht="96" x14ac:dyDescent="0.2">
      <c r="A714" s="4" t="s">
        <v>3824</v>
      </c>
      <c r="B714">
        <v>78.6691061794793</v>
      </c>
      <c r="C714" s="7">
        <v>0.86634264884568646</v>
      </c>
      <c r="E714">
        <v>78.6691061794793</v>
      </c>
      <c r="F714">
        <f t="shared" si="11"/>
        <v>0.86634264884568646</v>
      </c>
    </row>
    <row r="715" spans="1:6" ht="96" x14ac:dyDescent="0.2">
      <c r="A715" s="4" t="s">
        <v>3833</v>
      </c>
      <c r="B715">
        <v>78.71554344460445</v>
      </c>
      <c r="C715" s="7">
        <v>0.86755771567436213</v>
      </c>
      <c r="E715">
        <v>78.71554344460445</v>
      </c>
      <c r="F715">
        <f t="shared" si="11"/>
        <v>0.86755771567436213</v>
      </c>
    </row>
    <row r="716" spans="1:6" ht="112" x14ac:dyDescent="0.2">
      <c r="A716" s="4" t="s">
        <v>3163</v>
      </c>
      <c r="B716">
        <v>79.185371604459633</v>
      </c>
      <c r="C716" s="7">
        <v>0.86877278250303769</v>
      </c>
      <c r="E716">
        <v>79.185371604459633</v>
      </c>
      <c r="F716">
        <f t="shared" si="11"/>
        <v>0.86877278250303769</v>
      </c>
    </row>
    <row r="717" spans="1:6" ht="112" x14ac:dyDescent="0.2">
      <c r="A717" s="4" t="s">
        <v>3336</v>
      </c>
      <c r="B717">
        <v>79.191619947615266</v>
      </c>
      <c r="C717" s="7">
        <v>0.86998784933171325</v>
      </c>
      <c r="E717">
        <v>79.191619947615266</v>
      </c>
      <c r="F717">
        <f t="shared" si="11"/>
        <v>0.86998784933171325</v>
      </c>
    </row>
    <row r="718" spans="1:6" ht="128" x14ac:dyDescent="0.2">
      <c r="A718" s="4" t="s">
        <v>3063</v>
      </c>
      <c r="B718">
        <v>79.215205613356218</v>
      </c>
      <c r="C718" s="7">
        <v>0.87120291616038881</v>
      </c>
      <c r="E718">
        <v>79.215205613356218</v>
      </c>
      <c r="F718">
        <f t="shared" si="11"/>
        <v>0.87120291616038881</v>
      </c>
    </row>
    <row r="719" spans="1:6" ht="128" x14ac:dyDescent="0.2">
      <c r="A719" s="4" t="s">
        <v>3576</v>
      </c>
      <c r="B719">
        <v>79.347720946399932</v>
      </c>
      <c r="C719" s="7">
        <v>0.87241798298906437</v>
      </c>
      <c r="E719">
        <v>79.347720946399932</v>
      </c>
      <c r="F719">
        <f t="shared" si="11"/>
        <v>0.87241798298906437</v>
      </c>
    </row>
    <row r="720" spans="1:6" ht="112" x14ac:dyDescent="0.2">
      <c r="A720" s="4" t="s">
        <v>3600</v>
      </c>
      <c r="B720">
        <v>79.495843415680355</v>
      </c>
      <c r="C720" s="7">
        <v>0.87363304981773993</v>
      </c>
      <c r="E720">
        <v>79.495843415680355</v>
      </c>
      <c r="F720">
        <f t="shared" si="11"/>
        <v>0.87363304981773993</v>
      </c>
    </row>
    <row r="721" spans="1:6" ht="96" x14ac:dyDescent="0.2">
      <c r="A721" s="4" t="s">
        <v>3713</v>
      </c>
      <c r="B721">
        <v>79.78869288349533</v>
      </c>
      <c r="C721" s="7">
        <v>0.8748481166464156</v>
      </c>
      <c r="E721">
        <v>79.78869288349533</v>
      </c>
      <c r="F721">
        <f t="shared" si="11"/>
        <v>0.8748481166464156</v>
      </c>
    </row>
    <row r="722" spans="1:6" ht="112" x14ac:dyDescent="0.2">
      <c r="A722" s="4" t="s">
        <v>3127</v>
      </c>
      <c r="B722">
        <v>79.874668601687432</v>
      </c>
      <c r="C722" s="7">
        <v>0.87606318347509116</v>
      </c>
      <c r="E722">
        <v>79.874668601687432</v>
      </c>
      <c r="F722">
        <f t="shared" si="11"/>
        <v>0.87606318347509116</v>
      </c>
    </row>
    <row r="723" spans="1:6" ht="112" x14ac:dyDescent="0.2">
      <c r="A723" s="4" t="s">
        <v>3030</v>
      </c>
      <c r="B723">
        <v>79.951544679180714</v>
      </c>
      <c r="C723" s="7">
        <v>0.87727825030376672</v>
      </c>
      <c r="E723">
        <v>79.951544679180714</v>
      </c>
      <c r="F723">
        <f t="shared" si="11"/>
        <v>0.87727825030376672</v>
      </c>
    </row>
    <row r="724" spans="1:6" ht="112" x14ac:dyDescent="0.2">
      <c r="A724" s="4" t="s">
        <v>3595</v>
      </c>
      <c r="B724">
        <v>80.102155151563139</v>
      </c>
      <c r="C724" s="7">
        <v>0.87849331713244228</v>
      </c>
      <c r="E724">
        <v>80.102155151563139</v>
      </c>
      <c r="F724">
        <f t="shared" si="11"/>
        <v>0.87849331713244228</v>
      </c>
    </row>
    <row r="725" spans="1:6" ht="112" x14ac:dyDescent="0.2">
      <c r="A725" s="4" t="s">
        <v>3790</v>
      </c>
      <c r="B725">
        <v>80.225323143814208</v>
      </c>
      <c r="C725" s="7">
        <v>0.87970838396111783</v>
      </c>
      <c r="E725">
        <v>80.225323143814208</v>
      </c>
      <c r="F725">
        <f t="shared" si="11"/>
        <v>0.87970838396111783</v>
      </c>
    </row>
    <row r="726" spans="1:6" ht="112" x14ac:dyDescent="0.2">
      <c r="A726" s="4" t="s">
        <v>3087</v>
      </c>
      <c r="B726">
        <v>80.273836188208335</v>
      </c>
      <c r="C726" s="7">
        <v>0.88092345078979339</v>
      </c>
      <c r="E726">
        <v>80.273836188208335</v>
      </c>
      <c r="F726">
        <f t="shared" si="11"/>
        <v>0.88092345078979339</v>
      </c>
    </row>
    <row r="727" spans="1:6" ht="112" x14ac:dyDescent="0.2">
      <c r="A727" s="4" t="s">
        <v>3099</v>
      </c>
      <c r="B727">
        <v>80.503183460608682</v>
      </c>
      <c r="C727" s="7">
        <v>0.88213851761846906</v>
      </c>
      <c r="E727">
        <v>80.503183460608682</v>
      </c>
      <c r="F727">
        <f t="shared" si="11"/>
        <v>0.88213851761846906</v>
      </c>
    </row>
    <row r="728" spans="1:6" ht="96" x14ac:dyDescent="0.2">
      <c r="A728" s="4" t="s">
        <v>3743</v>
      </c>
      <c r="B728">
        <v>80.623934855570837</v>
      </c>
      <c r="C728" s="7">
        <v>0.88335358444714462</v>
      </c>
      <c r="E728">
        <v>80.623934855570837</v>
      </c>
      <c r="F728">
        <f t="shared" si="11"/>
        <v>0.88335358444714462</v>
      </c>
    </row>
    <row r="729" spans="1:6" ht="112" x14ac:dyDescent="0.2">
      <c r="A729" s="4" t="s">
        <v>3193</v>
      </c>
      <c r="B729">
        <v>80.805197460221365</v>
      </c>
      <c r="C729" s="7">
        <v>0.88456865127582018</v>
      </c>
      <c r="E729">
        <v>80.805197460221365</v>
      </c>
      <c r="F729">
        <f t="shared" si="11"/>
        <v>0.88456865127582018</v>
      </c>
    </row>
    <row r="730" spans="1:6" ht="128" x14ac:dyDescent="0.2">
      <c r="A730" s="4" t="s">
        <v>3644</v>
      </c>
      <c r="B730">
        <v>80.940745475471132</v>
      </c>
      <c r="C730" s="7">
        <v>0.88578371810449574</v>
      </c>
      <c r="E730">
        <v>80.940745475471132</v>
      </c>
      <c r="F730">
        <f t="shared" si="11"/>
        <v>0.88578371810449574</v>
      </c>
    </row>
    <row r="731" spans="1:6" ht="112" x14ac:dyDescent="0.2">
      <c r="A731" s="4" t="s">
        <v>3726</v>
      </c>
      <c r="B731">
        <v>80.996102237473309</v>
      </c>
      <c r="C731" s="7">
        <v>0.8869987849331713</v>
      </c>
      <c r="E731">
        <v>80.996102237473309</v>
      </c>
      <c r="F731">
        <f t="shared" si="11"/>
        <v>0.8869987849331713</v>
      </c>
    </row>
    <row r="732" spans="1:6" ht="96" x14ac:dyDescent="0.2">
      <c r="A732" s="4" t="s">
        <v>3717</v>
      </c>
      <c r="B732">
        <v>81.02368302504766</v>
      </c>
      <c r="C732" s="7">
        <v>0.88821385176184686</v>
      </c>
      <c r="E732">
        <v>81.02368302504766</v>
      </c>
      <c r="F732">
        <f t="shared" si="11"/>
        <v>0.88821385176184686</v>
      </c>
    </row>
    <row r="733" spans="1:6" ht="112" x14ac:dyDescent="0.2">
      <c r="A733" s="4" t="s">
        <v>3696</v>
      </c>
      <c r="B733">
        <v>81.085772175398176</v>
      </c>
      <c r="C733" s="7">
        <v>0.88942891859052253</v>
      </c>
      <c r="E733">
        <v>81.085772175398176</v>
      </c>
      <c r="F733">
        <f t="shared" si="11"/>
        <v>0.88942891859052253</v>
      </c>
    </row>
    <row r="734" spans="1:6" ht="112" x14ac:dyDescent="0.2">
      <c r="A734" s="4" t="s">
        <v>3846</v>
      </c>
      <c r="B734">
        <v>81.234558245449534</v>
      </c>
      <c r="C734" s="7">
        <v>0.89064398541919809</v>
      </c>
      <c r="E734">
        <v>81.234558245449534</v>
      </c>
      <c r="F734">
        <f t="shared" si="11"/>
        <v>0.89064398541919809</v>
      </c>
    </row>
    <row r="735" spans="1:6" ht="112" x14ac:dyDescent="0.2">
      <c r="A735" s="4" t="s">
        <v>3802</v>
      </c>
      <c r="B735">
        <v>81.387523611784019</v>
      </c>
      <c r="C735" s="7">
        <v>0.89185905224787365</v>
      </c>
      <c r="E735">
        <v>81.387523611784019</v>
      </c>
      <c r="F735">
        <f t="shared" si="11"/>
        <v>0.89185905224787365</v>
      </c>
    </row>
    <row r="736" spans="1:6" ht="112" x14ac:dyDescent="0.2">
      <c r="A736" s="4" t="s">
        <v>3237</v>
      </c>
      <c r="B736">
        <v>81.559717573107037</v>
      </c>
      <c r="C736" s="7">
        <v>0.89307411907654921</v>
      </c>
      <c r="E736">
        <v>81.559717573107037</v>
      </c>
      <c r="F736">
        <f t="shared" si="11"/>
        <v>0.89307411907654921</v>
      </c>
    </row>
    <row r="737" spans="1:6" ht="96" x14ac:dyDescent="0.2">
      <c r="A737" s="4" t="s">
        <v>3804</v>
      </c>
      <c r="B737">
        <v>82.481349902623194</v>
      </c>
      <c r="C737" s="7">
        <v>0.89428918590522477</v>
      </c>
      <c r="E737">
        <v>82.481349902623194</v>
      </c>
      <c r="F737">
        <f t="shared" si="11"/>
        <v>0.89428918590522477</v>
      </c>
    </row>
    <row r="738" spans="1:6" ht="112" x14ac:dyDescent="0.2">
      <c r="A738" s="4" t="s">
        <v>3024</v>
      </c>
      <c r="B738">
        <v>82.573414124012658</v>
      </c>
      <c r="C738" s="7">
        <v>0.89550425273390033</v>
      </c>
      <c r="E738">
        <v>82.573414124012658</v>
      </c>
      <c r="F738">
        <f t="shared" si="11"/>
        <v>0.89550425273390033</v>
      </c>
    </row>
    <row r="739" spans="1:6" ht="96" x14ac:dyDescent="0.2">
      <c r="A739" s="4" t="s">
        <v>3832</v>
      </c>
      <c r="B739">
        <v>82.65960420940543</v>
      </c>
      <c r="C739" s="7">
        <v>0.89671931956257589</v>
      </c>
      <c r="E739">
        <v>82.65960420940543</v>
      </c>
      <c r="F739">
        <f t="shared" si="11"/>
        <v>0.89671931956257589</v>
      </c>
    </row>
    <row r="740" spans="1:6" ht="112" x14ac:dyDescent="0.2">
      <c r="A740" s="4" t="s">
        <v>3787</v>
      </c>
      <c r="B740">
        <v>82.819146631795832</v>
      </c>
      <c r="C740" s="7">
        <v>0.89793438639125156</v>
      </c>
      <c r="E740">
        <v>82.819146631795832</v>
      </c>
      <c r="F740">
        <f t="shared" si="11"/>
        <v>0.89793438639125156</v>
      </c>
    </row>
    <row r="741" spans="1:6" ht="112" x14ac:dyDescent="0.2">
      <c r="A741" s="4" t="s">
        <v>3191</v>
      </c>
      <c r="B741">
        <v>82.889498753288578</v>
      </c>
      <c r="C741" s="7">
        <v>0.89914945321992712</v>
      </c>
      <c r="E741">
        <v>82.889498753288578</v>
      </c>
      <c r="F741">
        <f t="shared" si="11"/>
        <v>0.89914945321992712</v>
      </c>
    </row>
    <row r="742" spans="1:6" ht="96" x14ac:dyDescent="0.2">
      <c r="A742" s="4" t="s">
        <v>3709</v>
      </c>
      <c r="B742">
        <v>83.904393740352887</v>
      </c>
      <c r="C742" s="7">
        <v>0.90036452004860268</v>
      </c>
      <c r="E742">
        <v>83.904393740352887</v>
      </c>
      <c r="F742">
        <f t="shared" si="11"/>
        <v>0.90036452004860268</v>
      </c>
    </row>
    <row r="743" spans="1:6" ht="112" x14ac:dyDescent="0.2">
      <c r="A743" s="4" t="s">
        <v>3315</v>
      </c>
      <c r="B743">
        <v>84.187406130830183</v>
      </c>
      <c r="C743" s="7">
        <v>0.90157958687727824</v>
      </c>
      <c r="E743">
        <v>84.187406130830183</v>
      </c>
      <c r="F743">
        <f t="shared" si="11"/>
        <v>0.90157958687727824</v>
      </c>
    </row>
    <row r="744" spans="1:6" ht="112" x14ac:dyDescent="0.2">
      <c r="A744" s="4" t="s">
        <v>3613</v>
      </c>
      <c r="B744">
        <v>84.341270236509445</v>
      </c>
      <c r="C744" s="7">
        <v>0.9027946537059538</v>
      </c>
      <c r="E744">
        <v>84.341270236509445</v>
      </c>
      <c r="F744">
        <f t="shared" si="11"/>
        <v>0.9027946537059538</v>
      </c>
    </row>
    <row r="745" spans="1:6" ht="112" x14ac:dyDescent="0.2">
      <c r="A745" s="4" t="s">
        <v>3209</v>
      </c>
      <c r="B745">
        <v>84.577093066224776</v>
      </c>
      <c r="C745" s="7">
        <v>0.90400972053462936</v>
      </c>
      <c r="E745">
        <v>84.577093066224776</v>
      </c>
      <c r="F745">
        <f t="shared" si="11"/>
        <v>0.90400972053462936</v>
      </c>
    </row>
    <row r="746" spans="1:6" ht="96" x14ac:dyDescent="0.2">
      <c r="A746" s="4" t="s">
        <v>3668</v>
      </c>
      <c r="B746">
        <v>84.650605488770026</v>
      </c>
      <c r="C746" s="7">
        <v>0.90522478736330503</v>
      </c>
      <c r="E746">
        <v>84.650605488770026</v>
      </c>
      <c r="F746">
        <f t="shared" si="11"/>
        <v>0.90522478736330503</v>
      </c>
    </row>
    <row r="747" spans="1:6" ht="112" x14ac:dyDescent="0.2">
      <c r="A747" s="4" t="s">
        <v>3461</v>
      </c>
      <c r="B747">
        <v>84.68708521907709</v>
      </c>
      <c r="C747" s="7">
        <v>0.90643985419198059</v>
      </c>
      <c r="E747">
        <v>84.68708521907709</v>
      </c>
      <c r="F747">
        <f t="shared" si="11"/>
        <v>0.90643985419198059</v>
      </c>
    </row>
    <row r="748" spans="1:6" ht="96" x14ac:dyDescent="0.2">
      <c r="A748" s="4" t="s">
        <v>3850</v>
      </c>
      <c r="B748">
        <v>84.786152980826628</v>
      </c>
      <c r="C748" s="7">
        <v>0.90765492102065615</v>
      </c>
      <c r="E748">
        <v>84.786152980826628</v>
      </c>
      <c r="F748">
        <f t="shared" si="11"/>
        <v>0.90765492102065615</v>
      </c>
    </row>
    <row r="749" spans="1:6" ht="112" x14ac:dyDescent="0.2">
      <c r="A749" s="4" t="s">
        <v>3520</v>
      </c>
      <c r="B749">
        <v>85.249000799353283</v>
      </c>
      <c r="C749" s="7">
        <v>0.90886998784933171</v>
      </c>
      <c r="E749">
        <v>85.249000799353283</v>
      </c>
      <c r="F749">
        <f t="shared" si="11"/>
        <v>0.90886998784933171</v>
      </c>
    </row>
    <row r="750" spans="1:6" ht="96" x14ac:dyDescent="0.2">
      <c r="A750" s="4" t="s">
        <v>3559</v>
      </c>
      <c r="B750">
        <v>85.387021239919221</v>
      </c>
      <c r="C750" s="7">
        <v>0.91008505467800727</v>
      </c>
      <c r="E750">
        <v>85.387021239919221</v>
      </c>
      <c r="F750">
        <f t="shared" si="11"/>
        <v>0.91008505467800727</v>
      </c>
    </row>
    <row r="751" spans="1:6" ht="96" x14ac:dyDescent="0.2">
      <c r="A751" s="4" t="s">
        <v>3777</v>
      </c>
      <c r="B751">
        <v>85.844478901408721</v>
      </c>
      <c r="C751" s="7">
        <v>0.91130012150668283</v>
      </c>
      <c r="E751">
        <v>85.844478901408721</v>
      </c>
      <c r="F751">
        <f t="shared" si="11"/>
        <v>0.91130012150668283</v>
      </c>
    </row>
    <row r="752" spans="1:6" ht="96" x14ac:dyDescent="0.2">
      <c r="A752" s="4" t="s">
        <v>3816</v>
      </c>
      <c r="B752">
        <v>86.115844072691488</v>
      </c>
      <c r="C752" s="7">
        <v>0.9125151883353585</v>
      </c>
      <c r="E752">
        <v>86.115844072691488</v>
      </c>
      <c r="F752">
        <f t="shared" si="11"/>
        <v>0.9125151883353585</v>
      </c>
    </row>
    <row r="753" spans="1:6" ht="112" x14ac:dyDescent="0.2">
      <c r="A753" s="4" t="s">
        <v>3117</v>
      </c>
      <c r="B753">
        <v>86.127270357710003</v>
      </c>
      <c r="C753" s="7">
        <v>0.91373025516403406</v>
      </c>
      <c r="E753">
        <v>86.127270357710003</v>
      </c>
      <c r="F753">
        <f t="shared" si="11"/>
        <v>0.91373025516403406</v>
      </c>
    </row>
    <row r="754" spans="1:6" ht="112" x14ac:dyDescent="0.2">
      <c r="A754" s="4" t="s">
        <v>3137</v>
      </c>
      <c r="B754">
        <v>86.526492915223244</v>
      </c>
      <c r="C754" s="7">
        <v>0.91494532199270961</v>
      </c>
      <c r="E754">
        <v>86.526492915223244</v>
      </c>
      <c r="F754">
        <f t="shared" si="11"/>
        <v>0.91494532199270961</v>
      </c>
    </row>
    <row r="755" spans="1:6" ht="96" x14ac:dyDescent="0.2">
      <c r="A755" s="4" t="s">
        <v>3627</v>
      </c>
      <c r="B755">
        <v>86.632874253745044</v>
      </c>
      <c r="C755" s="7">
        <v>0.91616038882138517</v>
      </c>
      <c r="E755">
        <v>86.632874253745044</v>
      </c>
      <c r="F755">
        <f t="shared" si="11"/>
        <v>0.91616038882138517</v>
      </c>
    </row>
    <row r="756" spans="1:6" ht="96" x14ac:dyDescent="0.2">
      <c r="A756" s="4" t="s">
        <v>3848</v>
      </c>
      <c r="B756">
        <v>87.446934993975859</v>
      </c>
      <c r="C756" s="7">
        <v>0.91737545565006073</v>
      </c>
      <c r="E756">
        <v>87.446934993975859</v>
      </c>
      <c r="F756">
        <f t="shared" si="11"/>
        <v>0.91737545565006073</v>
      </c>
    </row>
    <row r="757" spans="1:6" ht="112" x14ac:dyDescent="0.2">
      <c r="A757" s="4" t="s">
        <v>3813</v>
      </c>
      <c r="B757">
        <v>88.122429307014102</v>
      </c>
      <c r="C757" s="7">
        <v>0.91859052247873629</v>
      </c>
      <c r="E757">
        <v>88.122429307014102</v>
      </c>
      <c r="F757">
        <f t="shared" si="11"/>
        <v>0.91859052247873629</v>
      </c>
    </row>
    <row r="758" spans="1:6" ht="112" x14ac:dyDescent="0.2">
      <c r="A758" s="4" t="s">
        <v>3069</v>
      </c>
      <c r="B758">
        <v>88.237229746026202</v>
      </c>
      <c r="C758" s="7">
        <v>0.91980558930741185</v>
      </c>
      <c r="E758">
        <v>88.237229746026202</v>
      </c>
      <c r="F758">
        <f t="shared" si="11"/>
        <v>0.91980558930741185</v>
      </c>
    </row>
    <row r="759" spans="1:6" ht="96" x14ac:dyDescent="0.2">
      <c r="A759" s="4" t="s">
        <v>3827</v>
      </c>
      <c r="B759">
        <v>88.688857492901704</v>
      </c>
      <c r="C759" s="7">
        <v>0.92102065613608752</v>
      </c>
      <c r="E759">
        <v>88.688857492901704</v>
      </c>
      <c r="F759">
        <f t="shared" si="11"/>
        <v>0.92102065613608752</v>
      </c>
    </row>
    <row r="760" spans="1:6" ht="112" x14ac:dyDescent="0.2">
      <c r="A760" s="4" t="s">
        <v>3486</v>
      </c>
      <c r="B760">
        <v>88.79119481014024</v>
      </c>
      <c r="C760" s="7">
        <v>0.92223572296476308</v>
      </c>
      <c r="E760">
        <v>88.79119481014024</v>
      </c>
      <c r="F760">
        <f t="shared" si="11"/>
        <v>0.92223572296476308</v>
      </c>
    </row>
    <row r="761" spans="1:6" ht="96" x14ac:dyDescent="0.2">
      <c r="A761" s="4" t="s">
        <v>3766</v>
      </c>
      <c r="B761">
        <v>89.569482412873995</v>
      </c>
      <c r="C761" s="7">
        <v>0.92345078979343864</v>
      </c>
      <c r="E761">
        <v>89.569482412873995</v>
      </c>
      <c r="F761">
        <f t="shared" si="11"/>
        <v>0.92345078979343864</v>
      </c>
    </row>
    <row r="762" spans="1:6" ht="112" x14ac:dyDescent="0.2">
      <c r="A762" s="4" t="s">
        <v>3073</v>
      </c>
      <c r="B762">
        <v>90.374835896969984</v>
      </c>
      <c r="C762" s="7">
        <v>0.9246658566221142</v>
      </c>
      <c r="E762">
        <v>90.374835896969984</v>
      </c>
      <c r="F762">
        <f t="shared" si="11"/>
        <v>0.9246658566221142</v>
      </c>
    </row>
    <row r="763" spans="1:6" ht="112" x14ac:dyDescent="0.2">
      <c r="A763" s="4" t="s">
        <v>3604</v>
      </c>
      <c r="B763">
        <v>90.470649540185107</v>
      </c>
      <c r="C763" s="7">
        <v>0.92588092345078976</v>
      </c>
      <c r="E763">
        <v>90.470649540185107</v>
      </c>
      <c r="F763">
        <f t="shared" si="11"/>
        <v>0.92588092345078976</v>
      </c>
    </row>
    <row r="764" spans="1:6" ht="96" x14ac:dyDescent="0.2">
      <c r="A764" s="4" t="s">
        <v>3618</v>
      </c>
      <c r="B764">
        <v>91.871865269866802</v>
      </c>
      <c r="C764" s="7">
        <v>0.92709599027946532</v>
      </c>
      <c r="E764">
        <v>91.871865269866802</v>
      </c>
      <c r="F764">
        <f t="shared" si="11"/>
        <v>0.92709599027946532</v>
      </c>
    </row>
    <row r="765" spans="1:6" ht="112" x14ac:dyDescent="0.2">
      <c r="A765" s="4" t="s">
        <v>3528</v>
      </c>
      <c r="B765">
        <v>92.086388815562259</v>
      </c>
      <c r="C765" s="7">
        <v>0.92831105710814099</v>
      </c>
      <c r="E765">
        <v>92.086388815562259</v>
      </c>
      <c r="F765">
        <f t="shared" si="11"/>
        <v>0.92831105710814099</v>
      </c>
    </row>
    <row r="766" spans="1:6" ht="112" x14ac:dyDescent="0.2">
      <c r="A766" s="4" t="s">
        <v>3289</v>
      </c>
      <c r="B766">
        <v>92.157944501241332</v>
      </c>
      <c r="C766" s="7">
        <v>0.92952612393681655</v>
      </c>
      <c r="E766">
        <v>92.157944501241332</v>
      </c>
      <c r="F766">
        <f t="shared" si="11"/>
        <v>0.92952612393681655</v>
      </c>
    </row>
    <row r="767" spans="1:6" ht="112" x14ac:dyDescent="0.2">
      <c r="A767" s="4" t="s">
        <v>3065</v>
      </c>
      <c r="B767">
        <v>92.375939648894828</v>
      </c>
      <c r="C767" s="7">
        <v>0.93074119076549211</v>
      </c>
      <c r="E767">
        <v>92.375939648894828</v>
      </c>
      <c r="F767">
        <f t="shared" si="11"/>
        <v>0.93074119076549211</v>
      </c>
    </row>
    <row r="768" spans="1:6" ht="112" x14ac:dyDescent="0.2">
      <c r="A768" s="4" t="s">
        <v>3241</v>
      </c>
      <c r="B768">
        <v>92.456329595709491</v>
      </c>
      <c r="C768" s="7">
        <v>0.93195625759416767</v>
      </c>
      <c r="E768">
        <v>92.456329595709491</v>
      </c>
      <c r="F768">
        <f t="shared" si="11"/>
        <v>0.93195625759416767</v>
      </c>
    </row>
    <row r="769" spans="1:6" ht="112" x14ac:dyDescent="0.2">
      <c r="A769" s="4" t="s">
        <v>3440</v>
      </c>
      <c r="B769">
        <v>92.674679659548872</v>
      </c>
      <c r="C769" s="7">
        <v>0.93317132442284323</v>
      </c>
      <c r="E769">
        <v>92.674679659548872</v>
      </c>
      <c r="F769">
        <f t="shared" si="11"/>
        <v>0.93317132442284323</v>
      </c>
    </row>
    <row r="770" spans="1:6" ht="96" x14ac:dyDescent="0.2">
      <c r="A770" s="4" t="s">
        <v>3678</v>
      </c>
      <c r="B770">
        <v>94.518635850698374</v>
      </c>
      <c r="C770" s="7">
        <v>0.93438639125151879</v>
      </c>
      <c r="E770">
        <v>94.518635850698374</v>
      </c>
      <c r="F770">
        <f t="shared" si="11"/>
        <v>0.93438639125151879</v>
      </c>
    </row>
    <row r="771" spans="1:6" ht="112" x14ac:dyDescent="0.2">
      <c r="A771" s="4" t="s">
        <v>3263</v>
      </c>
      <c r="B771">
        <v>95.306275912928044</v>
      </c>
      <c r="C771" s="7">
        <v>0.93560145808019446</v>
      </c>
      <c r="E771">
        <v>95.306275912928044</v>
      </c>
      <c r="F771">
        <f t="shared" ref="F771:F824" si="12">_xlfn.RANK.EQ(E771,$E$2:$E$824,1)/COUNT($E$2:$E$824)</f>
        <v>0.93560145808019446</v>
      </c>
    </row>
    <row r="772" spans="1:6" ht="112" x14ac:dyDescent="0.2">
      <c r="A772" s="4" t="s">
        <v>3838</v>
      </c>
      <c r="B772">
        <v>95.438972568432618</v>
      </c>
      <c r="C772" s="7">
        <v>0.93681652490887002</v>
      </c>
      <c r="E772">
        <v>95.438972568432618</v>
      </c>
      <c r="F772">
        <f t="shared" si="12"/>
        <v>0.93681652490887002</v>
      </c>
    </row>
    <row r="773" spans="1:6" ht="112" x14ac:dyDescent="0.2">
      <c r="A773" s="4" t="s">
        <v>3794</v>
      </c>
      <c r="B773">
        <v>96.084429244663411</v>
      </c>
      <c r="C773" s="7">
        <v>0.93803159173754558</v>
      </c>
      <c r="E773">
        <v>96.084429244663411</v>
      </c>
      <c r="F773">
        <f t="shared" si="12"/>
        <v>0.93803159173754558</v>
      </c>
    </row>
    <row r="774" spans="1:6" ht="96" x14ac:dyDescent="0.2">
      <c r="A774" s="4" t="s">
        <v>3340</v>
      </c>
      <c r="B774">
        <v>96.507647058823537</v>
      </c>
      <c r="C774" s="7">
        <v>0.93924665856622114</v>
      </c>
      <c r="E774">
        <v>96.507647058823537</v>
      </c>
      <c r="F774">
        <f t="shared" si="12"/>
        <v>0.93924665856622114</v>
      </c>
    </row>
    <row r="775" spans="1:6" ht="112" x14ac:dyDescent="0.2">
      <c r="A775" s="4" t="s">
        <v>3267</v>
      </c>
      <c r="B775">
        <v>97.220924535008734</v>
      </c>
      <c r="C775" s="7">
        <v>0.9404617253948967</v>
      </c>
      <c r="E775">
        <v>97.220924535008734</v>
      </c>
      <c r="F775">
        <f t="shared" si="12"/>
        <v>0.9404617253948967</v>
      </c>
    </row>
    <row r="776" spans="1:6" ht="112" x14ac:dyDescent="0.2">
      <c r="A776" s="4" t="s">
        <v>3703</v>
      </c>
      <c r="B776">
        <v>98.181176470588241</v>
      </c>
      <c r="C776" s="7">
        <v>0.94167679222357226</v>
      </c>
      <c r="E776">
        <v>98.181176470588241</v>
      </c>
      <c r="F776">
        <f t="shared" si="12"/>
        <v>0.94167679222357226</v>
      </c>
    </row>
    <row r="777" spans="1:6" ht="112" x14ac:dyDescent="0.2">
      <c r="A777" s="4" t="s">
        <v>3522</v>
      </c>
      <c r="B777">
        <v>98.64139597552338</v>
      </c>
      <c r="C777" s="7">
        <v>0.94289185905224793</v>
      </c>
      <c r="E777">
        <v>98.64139597552338</v>
      </c>
      <c r="F777">
        <f t="shared" si="12"/>
        <v>0.94289185905224793</v>
      </c>
    </row>
    <row r="778" spans="1:6" ht="96" x14ac:dyDescent="0.2">
      <c r="A778" s="4" t="s">
        <v>3837</v>
      </c>
      <c r="B778">
        <v>99.041420363659</v>
      </c>
      <c r="C778" s="7">
        <v>0.94410692588092349</v>
      </c>
      <c r="E778">
        <v>99.041420363659</v>
      </c>
      <c r="F778">
        <f t="shared" si="12"/>
        <v>0.94410692588092349</v>
      </c>
    </row>
    <row r="779" spans="1:6" ht="96" x14ac:dyDescent="0.2">
      <c r="A779" s="4" t="s">
        <v>3432</v>
      </c>
      <c r="B779">
        <v>100.9047848858375</v>
      </c>
      <c r="C779" s="7">
        <v>0.94532199270959905</v>
      </c>
      <c r="E779">
        <v>100.9047848858375</v>
      </c>
      <c r="F779">
        <f t="shared" si="12"/>
        <v>0.94532199270959905</v>
      </c>
    </row>
    <row r="780" spans="1:6" ht="96" x14ac:dyDescent="0.2">
      <c r="A780" s="4" t="s">
        <v>3691</v>
      </c>
      <c r="B780">
        <v>102.02894064549467</v>
      </c>
      <c r="C780" s="7">
        <v>0.94653705953827461</v>
      </c>
      <c r="E780">
        <v>102.02894064549467</v>
      </c>
      <c r="F780">
        <f t="shared" si="12"/>
        <v>0.94653705953827461</v>
      </c>
    </row>
    <row r="781" spans="1:6" ht="96" x14ac:dyDescent="0.2">
      <c r="A781" s="4" t="s">
        <v>3307</v>
      </c>
      <c r="B781">
        <v>102.69479725026349</v>
      </c>
      <c r="C781" s="7">
        <v>0.94775212636695016</v>
      </c>
      <c r="E781">
        <v>102.69479725026349</v>
      </c>
      <c r="F781">
        <f t="shared" si="12"/>
        <v>0.94775212636695016</v>
      </c>
    </row>
    <row r="782" spans="1:6" ht="112" x14ac:dyDescent="0.2">
      <c r="A782" s="4" t="s">
        <v>3581</v>
      </c>
      <c r="B782">
        <v>103.29923381766717</v>
      </c>
      <c r="C782" s="7">
        <v>0.94896719319562572</v>
      </c>
      <c r="E782">
        <v>103.29923381766717</v>
      </c>
      <c r="F782">
        <f t="shared" si="12"/>
        <v>0.94896719319562572</v>
      </c>
    </row>
    <row r="783" spans="1:6" ht="112" x14ac:dyDescent="0.2">
      <c r="A783" s="4" t="s">
        <v>3817</v>
      </c>
      <c r="B783">
        <v>103.3314783174169</v>
      </c>
      <c r="C783" s="7">
        <v>0.95018226002430128</v>
      </c>
      <c r="E783">
        <v>103.3314783174169</v>
      </c>
      <c r="F783">
        <f t="shared" si="12"/>
        <v>0.95018226002430128</v>
      </c>
    </row>
    <row r="784" spans="1:6" ht="112" x14ac:dyDescent="0.2">
      <c r="A784" s="4" t="s">
        <v>3037</v>
      </c>
      <c r="B784">
        <v>103.36341021250277</v>
      </c>
      <c r="C784" s="7">
        <v>0.95139732685297695</v>
      </c>
      <c r="E784">
        <v>103.36341021250277</v>
      </c>
      <c r="F784">
        <f t="shared" si="12"/>
        <v>0.95139732685297695</v>
      </c>
    </row>
    <row r="785" spans="1:6" ht="96" x14ac:dyDescent="0.2">
      <c r="A785" s="4" t="s">
        <v>3740</v>
      </c>
      <c r="B785">
        <v>103.64521496953242</v>
      </c>
      <c r="C785" s="7">
        <v>0.95261239368165251</v>
      </c>
      <c r="E785">
        <v>103.64521496953242</v>
      </c>
      <c r="F785">
        <f t="shared" si="12"/>
        <v>0.95261239368165251</v>
      </c>
    </row>
    <row r="786" spans="1:6" ht="96" x14ac:dyDescent="0.2">
      <c r="A786" s="4" t="s">
        <v>3597</v>
      </c>
      <c r="B786">
        <v>104.15029013664903</v>
      </c>
      <c r="C786" s="7">
        <v>0.95382746051032807</v>
      </c>
      <c r="E786">
        <v>104.15029013664903</v>
      </c>
      <c r="F786">
        <f t="shared" si="12"/>
        <v>0.95382746051032807</v>
      </c>
    </row>
    <row r="787" spans="1:6" ht="112" x14ac:dyDescent="0.2">
      <c r="A787" s="4" t="s">
        <v>3109</v>
      </c>
      <c r="B787">
        <v>106.12124551662593</v>
      </c>
      <c r="C787" s="7">
        <v>0.95504252733900363</v>
      </c>
      <c r="E787">
        <v>106.12124551662593</v>
      </c>
      <c r="F787">
        <f t="shared" si="12"/>
        <v>0.95504252733900363</v>
      </c>
    </row>
    <row r="788" spans="1:6" ht="112" x14ac:dyDescent="0.2">
      <c r="A788" s="4" t="s">
        <v>3614</v>
      </c>
      <c r="B788">
        <v>106.37405888296925</v>
      </c>
      <c r="C788" s="7">
        <v>0.95625759416767919</v>
      </c>
      <c r="E788">
        <v>106.37405888296925</v>
      </c>
      <c r="F788">
        <f t="shared" si="12"/>
        <v>0.95625759416767919</v>
      </c>
    </row>
    <row r="789" spans="1:6" ht="112" x14ac:dyDescent="0.2">
      <c r="A789" s="4" t="s">
        <v>3321</v>
      </c>
      <c r="B789">
        <v>106.6010963468423</v>
      </c>
      <c r="C789" s="7">
        <v>0.95747266099635475</v>
      </c>
      <c r="E789">
        <v>106.6010963468423</v>
      </c>
      <c r="F789">
        <f t="shared" si="12"/>
        <v>0.95747266099635475</v>
      </c>
    </row>
    <row r="790" spans="1:6" ht="96" x14ac:dyDescent="0.2">
      <c r="A790" s="4" t="s">
        <v>3840</v>
      </c>
      <c r="B790">
        <v>107.62365824095623</v>
      </c>
      <c r="C790" s="7">
        <v>0.95868772782503042</v>
      </c>
      <c r="E790">
        <v>107.62365824095623</v>
      </c>
      <c r="F790">
        <f t="shared" si="12"/>
        <v>0.95868772782503042</v>
      </c>
    </row>
    <row r="791" spans="1:6" ht="96" x14ac:dyDescent="0.2">
      <c r="A791" s="4" t="s">
        <v>3662</v>
      </c>
      <c r="B791">
        <v>107.89535584784839</v>
      </c>
      <c r="C791" s="7">
        <v>0.95990279465370598</v>
      </c>
      <c r="E791">
        <v>107.89535584784839</v>
      </c>
      <c r="F791">
        <f t="shared" si="12"/>
        <v>0.95990279465370598</v>
      </c>
    </row>
    <row r="792" spans="1:6" ht="112" x14ac:dyDescent="0.2">
      <c r="A792" s="4" t="s">
        <v>3115</v>
      </c>
      <c r="B792">
        <v>108.23952243868052</v>
      </c>
      <c r="C792" s="7">
        <v>0.96111786148238154</v>
      </c>
      <c r="E792">
        <v>108.23952243868052</v>
      </c>
      <c r="F792">
        <f t="shared" si="12"/>
        <v>0.96111786148238154</v>
      </c>
    </row>
    <row r="793" spans="1:6" ht="112" x14ac:dyDescent="0.2">
      <c r="A793" s="4" t="s">
        <v>3723</v>
      </c>
      <c r="B793">
        <v>109.84654753456368</v>
      </c>
      <c r="C793" s="7">
        <v>0.9623329283110571</v>
      </c>
      <c r="E793">
        <v>109.84654753456368</v>
      </c>
      <c r="F793">
        <f t="shared" si="12"/>
        <v>0.9623329283110571</v>
      </c>
    </row>
    <row r="794" spans="1:6" ht="112" x14ac:dyDescent="0.2">
      <c r="A794" s="4" t="s">
        <v>3167</v>
      </c>
      <c r="B794">
        <v>109.89689853060263</v>
      </c>
      <c r="C794" s="7">
        <v>0.96354799513973266</v>
      </c>
      <c r="E794">
        <v>109.89689853060263</v>
      </c>
      <c r="F794">
        <f t="shared" si="12"/>
        <v>0.96354799513973266</v>
      </c>
    </row>
    <row r="795" spans="1:6" ht="96" x14ac:dyDescent="0.2">
      <c r="A795" s="4" t="s">
        <v>3463</v>
      </c>
      <c r="B795">
        <v>111.95124160432925</v>
      </c>
      <c r="C795" s="7">
        <v>0.96476306196840822</v>
      </c>
      <c r="E795">
        <v>111.95124160432925</v>
      </c>
      <c r="F795">
        <f t="shared" si="12"/>
        <v>0.96476306196840822</v>
      </c>
    </row>
    <row r="796" spans="1:6" ht="96" x14ac:dyDescent="0.2">
      <c r="A796" s="4" t="s">
        <v>3733</v>
      </c>
      <c r="B796">
        <v>114.26141995022246</v>
      </c>
      <c r="C796" s="7">
        <v>0.96597812879708389</v>
      </c>
      <c r="E796">
        <v>114.26141995022246</v>
      </c>
      <c r="F796">
        <f t="shared" si="12"/>
        <v>0.96597812879708389</v>
      </c>
    </row>
    <row r="797" spans="1:6" ht="96" x14ac:dyDescent="0.2">
      <c r="A797" s="4" t="s">
        <v>3845</v>
      </c>
      <c r="B797">
        <v>115.24183291295107</v>
      </c>
      <c r="C797" s="7">
        <v>0.96719319562575945</v>
      </c>
      <c r="E797">
        <v>115.24183291295107</v>
      </c>
      <c r="F797">
        <f t="shared" si="12"/>
        <v>0.96719319562575945</v>
      </c>
    </row>
    <row r="798" spans="1:6" ht="96" x14ac:dyDescent="0.2">
      <c r="A798" s="4" t="s">
        <v>3695</v>
      </c>
      <c r="B798">
        <v>116.04505771285747</v>
      </c>
      <c r="C798" s="7">
        <v>0.96840826245443501</v>
      </c>
      <c r="E798">
        <v>116.04505771285747</v>
      </c>
      <c r="F798">
        <f t="shared" si="12"/>
        <v>0.96840826245443501</v>
      </c>
    </row>
    <row r="799" spans="1:6" ht="96" x14ac:dyDescent="0.2">
      <c r="A799" s="4" t="s">
        <v>3081</v>
      </c>
      <c r="B799">
        <v>116.73436524250872</v>
      </c>
      <c r="C799" s="7">
        <v>0.96962332928311057</v>
      </c>
      <c r="E799">
        <v>116.73436524250872</v>
      </c>
      <c r="F799">
        <f t="shared" si="12"/>
        <v>0.96962332928311057</v>
      </c>
    </row>
    <row r="800" spans="1:6" ht="96" x14ac:dyDescent="0.2">
      <c r="A800" s="4" t="s">
        <v>3715</v>
      </c>
      <c r="B800">
        <v>117.86582022081333</v>
      </c>
      <c r="C800" s="7">
        <v>0.97083839611178613</v>
      </c>
      <c r="E800">
        <v>117.86582022081333</v>
      </c>
      <c r="F800">
        <f t="shared" si="12"/>
        <v>0.97083839611178613</v>
      </c>
    </row>
    <row r="801" spans="1:6" ht="96" x14ac:dyDescent="0.2">
      <c r="A801" s="4" t="s">
        <v>3839</v>
      </c>
      <c r="B801">
        <v>118.30176316198965</v>
      </c>
      <c r="C801" s="7">
        <v>0.97205346294046169</v>
      </c>
      <c r="E801">
        <v>118.30176316198965</v>
      </c>
      <c r="F801">
        <f t="shared" si="12"/>
        <v>0.97205346294046169</v>
      </c>
    </row>
    <row r="802" spans="1:6" ht="96" x14ac:dyDescent="0.2">
      <c r="A802" s="4" t="s">
        <v>3653</v>
      </c>
      <c r="B802">
        <v>121.59851453932465</v>
      </c>
      <c r="C802" s="7">
        <v>0.97326852976913725</v>
      </c>
      <c r="E802">
        <v>121.59851453932465</v>
      </c>
      <c r="F802">
        <f t="shared" si="12"/>
        <v>0.97326852976913725</v>
      </c>
    </row>
    <row r="803" spans="1:6" ht="112" x14ac:dyDescent="0.2">
      <c r="A803" s="4" t="s">
        <v>3829</v>
      </c>
      <c r="B803">
        <v>123.83876263686008</v>
      </c>
      <c r="C803" s="7">
        <v>0.97448359659781292</v>
      </c>
      <c r="E803">
        <v>123.83876263686008</v>
      </c>
      <c r="F803">
        <f t="shared" si="12"/>
        <v>0.97448359659781292</v>
      </c>
    </row>
    <row r="804" spans="1:6" ht="96" x14ac:dyDescent="0.2">
      <c r="A804" s="4" t="s">
        <v>3798</v>
      </c>
      <c r="B804">
        <v>127.32089073977306</v>
      </c>
      <c r="C804" s="7">
        <v>0.97569866342648848</v>
      </c>
      <c r="E804">
        <v>127.32089073977306</v>
      </c>
      <c r="F804">
        <f t="shared" si="12"/>
        <v>0.97569866342648848</v>
      </c>
    </row>
    <row r="805" spans="1:6" ht="112" x14ac:dyDescent="0.2">
      <c r="A805" s="4" t="s">
        <v>3297</v>
      </c>
      <c r="B805">
        <v>130.63053526113902</v>
      </c>
      <c r="C805" s="7">
        <v>0.97691373025516404</v>
      </c>
      <c r="E805">
        <v>130.63053526113902</v>
      </c>
      <c r="F805">
        <f t="shared" si="12"/>
        <v>0.97691373025516404</v>
      </c>
    </row>
    <row r="806" spans="1:6" ht="96" x14ac:dyDescent="0.2">
      <c r="A806" s="4" t="s">
        <v>3348</v>
      </c>
      <c r="B806">
        <v>132.13463258558161</v>
      </c>
      <c r="C806" s="7">
        <v>0.9781287970838396</v>
      </c>
      <c r="E806">
        <v>132.13463258558161</v>
      </c>
      <c r="F806">
        <f t="shared" si="12"/>
        <v>0.9781287970838396</v>
      </c>
    </row>
    <row r="807" spans="1:6" ht="96" x14ac:dyDescent="0.2">
      <c r="A807" s="4" t="s">
        <v>3745</v>
      </c>
      <c r="B807">
        <v>135.78136164839211</v>
      </c>
      <c r="C807" s="7">
        <v>0.97934386391251516</v>
      </c>
      <c r="E807">
        <v>135.78136164839211</v>
      </c>
      <c r="F807">
        <f t="shared" si="12"/>
        <v>0.97934386391251516</v>
      </c>
    </row>
    <row r="808" spans="1:6" ht="96" x14ac:dyDescent="0.2">
      <c r="A808" s="4" t="s">
        <v>3197</v>
      </c>
      <c r="B808">
        <v>137.09686866044044</v>
      </c>
      <c r="C808" s="7">
        <v>0.98055893074119072</v>
      </c>
      <c r="E808">
        <v>137.09686866044044</v>
      </c>
      <c r="F808">
        <f t="shared" si="12"/>
        <v>0.98055893074119072</v>
      </c>
    </row>
    <row r="809" spans="1:6" ht="96" x14ac:dyDescent="0.2">
      <c r="A809" s="4" t="s">
        <v>3725</v>
      </c>
      <c r="B809">
        <v>137.20532498711293</v>
      </c>
      <c r="C809" s="7">
        <v>0.98177399756986639</v>
      </c>
      <c r="E809">
        <v>137.20532498711293</v>
      </c>
      <c r="F809">
        <f t="shared" si="12"/>
        <v>0.98177399756986639</v>
      </c>
    </row>
    <row r="810" spans="1:6" ht="96" x14ac:dyDescent="0.2">
      <c r="A810" s="4" t="s">
        <v>3591</v>
      </c>
      <c r="B810">
        <v>137.28859039003225</v>
      </c>
      <c r="C810" s="7">
        <v>0.98298906439854195</v>
      </c>
      <c r="E810">
        <v>137.28859039003225</v>
      </c>
      <c r="F810">
        <f t="shared" si="12"/>
        <v>0.98298906439854195</v>
      </c>
    </row>
    <row r="811" spans="1:6" ht="96" x14ac:dyDescent="0.2">
      <c r="A811" s="4" t="s">
        <v>3719</v>
      </c>
      <c r="B811">
        <v>137.62047064079508</v>
      </c>
      <c r="C811" s="7">
        <v>0.9842041312272175</v>
      </c>
      <c r="E811">
        <v>137.62047064079508</v>
      </c>
      <c r="F811">
        <f t="shared" si="12"/>
        <v>0.9842041312272175</v>
      </c>
    </row>
    <row r="812" spans="1:6" ht="96" x14ac:dyDescent="0.2">
      <c r="A812" s="4" t="s">
        <v>3467</v>
      </c>
      <c r="B812">
        <v>137.73850841862955</v>
      </c>
      <c r="C812" s="7">
        <v>0.98541919805589306</v>
      </c>
      <c r="E812">
        <v>137.73850841862955</v>
      </c>
      <c r="F812">
        <f t="shared" si="12"/>
        <v>0.98541919805589306</v>
      </c>
    </row>
    <row r="813" spans="1:6" ht="96" x14ac:dyDescent="0.2">
      <c r="A813" s="4" t="s">
        <v>3686</v>
      </c>
      <c r="B813">
        <v>139.75424859373686</v>
      </c>
      <c r="C813" s="7">
        <v>0.98663426488456862</v>
      </c>
      <c r="E813">
        <v>139.75424859373686</v>
      </c>
      <c r="F813">
        <f t="shared" si="12"/>
        <v>0.98663426488456862</v>
      </c>
    </row>
    <row r="814" spans="1:6" ht="112" x14ac:dyDescent="0.2">
      <c r="A814" s="4" t="s">
        <v>3674</v>
      </c>
      <c r="B814">
        <v>140.63598761575298</v>
      </c>
      <c r="C814" s="7">
        <v>0.98784933171324418</v>
      </c>
      <c r="E814">
        <v>140.63598761575298</v>
      </c>
      <c r="F814">
        <f t="shared" si="12"/>
        <v>0.98784933171324418</v>
      </c>
    </row>
    <row r="815" spans="1:6" ht="112" x14ac:dyDescent="0.2">
      <c r="A815" s="4" t="s">
        <v>3313</v>
      </c>
      <c r="B815">
        <v>140.63598761575298</v>
      </c>
      <c r="C815" s="7">
        <v>0.98784933171324418</v>
      </c>
      <c r="E815">
        <v>140.63598761575298</v>
      </c>
      <c r="F815">
        <f t="shared" si="12"/>
        <v>0.98784933171324418</v>
      </c>
    </row>
    <row r="816" spans="1:6" ht="96" x14ac:dyDescent="0.2">
      <c r="A816" s="4" t="s">
        <v>3350</v>
      </c>
      <c r="B816">
        <v>140.63598761575298</v>
      </c>
      <c r="C816" s="7">
        <v>0.98784933171324418</v>
      </c>
      <c r="E816">
        <v>140.63598761575298</v>
      </c>
      <c r="F816">
        <f t="shared" si="12"/>
        <v>0.98784933171324418</v>
      </c>
    </row>
    <row r="817" spans="1:6" ht="96" x14ac:dyDescent="0.2">
      <c r="A817" s="4" t="s">
        <v>3504</v>
      </c>
      <c r="B817">
        <v>140.66772497627164</v>
      </c>
      <c r="C817" s="7">
        <v>0.99149453219927097</v>
      </c>
      <c r="E817">
        <v>140.66772497627164</v>
      </c>
      <c r="F817">
        <f t="shared" si="12"/>
        <v>0.99149453219927097</v>
      </c>
    </row>
    <row r="818" spans="1:6" ht="96" x14ac:dyDescent="0.2">
      <c r="A818" s="4" t="s">
        <v>3469</v>
      </c>
      <c r="B818">
        <v>141.63849657421278</v>
      </c>
      <c r="C818" s="7">
        <v>0.99270959902794653</v>
      </c>
      <c r="E818">
        <v>141.63849657421278</v>
      </c>
      <c r="F818">
        <f t="shared" si="12"/>
        <v>0.99270959902794653</v>
      </c>
    </row>
    <row r="819" spans="1:6" ht="96" x14ac:dyDescent="0.2">
      <c r="A819" s="4" t="s">
        <v>3360</v>
      </c>
      <c r="B819">
        <v>141.69293882431555</v>
      </c>
      <c r="C819" s="7">
        <v>0.99392466585662209</v>
      </c>
      <c r="E819">
        <v>141.69293882431555</v>
      </c>
      <c r="F819">
        <f t="shared" si="12"/>
        <v>0.99392466585662209</v>
      </c>
    </row>
    <row r="820" spans="1:6" ht="96" x14ac:dyDescent="0.2">
      <c r="A820" s="4" t="s">
        <v>3657</v>
      </c>
      <c r="B820">
        <v>141.99045856176619</v>
      </c>
      <c r="C820" s="7">
        <v>0.99513973268529765</v>
      </c>
      <c r="E820">
        <v>141.99045856176619</v>
      </c>
      <c r="F820">
        <f t="shared" si="12"/>
        <v>0.99513973268529765</v>
      </c>
    </row>
    <row r="821" spans="1:6" ht="96" x14ac:dyDescent="0.2">
      <c r="A821" s="4" t="s">
        <v>3642</v>
      </c>
      <c r="B821">
        <v>143.14958357846706</v>
      </c>
      <c r="C821" s="7">
        <v>0.99635479951397332</v>
      </c>
      <c r="E821">
        <v>143.14958357846706</v>
      </c>
      <c r="F821">
        <f t="shared" si="12"/>
        <v>0.99635479951397332</v>
      </c>
    </row>
    <row r="822" spans="1:6" ht="96" x14ac:dyDescent="0.2">
      <c r="A822" s="4" t="s">
        <v>3149</v>
      </c>
      <c r="B822">
        <v>143.30009636211452</v>
      </c>
      <c r="C822" s="7">
        <v>0.99756986634264888</v>
      </c>
      <c r="E822">
        <v>143.30009636211452</v>
      </c>
      <c r="F822">
        <f t="shared" si="12"/>
        <v>0.99756986634264888</v>
      </c>
    </row>
    <row r="823" spans="1:6" ht="96" x14ac:dyDescent="0.2">
      <c r="A823" s="4" t="s">
        <v>3255</v>
      </c>
      <c r="B823">
        <v>144.76345119356122</v>
      </c>
      <c r="C823" s="7">
        <v>0.99878493317132444</v>
      </c>
      <c r="E823">
        <v>144.76345119356122</v>
      </c>
      <c r="F823">
        <f t="shared" si="12"/>
        <v>0.99878493317132444</v>
      </c>
    </row>
    <row r="824" spans="1:6" ht="96" x14ac:dyDescent="0.2">
      <c r="A824" s="4" t="s">
        <v>3404</v>
      </c>
      <c r="B824">
        <v>146.92671974701668</v>
      </c>
      <c r="C824" s="7">
        <v>1</v>
      </c>
      <c r="E824">
        <v>146.92671974701668</v>
      </c>
      <c r="F824">
        <f t="shared" si="12"/>
        <v>1</v>
      </c>
    </row>
  </sheetData>
  <sortState xmlns:xlrd2="http://schemas.microsoft.com/office/spreadsheetml/2017/richdata2" ref="A2:B824">
    <sortCondition ref="B2:B824"/>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C06-22EE-4FCC-8599-D6052C0334F8}">
  <sheetPr>
    <tabColor theme="9" tint="0.79998168889431442"/>
  </sheetPr>
  <dimension ref="A1"/>
  <sheetViews>
    <sheetView workbookViewId="0">
      <selection activeCell="Q35" sqref="Q35"/>
    </sheetView>
  </sheetViews>
  <sheetFormatPr baseColWidth="10" defaultColWidth="8.83203125" defaultRowHeight="15" x14ac:dyDescent="0.2"/>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5BB3-B7E0-49DA-81BF-1B0A180196F9}">
  <sheetPr>
    <tabColor theme="9" tint="0.79998168889431442"/>
  </sheetPr>
  <dimension ref="A1:AA835"/>
  <sheetViews>
    <sheetView topLeftCell="D1" workbookViewId="0">
      <selection activeCell="G2" sqref="G2"/>
    </sheetView>
  </sheetViews>
  <sheetFormatPr baseColWidth="10" defaultColWidth="8.83203125" defaultRowHeight="15" x14ac:dyDescent="0.2"/>
  <cols>
    <col min="1" max="1" width="15.6640625" customWidth="1"/>
    <col min="2" max="2" width="29.1640625" customWidth="1"/>
    <col min="3" max="3" width="12.5" customWidth="1"/>
    <col min="4" max="4" width="22.33203125" customWidth="1"/>
    <col min="5" max="5" width="24.5" customWidth="1"/>
    <col min="6" max="6" width="22.33203125" style="7" bestFit="1" customWidth="1"/>
    <col min="7" max="7" width="18.1640625" customWidth="1"/>
    <col min="8" max="8" width="25.1640625" bestFit="1" customWidth="1"/>
    <col min="9" max="9" width="20.1640625" bestFit="1" customWidth="1"/>
    <col min="10" max="10" width="27.5" bestFit="1" customWidth="1"/>
    <col min="11" max="11" width="36.6640625" bestFit="1" customWidth="1"/>
    <col min="12" max="12" width="22.5" bestFit="1" customWidth="1"/>
    <col min="13" max="13" width="17.5" bestFit="1" customWidth="1"/>
  </cols>
  <sheetData>
    <row r="1" spans="1:27" s="5" customFormat="1" ht="48" x14ac:dyDescent="0.2">
      <c r="A1" s="82" t="s">
        <v>2711</v>
      </c>
      <c r="B1" s="82" t="s">
        <v>3865</v>
      </c>
      <c r="C1" s="82" t="s">
        <v>8</v>
      </c>
      <c r="D1" s="82" t="s">
        <v>3866</v>
      </c>
      <c r="E1" s="82" t="s">
        <v>3861</v>
      </c>
      <c r="F1" s="11" t="s">
        <v>3867</v>
      </c>
      <c r="G1" s="5" t="s">
        <v>1019</v>
      </c>
      <c r="H1" s="5" t="s">
        <v>3868</v>
      </c>
      <c r="I1" s="5" t="s">
        <v>3869</v>
      </c>
      <c r="J1" s="5" t="s">
        <v>3870</v>
      </c>
      <c r="K1" s="5" t="s">
        <v>3018</v>
      </c>
      <c r="L1" s="5" t="s">
        <v>3019</v>
      </c>
      <c r="M1" s="5" t="s">
        <v>3871</v>
      </c>
    </row>
    <row r="2" spans="1:27" ht="48" x14ac:dyDescent="0.2">
      <c r="A2" s="4" t="s">
        <v>3025</v>
      </c>
      <c r="B2">
        <v>9958</v>
      </c>
      <c r="C2">
        <v>3.24</v>
      </c>
      <c r="D2">
        <f t="shared" ref="D2:D65" si="0">(B2/(C2)^0.5)</f>
        <v>5532.2222222222217</v>
      </c>
      <c r="E2">
        <f t="shared" ref="E2:E65" si="1">D2/1000</f>
        <v>5.5322222222222219</v>
      </c>
      <c r="F2" s="7">
        <v>1.215066828675577E-3</v>
      </c>
      <c r="G2">
        <f>IF(F2&lt;0.2,1,IF(F2&lt;0.4,2,IF(F2&lt;0.6,3,IF(F2&lt;0.8,4,5))))</f>
        <v>1</v>
      </c>
      <c r="H2" s="7">
        <f>1-F2</f>
        <v>0.99878493317132444</v>
      </c>
      <c r="I2">
        <f>6-G2</f>
        <v>5</v>
      </c>
      <c r="J2">
        <f>VLOOKUP(A2,'Housing Cost Calc'!$A$2:$C$827,3,FALSE)</f>
        <v>433</v>
      </c>
      <c r="K2">
        <f>(J2*12)/D2</f>
        <v>0.93922474392448296</v>
      </c>
      <c r="Z2" t="s">
        <v>3872</v>
      </c>
    </row>
    <row r="3" spans="1:27" ht="48" x14ac:dyDescent="0.2">
      <c r="A3" s="4" t="s">
        <v>3028</v>
      </c>
      <c r="B3">
        <v>13410</v>
      </c>
      <c r="C3">
        <v>1.47</v>
      </c>
      <c r="D3">
        <f t="shared" si="0"/>
        <v>11060.381585475545</v>
      </c>
      <c r="E3">
        <f t="shared" si="1"/>
        <v>11.060381585475545</v>
      </c>
      <c r="F3" s="7">
        <v>2.4301336573511541E-3</v>
      </c>
      <c r="G3">
        <f t="shared" ref="G3:G66" si="2">IF(F3&lt;0.2,1,IF(F3&lt;0.4,2,IF(F3&lt;0.6,3,IF(F3&lt;0.8,4,5))))</f>
        <v>1</v>
      </c>
      <c r="H3" s="7">
        <f t="shared" ref="H3:H66" si="3">1-F3</f>
        <v>0.99756986634264888</v>
      </c>
      <c r="I3">
        <f t="shared" ref="I3:I66" si="4">6-G3</f>
        <v>5</v>
      </c>
      <c r="J3">
        <f>VLOOKUP(A3,'Housing Cost Calc'!$A$2:$C$827,3,FALSE)</f>
        <v>461</v>
      </c>
      <c r="K3">
        <f t="shared" ref="K3:K66" si="5">(J3*12)/D3</f>
        <v>0.50016357548320067</v>
      </c>
      <c r="Z3" t="s">
        <v>3873</v>
      </c>
    </row>
    <row r="4" spans="1:27" ht="48" x14ac:dyDescent="0.2">
      <c r="A4" s="4" t="s">
        <v>3042</v>
      </c>
      <c r="B4">
        <v>21895</v>
      </c>
      <c r="C4">
        <v>3.46</v>
      </c>
      <c r="D4">
        <f t="shared" si="0"/>
        <v>11770.824922840449</v>
      </c>
      <c r="E4">
        <f t="shared" si="1"/>
        <v>11.770824922840449</v>
      </c>
      <c r="F4" s="7">
        <v>3.6452004860267314E-3</v>
      </c>
      <c r="G4">
        <f t="shared" si="2"/>
        <v>1</v>
      </c>
      <c r="H4" s="7">
        <f t="shared" si="3"/>
        <v>0.99635479951397332</v>
      </c>
      <c r="I4">
        <f t="shared" si="4"/>
        <v>5</v>
      </c>
      <c r="J4">
        <f>VLOOKUP(A4,'Housing Cost Calc'!$A$2:$C$827,3,FALSE)</f>
        <v>1032</v>
      </c>
      <c r="K4">
        <f t="shared" si="5"/>
        <v>1.0520927871393047</v>
      </c>
      <c r="Z4" t="s">
        <v>3874</v>
      </c>
    </row>
    <row r="5" spans="1:27" ht="48" x14ac:dyDescent="0.2">
      <c r="A5" s="4" t="s">
        <v>3031</v>
      </c>
      <c r="B5">
        <v>15000</v>
      </c>
      <c r="C5">
        <v>1.4</v>
      </c>
      <c r="D5">
        <f t="shared" si="0"/>
        <v>12677.313820927749</v>
      </c>
      <c r="E5">
        <f t="shared" si="1"/>
        <v>12.677313820927749</v>
      </c>
      <c r="F5" s="7">
        <v>4.8602673147023082E-3</v>
      </c>
      <c r="G5">
        <f t="shared" si="2"/>
        <v>1</v>
      </c>
      <c r="H5" s="7">
        <f t="shared" si="3"/>
        <v>0.99513973268529765</v>
      </c>
      <c r="I5">
        <f t="shared" si="4"/>
        <v>5</v>
      </c>
      <c r="J5">
        <f>VLOOKUP(A5,'Housing Cost Calc'!$A$2:$C$827,3,FALSE)</f>
        <v>440</v>
      </c>
      <c r="K5">
        <f t="shared" si="5"/>
        <v>0.41649201673021297</v>
      </c>
      <c r="N5" s="6"/>
      <c r="AA5" t="s">
        <v>3875</v>
      </c>
    </row>
    <row r="6" spans="1:27" ht="48" x14ac:dyDescent="0.2">
      <c r="A6" s="4" t="s">
        <v>3044</v>
      </c>
      <c r="B6">
        <v>22449</v>
      </c>
      <c r="C6">
        <v>3.07</v>
      </c>
      <c r="D6">
        <f t="shared" si="0"/>
        <v>12812.321037123063</v>
      </c>
      <c r="E6">
        <f t="shared" si="1"/>
        <v>12.812321037123063</v>
      </c>
      <c r="F6" s="7">
        <v>6.0753341433778859E-3</v>
      </c>
      <c r="G6">
        <f t="shared" si="2"/>
        <v>1</v>
      </c>
      <c r="H6" s="7">
        <f t="shared" si="3"/>
        <v>0.99392466585662209</v>
      </c>
      <c r="I6">
        <f t="shared" si="4"/>
        <v>5</v>
      </c>
      <c r="J6">
        <f>VLOOKUP(A6,'Housing Cost Calc'!$A$2:$C$827,3,FALSE)</f>
        <v>937</v>
      </c>
      <c r="K6">
        <f t="shared" si="5"/>
        <v>0.87759274587493308</v>
      </c>
    </row>
    <row r="7" spans="1:27" ht="48" x14ac:dyDescent="0.2">
      <c r="A7" s="4" t="s">
        <v>3046</v>
      </c>
      <c r="B7">
        <v>22454</v>
      </c>
      <c r="C7">
        <v>2.87</v>
      </c>
      <c r="D7">
        <f t="shared" si="0"/>
        <v>13254.177120810849</v>
      </c>
      <c r="E7">
        <f t="shared" si="1"/>
        <v>13.25417712081085</v>
      </c>
      <c r="F7" s="7">
        <v>7.2904009720534627E-3</v>
      </c>
      <c r="G7">
        <f t="shared" si="2"/>
        <v>1</v>
      </c>
      <c r="H7" s="7">
        <f t="shared" si="3"/>
        <v>0.99270959902794653</v>
      </c>
      <c r="I7">
        <f t="shared" si="4"/>
        <v>5</v>
      </c>
      <c r="J7">
        <f>VLOOKUP(A7,'Housing Cost Calc'!$A$2:$C$827,3,FALSE)</f>
        <v>1004</v>
      </c>
      <c r="K7">
        <f t="shared" si="5"/>
        <v>0.90899645373555571</v>
      </c>
    </row>
    <row r="8" spans="1:27" ht="48" x14ac:dyDescent="0.2">
      <c r="A8" s="4" t="s">
        <v>3040</v>
      </c>
      <c r="B8">
        <v>21851</v>
      </c>
      <c r="C8">
        <v>2.69</v>
      </c>
      <c r="D8">
        <f t="shared" si="0"/>
        <v>13322.789835326628</v>
      </c>
      <c r="E8">
        <f t="shared" si="1"/>
        <v>13.322789835326628</v>
      </c>
      <c r="F8" s="7">
        <v>8.5054678007290396E-3</v>
      </c>
      <c r="G8">
        <f t="shared" si="2"/>
        <v>1</v>
      </c>
      <c r="H8" s="7">
        <f t="shared" si="3"/>
        <v>0.99149453219927097</v>
      </c>
      <c r="I8">
        <f t="shared" si="4"/>
        <v>5</v>
      </c>
      <c r="J8">
        <f>VLOOKUP(A8,'Housing Cost Calc'!$A$2:$C$827,3,FALSE)</f>
        <v>1109</v>
      </c>
      <c r="K8">
        <f t="shared" si="5"/>
        <v>0.998889884512971</v>
      </c>
    </row>
    <row r="9" spans="1:27" ht="48" x14ac:dyDescent="0.2">
      <c r="A9" s="4" t="s">
        <v>3034</v>
      </c>
      <c r="B9">
        <v>18304</v>
      </c>
      <c r="C9">
        <v>1.83</v>
      </c>
      <c r="D9">
        <f t="shared" si="0"/>
        <v>13530.706143552499</v>
      </c>
      <c r="E9">
        <f t="shared" si="1"/>
        <v>13.5307061435525</v>
      </c>
      <c r="F9" s="7">
        <v>9.7205346294046164E-3</v>
      </c>
      <c r="G9">
        <f t="shared" si="2"/>
        <v>1</v>
      </c>
      <c r="H9" s="7">
        <f t="shared" si="3"/>
        <v>0.99027946537059541</v>
      </c>
      <c r="I9">
        <f t="shared" si="4"/>
        <v>5</v>
      </c>
      <c r="J9">
        <f>VLOOKUP(A9,'Housing Cost Calc'!$A$2:$C$827,3,FALSE)</f>
        <v>783</v>
      </c>
      <c r="K9">
        <f t="shared" si="5"/>
        <v>0.69442052028284396</v>
      </c>
    </row>
    <row r="10" spans="1:27" ht="48" x14ac:dyDescent="0.2">
      <c r="A10" s="4" t="s">
        <v>3048</v>
      </c>
      <c r="B10">
        <v>22778</v>
      </c>
      <c r="C10">
        <v>2.82</v>
      </c>
      <c r="D10">
        <f t="shared" si="0"/>
        <v>13564.101609847572</v>
      </c>
      <c r="E10">
        <f t="shared" si="1"/>
        <v>13.564101609847572</v>
      </c>
      <c r="F10" s="7">
        <v>1.0935601458080195E-2</v>
      </c>
      <c r="G10">
        <f t="shared" si="2"/>
        <v>1</v>
      </c>
      <c r="H10" s="7">
        <f t="shared" si="3"/>
        <v>0.98906439854191985</v>
      </c>
      <c r="I10">
        <f t="shared" si="4"/>
        <v>5</v>
      </c>
      <c r="J10">
        <f>VLOOKUP(A10,'Housing Cost Calc'!$A$2:$C$827,3,FALSE)</f>
        <v>924</v>
      </c>
      <c r="K10">
        <f t="shared" si="5"/>
        <v>0.81745185335017578</v>
      </c>
    </row>
    <row r="11" spans="1:27" ht="48" x14ac:dyDescent="0.2">
      <c r="A11" s="4" t="s">
        <v>3038</v>
      </c>
      <c r="B11">
        <v>21633</v>
      </c>
      <c r="C11">
        <v>2.5099999999999998</v>
      </c>
      <c r="D11">
        <f t="shared" si="0"/>
        <v>13654.628522214776</v>
      </c>
      <c r="E11">
        <f t="shared" si="1"/>
        <v>13.654628522214777</v>
      </c>
      <c r="F11" s="7">
        <v>1.2150668286755772E-2</v>
      </c>
      <c r="G11">
        <f t="shared" si="2"/>
        <v>1</v>
      </c>
      <c r="H11" s="7">
        <f t="shared" si="3"/>
        <v>0.98784933171324418</v>
      </c>
      <c r="I11">
        <f t="shared" si="4"/>
        <v>5</v>
      </c>
      <c r="J11">
        <f>VLOOKUP(A11,'Housing Cost Calc'!$A$2:$C$827,3,FALSE)</f>
        <v>596</v>
      </c>
      <c r="K11">
        <f t="shared" si="5"/>
        <v>0.52377843808525282</v>
      </c>
    </row>
    <row r="12" spans="1:27" ht="48" x14ac:dyDescent="0.2">
      <c r="A12" s="4" t="s">
        <v>3058</v>
      </c>
      <c r="B12">
        <v>24271</v>
      </c>
      <c r="C12">
        <v>3.01</v>
      </c>
      <c r="D12">
        <f t="shared" si="0"/>
        <v>13989.571828099488</v>
      </c>
      <c r="E12">
        <f t="shared" si="1"/>
        <v>13.989571828099487</v>
      </c>
      <c r="F12" s="7">
        <v>1.3365735115431349E-2</v>
      </c>
      <c r="G12">
        <f t="shared" si="2"/>
        <v>1</v>
      </c>
      <c r="H12" s="7">
        <f t="shared" si="3"/>
        <v>0.98663426488456862</v>
      </c>
      <c r="I12">
        <f t="shared" si="4"/>
        <v>5</v>
      </c>
      <c r="J12">
        <f>VLOOKUP(A12,'Housing Cost Calc'!$A$2:$C$827,3,FALSE)</f>
        <v>1107</v>
      </c>
      <c r="K12">
        <f t="shared" si="5"/>
        <v>0.94956444437546872</v>
      </c>
    </row>
    <row r="13" spans="1:27" ht="64" x14ac:dyDescent="0.2">
      <c r="A13" s="4" t="s">
        <v>3036</v>
      </c>
      <c r="B13">
        <v>19593</v>
      </c>
      <c r="C13">
        <v>1.86</v>
      </c>
      <c r="D13">
        <f t="shared" si="0"/>
        <v>14366.284623066875</v>
      </c>
      <c r="E13">
        <f t="shared" si="1"/>
        <v>14.366284623066875</v>
      </c>
      <c r="F13" s="7">
        <v>1.4580801944106925E-2</v>
      </c>
      <c r="G13">
        <f t="shared" si="2"/>
        <v>1</v>
      </c>
      <c r="H13" s="7">
        <f t="shared" si="3"/>
        <v>0.98541919805589306</v>
      </c>
      <c r="I13">
        <f t="shared" si="4"/>
        <v>5</v>
      </c>
      <c r="J13">
        <f>VLOOKUP(A13,'Housing Cost Calc'!$A$2:$C$827,3,FALSE)</f>
        <v>715</v>
      </c>
      <c r="K13">
        <f t="shared" si="5"/>
        <v>0.59723165906261755</v>
      </c>
    </row>
    <row r="14" spans="1:27" ht="48" x14ac:dyDescent="0.2">
      <c r="A14" s="4" t="s">
        <v>3066</v>
      </c>
      <c r="B14">
        <v>24943</v>
      </c>
      <c r="C14">
        <v>2.87</v>
      </c>
      <c r="D14">
        <f t="shared" si="0"/>
        <v>14723.387366366127</v>
      </c>
      <c r="E14">
        <f t="shared" si="1"/>
        <v>14.723387366366127</v>
      </c>
      <c r="F14" s="7">
        <v>1.5795868772782502E-2</v>
      </c>
      <c r="G14">
        <f t="shared" si="2"/>
        <v>1</v>
      </c>
      <c r="H14" s="7">
        <f t="shared" si="3"/>
        <v>0.9842041312272175</v>
      </c>
      <c r="I14">
        <f t="shared" si="4"/>
        <v>5</v>
      </c>
      <c r="J14">
        <f>VLOOKUP(A14,'Housing Cost Calc'!$A$2:$C$827,3,FALSE)</f>
        <v>996</v>
      </c>
      <c r="K14">
        <f t="shared" si="5"/>
        <v>0.81176971729365488</v>
      </c>
    </row>
    <row r="15" spans="1:27" ht="48" x14ac:dyDescent="0.2">
      <c r="A15" s="4" t="s">
        <v>3050</v>
      </c>
      <c r="B15">
        <v>23480</v>
      </c>
      <c r="C15">
        <v>2.4700000000000002</v>
      </c>
      <c r="D15">
        <f t="shared" si="0"/>
        <v>14939.966234671261</v>
      </c>
      <c r="E15">
        <f t="shared" si="1"/>
        <v>14.939966234671262</v>
      </c>
      <c r="F15" s="7">
        <v>1.7010935601458079E-2</v>
      </c>
      <c r="G15">
        <f t="shared" si="2"/>
        <v>1</v>
      </c>
      <c r="H15" s="7">
        <f t="shared" si="3"/>
        <v>0.98298906439854195</v>
      </c>
      <c r="I15">
        <f t="shared" si="4"/>
        <v>5</v>
      </c>
      <c r="J15">
        <f>VLOOKUP(A15,'Housing Cost Calc'!$A$2:$C$827,3,FALSE)</f>
        <v>859</v>
      </c>
      <c r="K15">
        <f t="shared" si="5"/>
        <v>0.68996139871308193</v>
      </c>
    </row>
    <row r="16" spans="1:27" ht="48" x14ac:dyDescent="0.2">
      <c r="A16" s="4" t="s">
        <v>3052</v>
      </c>
      <c r="B16">
        <v>23500</v>
      </c>
      <c r="C16">
        <v>2.4700000000000002</v>
      </c>
      <c r="D16">
        <f t="shared" si="0"/>
        <v>14952.691929930777</v>
      </c>
      <c r="E16">
        <f t="shared" si="1"/>
        <v>14.952691929930777</v>
      </c>
      <c r="F16" s="7">
        <v>1.8226002430133656E-2</v>
      </c>
      <c r="G16">
        <f t="shared" si="2"/>
        <v>1</v>
      </c>
      <c r="H16" s="7">
        <f t="shared" si="3"/>
        <v>0.98177399756986639</v>
      </c>
      <c r="I16">
        <f t="shared" si="4"/>
        <v>5</v>
      </c>
      <c r="J16">
        <f>VLOOKUP(A16,'Housing Cost Calc'!$A$2:$C$827,3,FALSE)</f>
        <v>842</v>
      </c>
      <c r="K16">
        <f t="shared" si="5"/>
        <v>0.6757311691665927</v>
      </c>
    </row>
    <row r="17" spans="1:11" ht="48" x14ac:dyDescent="0.2">
      <c r="A17" s="4" t="s">
        <v>3086</v>
      </c>
      <c r="B17">
        <v>28029</v>
      </c>
      <c r="C17">
        <v>3.36</v>
      </c>
      <c r="D17">
        <f t="shared" si="0"/>
        <v>15291.073113561577</v>
      </c>
      <c r="E17">
        <f t="shared" si="1"/>
        <v>15.291073113561577</v>
      </c>
      <c r="F17" s="7">
        <v>1.9441069258809233E-2</v>
      </c>
      <c r="G17">
        <f t="shared" si="2"/>
        <v>1</v>
      </c>
      <c r="H17" s="7">
        <f t="shared" si="3"/>
        <v>0.98055893074119072</v>
      </c>
      <c r="I17">
        <f t="shared" si="4"/>
        <v>5</v>
      </c>
      <c r="J17">
        <f>VLOOKUP(A17,'Housing Cost Calc'!$A$2:$C$827,3,FALSE)</f>
        <v>986</v>
      </c>
      <c r="K17">
        <f t="shared" si="5"/>
        <v>0.77378480320692844</v>
      </c>
    </row>
    <row r="18" spans="1:11" ht="48" x14ac:dyDescent="0.2">
      <c r="A18" s="4" t="s">
        <v>3062</v>
      </c>
      <c r="B18">
        <v>24342</v>
      </c>
      <c r="C18">
        <v>2.52</v>
      </c>
      <c r="D18">
        <f t="shared" si="0"/>
        <v>15334.018669984349</v>
      </c>
      <c r="E18">
        <f t="shared" si="1"/>
        <v>15.334018669984349</v>
      </c>
      <c r="F18" s="7">
        <v>2.0656136087484813E-2</v>
      </c>
      <c r="G18">
        <f t="shared" si="2"/>
        <v>1</v>
      </c>
      <c r="H18" s="7">
        <f t="shared" si="3"/>
        <v>0.97934386391251516</v>
      </c>
      <c r="I18">
        <f t="shared" si="4"/>
        <v>5</v>
      </c>
      <c r="J18">
        <f>VLOOKUP(A18,'Housing Cost Calc'!$A$2:$C$827,3,FALSE)</f>
        <v>1275</v>
      </c>
      <c r="K18">
        <f t="shared" si="5"/>
        <v>0.99778149024619756</v>
      </c>
    </row>
    <row r="19" spans="1:11" ht="48" x14ac:dyDescent="0.2">
      <c r="A19" s="4" t="s">
        <v>3068</v>
      </c>
      <c r="B19">
        <v>25156</v>
      </c>
      <c r="C19">
        <v>2.64</v>
      </c>
      <c r="D19">
        <f t="shared" si="0"/>
        <v>15482.44773538047</v>
      </c>
      <c r="E19">
        <f t="shared" si="1"/>
        <v>15.48244773538047</v>
      </c>
      <c r="F19" s="7">
        <v>2.187120291616039E-2</v>
      </c>
      <c r="G19">
        <f t="shared" si="2"/>
        <v>1</v>
      </c>
      <c r="H19" s="7">
        <f t="shared" si="3"/>
        <v>0.9781287970838396</v>
      </c>
      <c r="I19">
        <f t="shared" si="4"/>
        <v>5</v>
      </c>
      <c r="J19">
        <f>VLOOKUP(A19,'Housing Cost Calc'!$A$2:$C$827,3,FALSE)</f>
        <v>869</v>
      </c>
      <c r="K19">
        <f t="shared" si="5"/>
        <v>0.67353690955274126</v>
      </c>
    </row>
    <row r="20" spans="1:11" ht="48" x14ac:dyDescent="0.2">
      <c r="A20" s="4" t="s">
        <v>3076</v>
      </c>
      <c r="B20">
        <v>26324</v>
      </c>
      <c r="C20">
        <v>2.89</v>
      </c>
      <c r="D20">
        <f t="shared" si="0"/>
        <v>15484.705882352942</v>
      </c>
      <c r="E20">
        <f t="shared" si="1"/>
        <v>15.484705882352943</v>
      </c>
      <c r="F20" s="7">
        <v>2.3086269744835967E-2</v>
      </c>
      <c r="G20">
        <f t="shared" si="2"/>
        <v>1</v>
      </c>
      <c r="H20" s="7">
        <f t="shared" si="3"/>
        <v>0.97691373025516404</v>
      </c>
      <c r="I20">
        <f t="shared" si="4"/>
        <v>5</v>
      </c>
      <c r="J20">
        <f>VLOOKUP(A20,'Housing Cost Calc'!$A$2:$C$827,3,FALSE)</f>
        <v>1082</v>
      </c>
      <c r="K20">
        <f t="shared" si="5"/>
        <v>0.83850478650660987</v>
      </c>
    </row>
    <row r="21" spans="1:11" ht="48" x14ac:dyDescent="0.2">
      <c r="A21" s="4" t="s">
        <v>3056</v>
      </c>
      <c r="B21">
        <v>23608</v>
      </c>
      <c r="C21">
        <v>2.2200000000000002</v>
      </c>
      <c r="D21">
        <f t="shared" si="0"/>
        <v>15844.652151492686</v>
      </c>
      <c r="E21">
        <f t="shared" si="1"/>
        <v>15.844652151492687</v>
      </c>
      <c r="F21" s="7">
        <v>2.4301336573511544E-2</v>
      </c>
      <c r="G21">
        <f t="shared" si="2"/>
        <v>1</v>
      </c>
      <c r="H21" s="7">
        <f t="shared" si="3"/>
        <v>0.97569866342648848</v>
      </c>
      <c r="I21">
        <f t="shared" si="4"/>
        <v>5</v>
      </c>
      <c r="J21">
        <f>VLOOKUP(A21,'Housing Cost Calc'!$A$2:$C$827,3,FALSE)</f>
        <v>914</v>
      </c>
      <c r="K21">
        <f t="shared" si="5"/>
        <v>0.69222093960369657</v>
      </c>
    </row>
    <row r="22" spans="1:11" ht="48" x14ac:dyDescent="0.2">
      <c r="A22" s="4" t="s">
        <v>3072</v>
      </c>
      <c r="B22">
        <v>25958</v>
      </c>
      <c r="C22">
        <v>2.65</v>
      </c>
      <c r="D22">
        <f t="shared" si="0"/>
        <v>15945.872642775705</v>
      </c>
      <c r="E22">
        <f t="shared" si="1"/>
        <v>15.945872642775704</v>
      </c>
      <c r="F22" s="7">
        <v>2.551640340218712E-2</v>
      </c>
      <c r="G22">
        <f t="shared" si="2"/>
        <v>1</v>
      </c>
      <c r="H22" s="7">
        <f t="shared" si="3"/>
        <v>0.97448359659781292</v>
      </c>
      <c r="I22">
        <f t="shared" si="4"/>
        <v>5</v>
      </c>
      <c r="J22">
        <f>VLOOKUP(A22,'Housing Cost Calc'!$A$2:$C$827,3,FALSE)</f>
        <v>976</v>
      </c>
      <c r="K22">
        <f t="shared" si="5"/>
        <v>0.7344847323427065</v>
      </c>
    </row>
    <row r="23" spans="1:11" ht="48" x14ac:dyDescent="0.2">
      <c r="A23" s="4" t="s">
        <v>3078</v>
      </c>
      <c r="B23">
        <v>26765</v>
      </c>
      <c r="C23">
        <v>2.74</v>
      </c>
      <c r="D23">
        <f t="shared" si="0"/>
        <v>16169.327827982186</v>
      </c>
      <c r="E23">
        <f t="shared" si="1"/>
        <v>16.169327827982187</v>
      </c>
      <c r="F23" s="7">
        <v>2.6731470230862697E-2</v>
      </c>
      <c r="G23">
        <f t="shared" si="2"/>
        <v>1</v>
      </c>
      <c r="H23" s="7">
        <f t="shared" si="3"/>
        <v>0.97326852976913725</v>
      </c>
      <c r="I23">
        <f t="shared" si="4"/>
        <v>5</v>
      </c>
      <c r="J23">
        <f>VLOOKUP(A23,'Housing Cost Calc'!$A$2:$C$827,3,FALSE)</f>
        <v>946</v>
      </c>
      <c r="K23">
        <f t="shared" si="5"/>
        <v>0.70207000073030534</v>
      </c>
    </row>
    <row r="24" spans="1:11" ht="48" x14ac:dyDescent="0.2">
      <c r="A24" s="4" t="s">
        <v>3096</v>
      </c>
      <c r="B24">
        <v>29167</v>
      </c>
      <c r="C24">
        <v>3.25</v>
      </c>
      <c r="D24">
        <f t="shared" si="0"/>
        <v>16178.940623301258</v>
      </c>
      <c r="E24">
        <f t="shared" si="1"/>
        <v>16.178940623301258</v>
      </c>
      <c r="F24" s="7">
        <v>2.7946537059538274E-2</v>
      </c>
      <c r="G24">
        <f t="shared" si="2"/>
        <v>1</v>
      </c>
      <c r="H24" s="7">
        <f t="shared" si="3"/>
        <v>0.97205346294046169</v>
      </c>
      <c r="I24">
        <f t="shared" si="4"/>
        <v>5</v>
      </c>
      <c r="J24">
        <f>VLOOKUP(A24,'Housing Cost Calc'!$A$2:$C$827,3,FALSE)</f>
        <v>1084</v>
      </c>
      <c r="K24">
        <f t="shared" si="5"/>
        <v>0.80400814261383713</v>
      </c>
    </row>
    <row r="25" spans="1:11" ht="48" x14ac:dyDescent="0.2">
      <c r="A25" s="4" t="s">
        <v>3084</v>
      </c>
      <c r="B25">
        <v>27964</v>
      </c>
      <c r="C25">
        <v>2.83</v>
      </c>
      <c r="D25">
        <f t="shared" si="0"/>
        <v>16622.872573039393</v>
      </c>
      <c r="E25">
        <f t="shared" si="1"/>
        <v>16.622872573039391</v>
      </c>
      <c r="F25" s="7">
        <v>2.9161603888213851E-2</v>
      </c>
      <c r="G25">
        <f t="shared" si="2"/>
        <v>1</v>
      </c>
      <c r="H25" s="7">
        <f t="shared" si="3"/>
        <v>0.97083839611178613</v>
      </c>
      <c r="I25">
        <f t="shared" si="4"/>
        <v>5</v>
      </c>
      <c r="J25">
        <f>VLOOKUP(A25,'Housing Cost Calc'!$A$2:$C$827,3,FALSE)</f>
        <v>1195</v>
      </c>
      <c r="K25">
        <f t="shared" si="5"/>
        <v>0.86266678259075513</v>
      </c>
    </row>
    <row r="26" spans="1:11" ht="48" x14ac:dyDescent="0.2">
      <c r="A26" s="4" t="s">
        <v>3074</v>
      </c>
      <c r="B26">
        <v>26250</v>
      </c>
      <c r="C26">
        <v>2.37</v>
      </c>
      <c r="D26">
        <f t="shared" si="0"/>
        <v>17051.207314617812</v>
      </c>
      <c r="E26">
        <f t="shared" si="1"/>
        <v>17.051207314617812</v>
      </c>
      <c r="F26" s="7">
        <v>3.0376670716889428E-2</v>
      </c>
      <c r="G26">
        <f t="shared" si="2"/>
        <v>1</v>
      </c>
      <c r="H26" s="7">
        <f t="shared" si="3"/>
        <v>0.96962332928311057</v>
      </c>
      <c r="I26">
        <f t="shared" si="4"/>
        <v>5</v>
      </c>
      <c r="J26">
        <f>VLOOKUP(A26,'Housing Cost Calc'!$A$2:$C$827,3,FALSE)</f>
        <v>648</v>
      </c>
      <c r="K26">
        <f t="shared" si="5"/>
        <v>0.45603808906444537</v>
      </c>
    </row>
    <row r="27" spans="1:11" ht="48" x14ac:dyDescent="0.2">
      <c r="A27" s="4" t="s">
        <v>3090</v>
      </c>
      <c r="B27">
        <v>28438</v>
      </c>
      <c r="C27">
        <v>2.73</v>
      </c>
      <c r="D27">
        <f t="shared" si="0"/>
        <v>17211.460574035405</v>
      </c>
      <c r="E27">
        <f t="shared" si="1"/>
        <v>17.211460574035407</v>
      </c>
      <c r="F27" s="7">
        <v>3.1591737545565005E-2</v>
      </c>
      <c r="G27">
        <f t="shared" si="2"/>
        <v>1</v>
      </c>
      <c r="H27" s="7">
        <f t="shared" si="3"/>
        <v>0.96840826245443501</v>
      </c>
      <c r="I27">
        <f t="shared" si="4"/>
        <v>5</v>
      </c>
      <c r="J27">
        <f>VLOOKUP(A27,'Housing Cost Calc'!$A$2:$C$827,3,FALSE)</f>
        <v>999</v>
      </c>
      <c r="K27">
        <f t="shared" si="5"/>
        <v>0.6965126491405772</v>
      </c>
    </row>
    <row r="28" spans="1:11" ht="64" x14ac:dyDescent="0.2">
      <c r="A28" s="4" t="s">
        <v>3064</v>
      </c>
      <c r="B28">
        <v>24805</v>
      </c>
      <c r="C28">
        <v>2.0499999999999998</v>
      </c>
      <c r="D28">
        <f t="shared" si="0"/>
        <v>17324.563486564388</v>
      </c>
      <c r="E28">
        <f t="shared" si="1"/>
        <v>17.324563486564386</v>
      </c>
      <c r="F28" s="7">
        <v>3.2806804374240585E-2</v>
      </c>
      <c r="G28">
        <f t="shared" si="2"/>
        <v>1</v>
      </c>
      <c r="H28" s="7">
        <f t="shared" si="3"/>
        <v>0.96719319562575945</v>
      </c>
      <c r="I28">
        <f t="shared" si="4"/>
        <v>5</v>
      </c>
      <c r="J28">
        <f>VLOOKUP(A28,'Housing Cost Calc'!$A$2:$C$827,3,FALSE)</f>
        <v>1001</v>
      </c>
      <c r="K28">
        <f t="shared" si="5"/>
        <v>0.69335080270943583</v>
      </c>
    </row>
    <row r="29" spans="1:11" ht="48" x14ac:dyDescent="0.2">
      <c r="A29" s="4" t="s">
        <v>3060</v>
      </c>
      <c r="B29">
        <v>24325</v>
      </c>
      <c r="C29">
        <v>1.97</v>
      </c>
      <c r="D29">
        <f t="shared" si="0"/>
        <v>17330.844909559022</v>
      </c>
      <c r="E29">
        <f t="shared" si="1"/>
        <v>17.330844909559023</v>
      </c>
      <c r="F29" s="7">
        <v>3.4021871202916158E-2</v>
      </c>
      <c r="G29">
        <f t="shared" si="2"/>
        <v>1</v>
      </c>
      <c r="H29" s="7">
        <f t="shared" si="3"/>
        <v>0.96597812879708389</v>
      </c>
      <c r="I29">
        <f t="shared" si="4"/>
        <v>5</v>
      </c>
      <c r="J29">
        <f>VLOOKUP(A29,'Housing Cost Calc'!$A$2:$C$827,3,FALSE)</f>
        <v>879</v>
      </c>
      <c r="K29">
        <f t="shared" si="5"/>
        <v>0.6086258376348479</v>
      </c>
    </row>
    <row r="30" spans="1:11" ht="48" x14ac:dyDescent="0.2">
      <c r="A30" s="4" t="s">
        <v>3080</v>
      </c>
      <c r="B30">
        <v>26840</v>
      </c>
      <c r="C30">
        <v>2.38</v>
      </c>
      <c r="D30">
        <f t="shared" si="0"/>
        <v>17397.787940140093</v>
      </c>
      <c r="E30">
        <f t="shared" si="1"/>
        <v>17.397787940140095</v>
      </c>
      <c r="F30" s="7">
        <v>3.5236938031591739E-2</v>
      </c>
      <c r="G30">
        <f t="shared" si="2"/>
        <v>1</v>
      </c>
      <c r="H30" s="7">
        <f t="shared" si="3"/>
        <v>0.96476306196840822</v>
      </c>
      <c r="I30">
        <f t="shared" si="4"/>
        <v>5</v>
      </c>
      <c r="J30">
        <f>VLOOKUP(A30,'Housing Cost Calc'!$A$2:$C$827,3,FALSE)</f>
        <v>710</v>
      </c>
      <c r="K30">
        <f t="shared" si="5"/>
        <v>0.48971743013045332</v>
      </c>
    </row>
    <row r="31" spans="1:11" ht="48" x14ac:dyDescent="0.2">
      <c r="A31" s="4" t="s">
        <v>3102</v>
      </c>
      <c r="B31">
        <v>30034</v>
      </c>
      <c r="C31">
        <v>2.96</v>
      </c>
      <c r="D31">
        <f t="shared" si="0"/>
        <v>17456.907910159342</v>
      </c>
      <c r="E31">
        <f t="shared" si="1"/>
        <v>17.456907910159341</v>
      </c>
      <c r="F31" s="7">
        <v>3.6452004860267312E-2</v>
      </c>
      <c r="G31">
        <f t="shared" si="2"/>
        <v>1</v>
      </c>
      <c r="H31" s="7">
        <f t="shared" si="3"/>
        <v>0.96354799513973266</v>
      </c>
      <c r="I31">
        <f t="shared" si="4"/>
        <v>5</v>
      </c>
      <c r="J31">
        <f>VLOOKUP(A31,'Housing Cost Calc'!$A$2:$C$827,3,FALSE)</f>
        <v>902</v>
      </c>
      <c r="K31">
        <f t="shared" si="5"/>
        <v>0.62004107804800823</v>
      </c>
    </row>
    <row r="32" spans="1:11" ht="48" x14ac:dyDescent="0.2">
      <c r="A32" s="4" t="s">
        <v>3118</v>
      </c>
      <c r="B32">
        <v>30987</v>
      </c>
      <c r="C32">
        <v>3.14</v>
      </c>
      <c r="D32">
        <f t="shared" si="0"/>
        <v>17486.975763052331</v>
      </c>
      <c r="E32">
        <f t="shared" si="1"/>
        <v>17.486975763052332</v>
      </c>
      <c r="F32" s="7">
        <v>3.7667071688942892E-2</v>
      </c>
      <c r="G32">
        <f t="shared" si="2"/>
        <v>1</v>
      </c>
      <c r="H32" s="7">
        <f t="shared" si="3"/>
        <v>0.9623329283110571</v>
      </c>
      <c r="I32">
        <f t="shared" si="4"/>
        <v>5</v>
      </c>
      <c r="J32">
        <f>VLOOKUP(A32,'Housing Cost Calc'!$A$2:$C$827,3,FALSE)</f>
        <v>1018</v>
      </c>
      <c r="K32">
        <f t="shared" si="5"/>
        <v>0.69857705331820685</v>
      </c>
    </row>
    <row r="33" spans="1:11" ht="48" x14ac:dyDescent="0.2">
      <c r="A33" s="4" t="s">
        <v>3082</v>
      </c>
      <c r="B33">
        <v>27072</v>
      </c>
      <c r="C33">
        <v>2.39</v>
      </c>
      <c r="D33">
        <f t="shared" si="0"/>
        <v>17511.421066904502</v>
      </c>
      <c r="E33">
        <f t="shared" si="1"/>
        <v>17.511421066904504</v>
      </c>
      <c r="F33" s="7">
        <v>3.8882138517618466E-2</v>
      </c>
      <c r="G33">
        <f t="shared" si="2"/>
        <v>1</v>
      </c>
      <c r="H33" s="7">
        <f t="shared" si="3"/>
        <v>0.96111786148238154</v>
      </c>
      <c r="I33">
        <f t="shared" si="4"/>
        <v>5</v>
      </c>
      <c r="J33">
        <f>VLOOKUP(A33,'Housing Cost Calc'!$A$2:$C$827,3,FALSE)</f>
        <v>1078</v>
      </c>
      <c r="K33">
        <f t="shared" si="5"/>
        <v>0.73871788877535682</v>
      </c>
    </row>
    <row r="34" spans="1:11" ht="48" x14ac:dyDescent="0.2">
      <c r="A34" s="4" t="s">
        <v>3116</v>
      </c>
      <c r="B34">
        <v>30855</v>
      </c>
      <c r="C34">
        <v>3.03</v>
      </c>
      <c r="D34">
        <f t="shared" si="0"/>
        <v>17725.734354769102</v>
      </c>
      <c r="E34">
        <f t="shared" si="1"/>
        <v>17.725734354769102</v>
      </c>
      <c r="F34" s="7">
        <v>4.0097205346294046E-2</v>
      </c>
      <c r="G34">
        <f t="shared" si="2"/>
        <v>1</v>
      </c>
      <c r="H34" s="7">
        <f t="shared" si="3"/>
        <v>0.95990279465370598</v>
      </c>
      <c r="I34">
        <f t="shared" si="4"/>
        <v>5</v>
      </c>
      <c r="J34">
        <f>VLOOKUP(A34,'Housing Cost Calc'!$A$2:$C$827,3,FALSE)</f>
        <v>710</v>
      </c>
      <c r="K34">
        <f t="shared" si="5"/>
        <v>0.48065709603211432</v>
      </c>
    </row>
    <row r="35" spans="1:11" ht="48" x14ac:dyDescent="0.2">
      <c r="A35" s="4" t="s">
        <v>3154</v>
      </c>
      <c r="B35">
        <v>34450</v>
      </c>
      <c r="C35">
        <v>3.53</v>
      </c>
      <c r="D35">
        <f t="shared" si="0"/>
        <v>18335.884876955439</v>
      </c>
      <c r="E35">
        <f t="shared" si="1"/>
        <v>18.33588487695544</v>
      </c>
      <c r="F35" s="7">
        <v>4.1312272174969626E-2</v>
      </c>
      <c r="G35">
        <f t="shared" si="2"/>
        <v>1</v>
      </c>
      <c r="H35" s="7">
        <f t="shared" si="3"/>
        <v>0.95868772782503042</v>
      </c>
      <c r="I35">
        <f t="shared" si="4"/>
        <v>5</v>
      </c>
      <c r="J35">
        <f>VLOOKUP(A35,'Housing Cost Calc'!$A$2:$C$827,3,FALSE)</f>
        <v>1202</v>
      </c>
      <c r="K35">
        <f t="shared" si="5"/>
        <v>0.78665415368789204</v>
      </c>
    </row>
    <row r="36" spans="1:11" ht="48" x14ac:dyDescent="0.2">
      <c r="A36" s="4" t="s">
        <v>3070</v>
      </c>
      <c r="B36">
        <v>25648</v>
      </c>
      <c r="C36">
        <v>1.93</v>
      </c>
      <c r="D36">
        <f t="shared" si="0"/>
        <v>18461.834375202518</v>
      </c>
      <c r="E36">
        <f t="shared" si="1"/>
        <v>18.461834375202518</v>
      </c>
      <c r="F36" s="7">
        <v>4.25273390036452E-2</v>
      </c>
      <c r="G36">
        <f t="shared" si="2"/>
        <v>1</v>
      </c>
      <c r="H36" s="7">
        <f t="shared" si="3"/>
        <v>0.95747266099635475</v>
      </c>
      <c r="I36">
        <f t="shared" si="4"/>
        <v>5</v>
      </c>
      <c r="J36">
        <f>VLOOKUP(A36,'Housing Cost Calc'!$A$2:$C$827,3,FALSE)</f>
        <v>969</v>
      </c>
      <c r="K36">
        <f t="shared" si="5"/>
        <v>0.62983990451232974</v>
      </c>
    </row>
    <row r="37" spans="1:11" ht="48" x14ac:dyDescent="0.2">
      <c r="A37" s="4" t="s">
        <v>3148</v>
      </c>
      <c r="B37">
        <v>33942</v>
      </c>
      <c r="C37">
        <v>3.38</v>
      </c>
      <c r="D37">
        <f t="shared" si="0"/>
        <v>18462.014128487535</v>
      </c>
      <c r="E37">
        <f t="shared" si="1"/>
        <v>18.462014128487535</v>
      </c>
      <c r="F37" s="7">
        <v>4.374240583232078E-2</v>
      </c>
      <c r="G37">
        <f t="shared" si="2"/>
        <v>1</v>
      </c>
      <c r="H37" s="7">
        <f t="shared" si="3"/>
        <v>0.95625759416767919</v>
      </c>
      <c r="I37">
        <f t="shared" si="4"/>
        <v>5</v>
      </c>
      <c r="J37">
        <f>VLOOKUP(A37,'Housing Cost Calc'!$A$2:$C$827,3,FALSE)</f>
        <v>1146</v>
      </c>
      <c r="K37">
        <f t="shared" si="5"/>
        <v>0.74488080792767797</v>
      </c>
    </row>
    <row r="38" spans="1:11" ht="48" x14ac:dyDescent="0.2">
      <c r="A38" s="4" t="s">
        <v>3122</v>
      </c>
      <c r="B38">
        <v>31179</v>
      </c>
      <c r="C38">
        <v>2.79</v>
      </c>
      <c r="D38">
        <f t="shared" si="0"/>
        <v>18666.379039642718</v>
      </c>
      <c r="E38">
        <f t="shared" si="1"/>
        <v>18.666379039642717</v>
      </c>
      <c r="F38" s="7">
        <v>4.4957472660996353E-2</v>
      </c>
      <c r="G38">
        <f t="shared" si="2"/>
        <v>1</v>
      </c>
      <c r="H38" s="7">
        <f t="shared" si="3"/>
        <v>0.95504252733900363</v>
      </c>
      <c r="I38">
        <f t="shared" si="4"/>
        <v>5</v>
      </c>
      <c r="J38">
        <f>VLOOKUP(A38,'Housing Cost Calc'!$A$2:$C$827,3,FALSE)</f>
        <v>1114</v>
      </c>
      <c r="K38">
        <f t="shared" si="5"/>
        <v>0.71615389206496416</v>
      </c>
    </row>
    <row r="39" spans="1:11" ht="48" x14ac:dyDescent="0.2">
      <c r="A39" s="4" t="s">
        <v>3098</v>
      </c>
      <c r="B39">
        <v>29281</v>
      </c>
      <c r="C39">
        <v>2.46</v>
      </c>
      <c r="D39">
        <f t="shared" si="0"/>
        <v>18668.883735207608</v>
      </c>
      <c r="E39">
        <f t="shared" si="1"/>
        <v>18.668883735207608</v>
      </c>
      <c r="F39" s="7">
        <v>4.6172539489671933E-2</v>
      </c>
      <c r="G39">
        <f t="shared" si="2"/>
        <v>1</v>
      </c>
      <c r="H39" s="7">
        <f t="shared" si="3"/>
        <v>0.95382746051032807</v>
      </c>
      <c r="I39">
        <f t="shared" si="4"/>
        <v>5</v>
      </c>
      <c r="J39">
        <f>VLOOKUP(A39,'Housing Cost Calc'!$A$2:$C$827,3,FALSE)</f>
        <v>1166</v>
      </c>
      <c r="K39">
        <f t="shared" si="5"/>
        <v>0.74948241139948379</v>
      </c>
    </row>
    <row r="40" spans="1:11" ht="48" x14ac:dyDescent="0.2">
      <c r="A40" s="4" t="s">
        <v>3132</v>
      </c>
      <c r="B40">
        <v>32052</v>
      </c>
      <c r="C40">
        <v>2.92</v>
      </c>
      <c r="D40">
        <f t="shared" si="0"/>
        <v>18757.014249651886</v>
      </c>
      <c r="E40">
        <f t="shared" si="1"/>
        <v>18.757014249651885</v>
      </c>
      <c r="F40" s="7">
        <v>4.7387606318347507E-2</v>
      </c>
      <c r="G40">
        <f t="shared" si="2"/>
        <v>1</v>
      </c>
      <c r="H40" s="7">
        <f t="shared" si="3"/>
        <v>0.95261239368165251</v>
      </c>
      <c r="I40">
        <f t="shared" si="4"/>
        <v>5</v>
      </c>
      <c r="J40">
        <f>VLOOKUP(A40,'Housing Cost Calc'!$A$2:$C$827,3,FALSE)</f>
        <v>903</v>
      </c>
      <c r="K40">
        <f t="shared" si="5"/>
        <v>0.57770388483876678</v>
      </c>
    </row>
    <row r="41" spans="1:11" ht="48" x14ac:dyDescent="0.2">
      <c r="A41" s="4" t="s">
        <v>3054</v>
      </c>
      <c r="B41">
        <v>23598</v>
      </c>
      <c r="C41">
        <v>1.57</v>
      </c>
      <c r="D41">
        <f t="shared" si="0"/>
        <v>18833.254299666947</v>
      </c>
      <c r="E41">
        <f t="shared" si="1"/>
        <v>18.833254299666947</v>
      </c>
      <c r="F41" s="7">
        <v>4.8602673147023087E-2</v>
      </c>
      <c r="G41">
        <f t="shared" si="2"/>
        <v>1</v>
      </c>
      <c r="H41" s="7">
        <f t="shared" si="3"/>
        <v>0.95139732685297695</v>
      </c>
      <c r="I41">
        <f t="shared" si="4"/>
        <v>5</v>
      </c>
      <c r="J41">
        <f>VLOOKUP(A41,'Housing Cost Calc'!$A$2:$C$827,3,FALSE)</f>
        <v>974</v>
      </c>
      <c r="K41">
        <f t="shared" si="5"/>
        <v>0.6206043742640216</v>
      </c>
    </row>
    <row r="42" spans="1:11" ht="48" x14ac:dyDescent="0.2">
      <c r="A42" s="4" t="s">
        <v>3108</v>
      </c>
      <c r="B42">
        <v>30293</v>
      </c>
      <c r="C42">
        <v>2.54</v>
      </c>
      <c r="D42">
        <f t="shared" si="0"/>
        <v>19007.518705050239</v>
      </c>
      <c r="E42">
        <f t="shared" si="1"/>
        <v>19.007518705050238</v>
      </c>
      <c r="F42" s="7">
        <v>4.9817739975698661E-2</v>
      </c>
      <c r="G42">
        <f t="shared" si="2"/>
        <v>1</v>
      </c>
      <c r="H42" s="7">
        <f t="shared" si="3"/>
        <v>0.95018226002430128</v>
      </c>
      <c r="I42">
        <f t="shared" si="4"/>
        <v>5</v>
      </c>
      <c r="J42">
        <f>VLOOKUP(A42,'Housing Cost Calc'!$A$2:$C$827,3,FALSE)</f>
        <v>1025</v>
      </c>
      <c r="K42">
        <f t="shared" si="5"/>
        <v>0.64711234490233216</v>
      </c>
    </row>
    <row r="43" spans="1:11" ht="48" x14ac:dyDescent="0.2">
      <c r="A43" s="4" t="s">
        <v>3104</v>
      </c>
      <c r="B43">
        <v>30125</v>
      </c>
      <c r="C43">
        <v>2.4900000000000002</v>
      </c>
      <c r="D43">
        <f t="shared" si="0"/>
        <v>19090.943047049899</v>
      </c>
      <c r="E43">
        <f t="shared" si="1"/>
        <v>19.090943047049898</v>
      </c>
      <c r="F43" s="7">
        <v>5.1032806804374241E-2</v>
      </c>
      <c r="G43">
        <f t="shared" si="2"/>
        <v>1</v>
      </c>
      <c r="H43" s="7">
        <f t="shared" si="3"/>
        <v>0.94896719319562572</v>
      </c>
      <c r="I43">
        <f t="shared" si="4"/>
        <v>5</v>
      </c>
      <c r="J43">
        <f>VLOOKUP(A43,'Housing Cost Calc'!$A$2:$C$827,3,FALSE)</f>
        <v>1975</v>
      </c>
      <c r="K43">
        <f t="shared" si="5"/>
        <v>1.2414263633593696</v>
      </c>
    </row>
    <row r="44" spans="1:11" ht="48" x14ac:dyDescent="0.2">
      <c r="A44" s="4" t="s">
        <v>3162</v>
      </c>
      <c r="B44">
        <v>35163</v>
      </c>
      <c r="C44">
        <v>3.27</v>
      </c>
      <c r="D44">
        <f t="shared" si="0"/>
        <v>19445.183432294907</v>
      </c>
      <c r="E44">
        <f t="shared" si="1"/>
        <v>19.445183432294908</v>
      </c>
      <c r="F44" s="7">
        <v>5.2247873633049821E-2</v>
      </c>
      <c r="G44">
        <f t="shared" si="2"/>
        <v>1</v>
      </c>
      <c r="H44" s="7">
        <f t="shared" si="3"/>
        <v>0.94775212636695016</v>
      </c>
      <c r="I44">
        <f t="shared" si="4"/>
        <v>5</v>
      </c>
      <c r="J44">
        <f>VLOOKUP(A44,'Housing Cost Calc'!$A$2:$C$827,3,FALSE)</f>
        <v>1256</v>
      </c>
      <c r="K44">
        <f t="shared" si="5"/>
        <v>0.7751019707516954</v>
      </c>
    </row>
    <row r="45" spans="1:11" ht="48" x14ac:dyDescent="0.2">
      <c r="A45" s="4" t="s">
        <v>3114</v>
      </c>
      <c r="B45">
        <v>30563</v>
      </c>
      <c r="C45">
        <v>2.4500000000000002</v>
      </c>
      <c r="D45">
        <f t="shared" si="0"/>
        <v>19525.984456093163</v>
      </c>
      <c r="E45">
        <f t="shared" si="1"/>
        <v>19.525984456093163</v>
      </c>
      <c r="F45" s="7">
        <v>5.3462940461725394E-2</v>
      </c>
      <c r="G45">
        <f t="shared" si="2"/>
        <v>1</v>
      </c>
      <c r="H45" s="7">
        <f t="shared" si="3"/>
        <v>0.94653705953827461</v>
      </c>
      <c r="I45">
        <f t="shared" si="4"/>
        <v>5</v>
      </c>
      <c r="J45">
        <f>VLOOKUP(A45,'Housing Cost Calc'!$A$2:$C$827,3,FALSE)</f>
        <v>947</v>
      </c>
      <c r="K45">
        <f t="shared" si="5"/>
        <v>0.58199370308593157</v>
      </c>
    </row>
    <row r="46" spans="1:11" ht="48" x14ac:dyDescent="0.2">
      <c r="A46" s="4" t="s">
        <v>3120</v>
      </c>
      <c r="B46">
        <v>30995</v>
      </c>
      <c r="C46">
        <v>2.4900000000000002</v>
      </c>
      <c r="D46">
        <f t="shared" si="0"/>
        <v>19642.283145006193</v>
      </c>
      <c r="E46">
        <f t="shared" si="1"/>
        <v>19.642283145006193</v>
      </c>
      <c r="F46" s="7">
        <v>5.4678007290400975E-2</v>
      </c>
      <c r="G46">
        <f t="shared" si="2"/>
        <v>1</v>
      </c>
      <c r="H46" s="7">
        <f t="shared" si="3"/>
        <v>0.94532199270959905</v>
      </c>
      <c r="I46">
        <f t="shared" si="4"/>
        <v>5</v>
      </c>
      <c r="J46">
        <f>VLOOKUP(A46,'Housing Cost Calc'!$A$2:$C$827,3,FALSE)</f>
        <v>1050</v>
      </c>
      <c r="K46">
        <f t="shared" si="5"/>
        <v>0.64147329040022483</v>
      </c>
    </row>
    <row r="47" spans="1:11" ht="48" x14ac:dyDescent="0.2">
      <c r="A47" s="4" t="s">
        <v>3130</v>
      </c>
      <c r="B47">
        <v>31972</v>
      </c>
      <c r="C47">
        <v>2.61</v>
      </c>
      <c r="D47">
        <f t="shared" si="0"/>
        <v>19790.171173989009</v>
      </c>
      <c r="E47">
        <f t="shared" si="1"/>
        <v>19.790171173989009</v>
      </c>
      <c r="F47" s="7">
        <v>5.5893074119076548E-2</v>
      </c>
      <c r="G47">
        <f t="shared" si="2"/>
        <v>1</v>
      </c>
      <c r="H47" s="7">
        <f t="shared" si="3"/>
        <v>0.94410692588092349</v>
      </c>
      <c r="I47">
        <f t="shared" si="4"/>
        <v>5</v>
      </c>
      <c r="J47">
        <f>VLOOKUP(A47,'Housing Cost Calc'!$A$2:$C$827,3,FALSE)</f>
        <v>998</v>
      </c>
      <c r="K47">
        <f t="shared" si="5"/>
        <v>0.6051488839945216</v>
      </c>
    </row>
    <row r="48" spans="1:11" ht="48" x14ac:dyDescent="0.2">
      <c r="A48" s="4" t="s">
        <v>3176</v>
      </c>
      <c r="B48">
        <v>36058</v>
      </c>
      <c r="C48">
        <v>3.28</v>
      </c>
      <c r="D48">
        <f t="shared" si="0"/>
        <v>19909.699836034084</v>
      </c>
      <c r="E48">
        <f t="shared" si="1"/>
        <v>19.909699836034083</v>
      </c>
      <c r="F48" s="7">
        <v>5.7108140947752128E-2</v>
      </c>
      <c r="G48">
        <f t="shared" si="2"/>
        <v>1</v>
      </c>
      <c r="H48" s="7">
        <f t="shared" si="3"/>
        <v>0.94289185905224793</v>
      </c>
      <c r="I48">
        <f t="shared" si="4"/>
        <v>5</v>
      </c>
      <c r="J48">
        <f>VLOOKUP(A48,'Housing Cost Calc'!$A$2:$C$827,3,FALSE)</f>
        <v>1247</v>
      </c>
      <c r="K48">
        <f t="shared" si="5"/>
        <v>0.75159345059120475</v>
      </c>
    </row>
    <row r="49" spans="1:11" ht="48" x14ac:dyDescent="0.2">
      <c r="A49" s="4" t="s">
        <v>3138</v>
      </c>
      <c r="B49">
        <v>32444</v>
      </c>
      <c r="C49">
        <v>2.61</v>
      </c>
      <c r="D49">
        <f t="shared" si="0"/>
        <v>20082.331839387571</v>
      </c>
      <c r="E49">
        <f t="shared" si="1"/>
        <v>20.082331839387571</v>
      </c>
      <c r="F49" s="7">
        <v>5.8323207776427702E-2</v>
      </c>
      <c r="G49">
        <f t="shared" si="2"/>
        <v>1</v>
      </c>
      <c r="H49" s="7">
        <f t="shared" si="3"/>
        <v>0.94167679222357226</v>
      </c>
      <c r="I49">
        <f t="shared" si="4"/>
        <v>5</v>
      </c>
      <c r="J49">
        <f>VLOOKUP(A49,'Housing Cost Calc'!$A$2:$C$827,3,FALSE)</f>
        <v>1213</v>
      </c>
      <c r="K49">
        <f t="shared" si="5"/>
        <v>0.72481622733925999</v>
      </c>
    </row>
    <row r="50" spans="1:11" ht="48" x14ac:dyDescent="0.2">
      <c r="A50" s="4" t="s">
        <v>3124</v>
      </c>
      <c r="B50">
        <v>31309</v>
      </c>
      <c r="C50">
        <v>2.4300000000000002</v>
      </c>
      <c r="D50">
        <f t="shared" si="0"/>
        <v>20084.732864508882</v>
      </c>
      <c r="E50">
        <f t="shared" si="1"/>
        <v>20.084732864508883</v>
      </c>
      <c r="F50" s="7">
        <v>5.9538274605103282E-2</v>
      </c>
      <c r="G50">
        <f t="shared" si="2"/>
        <v>1</v>
      </c>
      <c r="H50" s="7">
        <f t="shared" si="3"/>
        <v>0.9404617253948967</v>
      </c>
      <c r="I50">
        <f t="shared" si="4"/>
        <v>5</v>
      </c>
      <c r="J50">
        <f>VLOOKUP(A50,'Housing Cost Calc'!$A$2:$C$827,3,FALSE)</f>
        <v>1024</v>
      </c>
      <c r="K50">
        <f t="shared" si="5"/>
        <v>0.61180798783307444</v>
      </c>
    </row>
    <row r="51" spans="1:11" ht="48" x14ac:dyDescent="0.2">
      <c r="A51" s="4" t="s">
        <v>3172</v>
      </c>
      <c r="B51">
        <v>35492</v>
      </c>
      <c r="C51">
        <v>3.1</v>
      </c>
      <c r="D51">
        <f t="shared" si="0"/>
        <v>20158.101421096824</v>
      </c>
      <c r="E51">
        <f t="shared" si="1"/>
        <v>20.158101421096823</v>
      </c>
      <c r="F51" s="7">
        <v>6.0753341433778855E-2</v>
      </c>
      <c r="G51">
        <f t="shared" si="2"/>
        <v>1</v>
      </c>
      <c r="H51" s="7">
        <f t="shared" si="3"/>
        <v>0.93924665856622114</v>
      </c>
      <c r="I51">
        <f t="shared" si="4"/>
        <v>5</v>
      </c>
      <c r="J51">
        <f>VLOOKUP(A51,'Housing Cost Calc'!$A$2:$C$827,3,FALSE)</f>
        <v>1228</v>
      </c>
      <c r="K51">
        <f t="shared" si="5"/>
        <v>0.73102122527163071</v>
      </c>
    </row>
    <row r="52" spans="1:11" ht="48" x14ac:dyDescent="0.2">
      <c r="A52" s="4" t="s">
        <v>3142</v>
      </c>
      <c r="B52">
        <v>33056</v>
      </c>
      <c r="C52">
        <v>2.65</v>
      </c>
      <c r="D52">
        <f t="shared" si="0"/>
        <v>20306.139382063091</v>
      </c>
      <c r="E52">
        <f t="shared" si="1"/>
        <v>20.30613938206309</v>
      </c>
      <c r="F52" s="7">
        <v>6.1968408262454436E-2</v>
      </c>
      <c r="G52">
        <f t="shared" si="2"/>
        <v>1</v>
      </c>
      <c r="H52" s="7">
        <f t="shared" si="3"/>
        <v>0.93803159173754558</v>
      </c>
      <c r="I52">
        <f t="shared" si="4"/>
        <v>5</v>
      </c>
      <c r="J52">
        <f>VLOOKUP(A52,'Housing Cost Calc'!$A$2:$C$827,3,FALSE)</f>
        <v>1190</v>
      </c>
      <c r="K52">
        <f t="shared" si="5"/>
        <v>0.7032355944830101</v>
      </c>
    </row>
    <row r="53" spans="1:11" ht="48" x14ac:dyDescent="0.2">
      <c r="A53" s="4" t="s">
        <v>3092</v>
      </c>
      <c r="B53">
        <v>28636</v>
      </c>
      <c r="C53">
        <v>1.93</v>
      </c>
      <c r="D53">
        <f t="shared" si="0"/>
        <v>20612.643838439617</v>
      </c>
      <c r="E53">
        <f t="shared" si="1"/>
        <v>20.612643838439617</v>
      </c>
      <c r="F53" s="7">
        <v>6.3183475091130009E-2</v>
      </c>
      <c r="G53">
        <f t="shared" si="2"/>
        <v>1</v>
      </c>
      <c r="H53" s="7">
        <f t="shared" si="3"/>
        <v>0.93681652490887002</v>
      </c>
      <c r="I53">
        <f t="shared" si="4"/>
        <v>5</v>
      </c>
      <c r="J53">
        <f>VLOOKUP(A53,'Housing Cost Calc'!$A$2:$C$827,3,FALSE)</f>
        <v>887</v>
      </c>
      <c r="K53">
        <f t="shared" si="5"/>
        <v>0.51638208487115422</v>
      </c>
    </row>
    <row r="54" spans="1:11" ht="48" x14ac:dyDescent="0.2">
      <c r="A54" s="4" t="s">
        <v>3094</v>
      </c>
      <c r="B54">
        <v>28782</v>
      </c>
      <c r="C54">
        <v>1.94</v>
      </c>
      <c r="D54">
        <f t="shared" si="0"/>
        <v>20664.271721335739</v>
      </c>
      <c r="E54">
        <f t="shared" si="1"/>
        <v>20.664271721335741</v>
      </c>
      <c r="F54" s="7">
        <v>6.4398541919805583E-2</v>
      </c>
      <c r="G54">
        <f t="shared" si="2"/>
        <v>1</v>
      </c>
      <c r="H54" s="7">
        <f t="shared" si="3"/>
        <v>0.93560145808019446</v>
      </c>
      <c r="I54">
        <f t="shared" si="4"/>
        <v>5</v>
      </c>
      <c r="J54">
        <f>VLOOKUP(A54,'Housing Cost Calc'!$A$2:$C$827,3,FALSE)</f>
        <v>793</v>
      </c>
      <c r="K54">
        <f t="shared" si="5"/>
        <v>0.46050497827004405</v>
      </c>
    </row>
    <row r="55" spans="1:11" ht="48" x14ac:dyDescent="0.2">
      <c r="A55" s="4" t="s">
        <v>3184</v>
      </c>
      <c r="B55">
        <v>36540</v>
      </c>
      <c r="C55">
        <v>3.11</v>
      </c>
      <c r="D55">
        <f t="shared" si="0"/>
        <v>20719.933084101558</v>
      </c>
      <c r="E55">
        <f t="shared" si="1"/>
        <v>20.719933084101559</v>
      </c>
      <c r="F55" s="7">
        <v>6.561360874848117E-2</v>
      </c>
      <c r="G55">
        <f t="shared" si="2"/>
        <v>1</v>
      </c>
      <c r="H55" s="7">
        <f t="shared" si="3"/>
        <v>0.93438639125151879</v>
      </c>
      <c r="I55">
        <f t="shared" si="4"/>
        <v>5</v>
      </c>
      <c r="J55">
        <f>VLOOKUP(A55,'Housing Cost Calc'!$A$2:$C$827,3,FALSE)</f>
        <v>1129</v>
      </c>
      <c r="K55">
        <f t="shared" si="5"/>
        <v>0.65386311553271403</v>
      </c>
    </row>
    <row r="56" spans="1:11" ht="48" x14ac:dyDescent="0.2">
      <c r="A56" s="4" t="s">
        <v>3156</v>
      </c>
      <c r="B56">
        <v>34507</v>
      </c>
      <c r="C56">
        <v>2.77</v>
      </c>
      <c r="D56">
        <f t="shared" si="0"/>
        <v>20733.246892727664</v>
      </c>
      <c r="E56">
        <f t="shared" si="1"/>
        <v>20.733246892727664</v>
      </c>
      <c r="F56" s="7">
        <v>6.6828675577156743E-2</v>
      </c>
      <c r="G56">
        <f t="shared" si="2"/>
        <v>1</v>
      </c>
      <c r="H56" s="7">
        <f t="shared" si="3"/>
        <v>0.93317132442284323</v>
      </c>
      <c r="I56">
        <f t="shared" si="4"/>
        <v>5</v>
      </c>
      <c r="J56">
        <f>VLOOKUP(A56,'Housing Cost Calc'!$A$2:$C$827,3,FALSE)</f>
        <v>965</v>
      </c>
      <c r="K56">
        <f t="shared" si="5"/>
        <v>0.55852322889483208</v>
      </c>
    </row>
    <row r="57" spans="1:11" ht="48" x14ac:dyDescent="0.2">
      <c r="A57" s="4" t="s">
        <v>3136</v>
      </c>
      <c r="B57">
        <v>32378</v>
      </c>
      <c r="C57">
        <v>2.38</v>
      </c>
      <c r="D57">
        <f t="shared" si="0"/>
        <v>20987.540161171979</v>
      </c>
      <c r="E57">
        <f t="shared" si="1"/>
        <v>20.987540161171978</v>
      </c>
      <c r="F57" s="7">
        <v>6.8043742405832316E-2</v>
      </c>
      <c r="G57">
        <f t="shared" si="2"/>
        <v>1</v>
      </c>
      <c r="H57" s="7">
        <f t="shared" si="3"/>
        <v>0.93195625759416767</v>
      </c>
      <c r="I57">
        <f t="shared" si="4"/>
        <v>5</v>
      </c>
      <c r="J57">
        <f>VLOOKUP(A57,'Housing Cost Calc'!$A$2:$C$827,3,FALSE)</f>
        <v>1254</v>
      </c>
      <c r="K57">
        <f t="shared" si="5"/>
        <v>0.71699684119435625</v>
      </c>
    </row>
    <row r="58" spans="1:11" ht="48" x14ac:dyDescent="0.2">
      <c r="A58" s="4" t="s">
        <v>3112</v>
      </c>
      <c r="B58">
        <v>30417</v>
      </c>
      <c r="C58">
        <v>2.09</v>
      </c>
      <c r="D58">
        <f t="shared" si="0"/>
        <v>21039.878847414391</v>
      </c>
      <c r="E58">
        <f t="shared" si="1"/>
        <v>21.039878847414393</v>
      </c>
      <c r="F58" s="7">
        <v>6.9258809234507904E-2</v>
      </c>
      <c r="G58">
        <f t="shared" si="2"/>
        <v>1</v>
      </c>
      <c r="H58" s="7">
        <f t="shared" si="3"/>
        <v>0.93074119076549211</v>
      </c>
      <c r="I58">
        <f t="shared" si="4"/>
        <v>5</v>
      </c>
      <c r="J58">
        <f>VLOOKUP(A58,'Housing Cost Calc'!$A$2:$C$827,3,FALSE)</f>
        <v>874</v>
      </c>
      <c r="K58">
        <f t="shared" si="5"/>
        <v>0.49848195781264582</v>
      </c>
    </row>
    <row r="59" spans="1:11" ht="48" x14ac:dyDescent="0.2">
      <c r="A59" s="4" t="s">
        <v>3134</v>
      </c>
      <c r="B59">
        <v>32110</v>
      </c>
      <c r="C59">
        <v>2.3199999999999998</v>
      </c>
      <c r="D59">
        <f t="shared" si="0"/>
        <v>21081.247795628457</v>
      </c>
      <c r="E59">
        <f t="shared" si="1"/>
        <v>21.081247795628457</v>
      </c>
      <c r="F59" s="7">
        <v>7.0473876063183477E-2</v>
      </c>
      <c r="G59">
        <f t="shared" si="2"/>
        <v>1</v>
      </c>
      <c r="H59" s="7">
        <f t="shared" si="3"/>
        <v>0.92952612393681655</v>
      </c>
      <c r="I59">
        <f t="shared" si="4"/>
        <v>5</v>
      </c>
      <c r="J59">
        <f>VLOOKUP(A59,'Housing Cost Calc'!$A$2:$C$827,3,FALSE)</f>
        <v>1067</v>
      </c>
      <c r="K59">
        <f t="shared" si="5"/>
        <v>0.60736442757696341</v>
      </c>
    </row>
    <row r="60" spans="1:11" ht="48" x14ac:dyDescent="0.2">
      <c r="A60" s="4" t="s">
        <v>3182</v>
      </c>
      <c r="B60">
        <v>36495</v>
      </c>
      <c r="C60">
        <v>2.99</v>
      </c>
      <c r="D60">
        <f t="shared" si="0"/>
        <v>21105.603442107938</v>
      </c>
      <c r="E60">
        <f t="shared" si="1"/>
        <v>21.105603442107938</v>
      </c>
      <c r="F60" s="7">
        <v>7.168894289185905E-2</v>
      </c>
      <c r="G60">
        <f t="shared" si="2"/>
        <v>1</v>
      </c>
      <c r="H60" s="7">
        <f t="shared" si="3"/>
        <v>0.92831105710814099</v>
      </c>
      <c r="I60">
        <f t="shared" si="4"/>
        <v>5</v>
      </c>
      <c r="J60">
        <f>VLOOKUP(A60,'Housing Cost Calc'!$A$2:$C$827,3,FALSE)</f>
        <v>1081</v>
      </c>
      <c r="K60">
        <f t="shared" si="5"/>
        <v>0.61462350676595534</v>
      </c>
    </row>
    <row r="61" spans="1:11" ht="48" x14ac:dyDescent="0.2">
      <c r="A61" s="4" t="s">
        <v>3100</v>
      </c>
      <c r="B61">
        <v>29755</v>
      </c>
      <c r="C61">
        <v>1.97</v>
      </c>
      <c r="D61">
        <f t="shared" si="0"/>
        <v>21199.559723902516</v>
      </c>
      <c r="E61">
        <f t="shared" si="1"/>
        <v>21.199559723902517</v>
      </c>
      <c r="F61" s="7">
        <v>7.2904009720534624E-2</v>
      </c>
      <c r="G61">
        <f t="shared" si="2"/>
        <v>1</v>
      </c>
      <c r="H61" s="7">
        <f t="shared" si="3"/>
        <v>0.92709599027946532</v>
      </c>
      <c r="I61">
        <f t="shared" si="4"/>
        <v>5</v>
      </c>
      <c r="J61">
        <f>VLOOKUP(A61,'Housing Cost Calc'!$A$2:$C$827,3,FALSE)</f>
        <v>803</v>
      </c>
      <c r="K61">
        <f t="shared" si="5"/>
        <v>0.45453774160863369</v>
      </c>
    </row>
    <row r="62" spans="1:11" ht="48" x14ac:dyDescent="0.2">
      <c r="A62" s="4" t="s">
        <v>3140</v>
      </c>
      <c r="B62">
        <v>33049</v>
      </c>
      <c r="C62">
        <v>2.41</v>
      </c>
      <c r="D62">
        <f t="shared" si="0"/>
        <v>21288.732345921057</v>
      </c>
      <c r="E62">
        <f t="shared" si="1"/>
        <v>21.288732345921055</v>
      </c>
      <c r="F62" s="7">
        <v>7.4119076549210211E-2</v>
      </c>
      <c r="G62">
        <f t="shared" si="2"/>
        <v>1</v>
      </c>
      <c r="H62" s="7">
        <f t="shared" si="3"/>
        <v>0.92588092345078976</v>
      </c>
      <c r="I62">
        <f t="shared" si="4"/>
        <v>5</v>
      </c>
      <c r="J62">
        <f>VLOOKUP(A62,'Housing Cost Calc'!$A$2:$C$827,3,FALSE)</f>
        <v>1054</v>
      </c>
      <c r="K62">
        <f t="shared" si="5"/>
        <v>0.59411710356832825</v>
      </c>
    </row>
    <row r="63" spans="1:11" ht="48" x14ac:dyDescent="0.2">
      <c r="A63" s="4" t="s">
        <v>3152</v>
      </c>
      <c r="B63">
        <v>34172</v>
      </c>
      <c r="C63">
        <v>2.57</v>
      </c>
      <c r="D63">
        <f t="shared" si="0"/>
        <v>21315.907944948292</v>
      </c>
      <c r="E63">
        <f t="shared" si="1"/>
        <v>21.315907944948293</v>
      </c>
      <c r="F63" s="7">
        <v>7.5334143377885784E-2</v>
      </c>
      <c r="G63">
        <f t="shared" si="2"/>
        <v>1</v>
      </c>
      <c r="H63" s="7">
        <f t="shared" si="3"/>
        <v>0.9246658566221142</v>
      </c>
      <c r="I63">
        <f t="shared" si="4"/>
        <v>5</v>
      </c>
      <c r="J63">
        <f>VLOOKUP(A63,'Housing Cost Calc'!$A$2:$C$827,3,FALSE)</f>
        <v>1125</v>
      </c>
      <c r="K63">
        <f t="shared" si="5"/>
        <v>0.63332981334249927</v>
      </c>
    </row>
    <row r="64" spans="1:11" ht="48" x14ac:dyDescent="0.2">
      <c r="A64" s="4" t="s">
        <v>3186</v>
      </c>
      <c r="B64">
        <v>36743</v>
      </c>
      <c r="C64">
        <v>2.97</v>
      </c>
      <c r="D64">
        <f t="shared" si="0"/>
        <v>21320.451042600685</v>
      </c>
      <c r="E64">
        <f t="shared" si="1"/>
        <v>21.320451042600684</v>
      </c>
      <c r="F64" s="7">
        <v>7.6549210206561358E-2</v>
      </c>
      <c r="G64">
        <f t="shared" si="2"/>
        <v>1</v>
      </c>
      <c r="H64" s="7">
        <f t="shared" si="3"/>
        <v>0.92345078979343864</v>
      </c>
      <c r="I64">
        <f t="shared" si="4"/>
        <v>5</v>
      </c>
      <c r="J64">
        <f>VLOOKUP(A64,'Housing Cost Calc'!$A$2:$C$827,3,FALSE)</f>
        <v>1060</v>
      </c>
      <c r="K64">
        <f t="shared" si="5"/>
        <v>0.59661026751188306</v>
      </c>
    </row>
    <row r="65" spans="1:11" ht="48" x14ac:dyDescent="0.2">
      <c r="A65" s="4" t="s">
        <v>3110</v>
      </c>
      <c r="B65">
        <v>30383</v>
      </c>
      <c r="C65">
        <v>2.0299999999999998</v>
      </c>
      <c r="D65">
        <f t="shared" si="0"/>
        <v>21324.685491937489</v>
      </c>
      <c r="E65">
        <f t="shared" si="1"/>
        <v>21.32468549193749</v>
      </c>
      <c r="F65" s="7">
        <v>7.7764277035236931E-2</v>
      </c>
      <c r="G65">
        <f t="shared" si="2"/>
        <v>1</v>
      </c>
      <c r="H65" s="7">
        <f t="shared" si="3"/>
        <v>0.92223572296476308</v>
      </c>
      <c r="I65">
        <f t="shared" si="4"/>
        <v>5</v>
      </c>
      <c r="J65">
        <f>VLOOKUP(A65,'Housing Cost Calc'!$A$2:$C$827,3,FALSE)</f>
        <v>1040</v>
      </c>
      <c r="K65">
        <f t="shared" si="5"/>
        <v>0.58523723619363488</v>
      </c>
    </row>
    <row r="66" spans="1:11" ht="48" x14ac:dyDescent="0.2">
      <c r="A66" s="4" t="s">
        <v>3160</v>
      </c>
      <c r="B66">
        <v>35030</v>
      </c>
      <c r="C66">
        <v>2.65</v>
      </c>
      <c r="D66">
        <f t="shared" ref="D66:D129" si="6">(B66/(C66)^0.5)</f>
        <v>21518.757942693312</v>
      </c>
      <c r="E66">
        <f t="shared" ref="E66:E129" si="7">D66/1000</f>
        <v>21.518757942693313</v>
      </c>
      <c r="F66" s="7">
        <v>7.8979343863912518E-2</v>
      </c>
      <c r="G66">
        <f t="shared" si="2"/>
        <v>1</v>
      </c>
      <c r="H66" s="7">
        <f t="shared" si="3"/>
        <v>0.92102065613608752</v>
      </c>
      <c r="I66">
        <f t="shared" si="4"/>
        <v>5</v>
      </c>
      <c r="J66">
        <f>VLOOKUP(A66,'Housing Cost Calc'!$A$2:$C$827,3,FALSE)</f>
        <v>1127</v>
      </c>
      <c r="K66">
        <f t="shared" si="5"/>
        <v>0.62847493503183671</v>
      </c>
    </row>
    <row r="67" spans="1:11" ht="48" x14ac:dyDescent="0.2">
      <c r="A67" s="4" t="s">
        <v>3196</v>
      </c>
      <c r="B67">
        <v>37688</v>
      </c>
      <c r="C67">
        <v>3</v>
      </c>
      <c r="D67">
        <f t="shared" si="6"/>
        <v>21759.176945218616</v>
      </c>
      <c r="E67">
        <f t="shared" si="7"/>
        <v>21.759176945218616</v>
      </c>
      <c r="F67" s="7">
        <v>8.0194410692588092E-2</v>
      </c>
      <c r="G67">
        <f t="shared" ref="G67:G130" si="8">IF(F67&lt;0.2,1,IF(F67&lt;0.4,2,IF(F67&lt;0.6,3,IF(F67&lt;0.8,4,5))))</f>
        <v>1</v>
      </c>
      <c r="H67" s="7">
        <f t="shared" ref="H67:H130" si="9">1-F67</f>
        <v>0.91980558930741196</v>
      </c>
      <c r="I67">
        <f t="shared" ref="I67:I130" si="10">6-G67</f>
        <v>5</v>
      </c>
      <c r="J67">
        <f>VLOOKUP(A67,'Housing Cost Calc'!$A$2:$C$827,3,FALSE)</f>
        <v>970</v>
      </c>
      <c r="K67">
        <f t="shared" ref="K67:K130" si="11">(J67*12)/D67</f>
        <v>0.53494670452403237</v>
      </c>
    </row>
    <row r="68" spans="1:11" ht="48" x14ac:dyDescent="0.2">
      <c r="A68" s="4" t="s">
        <v>3144</v>
      </c>
      <c r="B68">
        <v>33221</v>
      </c>
      <c r="C68">
        <v>2.29</v>
      </c>
      <c r="D68">
        <f t="shared" si="6"/>
        <v>21953.054725718539</v>
      </c>
      <c r="E68">
        <f t="shared" si="7"/>
        <v>21.953054725718538</v>
      </c>
      <c r="F68" s="7">
        <v>8.1409477521263665E-2</v>
      </c>
      <c r="G68">
        <f t="shared" si="8"/>
        <v>1</v>
      </c>
      <c r="H68" s="7">
        <f t="shared" si="9"/>
        <v>0.91859052247873629</v>
      </c>
      <c r="I68">
        <f t="shared" si="10"/>
        <v>5</v>
      </c>
      <c r="J68">
        <f>VLOOKUP(A68,'Housing Cost Calc'!$A$2:$C$827,3,FALSE)</f>
        <v>1213</v>
      </c>
      <c r="K68">
        <f t="shared" si="11"/>
        <v>0.66305123281760381</v>
      </c>
    </row>
    <row r="69" spans="1:11" ht="48" x14ac:dyDescent="0.2">
      <c r="A69" s="4" t="s">
        <v>3190</v>
      </c>
      <c r="B69">
        <v>37403</v>
      </c>
      <c r="C69">
        <v>2.88</v>
      </c>
      <c r="D69">
        <f t="shared" si="6"/>
        <v>22039.929113933696</v>
      </c>
      <c r="E69">
        <f t="shared" si="7"/>
        <v>22.039929113933695</v>
      </c>
      <c r="F69" s="7">
        <v>8.2624544349939252E-2</v>
      </c>
      <c r="G69">
        <f t="shared" si="8"/>
        <v>1</v>
      </c>
      <c r="H69" s="7">
        <f t="shared" si="9"/>
        <v>0.91737545565006073</v>
      </c>
      <c r="I69">
        <f t="shared" si="10"/>
        <v>5</v>
      </c>
      <c r="J69">
        <f>VLOOKUP(A69,'Housing Cost Calc'!$A$2:$C$827,3,FALSE)</f>
        <v>1017</v>
      </c>
      <c r="K69">
        <f t="shared" si="11"/>
        <v>0.55372228907417864</v>
      </c>
    </row>
    <row r="70" spans="1:11" ht="48" x14ac:dyDescent="0.2">
      <c r="A70" s="4" t="s">
        <v>3208</v>
      </c>
      <c r="B70">
        <v>39737</v>
      </c>
      <c r="C70">
        <v>3.21</v>
      </c>
      <c r="D70">
        <f t="shared" si="6"/>
        <v>22179.030601953</v>
      </c>
      <c r="E70">
        <f t="shared" si="7"/>
        <v>22.179030601952999</v>
      </c>
      <c r="F70" s="7">
        <v>8.3839611178614826E-2</v>
      </c>
      <c r="G70">
        <f t="shared" si="8"/>
        <v>1</v>
      </c>
      <c r="H70" s="7">
        <f t="shared" si="9"/>
        <v>0.91616038882138517</v>
      </c>
      <c r="I70">
        <f t="shared" si="10"/>
        <v>5</v>
      </c>
      <c r="J70">
        <f>VLOOKUP(A70,'Housing Cost Calc'!$A$2:$C$827,3,FALSE)</f>
        <v>1228</v>
      </c>
      <c r="K70">
        <f t="shared" si="11"/>
        <v>0.66441136515237975</v>
      </c>
    </row>
    <row r="71" spans="1:11" ht="64" x14ac:dyDescent="0.2">
      <c r="A71" s="4" t="s">
        <v>3088</v>
      </c>
      <c r="B71">
        <v>28032</v>
      </c>
      <c r="C71">
        <v>1.59</v>
      </c>
      <c r="D71">
        <f t="shared" si="6"/>
        <v>22230.822050851013</v>
      </c>
      <c r="E71">
        <f t="shared" si="7"/>
        <v>22.230822050851014</v>
      </c>
      <c r="F71" s="7">
        <v>8.5054678007290399E-2</v>
      </c>
      <c r="G71">
        <f t="shared" si="8"/>
        <v>1</v>
      </c>
      <c r="H71" s="7">
        <f t="shared" si="9"/>
        <v>0.91494532199270961</v>
      </c>
      <c r="I71">
        <f t="shared" si="10"/>
        <v>5</v>
      </c>
      <c r="J71">
        <f>VLOOKUP(A71,'Housing Cost Calc'!$A$2:$C$827,3,FALSE)</f>
        <v>910</v>
      </c>
      <c r="K71">
        <f t="shared" si="11"/>
        <v>0.49120990555461597</v>
      </c>
    </row>
    <row r="72" spans="1:11" ht="48" x14ac:dyDescent="0.2">
      <c r="A72" s="4" t="s">
        <v>3200</v>
      </c>
      <c r="B72">
        <v>38560</v>
      </c>
      <c r="C72">
        <v>2.97</v>
      </c>
      <c r="D72">
        <f t="shared" si="6"/>
        <v>22374.781378839027</v>
      </c>
      <c r="E72">
        <f t="shared" si="7"/>
        <v>22.374781378839028</v>
      </c>
      <c r="F72" s="7">
        <v>8.6269744835965972E-2</v>
      </c>
      <c r="G72">
        <f t="shared" si="8"/>
        <v>1</v>
      </c>
      <c r="H72" s="7">
        <f t="shared" si="9"/>
        <v>0.91373025516403406</v>
      </c>
      <c r="I72">
        <f t="shared" si="10"/>
        <v>5</v>
      </c>
      <c r="J72">
        <f>VLOOKUP(A72,'Housing Cost Calc'!$A$2:$C$827,3,FALSE)</f>
        <v>1230</v>
      </c>
      <c r="K72">
        <f t="shared" si="11"/>
        <v>0.65967124997070525</v>
      </c>
    </row>
    <row r="73" spans="1:11" ht="48" x14ac:dyDescent="0.2">
      <c r="A73" s="4" t="s">
        <v>3146</v>
      </c>
      <c r="B73">
        <v>33750</v>
      </c>
      <c r="C73">
        <v>2.27</v>
      </c>
      <c r="D73">
        <f t="shared" si="6"/>
        <v>22400.661766499055</v>
      </c>
      <c r="E73">
        <f t="shared" si="7"/>
        <v>22.400661766499056</v>
      </c>
      <c r="F73" s="7">
        <v>8.748481166464156E-2</v>
      </c>
      <c r="G73">
        <f t="shared" si="8"/>
        <v>1</v>
      </c>
      <c r="H73" s="7">
        <f t="shared" si="9"/>
        <v>0.91251518833535838</v>
      </c>
      <c r="I73">
        <f t="shared" si="10"/>
        <v>5</v>
      </c>
      <c r="J73">
        <f>VLOOKUP(A73,'Housing Cost Calc'!$A$2:$C$827,3,FALSE)</f>
        <v>1069</v>
      </c>
      <c r="K73">
        <f t="shared" si="11"/>
        <v>0.5726616532010097</v>
      </c>
    </row>
    <row r="74" spans="1:11" ht="48" x14ac:dyDescent="0.2">
      <c r="A74" s="4" t="s">
        <v>3194</v>
      </c>
      <c r="B74">
        <v>37481</v>
      </c>
      <c r="C74">
        <v>2.76</v>
      </c>
      <c r="D74">
        <f t="shared" si="6"/>
        <v>22560.910797538578</v>
      </c>
      <c r="E74">
        <f t="shared" si="7"/>
        <v>22.560910797538579</v>
      </c>
      <c r="F74" s="7">
        <v>8.8699878493317133E-2</v>
      </c>
      <c r="G74">
        <f t="shared" si="8"/>
        <v>1</v>
      </c>
      <c r="H74" s="7">
        <f t="shared" si="9"/>
        <v>0.91130012150668283</v>
      </c>
      <c r="I74">
        <f t="shared" si="10"/>
        <v>5</v>
      </c>
      <c r="J74">
        <f>VLOOKUP(A74,'Housing Cost Calc'!$A$2:$C$827,3,FALSE)</f>
        <v>1269</v>
      </c>
      <c r="K74">
        <f t="shared" si="11"/>
        <v>0.67497274984400868</v>
      </c>
    </row>
    <row r="75" spans="1:11" ht="48" x14ac:dyDescent="0.2">
      <c r="A75" s="4" t="s">
        <v>3216</v>
      </c>
      <c r="B75">
        <v>40245</v>
      </c>
      <c r="C75">
        <v>3.16</v>
      </c>
      <c r="D75">
        <f t="shared" si="6"/>
        <v>22639.581286383916</v>
      </c>
      <c r="E75">
        <f t="shared" si="7"/>
        <v>22.639581286383915</v>
      </c>
      <c r="F75" s="7">
        <v>8.9914945321992706E-2</v>
      </c>
      <c r="G75">
        <f t="shared" si="8"/>
        <v>1</v>
      </c>
      <c r="H75" s="7">
        <f t="shared" si="9"/>
        <v>0.91008505467800727</v>
      </c>
      <c r="I75">
        <f t="shared" si="10"/>
        <v>5</v>
      </c>
      <c r="J75">
        <f>VLOOKUP(A75,'Housing Cost Calc'!$A$2:$C$827,3,FALSE)</f>
        <v>1131</v>
      </c>
      <c r="K75">
        <f t="shared" si="11"/>
        <v>0.59948105171726762</v>
      </c>
    </row>
    <row r="76" spans="1:11" ht="48" x14ac:dyDescent="0.2">
      <c r="A76" s="4" t="s">
        <v>3220</v>
      </c>
      <c r="B76">
        <v>40637</v>
      </c>
      <c r="C76">
        <v>3.2</v>
      </c>
      <c r="D76">
        <f t="shared" si="6"/>
        <v>22716.773600414737</v>
      </c>
      <c r="E76">
        <f t="shared" si="7"/>
        <v>22.716773600414736</v>
      </c>
      <c r="F76" s="7">
        <v>9.1130012150668294E-2</v>
      </c>
      <c r="G76">
        <f t="shared" si="8"/>
        <v>1</v>
      </c>
      <c r="H76" s="7">
        <f t="shared" si="9"/>
        <v>0.90886998784933171</v>
      </c>
      <c r="I76">
        <f t="shared" si="10"/>
        <v>5</v>
      </c>
      <c r="J76">
        <f>VLOOKUP(A76,'Housing Cost Calc'!$A$2:$C$827,3,FALSE)</f>
        <v>1182</v>
      </c>
      <c r="K76">
        <f t="shared" si="11"/>
        <v>0.62438444162427387</v>
      </c>
    </row>
    <row r="77" spans="1:11" ht="48" x14ac:dyDescent="0.2">
      <c r="A77" s="4" t="s">
        <v>3174</v>
      </c>
      <c r="B77">
        <v>35799</v>
      </c>
      <c r="C77">
        <v>2.48</v>
      </c>
      <c r="D77">
        <f t="shared" si="6"/>
        <v>22732.387732399096</v>
      </c>
      <c r="E77">
        <f t="shared" si="7"/>
        <v>22.732387732399097</v>
      </c>
      <c r="F77" s="7">
        <v>9.2345078979343867E-2</v>
      </c>
      <c r="G77">
        <f t="shared" si="8"/>
        <v>1</v>
      </c>
      <c r="H77" s="7">
        <f t="shared" si="9"/>
        <v>0.90765492102065615</v>
      </c>
      <c r="I77">
        <f t="shared" si="10"/>
        <v>5</v>
      </c>
      <c r="J77">
        <f>VLOOKUP(A77,'Housing Cost Calc'!$A$2:$C$827,3,FALSE)</f>
        <v>963</v>
      </c>
      <c r="K77">
        <f t="shared" si="11"/>
        <v>0.5083495907264477</v>
      </c>
    </row>
    <row r="78" spans="1:11" ht="48" x14ac:dyDescent="0.2">
      <c r="A78" s="4" t="s">
        <v>3170</v>
      </c>
      <c r="B78">
        <v>35463</v>
      </c>
      <c r="C78">
        <v>2.4</v>
      </c>
      <c r="D78">
        <f t="shared" si="6"/>
        <v>22891.268067758938</v>
      </c>
      <c r="E78">
        <f t="shared" si="7"/>
        <v>22.891268067758936</v>
      </c>
      <c r="F78" s="7">
        <v>9.356014580801944E-2</v>
      </c>
      <c r="G78">
        <f t="shared" si="8"/>
        <v>1</v>
      </c>
      <c r="H78" s="7">
        <f t="shared" si="9"/>
        <v>0.90643985419198059</v>
      </c>
      <c r="I78">
        <f t="shared" si="10"/>
        <v>5</v>
      </c>
      <c r="J78">
        <f>VLOOKUP(A78,'Housing Cost Calc'!$A$2:$C$827,3,FALSE)</f>
        <v>998</v>
      </c>
      <c r="K78">
        <f t="shared" si="11"/>
        <v>0.52316892033025997</v>
      </c>
    </row>
    <row r="79" spans="1:11" ht="48" x14ac:dyDescent="0.2">
      <c r="A79" s="4" t="s">
        <v>3150</v>
      </c>
      <c r="B79">
        <v>33958</v>
      </c>
      <c r="C79">
        <v>2.19</v>
      </c>
      <c r="D79">
        <f t="shared" si="6"/>
        <v>22946.689895689746</v>
      </c>
      <c r="E79">
        <f t="shared" si="7"/>
        <v>22.946689895689747</v>
      </c>
      <c r="F79" s="7">
        <v>9.4775212636695014E-2</v>
      </c>
      <c r="G79">
        <f t="shared" si="8"/>
        <v>1</v>
      </c>
      <c r="H79" s="7">
        <f t="shared" si="9"/>
        <v>0.90522478736330503</v>
      </c>
      <c r="I79">
        <f t="shared" si="10"/>
        <v>5</v>
      </c>
      <c r="J79">
        <f>VLOOKUP(A79,'Housing Cost Calc'!$A$2:$C$827,3,FALSE)</f>
        <v>896</v>
      </c>
      <c r="K79">
        <f t="shared" si="11"/>
        <v>0.46856431358405343</v>
      </c>
    </row>
    <row r="80" spans="1:11" ht="48" x14ac:dyDescent="0.2">
      <c r="A80" s="4" t="s">
        <v>3126</v>
      </c>
      <c r="B80">
        <v>31618</v>
      </c>
      <c r="C80">
        <v>1.84</v>
      </c>
      <c r="D80">
        <f t="shared" si="6"/>
        <v>23309.098848527687</v>
      </c>
      <c r="E80">
        <f t="shared" si="7"/>
        <v>23.309098848527686</v>
      </c>
      <c r="F80" s="7">
        <v>9.5990279465370601E-2</v>
      </c>
      <c r="G80">
        <f t="shared" si="8"/>
        <v>1</v>
      </c>
      <c r="H80" s="7">
        <f t="shared" si="9"/>
        <v>0.90400972053462936</v>
      </c>
      <c r="I80">
        <f t="shared" si="10"/>
        <v>5</v>
      </c>
      <c r="J80">
        <f>VLOOKUP(A80,'Housing Cost Calc'!$A$2:$C$827,3,FALSE)</f>
        <v>927</v>
      </c>
      <c r="K80">
        <f t="shared" si="11"/>
        <v>0.47723852699276037</v>
      </c>
    </row>
    <row r="81" spans="1:11" ht="48" x14ac:dyDescent="0.2">
      <c r="A81" s="4" t="s">
        <v>3202</v>
      </c>
      <c r="B81">
        <v>39167</v>
      </c>
      <c r="C81">
        <v>2.82</v>
      </c>
      <c r="D81">
        <f t="shared" si="6"/>
        <v>23323.609085648426</v>
      </c>
      <c r="E81">
        <f t="shared" si="7"/>
        <v>23.323609085648425</v>
      </c>
      <c r="F81" s="7">
        <v>9.7205346294046174E-2</v>
      </c>
      <c r="G81">
        <f t="shared" si="8"/>
        <v>1</v>
      </c>
      <c r="H81" s="7">
        <f t="shared" si="9"/>
        <v>0.9027946537059538</v>
      </c>
      <c r="I81">
        <f t="shared" si="10"/>
        <v>5</v>
      </c>
      <c r="J81">
        <f>VLOOKUP(A81,'Housing Cost Calc'!$A$2:$C$827,3,FALSE)</f>
        <v>1130</v>
      </c>
      <c r="K81">
        <f t="shared" si="11"/>
        <v>0.58138515142340441</v>
      </c>
    </row>
    <row r="82" spans="1:11" ht="48" x14ac:dyDescent="0.2">
      <c r="A82" s="4" t="s">
        <v>3158</v>
      </c>
      <c r="B82">
        <v>34788</v>
      </c>
      <c r="C82">
        <v>2.2200000000000002</v>
      </c>
      <c r="D82">
        <f t="shared" si="6"/>
        <v>23348.176848785479</v>
      </c>
      <c r="E82">
        <f t="shared" si="7"/>
        <v>23.348176848785478</v>
      </c>
      <c r="F82" s="7">
        <v>9.8420413122721748E-2</v>
      </c>
      <c r="G82">
        <f t="shared" si="8"/>
        <v>1</v>
      </c>
      <c r="H82" s="7">
        <f t="shared" si="9"/>
        <v>0.90157958687727824</v>
      </c>
      <c r="I82">
        <f t="shared" si="10"/>
        <v>5</v>
      </c>
      <c r="J82">
        <f>VLOOKUP(A82,'Housing Cost Calc'!$A$2:$C$827,3,FALSE)</f>
        <v>1092</v>
      </c>
      <c r="K82">
        <f t="shared" si="11"/>
        <v>0.56124296491619396</v>
      </c>
    </row>
    <row r="83" spans="1:11" ht="48" x14ac:dyDescent="0.2">
      <c r="A83" s="4" t="s">
        <v>3192</v>
      </c>
      <c r="B83">
        <v>37463</v>
      </c>
      <c r="C83">
        <v>2.5499999999999998</v>
      </c>
      <c r="D83">
        <f t="shared" si="6"/>
        <v>23460.240616922958</v>
      </c>
      <c r="E83">
        <f t="shared" si="7"/>
        <v>23.46024061692296</v>
      </c>
      <c r="F83" s="7">
        <v>9.9635479951397321E-2</v>
      </c>
      <c r="G83">
        <f t="shared" si="8"/>
        <v>1</v>
      </c>
      <c r="H83" s="7">
        <f t="shared" si="9"/>
        <v>0.90036452004860268</v>
      </c>
      <c r="I83">
        <f t="shared" si="10"/>
        <v>5</v>
      </c>
      <c r="J83">
        <f>VLOOKUP(A83,'Housing Cost Calc'!$A$2:$C$827,3,FALSE)</f>
        <v>946</v>
      </c>
      <c r="K83">
        <f t="shared" si="11"/>
        <v>0.48388250510147268</v>
      </c>
    </row>
    <row r="84" spans="1:11" ht="48" x14ac:dyDescent="0.2">
      <c r="A84" s="4" t="s">
        <v>3188</v>
      </c>
      <c r="B84">
        <v>37353</v>
      </c>
      <c r="C84">
        <v>2.5</v>
      </c>
      <c r="D84">
        <f t="shared" si="6"/>
        <v>23624.111488053892</v>
      </c>
      <c r="E84">
        <f t="shared" si="7"/>
        <v>23.624111488053892</v>
      </c>
      <c r="F84" s="7">
        <v>0.10085054678007291</v>
      </c>
      <c r="G84">
        <f t="shared" si="8"/>
        <v>1</v>
      </c>
      <c r="H84" s="7">
        <f t="shared" si="9"/>
        <v>0.89914945321992712</v>
      </c>
      <c r="I84">
        <f t="shared" si="10"/>
        <v>5</v>
      </c>
      <c r="J84">
        <f>VLOOKUP(A84,'Housing Cost Calc'!$A$2:$C$827,3,FALSE)</f>
        <v>1097</v>
      </c>
      <c r="K84">
        <f t="shared" si="11"/>
        <v>0.55722730595208614</v>
      </c>
    </row>
    <row r="85" spans="1:11" ht="48" x14ac:dyDescent="0.2">
      <c r="A85" s="4" t="s">
        <v>3232</v>
      </c>
      <c r="B85">
        <v>41881</v>
      </c>
      <c r="C85">
        <v>3.12</v>
      </c>
      <c r="D85">
        <f t="shared" si="6"/>
        <v>23710.447233504907</v>
      </c>
      <c r="E85">
        <f t="shared" si="7"/>
        <v>23.710447233504908</v>
      </c>
      <c r="F85" s="7">
        <v>0.10206561360874848</v>
      </c>
      <c r="G85">
        <f t="shared" si="8"/>
        <v>1</v>
      </c>
      <c r="H85" s="7">
        <f t="shared" si="9"/>
        <v>0.89793438639125156</v>
      </c>
      <c r="I85">
        <f t="shared" si="10"/>
        <v>5</v>
      </c>
      <c r="J85">
        <f>VLOOKUP(A85,'Housing Cost Calc'!$A$2:$C$827,3,FALSE)</f>
        <v>1365</v>
      </c>
      <c r="K85">
        <f t="shared" si="11"/>
        <v>0.69083471259258444</v>
      </c>
    </row>
    <row r="86" spans="1:11" ht="48" x14ac:dyDescent="0.2">
      <c r="A86" s="4" t="s">
        <v>3164</v>
      </c>
      <c r="B86">
        <v>35234</v>
      </c>
      <c r="C86">
        <v>2.1800000000000002</v>
      </c>
      <c r="D86">
        <f t="shared" si="6"/>
        <v>23863.475949736865</v>
      </c>
      <c r="E86">
        <f t="shared" si="7"/>
        <v>23.863475949736866</v>
      </c>
      <c r="F86" s="7">
        <v>0.10328068043742406</v>
      </c>
      <c r="G86">
        <f t="shared" si="8"/>
        <v>1</v>
      </c>
      <c r="H86" s="7">
        <f t="shared" si="9"/>
        <v>0.896719319562576</v>
      </c>
      <c r="I86">
        <f t="shared" si="10"/>
        <v>5</v>
      </c>
      <c r="J86">
        <f>VLOOKUP(A86,'Housing Cost Calc'!$A$2:$C$827,3,FALSE)</f>
        <v>1033</v>
      </c>
      <c r="K86">
        <f t="shared" si="11"/>
        <v>0.51945492040260322</v>
      </c>
    </row>
    <row r="87" spans="1:11" ht="48" x14ac:dyDescent="0.2">
      <c r="A87" s="4" t="s">
        <v>3106</v>
      </c>
      <c r="B87">
        <v>30206</v>
      </c>
      <c r="C87">
        <v>1.59</v>
      </c>
      <c r="D87">
        <f t="shared" si="6"/>
        <v>23954.91619820226</v>
      </c>
      <c r="E87">
        <f t="shared" si="7"/>
        <v>23.954916198202259</v>
      </c>
      <c r="F87" s="7">
        <v>0.10449574726609964</v>
      </c>
      <c r="G87">
        <f t="shared" si="8"/>
        <v>1</v>
      </c>
      <c r="H87" s="7">
        <f t="shared" si="9"/>
        <v>0.89550425273390033</v>
      </c>
      <c r="I87">
        <f t="shared" si="10"/>
        <v>5</v>
      </c>
      <c r="J87">
        <f>VLOOKUP(A87,'Housing Cost Calc'!$A$2:$C$827,3,FALSE)</f>
        <v>843</v>
      </c>
      <c r="K87">
        <f t="shared" si="11"/>
        <v>0.42229327442853559</v>
      </c>
    </row>
    <row r="88" spans="1:11" ht="48" x14ac:dyDescent="0.2">
      <c r="A88" s="4" t="s">
        <v>3180</v>
      </c>
      <c r="B88">
        <v>36304</v>
      </c>
      <c r="C88">
        <v>2.2200000000000002</v>
      </c>
      <c r="D88">
        <f t="shared" si="6"/>
        <v>24365.649428489938</v>
      </c>
      <c r="E88">
        <f t="shared" si="7"/>
        <v>24.365649428489938</v>
      </c>
      <c r="F88" s="7">
        <v>0.10571081409477522</v>
      </c>
      <c r="G88">
        <f t="shared" si="8"/>
        <v>1</v>
      </c>
      <c r="H88" s="7">
        <f t="shared" si="9"/>
        <v>0.89428918590522477</v>
      </c>
      <c r="I88">
        <f t="shared" si="10"/>
        <v>5</v>
      </c>
      <c r="J88">
        <f>VLOOKUP(A88,'Housing Cost Calc'!$A$2:$C$827,3,FALSE)</f>
        <v>1165</v>
      </c>
      <c r="K88">
        <f t="shared" si="11"/>
        <v>0.57375856289115179</v>
      </c>
    </row>
    <row r="89" spans="1:11" ht="48" x14ac:dyDescent="0.2">
      <c r="A89" s="4" t="s">
        <v>3212</v>
      </c>
      <c r="B89">
        <v>40075</v>
      </c>
      <c r="C89">
        <v>2.66</v>
      </c>
      <c r="D89">
        <f t="shared" si="6"/>
        <v>24571.559029860004</v>
      </c>
      <c r="E89">
        <f t="shared" si="7"/>
        <v>24.571559029860005</v>
      </c>
      <c r="F89" s="7">
        <v>0.10692588092345079</v>
      </c>
      <c r="G89">
        <f t="shared" si="8"/>
        <v>1</v>
      </c>
      <c r="H89" s="7">
        <f t="shared" si="9"/>
        <v>0.89307411907654921</v>
      </c>
      <c r="I89">
        <f t="shared" si="10"/>
        <v>5</v>
      </c>
      <c r="J89">
        <f>VLOOKUP(A89,'Housing Cost Calc'!$A$2:$C$827,3,FALSE)</f>
        <v>1314</v>
      </c>
      <c r="K89">
        <f t="shared" si="11"/>
        <v>0.64171752312656727</v>
      </c>
    </row>
    <row r="90" spans="1:11" ht="48" x14ac:dyDescent="0.2">
      <c r="A90" s="4" t="s">
        <v>3218</v>
      </c>
      <c r="B90">
        <v>40625</v>
      </c>
      <c r="C90">
        <v>2.71</v>
      </c>
      <c r="D90">
        <f t="shared" si="6"/>
        <v>24677.930031250722</v>
      </c>
      <c r="E90">
        <f t="shared" si="7"/>
        <v>24.677930031250721</v>
      </c>
      <c r="F90" s="7">
        <v>0.10814094775212636</v>
      </c>
      <c r="G90">
        <f t="shared" si="8"/>
        <v>1</v>
      </c>
      <c r="H90" s="7">
        <f t="shared" si="9"/>
        <v>0.89185905224787365</v>
      </c>
      <c r="I90">
        <f t="shared" si="10"/>
        <v>5</v>
      </c>
      <c r="J90">
        <f>VLOOKUP(A90,'Housing Cost Calc'!$A$2:$C$827,3,FALSE)</f>
        <v>1226</v>
      </c>
      <c r="K90">
        <f t="shared" si="11"/>
        <v>0.59616021203437897</v>
      </c>
    </row>
    <row r="91" spans="1:11" ht="48" x14ac:dyDescent="0.2">
      <c r="A91" s="4" t="s">
        <v>3250</v>
      </c>
      <c r="B91">
        <v>43357</v>
      </c>
      <c r="C91">
        <v>3.08</v>
      </c>
      <c r="D91">
        <f t="shared" si="6"/>
        <v>24704.943567802613</v>
      </c>
      <c r="E91">
        <f t="shared" si="7"/>
        <v>24.704943567802612</v>
      </c>
      <c r="F91" s="7">
        <v>0.10935601458080195</v>
      </c>
      <c r="G91">
        <f t="shared" si="8"/>
        <v>1</v>
      </c>
      <c r="H91" s="7">
        <f t="shared" si="9"/>
        <v>0.89064398541919809</v>
      </c>
      <c r="I91">
        <f t="shared" si="10"/>
        <v>5</v>
      </c>
      <c r="J91">
        <f>VLOOKUP(A91,'Housing Cost Calc'!$A$2:$C$827,3,FALSE)</f>
        <v>1564</v>
      </c>
      <c r="K91">
        <f t="shared" si="11"/>
        <v>0.75968600974502543</v>
      </c>
    </row>
    <row r="92" spans="1:11" ht="48" x14ac:dyDescent="0.2">
      <c r="A92" s="4" t="s">
        <v>3198</v>
      </c>
      <c r="B92">
        <v>37802</v>
      </c>
      <c r="C92">
        <v>2.34</v>
      </c>
      <c r="D92">
        <f t="shared" si="6"/>
        <v>24711.94046831211</v>
      </c>
      <c r="E92">
        <f t="shared" si="7"/>
        <v>24.711940468312111</v>
      </c>
      <c r="F92" s="7">
        <v>0.11057108140947752</v>
      </c>
      <c r="G92">
        <f t="shared" si="8"/>
        <v>1</v>
      </c>
      <c r="H92" s="7">
        <f t="shared" si="9"/>
        <v>0.88942891859052242</v>
      </c>
      <c r="I92">
        <f t="shared" si="10"/>
        <v>5</v>
      </c>
      <c r="J92">
        <f>VLOOKUP(A92,'Housing Cost Calc'!$A$2:$C$827,3,FALSE)</f>
        <v>1162</v>
      </c>
      <c r="K92">
        <f t="shared" si="11"/>
        <v>0.56426163772449434</v>
      </c>
    </row>
    <row r="93" spans="1:11" ht="48" x14ac:dyDescent="0.2">
      <c r="A93" s="4" t="s">
        <v>3206</v>
      </c>
      <c r="B93">
        <v>39545</v>
      </c>
      <c r="C93">
        <v>2.56</v>
      </c>
      <c r="D93">
        <f t="shared" si="6"/>
        <v>24715.625</v>
      </c>
      <c r="E93">
        <f t="shared" si="7"/>
        <v>24.715624999999999</v>
      </c>
      <c r="F93" s="7">
        <v>0.1117861482381531</v>
      </c>
      <c r="G93">
        <f t="shared" si="8"/>
        <v>1</v>
      </c>
      <c r="H93" s="7">
        <f t="shared" si="9"/>
        <v>0.88821385176184686</v>
      </c>
      <c r="I93">
        <f t="shared" si="10"/>
        <v>5</v>
      </c>
      <c r="J93">
        <f>VLOOKUP(A93,'Housing Cost Calc'!$A$2:$C$827,3,FALSE)</f>
        <v>1034</v>
      </c>
      <c r="K93">
        <f t="shared" si="11"/>
        <v>0.50203059805285122</v>
      </c>
    </row>
    <row r="94" spans="1:11" ht="48" x14ac:dyDescent="0.2">
      <c r="A94" s="4" t="s">
        <v>3244</v>
      </c>
      <c r="B94">
        <v>42826</v>
      </c>
      <c r="C94">
        <v>2.92</v>
      </c>
      <c r="D94">
        <f t="shared" si="6"/>
        <v>25062.020849107437</v>
      </c>
      <c r="E94">
        <f t="shared" si="7"/>
        <v>25.062020849107437</v>
      </c>
      <c r="F94" s="7">
        <v>0.11300121506682867</v>
      </c>
      <c r="G94">
        <f t="shared" si="8"/>
        <v>1</v>
      </c>
      <c r="H94" s="7">
        <f t="shared" si="9"/>
        <v>0.8869987849331713</v>
      </c>
      <c r="I94">
        <f t="shared" si="10"/>
        <v>5</v>
      </c>
      <c r="J94">
        <f>VLOOKUP(A94,'Housing Cost Calc'!$A$2:$C$827,3,FALSE)</f>
        <v>1318</v>
      </c>
      <c r="K94">
        <f t="shared" si="11"/>
        <v>0.63107440917172786</v>
      </c>
    </row>
    <row r="95" spans="1:11" ht="48" x14ac:dyDescent="0.2">
      <c r="A95" s="4" t="s">
        <v>3236</v>
      </c>
      <c r="B95">
        <v>42095</v>
      </c>
      <c r="C95">
        <v>2.79</v>
      </c>
      <c r="D95">
        <f t="shared" si="6"/>
        <v>25201.617296056964</v>
      </c>
      <c r="E95">
        <f t="shared" si="7"/>
        <v>25.201617296056963</v>
      </c>
      <c r="F95" s="7">
        <v>0.11421628189550426</v>
      </c>
      <c r="G95">
        <f t="shared" si="8"/>
        <v>1</v>
      </c>
      <c r="H95" s="7">
        <f t="shared" si="9"/>
        <v>0.88578371810449574</v>
      </c>
      <c r="I95">
        <f t="shared" si="10"/>
        <v>5</v>
      </c>
      <c r="J95">
        <f>VLOOKUP(A95,'Housing Cost Calc'!$A$2:$C$827,3,FALSE)</f>
        <v>1195</v>
      </c>
      <c r="K95">
        <f t="shared" si="11"/>
        <v>0.56901110081707462</v>
      </c>
    </row>
    <row r="96" spans="1:11" ht="48" x14ac:dyDescent="0.2">
      <c r="A96" s="4" t="s">
        <v>3178</v>
      </c>
      <c r="B96">
        <v>36120</v>
      </c>
      <c r="C96">
        <v>2.02</v>
      </c>
      <c r="D96">
        <f t="shared" si="6"/>
        <v>25413.943315658144</v>
      </c>
      <c r="E96">
        <f t="shared" si="7"/>
        <v>25.413943315658145</v>
      </c>
      <c r="F96" s="7">
        <v>0.11543134872417983</v>
      </c>
      <c r="G96">
        <f t="shared" si="8"/>
        <v>1</v>
      </c>
      <c r="H96" s="7">
        <f t="shared" si="9"/>
        <v>0.88456865127582018</v>
      </c>
      <c r="I96">
        <f t="shared" si="10"/>
        <v>5</v>
      </c>
      <c r="J96">
        <f>VLOOKUP(A96,'Housing Cost Calc'!$A$2:$C$827,3,FALSE)</f>
        <v>1020</v>
      </c>
      <c r="K96">
        <f t="shared" si="11"/>
        <v>0.48162537580142634</v>
      </c>
    </row>
    <row r="97" spans="1:11" ht="64" x14ac:dyDescent="0.2">
      <c r="A97" s="4" t="s">
        <v>3266</v>
      </c>
      <c r="B97">
        <v>44635</v>
      </c>
      <c r="C97">
        <v>3.08</v>
      </c>
      <c r="D97">
        <f t="shared" si="6"/>
        <v>25433.1516513797</v>
      </c>
      <c r="E97">
        <f t="shared" si="7"/>
        <v>25.433151651379699</v>
      </c>
      <c r="F97" s="7">
        <v>0.1166464155528554</v>
      </c>
      <c r="G97">
        <f t="shared" si="8"/>
        <v>1</v>
      </c>
      <c r="H97" s="7">
        <f t="shared" si="9"/>
        <v>0.88335358444714462</v>
      </c>
      <c r="I97">
        <f t="shared" si="10"/>
        <v>5</v>
      </c>
      <c r="J97">
        <f>VLOOKUP(A97,'Housing Cost Calc'!$A$2:$C$827,3,FALSE)</f>
        <v>1345</v>
      </c>
      <c r="K97">
        <f t="shared" si="11"/>
        <v>0.63460479539602932</v>
      </c>
    </row>
    <row r="98" spans="1:11" ht="48" x14ac:dyDescent="0.2">
      <c r="A98" s="4" t="s">
        <v>3204</v>
      </c>
      <c r="B98">
        <v>39196</v>
      </c>
      <c r="C98">
        <v>2.35</v>
      </c>
      <c r="D98">
        <f t="shared" si="6"/>
        <v>25568.651151402719</v>
      </c>
      <c r="E98">
        <f t="shared" si="7"/>
        <v>25.568651151402719</v>
      </c>
      <c r="F98" s="7">
        <v>0.11786148238153099</v>
      </c>
      <c r="G98">
        <f t="shared" si="8"/>
        <v>1</v>
      </c>
      <c r="H98" s="7">
        <f t="shared" si="9"/>
        <v>0.88213851761846906</v>
      </c>
      <c r="I98">
        <f t="shared" si="10"/>
        <v>5</v>
      </c>
      <c r="J98">
        <f>VLOOKUP(A98,'Housing Cost Calc'!$A$2:$C$827,3,FALSE)</f>
        <v>1097</v>
      </c>
      <c r="K98">
        <f t="shared" si="11"/>
        <v>0.51484921602044742</v>
      </c>
    </row>
    <row r="99" spans="1:11" ht="64" x14ac:dyDescent="0.2">
      <c r="A99" s="4" t="s">
        <v>3128</v>
      </c>
      <c r="B99">
        <v>31838</v>
      </c>
      <c r="C99">
        <v>1.55</v>
      </c>
      <c r="D99">
        <f t="shared" si="6"/>
        <v>25572.896993597758</v>
      </c>
      <c r="E99">
        <f t="shared" si="7"/>
        <v>25.572896993597759</v>
      </c>
      <c r="F99" s="7">
        <v>0.11907654921020656</v>
      </c>
      <c r="G99">
        <f t="shared" si="8"/>
        <v>1</v>
      </c>
      <c r="H99" s="7">
        <f t="shared" si="9"/>
        <v>0.88092345078979339</v>
      </c>
      <c r="I99">
        <f t="shared" si="10"/>
        <v>5</v>
      </c>
      <c r="J99">
        <f>VLOOKUP(A99,'Housing Cost Calc'!$A$2:$C$827,3,FALSE)</f>
        <v>1313</v>
      </c>
      <c r="K99">
        <f t="shared" si="11"/>
        <v>0.61612104424244762</v>
      </c>
    </row>
    <row r="100" spans="1:11" ht="48" x14ac:dyDescent="0.2">
      <c r="A100" s="4" t="s">
        <v>3314</v>
      </c>
      <c r="B100">
        <v>48500</v>
      </c>
      <c r="C100">
        <v>3.58</v>
      </c>
      <c r="D100">
        <f t="shared" si="6"/>
        <v>25633.046495211962</v>
      </c>
      <c r="E100">
        <f t="shared" si="7"/>
        <v>25.633046495211961</v>
      </c>
      <c r="F100" s="7">
        <v>0.12029161603888214</v>
      </c>
      <c r="G100">
        <f t="shared" si="8"/>
        <v>1</v>
      </c>
      <c r="H100" s="7">
        <f t="shared" si="9"/>
        <v>0.87970838396111783</v>
      </c>
      <c r="I100">
        <f t="shared" si="10"/>
        <v>5</v>
      </c>
      <c r="J100">
        <f>VLOOKUP(A100,'Housing Cost Calc'!$A$2:$C$827,3,FALSE)</f>
        <v>1271</v>
      </c>
      <c r="K100">
        <f t="shared" si="11"/>
        <v>0.59501316017387729</v>
      </c>
    </row>
    <row r="101" spans="1:11" ht="48" x14ac:dyDescent="0.2">
      <c r="A101" s="4" t="s">
        <v>3230</v>
      </c>
      <c r="B101">
        <v>41616</v>
      </c>
      <c r="C101">
        <v>2.63</v>
      </c>
      <c r="D101">
        <f t="shared" si="6"/>
        <v>25661.524927349081</v>
      </c>
      <c r="E101">
        <f t="shared" si="7"/>
        <v>25.661524927349081</v>
      </c>
      <c r="F101" s="7">
        <v>0.12150668286755771</v>
      </c>
      <c r="G101">
        <f t="shared" si="8"/>
        <v>1</v>
      </c>
      <c r="H101" s="7">
        <f t="shared" si="9"/>
        <v>0.87849331713244228</v>
      </c>
      <c r="I101">
        <f t="shared" si="10"/>
        <v>5</v>
      </c>
      <c r="J101">
        <f>VLOOKUP(A101,'Housing Cost Calc'!$A$2:$C$827,3,FALSE)</f>
        <v>886</v>
      </c>
      <c r="K101">
        <f t="shared" si="11"/>
        <v>0.41431676527799866</v>
      </c>
    </row>
    <row r="102" spans="1:11" ht="48" x14ac:dyDescent="0.2">
      <c r="A102" s="4" t="s">
        <v>3166</v>
      </c>
      <c r="B102">
        <v>35313</v>
      </c>
      <c r="C102">
        <v>1.86</v>
      </c>
      <c r="D102">
        <f t="shared" si="6"/>
        <v>25892.747863745244</v>
      </c>
      <c r="E102">
        <f t="shared" si="7"/>
        <v>25.892747863745242</v>
      </c>
      <c r="F102" s="7">
        <v>0.1227217496962333</v>
      </c>
      <c r="G102">
        <f t="shared" si="8"/>
        <v>1</v>
      </c>
      <c r="H102" s="7">
        <f t="shared" si="9"/>
        <v>0.87727825030376672</v>
      </c>
      <c r="I102">
        <f t="shared" si="10"/>
        <v>5</v>
      </c>
      <c r="J102">
        <f>VLOOKUP(A102,'Housing Cost Calc'!$A$2:$C$827,3,FALSE)</f>
        <v>912</v>
      </c>
      <c r="K102">
        <f t="shared" si="11"/>
        <v>0.42266661142302608</v>
      </c>
    </row>
    <row r="103" spans="1:11" ht="48" x14ac:dyDescent="0.2">
      <c r="A103" s="4" t="s">
        <v>3226</v>
      </c>
      <c r="B103">
        <v>41467</v>
      </c>
      <c r="C103">
        <v>2.5499999999999998</v>
      </c>
      <c r="D103">
        <f t="shared" si="6"/>
        <v>25967.642678427896</v>
      </c>
      <c r="E103">
        <f t="shared" si="7"/>
        <v>25.967642678427897</v>
      </c>
      <c r="F103" s="7">
        <v>0.12393681652490887</v>
      </c>
      <c r="G103">
        <f t="shared" si="8"/>
        <v>1</v>
      </c>
      <c r="H103" s="7">
        <f t="shared" si="9"/>
        <v>0.87606318347509116</v>
      </c>
      <c r="I103">
        <f t="shared" si="10"/>
        <v>5</v>
      </c>
      <c r="J103">
        <f>VLOOKUP(A103,'Housing Cost Calc'!$A$2:$C$827,3,FALSE)</f>
        <v>1077</v>
      </c>
      <c r="K103">
        <f t="shared" si="11"/>
        <v>0.49769631229315847</v>
      </c>
    </row>
    <row r="104" spans="1:11" ht="48" x14ac:dyDescent="0.2">
      <c r="A104" s="4" t="s">
        <v>3246</v>
      </c>
      <c r="B104">
        <v>42969</v>
      </c>
      <c r="C104">
        <v>2.7</v>
      </c>
      <c r="D104">
        <f t="shared" si="6"/>
        <v>26150.100637154977</v>
      </c>
      <c r="E104">
        <f t="shared" si="7"/>
        <v>26.150100637154978</v>
      </c>
      <c r="F104" s="7">
        <v>0.12515188335358446</v>
      </c>
      <c r="G104">
        <f t="shared" si="8"/>
        <v>1</v>
      </c>
      <c r="H104" s="7">
        <f t="shared" si="9"/>
        <v>0.87484811664641549</v>
      </c>
      <c r="I104">
        <f t="shared" si="10"/>
        <v>5</v>
      </c>
      <c r="J104">
        <f>VLOOKUP(A104,'Housing Cost Calc'!$A$2:$C$827,3,FALSE)</f>
        <v>1287</v>
      </c>
      <c r="K104">
        <f t="shared" si="11"/>
        <v>0.59059046136352622</v>
      </c>
    </row>
    <row r="105" spans="1:11" ht="64" x14ac:dyDescent="0.2">
      <c r="A105" s="4" t="s">
        <v>3222</v>
      </c>
      <c r="B105">
        <v>40913</v>
      </c>
      <c r="C105">
        <v>2.4</v>
      </c>
      <c r="D105">
        <f t="shared" si="6"/>
        <v>26409.227940564007</v>
      </c>
      <c r="E105">
        <f t="shared" si="7"/>
        <v>26.409227940564008</v>
      </c>
      <c r="F105" s="7">
        <v>0.12636695018226002</v>
      </c>
      <c r="G105">
        <f t="shared" si="8"/>
        <v>1</v>
      </c>
      <c r="H105" s="7">
        <f t="shared" si="9"/>
        <v>0.87363304981774004</v>
      </c>
      <c r="I105">
        <f t="shared" si="10"/>
        <v>5</v>
      </c>
      <c r="J105">
        <f>VLOOKUP(A105,'Housing Cost Calc'!$A$2:$C$827,3,FALSE)</f>
        <v>1104</v>
      </c>
      <c r="K105">
        <f t="shared" si="11"/>
        <v>0.50164283597444193</v>
      </c>
    </row>
    <row r="106" spans="1:11" ht="48" x14ac:dyDescent="0.2">
      <c r="A106" s="4" t="s">
        <v>3298</v>
      </c>
      <c r="B106">
        <v>46716</v>
      </c>
      <c r="C106">
        <v>3.11</v>
      </c>
      <c r="D106">
        <f t="shared" si="6"/>
        <v>26490.213299312763</v>
      </c>
      <c r="E106">
        <f t="shared" si="7"/>
        <v>26.490213299312764</v>
      </c>
      <c r="F106" s="7">
        <v>0.12758201701093561</v>
      </c>
      <c r="G106">
        <f t="shared" si="8"/>
        <v>1</v>
      </c>
      <c r="H106" s="7">
        <f t="shared" si="9"/>
        <v>0.87241798298906437</v>
      </c>
      <c r="I106">
        <f t="shared" si="10"/>
        <v>5</v>
      </c>
      <c r="J106">
        <f>VLOOKUP(A106,'Housing Cost Calc'!$A$2:$C$827,3,FALSE)</f>
        <v>1203</v>
      </c>
      <c r="K106">
        <f t="shared" si="11"/>
        <v>0.54495597437769649</v>
      </c>
    </row>
    <row r="107" spans="1:11" ht="48" x14ac:dyDescent="0.2">
      <c r="A107" s="4" t="s">
        <v>3248</v>
      </c>
      <c r="B107">
        <v>43175</v>
      </c>
      <c r="C107">
        <v>2.64</v>
      </c>
      <c r="D107">
        <f t="shared" si="6"/>
        <v>26572.375615163455</v>
      </c>
      <c r="E107">
        <f t="shared" si="7"/>
        <v>26.572375615163455</v>
      </c>
      <c r="F107" s="7">
        <v>0.12879708383961117</v>
      </c>
      <c r="G107">
        <f t="shared" si="8"/>
        <v>1</v>
      </c>
      <c r="H107" s="7">
        <f t="shared" si="9"/>
        <v>0.87120291616038881</v>
      </c>
      <c r="I107">
        <f t="shared" si="10"/>
        <v>5</v>
      </c>
      <c r="J107">
        <f>VLOOKUP(A107,'Housing Cost Calc'!$A$2:$C$827,3,FALSE)</f>
        <v>1238</v>
      </c>
      <c r="K107">
        <f t="shared" si="11"/>
        <v>0.55907684789471601</v>
      </c>
    </row>
    <row r="108" spans="1:11" ht="48" x14ac:dyDescent="0.2">
      <c r="A108" s="4" t="s">
        <v>3240</v>
      </c>
      <c r="B108">
        <v>42476</v>
      </c>
      <c r="C108">
        <v>2.5299999999999998</v>
      </c>
      <c r="D108">
        <f t="shared" si="6"/>
        <v>26704.432401409002</v>
      </c>
      <c r="E108">
        <f t="shared" si="7"/>
        <v>26.704432401409001</v>
      </c>
      <c r="F108" s="7">
        <v>0.13001215066828675</v>
      </c>
      <c r="G108">
        <f t="shared" si="8"/>
        <v>1</v>
      </c>
      <c r="H108" s="7">
        <f t="shared" si="9"/>
        <v>0.86998784933171325</v>
      </c>
      <c r="I108">
        <f t="shared" si="10"/>
        <v>5</v>
      </c>
      <c r="J108">
        <f>VLOOKUP(A108,'Housing Cost Calc'!$A$2:$C$827,3,FALSE)</f>
        <v>1025</v>
      </c>
      <c r="K108">
        <f t="shared" si="11"/>
        <v>0.46059769461158878</v>
      </c>
    </row>
    <row r="109" spans="1:11" ht="48" x14ac:dyDescent="0.2">
      <c r="A109" s="4" t="s">
        <v>3214</v>
      </c>
      <c r="B109">
        <v>40169</v>
      </c>
      <c r="C109">
        <v>2.2400000000000002</v>
      </c>
      <c r="D109">
        <f t="shared" si="6"/>
        <v>26839.042065950434</v>
      </c>
      <c r="E109">
        <f t="shared" si="7"/>
        <v>26.839042065950434</v>
      </c>
      <c r="F109" s="7">
        <v>0.13122721749696234</v>
      </c>
      <c r="G109">
        <f t="shared" si="8"/>
        <v>1</v>
      </c>
      <c r="H109" s="7">
        <f t="shared" si="9"/>
        <v>0.86877278250303769</v>
      </c>
      <c r="I109">
        <f t="shared" si="10"/>
        <v>5</v>
      </c>
      <c r="J109">
        <f>VLOOKUP(A109,'Housing Cost Calc'!$A$2:$C$827,3,FALSE)</f>
        <v>1058</v>
      </c>
      <c r="K109">
        <f t="shared" si="11"/>
        <v>0.47304221845186056</v>
      </c>
    </row>
    <row r="110" spans="1:11" ht="48" x14ac:dyDescent="0.2">
      <c r="A110" s="4" t="s">
        <v>3282</v>
      </c>
      <c r="B110">
        <v>46155</v>
      </c>
      <c r="C110">
        <v>2.95</v>
      </c>
      <c r="D110">
        <f t="shared" si="6"/>
        <v>26872.479937030406</v>
      </c>
      <c r="E110">
        <f t="shared" si="7"/>
        <v>26.872479937030405</v>
      </c>
      <c r="F110" s="7">
        <v>0.1324422843256379</v>
      </c>
      <c r="G110">
        <f t="shared" si="8"/>
        <v>1</v>
      </c>
      <c r="H110" s="7">
        <f t="shared" si="9"/>
        <v>0.86755771567436213</v>
      </c>
      <c r="I110">
        <f t="shared" si="10"/>
        <v>5</v>
      </c>
      <c r="J110">
        <f>VLOOKUP(A110,'Housing Cost Calc'!$A$2:$C$827,3,FALSE)</f>
        <v>1123</v>
      </c>
      <c r="K110">
        <f t="shared" si="11"/>
        <v>0.50147958177205698</v>
      </c>
    </row>
    <row r="111" spans="1:11" ht="48" x14ac:dyDescent="0.2">
      <c r="A111" s="4" t="s">
        <v>3264</v>
      </c>
      <c r="B111">
        <v>44473</v>
      </c>
      <c r="C111">
        <v>2.72</v>
      </c>
      <c r="D111">
        <f t="shared" si="6"/>
        <v>26965.71713060209</v>
      </c>
      <c r="E111">
        <f t="shared" si="7"/>
        <v>26.965717130602091</v>
      </c>
      <c r="F111" s="7">
        <v>0.13365735115431349</v>
      </c>
      <c r="G111">
        <f t="shared" si="8"/>
        <v>1</v>
      </c>
      <c r="H111" s="7">
        <f t="shared" si="9"/>
        <v>0.86634264884568646</v>
      </c>
      <c r="I111">
        <f t="shared" si="10"/>
        <v>5</v>
      </c>
      <c r="J111">
        <f>VLOOKUP(A111,'Housing Cost Calc'!$A$2:$C$827,3,FALSE)</f>
        <v>1045</v>
      </c>
      <c r="K111">
        <f t="shared" si="11"/>
        <v>0.46503491597369606</v>
      </c>
    </row>
    <row r="112" spans="1:11" ht="48" x14ac:dyDescent="0.2">
      <c r="A112" s="4" t="s">
        <v>3294</v>
      </c>
      <c r="B112">
        <v>46566</v>
      </c>
      <c r="C112">
        <v>2.98</v>
      </c>
      <c r="D112">
        <f t="shared" si="6"/>
        <v>26974.959529362379</v>
      </c>
      <c r="E112">
        <f t="shared" si="7"/>
        <v>26.97495952936238</v>
      </c>
      <c r="F112" s="7">
        <v>0.13487241798298907</v>
      </c>
      <c r="G112">
        <f t="shared" si="8"/>
        <v>1</v>
      </c>
      <c r="H112" s="7">
        <f t="shared" si="9"/>
        <v>0.8651275820170109</v>
      </c>
      <c r="I112">
        <f t="shared" si="10"/>
        <v>5</v>
      </c>
      <c r="J112">
        <f>VLOOKUP(A112,'Housing Cost Calc'!$A$2:$C$827,3,FALSE)</f>
        <v>1793</v>
      </c>
      <c r="K112">
        <f t="shared" si="11"/>
        <v>0.79762862949172275</v>
      </c>
    </row>
    <row r="113" spans="1:11" ht="48" x14ac:dyDescent="0.2">
      <c r="A113" s="4" t="s">
        <v>3224</v>
      </c>
      <c r="B113">
        <v>41218</v>
      </c>
      <c r="C113">
        <v>2.3199999999999998</v>
      </c>
      <c r="D113">
        <f t="shared" si="6"/>
        <v>27060.942748060224</v>
      </c>
      <c r="E113">
        <f t="shared" si="7"/>
        <v>27.060942748060224</v>
      </c>
      <c r="F113" s="7">
        <v>0.13608748481166463</v>
      </c>
      <c r="G113">
        <f t="shared" si="8"/>
        <v>1</v>
      </c>
      <c r="H113" s="7">
        <f t="shared" si="9"/>
        <v>0.86391251518833534</v>
      </c>
      <c r="I113">
        <f t="shared" si="10"/>
        <v>5</v>
      </c>
      <c r="J113">
        <f>VLOOKUP(A113,'Housing Cost Calc'!$A$2:$C$827,3,FALSE)</f>
        <v>1185</v>
      </c>
      <c r="K113">
        <f t="shared" si="11"/>
        <v>0.52548058404281994</v>
      </c>
    </row>
    <row r="114" spans="1:11" ht="48" x14ac:dyDescent="0.2">
      <c r="A114" s="4" t="s">
        <v>3310</v>
      </c>
      <c r="B114">
        <v>48148</v>
      </c>
      <c r="C114">
        <v>3.13</v>
      </c>
      <c r="D114">
        <f t="shared" si="6"/>
        <v>27214.858655326378</v>
      </c>
      <c r="E114">
        <f t="shared" si="7"/>
        <v>27.214858655326378</v>
      </c>
      <c r="F114" s="7">
        <v>0.13730255164034022</v>
      </c>
      <c r="G114">
        <f t="shared" si="8"/>
        <v>1</v>
      </c>
      <c r="H114" s="7">
        <f t="shared" si="9"/>
        <v>0.86269744835965978</v>
      </c>
      <c r="I114">
        <f t="shared" si="10"/>
        <v>5</v>
      </c>
      <c r="J114">
        <f>VLOOKUP(A114,'Housing Cost Calc'!$A$2:$C$827,3,FALSE)</f>
        <v>1323</v>
      </c>
      <c r="K114">
        <f t="shared" si="11"/>
        <v>0.58335779733666981</v>
      </c>
    </row>
    <row r="115" spans="1:11" ht="48" x14ac:dyDescent="0.2">
      <c r="A115" s="4" t="s">
        <v>3168</v>
      </c>
      <c r="B115">
        <v>35460</v>
      </c>
      <c r="C115">
        <v>1.65</v>
      </c>
      <c r="D115">
        <f t="shared" si="6"/>
        <v>27605.572559967604</v>
      </c>
      <c r="E115">
        <f t="shared" si="7"/>
        <v>27.605572559967605</v>
      </c>
      <c r="F115" s="7">
        <v>0.13851761846901581</v>
      </c>
      <c r="G115">
        <f t="shared" si="8"/>
        <v>1</v>
      </c>
      <c r="H115" s="7">
        <f t="shared" si="9"/>
        <v>0.86148238153098422</v>
      </c>
      <c r="I115">
        <f t="shared" si="10"/>
        <v>5</v>
      </c>
      <c r="J115">
        <f>VLOOKUP(A115,'Housing Cost Calc'!$A$2:$C$827,3,FALSE)</f>
        <v>859</v>
      </c>
      <c r="K115">
        <f t="shared" si="11"/>
        <v>0.37340286920721982</v>
      </c>
    </row>
    <row r="116" spans="1:11" ht="48" x14ac:dyDescent="0.2">
      <c r="A116" s="4" t="s">
        <v>3242</v>
      </c>
      <c r="B116">
        <v>42688</v>
      </c>
      <c r="C116">
        <v>2.37</v>
      </c>
      <c r="D116">
        <f t="shared" si="6"/>
        <v>27728.835727482099</v>
      </c>
      <c r="E116">
        <f t="shared" si="7"/>
        <v>27.7288357274821</v>
      </c>
      <c r="F116" s="7">
        <v>0.13973268529769137</v>
      </c>
      <c r="G116">
        <f t="shared" si="8"/>
        <v>1</v>
      </c>
      <c r="H116" s="7">
        <f t="shared" si="9"/>
        <v>0.86026731470230866</v>
      </c>
      <c r="I116">
        <f t="shared" si="10"/>
        <v>5</v>
      </c>
      <c r="J116">
        <f>VLOOKUP(A116,'Housing Cost Calc'!$A$2:$C$827,3,FALSE)</f>
        <v>1292</v>
      </c>
      <c r="K116">
        <f t="shared" si="11"/>
        <v>0.55912913734902892</v>
      </c>
    </row>
    <row r="117" spans="1:11" ht="48" x14ac:dyDescent="0.2">
      <c r="A117" s="4" t="s">
        <v>3254</v>
      </c>
      <c r="B117">
        <v>43600</v>
      </c>
      <c r="C117">
        <v>2.4700000000000002</v>
      </c>
      <c r="D117">
        <f t="shared" si="6"/>
        <v>27742.015665743911</v>
      </c>
      <c r="E117">
        <f t="shared" si="7"/>
        <v>27.74201566574391</v>
      </c>
      <c r="F117" s="7">
        <v>0.14094775212636695</v>
      </c>
      <c r="G117">
        <f t="shared" si="8"/>
        <v>1</v>
      </c>
      <c r="H117" s="7">
        <f t="shared" si="9"/>
        <v>0.8590522478736331</v>
      </c>
      <c r="I117">
        <f t="shared" si="10"/>
        <v>5</v>
      </c>
      <c r="J117">
        <f>VLOOKUP(A117,'Housing Cost Calc'!$A$2:$C$827,3,FALSE)</f>
        <v>1171</v>
      </c>
      <c r="K117">
        <f t="shared" si="11"/>
        <v>0.5065241174004359</v>
      </c>
    </row>
    <row r="118" spans="1:11" ht="64" x14ac:dyDescent="0.2">
      <c r="A118" s="4" t="s">
        <v>3210</v>
      </c>
      <c r="B118">
        <v>40066</v>
      </c>
      <c r="C118">
        <v>2.04</v>
      </c>
      <c r="D118">
        <f t="shared" si="6"/>
        <v>28051.81092333312</v>
      </c>
      <c r="E118">
        <f t="shared" si="7"/>
        <v>28.051810923333118</v>
      </c>
      <c r="F118" s="7">
        <v>0.14216281895504251</v>
      </c>
      <c r="G118">
        <f t="shared" si="8"/>
        <v>1</v>
      </c>
      <c r="H118" s="7">
        <f t="shared" si="9"/>
        <v>0.85783718104495743</v>
      </c>
      <c r="I118">
        <f t="shared" si="10"/>
        <v>5</v>
      </c>
      <c r="J118">
        <f>VLOOKUP(A118,'Housing Cost Calc'!$A$2:$C$827,3,FALSE)</f>
        <v>1014</v>
      </c>
      <c r="K118">
        <f t="shared" si="11"/>
        <v>0.43376878709384215</v>
      </c>
    </row>
    <row r="119" spans="1:11" ht="48" x14ac:dyDescent="0.2">
      <c r="A119" s="4" t="s">
        <v>3296</v>
      </c>
      <c r="B119">
        <v>46646</v>
      </c>
      <c r="C119">
        <v>2.76</v>
      </c>
      <c r="D119">
        <f t="shared" si="6"/>
        <v>28077.592515193952</v>
      </c>
      <c r="E119">
        <f t="shared" si="7"/>
        <v>28.077592515193952</v>
      </c>
      <c r="F119" s="7">
        <v>0.1433778857837181</v>
      </c>
      <c r="G119">
        <f t="shared" si="8"/>
        <v>1</v>
      </c>
      <c r="H119" s="7">
        <f t="shared" si="9"/>
        <v>0.85662211421628187</v>
      </c>
      <c r="I119">
        <f t="shared" si="10"/>
        <v>5</v>
      </c>
      <c r="J119">
        <f>VLOOKUP(A119,'Housing Cost Calc'!$A$2:$C$827,3,FALSE)</f>
        <v>1166</v>
      </c>
      <c r="K119">
        <f t="shared" si="11"/>
        <v>0.49833332371457228</v>
      </c>
    </row>
    <row r="120" spans="1:11" ht="48" x14ac:dyDescent="0.2">
      <c r="A120" s="4" t="s">
        <v>3276</v>
      </c>
      <c r="B120">
        <v>45828</v>
      </c>
      <c r="C120">
        <v>2.64</v>
      </c>
      <c r="D120">
        <f t="shared" si="6"/>
        <v>28205.184243004303</v>
      </c>
      <c r="E120">
        <f t="shared" si="7"/>
        <v>28.205184243004304</v>
      </c>
      <c r="F120" s="7">
        <v>0.14459295261239369</v>
      </c>
      <c r="G120">
        <f t="shared" si="8"/>
        <v>1</v>
      </c>
      <c r="H120" s="7">
        <f t="shared" si="9"/>
        <v>0.85540704738760631</v>
      </c>
      <c r="I120">
        <f t="shared" si="10"/>
        <v>5</v>
      </c>
      <c r="J120">
        <f>VLOOKUP(A120,'Housing Cost Calc'!$A$2:$C$827,3,FALSE)</f>
        <v>1129</v>
      </c>
      <c r="K120">
        <f t="shared" si="11"/>
        <v>0.48033722748541496</v>
      </c>
    </row>
    <row r="121" spans="1:11" ht="48" x14ac:dyDescent="0.2">
      <c r="A121" s="4" t="s">
        <v>3349</v>
      </c>
      <c r="B121">
        <v>50583</v>
      </c>
      <c r="C121">
        <v>3.2</v>
      </c>
      <c r="D121">
        <f t="shared" si="6"/>
        <v>28276.756626467966</v>
      </c>
      <c r="E121">
        <f t="shared" si="7"/>
        <v>28.276756626467968</v>
      </c>
      <c r="F121" s="7">
        <v>0.14580801944106925</v>
      </c>
      <c r="G121">
        <f t="shared" si="8"/>
        <v>1</v>
      </c>
      <c r="H121" s="7">
        <f t="shared" si="9"/>
        <v>0.85419198055893075</v>
      </c>
      <c r="I121">
        <f t="shared" si="10"/>
        <v>5</v>
      </c>
      <c r="J121">
        <f>VLOOKUP(A121,'Housing Cost Calc'!$A$2:$C$827,3,FALSE)</f>
        <v>1038</v>
      </c>
      <c r="K121">
        <f t="shared" si="11"/>
        <v>0.440503137065613</v>
      </c>
    </row>
    <row r="122" spans="1:11" ht="48" x14ac:dyDescent="0.2">
      <c r="A122" s="4" t="s">
        <v>3339</v>
      </c>
      <c r="B122">
        <v>49643</v>
      </c>
      <c r="C122">
        <v>3.05</v>
      </c>
      <c r="D122">
        <f t="shared" si="6"/>
        <v>28425.49911034336</v>
      </c>
      <c r="E122">
        <f t="shared" si="7"/>
        <v>28.42549911034336</v>
      </c>
      <c r="F122" s="7">
        <v>0.14702308626974483</v>
      </c>
      <c r="G122">
        <f t="shared" si="8"/>
        <v>1</v>
      </c>
      <c r="H122" s="7">
        <f t="shared" si="9"/>
        <v>0.85297691373025519</v>
      </c>
      <c r="I122">
        <f t="shared" si="10"/>
        <v>5</v>
      </c>
      <c r="J122">
        <f>VLOOKUP(A122,'Housing Cost Calc'!$A$2:$C$827,3,FALSE)</f>
        <v>1218</v>
      </c>
      <c r="K122">
        <f t="shared" si="11"/>
        <v>0.51418622214030307</v>
      </c>
    </row>
    <row r="123" spans="1:11" ht="48" x14ac:dyDescent="0.2">
      <c r="A123" s="4" t="s">
        <v>3351</v>
      </c>
      <c r="B123">
        <v>50729</v>
      </c>
      <c r="C123">
        <v>3.14</v>
      </c>
      <c r="D123">
        <f t="shared" si="6"/>
        <v>28628.030899534697</v>
      </c>
      <c r="E123">
        <f t="shared" si="7"/>
        <v>28.628030899534696</v>
      </c>
      <c r="F123" s="7">
        <v>0.14823815309842042</v>
      </c>
      <c r="G123">
        <f t="shared" si="8"/>
        <v>1</v>
      </c>
      <c r="H123" s="7">
        <f t="shared" si="9"/>
        <v>0.85176184690157952</v>
      </c>
      <c r="I123">
        <f t="shared" si="10"/>
        <v>5</v>
      </c>
      <c r="J123">
        <f>VLOOKUP(A123,'Housing Cost Calc'!$A$2:$C$827,3,FALSE)</f>
        <v>1422</v>
      </c>
      <c r="K123">
        <f t="shared" si="11"/>
        <v>0.59605915823841549</v>
      </c>
    </row>
    <row r="124" spans="1:11" ht="48" x14ac:dyDescent="0.2">
      <c r="A124" s="4" t="s">
        <v>3262</v>
      </c>
      <c r="B124">
        <v>44352</v>
      </c>
      <c r="C124">
        <v>2.4</v>
      </c>
      <c r="D124">
        <f t="shared" si="6"/>
        <v>28629.092895165224</v>
      </c>
      <c r="E124">
        <f t="shared" si="7"/>
        <v>28.629092895165225</v>
      </c>
      <c r="F124" s="7">
        <v>0.14945321992709598</v>
      </c>
      <c r="G124">
        <f t="shared" si="8"/>
        <v>1</v>
      </c>
      <c r="H124" s="7">
        <f t="shared" si="9"/>
        <v>0.85054678007290407</v>
      </c>
      <c r="I124">
        <f t="shared" si="10"/>
        <v>5</v>
      </c>
      <c r="J124">
        <f>VLOOKUP(A124,'Housing Cost Calc'!$A$2:$C$827,3,FALSE)</f>
        <v>1015</v>
      </c>
      <c r="K124">
        <f t="shared" si="11"/>
        <v>0.42544135242429959</v>
      </c>
    </row>
    <row r="125" spans="1:11" ht="48" x14ac:dyDescent="0.2">
      <c r="A125" s="4" t="s">
        <v>3238</v>
      </c>
      <c r="B125">
        <v>42188</v>
      </c>
      <c r="C125">
        <v>2.14</v>
      </c>
      <c r="D125">
        <f t="shared" si="6"/>
        <v>28839.12308931649</v>
      </c>
      <c r="E125">
        <f t="shared" si="7"/>
        <v>28.839123089316491</v>
      </c>
      <c r="F125" s="7">
        <v>0.15066828675577157</v>
      </c>
      <c r="G125">
        <f t="shared" si="8"/>
        <v>1</v>
      </c>
      <c r="H125" s="7">
        <f t="shared" si="9"/>
        <v>0.8493317132442284</v>
      </c>
      <c r="I125">
        <f t="shared" si="10"/>
        <v>5</v>
      </c>
      <c r="J125">
        <f>VLOOKUP(A125,'Housing Cost Calc'!$A$2:$C$827,3,FALSE)</f>
        <v>882</v>
      </c>
      <c r="K125">
        <f t="shared" si="11"/>
        <v>0.36700145032914899</v>
      </c>
    </row>
    <row r="126" spans="1:11" ht="48" x14ac:dyDescent="0.2">
      <c r="A126" s="4" t="s">
        <v>3268</v>
      </c>
      <c r="B126">
        <v>44815</v>
      </c>
      <c r="C126">
        <v>2.38</v>
      </c>
      <c r="D126">
        <f t="shared" si="6"/>
        <v>29049.24987099025</v>
      </c>
      <c r="E126">
        <f t="shared" si="7"/>
        <v>29.049249870990248</v>
      </c>
      <c r="F126" s="7">
        <v>0.15188335358444716</v>
      </c>
      <c r="G126">
        <f t="shared" si="8"/>
        <v>1</v>
      </c>
      <c r="H126" s="7">
        <f t="shared" si="9"/>
        <v>0.84811664641555284</v>
      </c>
      <c r="I126">
        <f t="shared" si="10"/>
        <v>5</v>
      </c>
      <c r="J126">
        <f>VLOOKUP(A126,'Housing Cost Calc'!$A$2:$C$827,3,FALSE)</f>
        <v>1308</v>
      </c>
      <c r="K126">
        <f t="shared" si="11"/>
        <v>0.54032376290978368</v>
      </c>
    </row>
    <row r="127" spans="1:11" ht="48" x14ac:dyDescent="0.2">
      <c r="A127" s="4" t="s">
        <v>3288</v>
      </c>
      <c r="B127">
        <v>46326</v>
      </c>
      <c r="C127">
        <v>2.54</v>
      </c>
      <c r="D127">
        <f t="shared" si="6"/>
        <v>29067.517628830334</v>
      </c>
      <c r="E127">
        <f t="shared" si="7"/>
        <v>29.067517628830334</v>
      </c>
      <c r="F127" s="7">
        <v>0.15309842041312272</v>
      </c>
      <c r="G127">
        <f t="shared" si="8"/>
        <v>1</v>
      </c>
      <c r="H127" s="7">
        <f t="shared" si="9"/>
        <v>0.84690157958687728</v>
      </c>
      <c r="I127">
        <f t="shared" si="10"/>
        <v>5</v>
      </c>
      <c r="J127">
        <f>VLOOKUP(A127,'Housing Cost Calc'!$A$2:$C$827,3,FALSE)</f>
        <v>1198</v>
      </c>
      <c r="K127">
        <f t="shared" si="11"/>
        <v>0.49457267674420552</v>
      </c>
    </row>
    <row r="128" spans="1:11" ht="48" x14ac:dyDescent="0.2">
      <c r="A128" s="4" t="s">
        <v>3270</v>
      </c>
      <c r="B128">
        <v>44915</v>
      </c>
      <c r="C128">
        <v>2.38</v>
      </c>
      <c r="D128">
        <f t="shared" si="6"/>
        <v>29114.070243345464</v>
      </c>
      <c r="E128">
        <f t="shared" si="7"/>
        <v>29.114070243345463</v>
      </c>
      <c r="F128" s="7">
        <v>0.1543134872417983</v>
      </c>
      <c r="G128">
        <f t="shared" si="8"/>
        <v>1</v>
      </c>
      <c r="H128" s="7">
        <f t="shared" si="9"/>
        <v>0.84568651275820172</v>
      </c>
      <c r="I128">
        <f t="shared" si="10"/>
        <v>5</v>
      </c>
      <c r="J128">
        <f>VLOOKUP(A128,'Housing Cost Calc'!$A$2:$C$827,3,FALSE)</f>
        <v>1226</v>
      </c>
      <c r="K128">
        <f t="shared" si="11"/>
        <v>0.50532267996305624</v>
      </c>
    </row>
    <row r="129" spans="1:11" ht="48" x14ac:dyDescent="0.2">
      <c r="A129" s="4" t="s">
        <v>3373</v>
      </c>
      <c r="B129">
        <v>52607</v>
      </c>
      <c r="C129">
        <v>3.26</v>
      </c>
      <c r="D129">
        <f t="shared" si="6"/>
        <v>29136.322539131368</v>
      </c>
      <c r="E129">
        <f t="shared" si="7"/>
        <v>29.136322539131367</v>
      </c>
      <c r="F129" s="7">
        <v>0.15552855407047386</v>
      </c>
      <c r="G129">
        <f t="shared" si="8"/>
        <v>1</v>
      </c>
      <c r="H129" s="7">
        <f t="shared" si="9"/>
        <v>0.84447144592952617</v>
      </c>
      <c r="I129">
        <f t="shared" si="10"/>
        <v>5</v>
      </c>
      <c r="J129">
        <f>VLOOKUP(A129,'Housing Cost Calc'!$A$2:$C$827,3,FALSE)</f>
        <v>1137</v>
      </c>
      <c r="K129">
        <f t="shared" si="11"/>
        <v>0.46828147174975515</v>
      </c>
    </row>
    <row r="130" spans="1:11" ht="48" x14ac:dyDescent="0.2">
      <c r="A130" s="4" t="s">
        <v>3278</v>
      </c>
      <c r="B130">
        <v>45875</v>
      </c>
      <c r="C130">
        <v>2.46</v>
      </c>
      <c r="D130">
        <f t="shared" ref="D130:D193" si="12">(B130/(C130)^0.5)</f>
        <v>29248.831711780644</v>
      </c>
      <c r="E130">
        <f t="shared" ref="E130:E193" si="13">D130/1000</f>
        <v>29.248831711780642</v>
      </c>
      <c r="F130" s="7">
        <v>0.15674362089914945</v>
      </c>
      <c r="G130">
        <f t="shared" si="8"/>
        <v>1</v>
      </c>
      <c r="H130" s="7">
        <f t="shared" si="9"/>
        <v>0.84325637910085049</v>
      </c>
      <c r="I130">
        <f t="shared" si="10"/>
        <v>5</v>
      </c>
      <c r="J130">
        <f>VLOOKUP(A130,'Housing Cost Calc'!$A$2:$C$827,3,FALSE)</f>
        <v>1230</v>
      </c>
      <c r="K130">
        <f t="shared" si="11"/>
        <v>0.5046355405045142</v>
      </c>
    </row>
    <row r="131" spans="1:11" ht="48" x14ac:dyDescent="0.2">
      <c r="A131" s="4" t="s">
        <v>3284</v>
      </c>
      <c r="B131">
        <v>46176</v>
      </c>
      <c r="C131">
        <v>2.4900000000000002</v>
      </c>
      <c r="D131">
        <f t="shared" si="12"/>
        <v>29262.850992218293</v>
      </c>
      <c r="E131">
        <f t="shared" si="13"/>
        <v>29.262850992218294</v>
      </c>
      <c r="F131" s="7">
        <v>0.15795868772782504</v>
      </c>
      <c r="G131">
        <f t="shared" ref="G131:G194" si="14">IF(F131&lt;0.2,1,IF(F131&lt;0.4,2,IF(F131&lt;0.6,3,IF(F131&lt;0.8,4,5))))</f>
        <v>1</v>
      </c>
      <c r="H131" s="7">
        <f t="shared" ref="H131:H194" si="15">1-F131</f>
        <v>0.84204131227217494</v>
      </c>
      <c r="I131">
        <f t="shared" ref="I131:I194" si="16">6-G131</f>
        <v>5</v>
      </c>
      <c r="J131">
        <f>VLOOKUP(A131,'Housing Cost Calc'!$A$2:$C$827,3,FALSE)</f>
        <v>1108</v>
      </c>
      <c r="K131">
        <f t="shared" ref="K131:K194" si="17">(J131*12)/D131</f>
        <v>0.45436447745763842</v>
      </c>
    </row>
    <row r="132" spans="1:11" ht="64" x14ac:dyDescent="0.2">
      <c r="A132" s="4" t="s">
        <v>3234</v>
      </c>
      <c r="B132">
        <v>42021</v>
      </c>
      <c r="C132">
        <v>2.06</v>
      </c>
      <c r="D132">
        <f t="shared" si="12"/>
        <v>29277.417993548064</v>
      </c>
      <c r="E132">
        <f t="shared" si="13"/>
        <v>29.277417993548063</v>
      </c>
      <c r="F132" s="7">
        <v>0.1591737545565006</v>
      </c>
      <c r="G132">
        <f t="shared" si="14"/>
        <v>1</v>
      </c>
      <c r="H132" s="7">
        <f t="shared" si="15"/>
        <v>0.84082624544349938</v>
      </c>
      <c r="I132">
        <f t="shared" si="16"/>
        <v>5</v>
      </c>
      <c r="J132">
        <f>VLOOKUP(A132,'Housing Cost Calc'!$A$2:$C$827,3,FALSE)</f>
        <v>1142</v>
      </c>
      <c r="K132">
        <f t="shared" si="17"/>
        <v>0.46807406319163747</v>
      </c>
    </row>
    <row r="133" spans="1:11" ht="64" x14ac:dyDescent="0.2">
      <c r="A133" s="4" t="s">
        <v>3290</v>
      </c>
      <c r="B133">
        <v>46326</v>
      </c>
      <c r="C133">
        <v>2.5</v>
      </c>
      <c r="D133">
        <f t="shared" si="12"/>
        <v>29299.134976992067</v>
      </c>
      <c r="E133">
        <f t="shared" si="13"/>
        <v>29.299134976992068</v>
      </c>
      <c r="F133" s="7">
        <v>0.16038882138517618</v>
      </c>
      <c r="G133">
        <f t="shared" si="14"/>
        <v>1</v>
      </c>
      <c r="H133" s="7">
        <f t="shared" si="15"/>
        <v>0.83961117861482382</v>
      </c>
      <c r="I133">
        <f t="shared" si="16"/>
        <v>5</v>
      </c>
      <c r="J133">
        <f>VLOOKUP(A133,'Housing Cost Calc'!$A$2:$C$827,3,FALSE)</f>
        <v>1172</v>
      </c>
      <c r="K133">
        <f t="shared" si="17"/>
        <v>0.48001417144376901</v>
      </c>
    </row>
    <row r="134" spans="1:11" ht="48" x14ac:dyDescent="0.2">
      <c r="A134" s="4" t="s">
        <v>3326</v>
      </c>
      <c r="B134">
        <v>49125</v>
      </c>
      <c r="C134">
        <v>2.8</v>
      </c>
      <c r="D134">
        <f t="shared" si="12"/>
        <v>29357.802716776045</v>
      </c>
      <c r="E134">
        <f t="shared" si="13"/>
        <v>29.357802716776046</v>
      </c>
      <c r="F134" s="7">
        <v>0.16160388821385177</v>
      </c>
      <c r="G134">
        <f t="shared" si="14"/>
        <v>1</v>
      </c>
      <c r="H134" s="7">
        <f t="shared" si="15"/>
        <v>0.83839611178614826</v>
      </c>
      <c r="I134">
        <f t="shared" si="16"/>
        <v>5</v>
      </c>
      <c r="J134">
        <f>VLOOKUP(A134,'Housing Cost Calc'!$A$2:$C$827,3,FALSE)</f>
        <v>1072</v>
      </c>
      <c r="K134">
        <f t="shared" si="17"/>
        <v>0.43817993206450268</v>
      </c>
    </row>
    <row r="135" spans="1:11" ht="48" x14ac:dyDescent="0.2">
      <c r="A135" s="4" t="s">
        <v>3260</v>
      </c>
      <c r="B135">
        <v>44015</v>
      </c>
      <c r="C135">
        <v>2.23</v>
      </c>
      <c r="D135">
        <f t="shared" si="12"/>
        <v>29474.624070979437</v>
      </c>
      <c r="E135">
        <f t="shared" si="13"/>
        <v>29.474624070979438</v>
      </c>
      <c r="F135" s="7">
        <v>0.16281895504252733</v>
      </c>
      <c r="G135">
        <f t="shared" si="14"/>
        <v>1</v>
      </c>
      <c r="H135" s="7">
        <f t="shared" si="15"/>
        <v>0.8371810449574727</v>
      </c>
      <c r="I135">
        <f t="shared" si="16"/>
        <v>5</v>
      </c>
      <c r="J135">
        <f>VLOOKUP(A135,'Housing Cost Calc'!$A$2:$C$827,3,FALSE)</f>
        <v>1189</v>
      </c>
      <c r="K135">
        <f t="shared" si="17"/>
        <v>0.48407742082275446</v>
      </c>
    </row>
    <row r="136" spans="1:11" ht="48" x14ac:dyDescent="0.2">
      <c r="A136" s="4" t="s">
        <v>3312</v>
      </c>
      <c r="B136">
        <v>48477</v>
      </c>
      <c r="C136">
        <v>2.69</v>
      </c>
      <c r="D136">
        <f t="shared" si="12"/>
        <v>29556.948553710539</v>
      </c>
      <c r="E136">
        <f t="shared" si="13"/>
        <v>29.556948553710541</v>
      </c>
      <c r="F136" s="7">
        <v>0.16403402187120292</v>
      </c>
      <c r="G136">
        <f t="shared" si="14"/>
        <v>1</v>
      </c>
      <c r="H136" s="7">
        <f t="shared" si="15"/>
        <v>0.83596597812879714</v>
      </c>
      <c r="I136">
        <f t="shared" si="16"/>
        <v>5</v>
      </c>
      <c r="J136">
        <f>VLOOKUP(A136,'Housing Cost Calc'!$A$2:$C$827,3,FALSE)</f>
        <v>1350</v>
      </c>
      <c r="K136">
        <f t="shared" si="17"/>
        <v>0.5480944682283948</v>
      </c>
    </row>
    <row r="137" spans="1:11" ht="48" x14ac:dyDescent="0.2">
      <c r="A137" s="4" t="s">
        <v>3304</v>
      </c>
      <c r="B137">
        <v>47183</v>
      </c>
      <c r="C137">
        <v>2.52</v>
      </c>
      <c r="D137">
        <f t="shared" si="12"/>
        <v>29722.49621665728</v>
      </c>
      <c r="E137">
        <f t="shared" si="13"/>
        <v>29.72249621665728</v>
      </c>
      <c r="F137" s="7">
        <v>0.1652490886998785</v>
      </c>
      <c r="G137">
        <f t="shared" si="14"/>
        <v>1</v>
      </c>
      <c r="H137" s="7">
        <f t="shared" si="15"/>
        <v>0.83475091130012147</v>
      </c>
      <c r="I137">
        <f t="shared" si="16"/>
        <v>5</v>
      </c>
      <c r="J137">
        <f>VLOOKUP(A137,'Housing Cost Calc'!$A$2:$C$827,3,FALSE)</f>
        <v>1210</v>
      </c>
      <c r="K137">
        <f t="shared" si="17"/>
        <v>0.48851886107273196</v>
      </c>
    </row>
    <row r="138" spans="1:11" ht="48" x14ac:dyDescent="0.2">
      <c r="A138" s="4" t="s">
        <v>3272</v>
      </c>
      <c r="B138">
        <v>45278</v>
      </c>
      <c r="C138">
        <v>2.2999999999999998</v>
      </c>
      <c r="D138">
        <f t="shared" si="12"/>
        <v>29855.429074414445</v>
      </c>
      <c r="E138">
        <f t="shared" si="13"/>
        <v>29.855429074414445</v>
      </c>
      <c r="F138" s="7">
        <v>0.16646415552855406</v>
      </c>
      <c r="G138">
        <f t="shared" si="14"/>
        <v>1</v>
      </c>
      <c r="H138" s="7">
        <f t="shared" si="15"/>
        <v>0.83353584447144591</v>
      </c>
      <c r="I138">
        <f t="shared" si="16"/>
        <v>5</v>
      </c>
      <c r="J138">
        <f>VLOOKUP(A138,'Housing Cost Calc'!$A$2:$C$827,3,FALSE)</f>
        <v>1049</v>
      </c>
      <c r="K138">
        <f t="shared" si="17"/>
        <v>0.42163185692707678</v>
      </c>
    </row>
    <row r="139" spans="1:11" ht="48" x14ac:dyDescent="0.2">
      <c r="A139" s="4" t="s">
        <v>3252</v>
      </c>
      <c r="B139">
        <v>43393</v>
      </c>
      <c r="C139">
        <v>2.1</v>
      </c>
      <c r="D139">
        <f t="shared" si="12"/>
        <v>29944.014816542774</v>
      </c>
      <c r="E139">
        <f t="shared" si="13"/>
        <v>29.944014816542776</v>
      </c>
      <c r="F139" s="7">
        <v>0.16767922235722965</v>
      </c>
      <c r="G139">
        <f t="shared" si="14"/>
        <v>1</v>
      </c>
      <c r="H139" s="7">
        <f t="shared" si="15"/>
        <v>0.83232077764277035</v>
      </c>
      <c r="I139">
        <f t="shared" si="16"/>
        <v>5</v>
      </c>
      <c r="J139">
        <f>VLOOKUP(A139,'Housing Cost Calc'!$A$2:$C$827,3,FALSE)</f>
        <v>1098</v>
      </c>
      <c r="K139">
        <f t="shared" si="17"/>
        <v>0.44002115550386478</v>
      </c>
    </row>
    <row r="140" spans="1:11" ht="48" x14ac:dyDescent="0.2">
      <c r="A140" s="4" t="s">
        <v>3355</v>
      </c>
      <c r="B140">
        <v>50915</v>
      </c>
      <c r="C140">
        <v>2.88</v>
      </c>
      <c r="D140">
        <f t="shared" si="12"/>
        <v>30001.951470094224</v>
      </c>
      <c r="E140">
        <f t="shared" si="13"/>
        <v>30.001951470094223</v>
      </c>
      <c r="F140" s="7">
        <v>0.16889428918590524</v>
      </c>
      <c r="G140">
        <f t="shared" si="14"/>
        <v>1</v>
      </c>
      <c r="H140" s="7">
        <f t="shared" si="15"/>
        <v>0.83110571081409479</v>
      </c>
      <c r="I140">
        <f t="shared" si="16"/>
        <v>5</v>
      </c>
      <c r="J140">
        <f>VLOOKUP(A140,'Housing Cost Calc'!$A$2:$C$827,3,FALSE)</f>
        <v>1269</v>
      </c>
      <c r="K140">
        <f t="shared" si="17"/>
        <v>0.50756698327371086</v>
      </c>
    </row>
    <row r="141" spans="1:11" ht="64" x14ac:dyDescent="0.2">
      <c r="A141" s="4" t="s">
        <v>3300</v>
      </c>
      <c r="B141">
        <v>46801</v>
      </c>
      <c r="C141">
        <v>2.4300000000000002</v>
      </c>
      <c r="D141">
        <f t="shared" si="12"/>
        <v>30022.855498159639</v>
      </c>
      <c r="E141">
        <f t="shared" si="13"/>
        <v>30.02285549815964</v>
      </c>
      <c r="F141" s="7">
        <v>0.1701093560145808</v>
      </c>
      <c r="G141">
        <f t="shared" si="14"/>
        <v>1</v>
      </c>
      <c r="H141" s="7">
        <f t="shared" si="15"/>
        <v>0.82989064398541923</v>
      </c>
      <c r="I141">
        <f t="shared" si="16"/>
        <v>5</v>
      </c>
      <c r="J141">
        <f>VLOOKUP(A141,'Housing Cost Calc'!$A$2:$C$827,3,FALSE)</f>
        <v>1073</v>
      </c>
      <c r="K141">
        <f t="shared" si="17"/>
        <v>0.42887326293094546</v>
      </c>
    </row>
    <row r="142" spans="1:11" ht="48" x14ac:dyDescent="0.2">
      <c r="A142" s="4" t="s">
        <v>3228</v>
      </c>
      <c r="B142">
        <v>41477</v>
      </c>
      <c r="C142">
        <v>1.9</v>
      </c>
      <c r="D142">
        <f t="shared" si="12"/>
        <v>30090.578425812957</v>
      </c>
      <c r="E142">
        <f t="shared" si="13"/>
        <v>30.090578425812957</v>
      </c>
      <c r="F142" s="7">
        <v>0.17132442284325639</v>
      </c>
      <c r="G142">
        <f t="shared" si="14"/>
        <v>1</v>
      </c>
      <c r="H142" s="7">
        <f t="shared" si="15"/>
        <v>0.82867557715674356</v>
      </c>
      <c r="I142">
        <f t="shared" si="16"/>
        <v>5</v>
      </c>
      <c r="J142">
        <f>VLOOKUP(A142,'Housing Cost Calc'!$A$2:$C$827,3,FALSE)</f>
        <v>1263</v>
      </c>
      <c r="K142">
        <f t="shared" si="17"/>
        <v>0.50367925087802734</v>
      </c>
    </row>
    <row r="143" spans="1:11" ht="64" x14ac:dyDescent="0.2">
      <c r="A143" s="4" t="s">
        <v>3256</v>
      </c>
      <c r="B143">
        <v>43716</v>
      </c>
      <c r="C143">
        <v>2.1</v>
      </c>
      <c r="D143">
        <f t="shared" si="12"/>
        <v>30166.905992210355</v>
      </c>
      <c r="E143">
        <f t="shared" si="13"/>
        <v>30.166905992210356</v>
      </c>
      <c r="F143" s="7">
        <v>0.17253948967193194</v>
      </c>
      <c r="G143">
        <f t="shared" si="14"/>
        <v>1</v>
      </c>
      <c r="H143" s="7">
        <f t="shared" si="15"/>
        <v>0.82746051032806811</v>
      </c>
      <c r="I143">
        <f t="shared" si="16"/>
        <v>5</v>
      </c>
      <c r="J143">
        <f>VLOOKUP(A143,'Housing Cost Calc'!$A$2:$C$827,3,FALSE)</f>
        <v>977</v>
      </c>
      <c r="K143">
        <f t="shared" si="17"/>
        <v>0.3886378007418908</v>
      </c>
    </row>
    <row r="144" spans="1:11" ht="64" x14ac:dyDescent="0.2">
      <c r="A144" s="4" t="s">
        <v>3316</v>
      </c>
      <c r="B144">
        <v>48519</v>
      </c>
      <c r="C144">
        <v>2.56</v>
      </c>
      <c r="D144">
        <f t="shared" si="12"/>
        <v>30324.375</v>
      </c>
      <c r="E144">
        <f t="shared" si="13"/>
        <v>30.324375</v>
      </c>
      <c r="F144" s="7">
        <v>0.17375455650060753</v>
      </c>
      <c r="G144">
        <f t="shared" si="14"/>
        <v>1</v>
      </c>
      <c r="H144" s="7">
        <f t="shared" si="15"/>
        <v>0.82624544349939244</v>
      </c>
      <c r="I144">
        <f t="shared" si="16"/>
        <v>5</v>
      </c>
      <c r="J144">
        <f>VLOOKUP(A144,'Housing Cost Calc'!$A$2:$C$827,3,FALSE)</f>
        <v>1124</v>
      </c>
      <c r="K144">
        <f t="shared" si="17"/>
        <v>0.4447907005502999</v>
      </c>
    </row>
    <row r="145" spans="1:11" ht="48" x14ac:dyDescent="0.2">
      <c r="A145" s="4" t="s">
        <v>3330</v>
      </c>
      <c r="B145">
        <v>49309</v>
      </c>
      <c r="C145">
        <v>2.64</v>
      </c>
      <c r="D145">
        <f t="shared" si="12"/>
        <v>30347.591643499589</v>
      </c>
      <c r="E145">
        <f t="shared" si="13"/>
        <v>30.347591643499587</v>
      </c>
      <c r="F145" s="7">
        <v>0.17496962332928312</v>
      </c>
      <c r="G145">
        <f t="shared" si="14"/>
        <v>1</v>
      </c>
      <c r="H145" s="7">
        <f t="shared" si="15"/>
        <v>0.82503037667071688</v>
      </c>
      <c r="I145">
        <f t="shared" si="16"/>
        <v>5</v>
      </c>
      <c r="J145">
        <f>VLOOKUP(A145,'Housing Cost Calc'!$A$2:$C$827,3,FALSE)</f>
        <v>1259</v>
      </c>
      <c r="K145">
        <f t="shared" si="17"/>
        <v>0.49783192608748944</v>
      </c>
    </row>
    <row r="146" spans="1:11" ht="48" x14ac:dyDescent="0.2">
      <c r="A146" s="4" t="s">
        <v>3363</v>
      </c>
      <c r="B146">
        <v>51489</v>
      </c>
      <c r="C146">
        <v>2.87</v>
      </c>
      <c r="D146">
        <f t="shared" si="12"/>
        <v>30392.995714502089</v>
      </c>
      <c r="E146">
        <f t="shared" si="13"/>
        <v>30.392995714502089</v>
      </c>
      <c r="F146" s="7">
        <v>0.17618469015795868</v>
      </c>
      <c r="G146">
        <f t="shared" si="14"/>
        <v>1</v>
      </c>
      <c r="H146" s="7">
        <f t="shared" si="15"/>
        <v>0.82381530984204132</v>
      </c>
      <c r="I146">
        <f t="shared" si="16"/>
        <v>5</v>
      </c>
      <c r="J146">
        <f>VLOOKUP(A146,'Housing Cost Calc'!$A$2:$C$827,3,FALSE)</f>
        <v>1400</v>
      </c>
      <c r="K146">
        <f t="shared" si="17"/>
        <v>0.55275893688833844</v>
      </c>
    </row>
    <row r="147" spans="1:11" ht="48" x14ac:dyDescent="0.2">
      <c r="A147" s="4" t="s">
        <v>3343</v>
      </c>
      <c r="B147">
        <v>50000</v>
      </c>
      <c r="C147">
        <v>2.67</v>
      </c>
      <c r="D147">
        <f t="shared" si="12"/>
        <v>30599.50306810523</v>
      </c>
      <c r="E147">
        <f t="shared" si="13"/>
        <v>30.599503068105232</v>
      </c>
      <c r="F147" s="7">
        <v>0.17739975698663427</v>
      </c>
      <c r="G147">
        <f t="shared" si="14"/>
        <v>1</v>
      </c>
      <c r="H147" s="7">
        <f t="shared" si="15"/>
        <v>0.82260024301336576</v>
      </c>
      <c r="I147">
        <f t="shared" si="16"/>
        <v>5</v>
      </c>
      <c r="J147">
        <f>VLOOKUP(A147,'Housing Cost Calc'!$A$2:$C$827,3,FALSE)</f>
        <v>1359</v>
      </c>
      <c r="K147">
        <f t="shared" si="17"/>
        <v>0.53294983136501695</v>
      </c>
    </row>
    <row r="148" spans="1:11" ht="48" x14ac:dyDescent="0.2">
      <c r="A148" s="4" t="s">
        <v>3280</v>
      </c>
      <c r="B148">
        <v>45903</v>
      </c>
      <c r="C148">
        <v>2.25</v>
      </c>
      <c r="D148">
        <f t="shared" si="12"/>
        <v>30602</v>
      </c>
      <c r="E148">
        <f t="shared" si="13"/>
        <v>30.602</v>
      </c>
      <c r="F148" s="7">
        <v>0.17861482381530985</v>
      </c>
      <c r="G148">
        <f t="shared" si="14"/>
        <v>1</v>
      </c>
      <c r="H148" s="7">
        <f t="shared" si="15"/>
        <v>0.8213851761846902</v>
      </c>
      <c r="I148">
        <f t="shared" si="16"/>
        <v>5</v>
      </c>
      <c r="J148">
        <f>VLOOKUP(A148,'Housing Cost Calc'!$A$2:$C$827,3,FALSE)</f>
        <v>993</v>
      </c>
      <c r="K148">
        <f t="shared" si="17"/>
        <v>0.38938631461995948</v>
      </c>
    </row>
    <row r="149" spans="1:11" ht="48" x14ac:dyDescent="0.2">
      <c r="A149" s="4" t="s">
        <v>3286</v>
      </c>
      <c r="B149">
        <v>46184</v>
      </c>
      <c r="C149">
        <v>2.2599999999999998</v>
      </c>
      <c r="D149">
        <f t="shared" si="12"/>
        <v>30721.139820299755</v>
      </c>
      <c r="E149">
        <f t="shared" si="13"/>
        <v>30.721139820299754</v>
      </c>
      <c r="F149" s="7">
        <v>0.17982989064398541</v>
      </c>
      <c r="G149">
        <f t="shared" si="14"/>
        <v>1</v>
      </c>
      <c r="H149" s="7">
        <f t="shared" si="15"/>
        <v>0.82017010935601453</v>
      </c>
      <c r="I149">
        <f t="shared" si="16"/>
        <v>5</v>
      </c>
      <c r="J149">
        <f>VLOOKUP(A149,'Housing Cost Calc'!$A$2:$C$827,3,FALSE)</f>
        <v>1164</v>
      </c>
      <c r="K149">
        <f t="shared" si="17"/>
        <v>0.4546706301167347</v>
      </c>
    </row>
    <row r="150" spans="1:11" ht="48" x14ac:dyDescent="0.2">
      <c r="A150" s="4" t="s">
        <v>3462</v>
      </c>
      <c r="B150">
        <v>58516</v>
      </c>
      <c r="C150">
        <v>3.62</v>
      </c>
      <c r="D150">
        <f t="shared" si="12"/>
        <v>30755.326790116389</v>
      </c>
      <c r="E150">
        <f t="shared" si="13"/>
        <v>30.755326790116388</v>
      </c>
      <c r="F150" s="7">
        <v>0.181044957472661</v>
      </c>
      <c r="G150">
        <f t="shared" si="14"/>
        <v>1</v>
      </c>
      <c r="H150" s="7">
        <f t="shared" si="15"/>
        <v>0.81895504252733897</v>
      </c>
      <c r="I150">
        <f t="shared" si="16"/>
        <v>5</v>
      </c>
      <c r="J150">
        <f>VLOOKUP(A150,'Housing Cost Calc'!$A$2:$C$827,3,FALSE)</f>
        <v>1264</v>
      </c>
      <c r="K150">
        <f t="shared" si="17"/>
        <v>0.49318285913562226</v>
      </c>
    </row>
    <row r="151" spans="1:11" ht="48" x14ac:dyDescent="0.2">
      <c r="A151" s="4" t="s">
        <v>3379</v>
      </c>
      <c r="B151">
        <v>52917</v>
      </c>
      <c r="C151">
        <v>2.95</v>
      </c>
      <c r="D151">
        <f t="shared" si="12"/>
        <v>30809.468547889461</v>
      </c>
      <c r="E151">
        <f t="shared" si="13"/>
        <v>30.809468547889459</v>
      </c>
      <c r="F151" s="7">
        <v>0.18226002430133659</v>
      </c>
      <c r="G151">
        <f t="shared" si="14"/>
        <v>1</v>
      </c>
      <c r="H151" s="7">
        <f t="shared" si="15"/>
        <v>0.81773997569866341</v>
      </c>
      <c r="I151">
        <f t="shared" si="16"/>
        <v>5</v>
      </c>
      <c r="J151">
        <f>VLOOKUP(A151,'Housing Cost Calc'!$A$2:$C$827,3,FALSE)</f>
        <v>1497</v>
      </c>
      <c r="K151">
        <f t="shared" si="17"/>
        <v>0.58306750640885652</v>
      </c>
    </row>
    <row r="152" spans="1:11" ht="64" x14ac:dyDescent="0.2">
      <c r="A152" s="4" t="s">
        <v>3322</v>
      </c>
      <c r="B152">
        <v>48981</v>
      </c>
      <c r="C152">
        <v>2.52</v>
      </c>
      <c r="D152">
        <f t="shared" si="12"/>
        <v>30855.129754108264</v>
      </c>
      <c r="E152">
        <f t="shared" si="13"/>
        <v>30.855129754108265</v>
      </c>
      <c r="F152" s="7">
        <v>0.18347509113001215</v>
      </c>
      <c r="G152">
        <f t="shared" si="14"/>
        <v>1</v>
      </c>
      <c r="H152" s="7">
        <f t="shared" si="15"/>
        <v>0.81652490886998785</v>
      </c>
      <c r="I152">
        <f t="shared" si="16"/>
        <v>5</v>
      </c>
      <c r="J152">
        <f>VLOOKUP(A152,'Housing Cost Calc'!$A$2:$C$827,3,FALSE)</f>
        <v>1052</v>
      </c>
      <c r="K152">
        <f t="shared" si="17"/>
        <v>0.40913780303643527</v>
      </c>
    </row>
    <row r="153" spans="1:11" ht="48" x14ac:dyDescent="0.2">
      <c r="A153" s="4" t="s">
        <v>3367</v>
      </c>
      <c r="B153">
        <v>52352</v>
      </c>
      <c r="C153">
        <v>2.87</v>
      </c>
      <c r="D153">
        <f t="shared" si="12"/>
        <v>30902.408507557211</v>
      </c>
      <c r="E153">
        <f t="shared" si="13"/>
        <v>30.902408507557212</v>
      </c>
      <c r="F153" s="7">
        <v>0.18469015795868773</v>
      </c>
      <c r="G153">
        <f t="shared" si="14"/>
        <v>1</v>
      </c>
      <c r="H153" s="7">
        <f t="shared" si="15"/>
        <v>0.81530984204131229</v>
      </c>
      <c r="I153">
        <f t="shared" si="16"/>
        <v>5</v>
      </c>
      <c r="J153">
        <f>VLOOKUP(A153,'Housing Cost Calc'!$A$2:$C$827,3,FALSE)</f>
        <v>1418</v>
      </c>
      <c r="K153">
        <f t="shared" si="17"/>
        <v>0.55063669214775679</v>
      </c>
    </row>
    <row r="154" spans="1:11" ht="64" x14ac:dyDescent="0.2">
      <c r="A154" s="4" t="s">
        <v>3345</v>
      </c>
      <c r="B154">
        <v>50000</v>
      </c>
      <c r="C154">
        <v>2.61</v>
      </c>
      <c r="D154">
        <f t="shared" si="12"/>
        <v>30949.223029508645</v>
      </c>
      <c r="E154">
        <f t="shared" si="13"/>
        <v>30.949223029508644</v>
      </c>
      <c r="F154" s="7">
        <v>0.18590522478736329</v>
      </c>
      <c r="G154">
        <f t="shared" si="14"/>
        <v>1</v>
      </c>
      <c r="H154" s="7">
        <f t="shared" si="15"/>
        <v>0.81409477521263673</v>
      </c>
      <c r="I154">
        <f t="shared" si="16"/>
        <v>5</v>
      </c>
      <c r="J154">
        <f>VLOOKUP(A154,'Housing Cost Calc'!$A$2:$C$827,3,FALSE)</f>
        <v>1248</v>
      </c>
      <c r="K154">
        <f t="shared" si="17"/>
        <v>0.48388936890987799</v>
      </c>
    </row>
    <row r="155" spans="1:11" ht="48" x14ac:dyDescent="0.2">
      <c r="A155" s="4" t="s">
        <v>3324</v>
      </c>
      <c r="B155">
        <v>49074</v>
      </c>
      <c r="C155">
        <v>2.5099999999999998</v>
      </c>
      <c r="D155">
        <f t="shared" si="12"/>
        <v>30975.234137621595</v>
      </c>
      <c r="E155">
        <f t="shared" si="13"/>
        <v>30.975234137621594</v>
      </c>
      <c r="F155" s="7">
        <v>0.18712029161603888</v>
      </c>
      <c r="G155">
        <f t="shared" si="14"/>
        <v>1</v>
      </c>
      <c r="H155" s="7">
        <f t="shared" si="15"/>
        <v>0.81287970838396117</v>
      </c>
      <c r="I155">
        <f t="shared" si="16"/>
        <v>5</v>
      </c>
      <c r="J155">
        <f>VLOOKUP(A155,'Housing Cost Calc'!$A$2:$C$827,3,FALSE)</f>
        <v>1170</v>
      </c>
      <c r="K155">
        <f t="shared" si="17"/>
        <v>0.45326533893564452</v>
      </c>
    </row>
    <row r="156" spans="1:11" ht="48" x14ac:dyDescent="0.2">
      <c r="A156" s="4" t="s">
        <v>3357</v>
      </c>
      <c r="B156">
        <v>51094</v>
      </c>
      <c r="C156">
        <v>2.72</v>
      </c>
      <c r="D156">
        <f t="shared" si="12"/>
        <v>30980.288064015993</v>
      </c>
      <c r="E156">
        <f t="shared" si="13"/>
        <v>30.980288064015994</v>
      </c>
      <c r="F156" s="7">
        <v>0.18833535844471447</v>
      </c>
      <c r="G156">
        <f t="shared" si="14"/>
        <v>1</v>
      </c>
      <c r="H156" s="7">
        <f t="shared" si="15"/>
        <v>0.8116646415552855</v>
      </c>
      <c r="I156">
        <f t="shared" si="16"/>
        <v>5</v>
      </c>
      <c r="J156">
        <f>VLOOKUP(A156,'Housing Cost Calc'!$A$2:$C$827,3,FALSE)</f>
        <v>1131</v>
      </c>
      <c r="K156">
        <f t="shared" si="17"/>
        <v>0.43808501625148072</v>
      </c>
    </row>
    <row r="157" spans="1:11" ht="48" x14ac:dyDescent="0.2">
      <c r="A157" s="4" t="s">
        <v>3377</v>
      </c>
      <c r="B157">
        <v>52909</v>
      </c>
      <c r="C157">
        <v>2.89</v>
      </c>
      <c r="D157">
        <f t="shared" si="12"/>
        <v>31122.941176470587</v>
      </c>
      <c r="E157">
        <f t="shared" si="13"/>
        <v>31.122941176470587</v>
      </c>
      <c r="F157" s="7">
        <v>0.18955042527339003</v>
      </c>
      <c r="G157">
        <f t="shared" si="14"/>
        <v>1</v>
      </c>
      <c r="H157" s="7">
        <f t="shared" si="15"/>
        <v>0.81044957472660994</v>
      </c>
      <c r="I157">
        <f t="shared" si="16"/>
        <v>5</v>
      </c>
      <c r="J157">
        <f>VLOOKUP(A157,'Housing Cost Calc'!$A$2:$C$827,3,FALSE)</f>
        <v>1386</v>
      </c>
      <c r="K157">
        <f t="shared" si="17"/>
        <v>0.53439679449621047</v>
      </c>
    </row>
    <row r="158" spans="1:11" ht="48" x14ac:dyDescent="0.2">
      <c r="A158" s="4" t="s">
        <v>3292</v>
      </c>
      <c r="B158">
        <v>46429</v>
      </c>
      <c r="C158">
        <v>2.2200000000000002</v>
      </c>
      <c r="D158">
        <f t="shared" si="12"/>
        <v>31161.104487531935</v>
      </c>
      <c r="E158">
        <f t="shared" si="13"/>
        <v>31.161104487531937</v>
      </c>
      <c r="F158" s="7">
        <v>0.19076549210206561</v>
      </c>
      <c r="G158">
        <f t="shared" si="14"/>
        <v>1</v>
      </c>
      <c r="H158" s="7">
        <f t="shared" si="15"/>
        <v>0.80923450789793439</v>
      </c>
      <c r="I158">
        <f t="shared" si="16"/>
        <v>5</v>
      </c>
      <c r="J158">
        <f>VLOOKUP(A158,'Housing Cost Calc'!$A$2:$C$827,3,FALSE)</f>
        <v>1233</v>
      </c>
      <c r="K158">
        <f t="shared" si="17"/>
        <v>0.47482270745313665</v>
      </c>
    </row>
    <row r="159" spans="1:11" ht="48" x14ac:dyDescent="0.2">
      <c r="A159" s="4" t="s">
        <v>3302</v>
      </c>
      <c r="B159">
        <v>47036</v>
      </c>
      <c r="C159">
        <v>2.2599999999999998</v>
      </c>
      <c r="D159">
        <f t="shared" si="12"/>
        <v>31287.88178996231</v>
      </c>
      <c r="E159">
        <f t="shared" si="13"/>
        <v>31.287881789962309</v>
      </c>
      <c r="F159" s="7">
        <v>0.1919805589307412</v>
      </c>
      <c r="G159">
        <f t="shared" si="14"/>
        <v>1</v>
      </c>
      <c r="H159" s="7">
        <f t="shared" si="15"/>
        <v>0.80801944106925883</v>
      </c>
      <c r="I159">
        <f t="shared" si="16"/>
        <v>5</v>
      </c>
      <c r="J159">
        <f>VLOOKUP(A159,'Housing Cost Calc'!$A$2:$C$827,3,FALSE)</f>
        <v>1102</v>
      </c>
      <c r="K159">
        <f t="shared" si="17"/>
        <v>0.42265564951867357</v>
      </c>
    </row>
    <row r="160" spans="1:11" ht="48" x14ac:dyDescent="0.2">
      <c r="A160" s="4" t="s">
        <v>3334</v>
      </c>
      <c r="B160">
        <v>49402</v>
      </c>
      <c r="C160">
        <v>2.4900000000000002</v>
      </c>
      <c r="D160">
        <f t="shared" si="12"/>
        <v>31307.245424410259</v>
      </c>
      <c r="E160">
        <f t="shared" si="13"/>
        <v>31.307245424410258</v>
      </c>
      <c r="F160" s="7">
        <v>0.19319562575941676</v>
      </c>
      <c r="G160">
        <f t="shared" si="14"/>
        <v>1</v>
      </c>
      <c r="H160" s="7">
        <f t="shared" si="15"/>
        <v>0.80680437424058327</v>
      </c>
      <c r="I160">
        <f t="shared" si="16"/>
        <v>5</v>
      </c>
      <c r="J160">
        <f>VLOOKUP(A160,'Housing Cost Calc'!$A$2:$C$827,3,FALSE)</f>
        <v>1641</v>
      </c>
      <c r="K160">
        <f t="shared" si="17"/>
        <v>0.62899177915685123</v>
      </c>
    </row>
    <row r="161" spans="1:11" ht="48" x14ac:dyDescent="0.2">
      <c r="A161" s="4" t="s">
        <v>3395</v>
      </c>
      <c r="B161">
        <v>53607</v>
      </c>
      <c r="C161">
        <v>2.93</v>
      </c>
      <c r="D161">
        <f t="shared" si="12"/>
        <v>31317.543791727308</v>
      </c>
      <c r="E161">
        <f t="shared" si="13"/>
        <v>31.31754379172731</v>
      </c>
      <c r="F161" s="7">
        <v>0.19441069258809235</v>
      </c>
      <c r="G161">
        <f t="shared" si="14"/>
        <v>1</v>
      </c>
      <c r="H161" s="7">
        <f t="shared" si="15"/>
        <v>0.8055893074119076</v>
      </c>
      <c r="I161">
        <f t="shared" si="16"/>
        <v>5</v>
      </c>
      <c r="J161">
        <f>VLOOKUP(A161,'Housing Cost Calc'!$A$2:$C$827,3,FALSE)</f>
        <v>1342</v>
      </c>
      <c r="K161">
        <f t="shared" si="17"/>
        <v>0.51421657161549028</v>
      </c>
    </row>
    <row r="162" spans="1:11" ht="48" x14ac:dyDescent="0.2">
      <c r="A162" s="4" t="s">
        <v>3320</v>
      </c>
      <c r="B162">
        <v>48824</v>
      </c>
      <c r="C162">
        <v>2.42</v>
      </c>
      <c r="D162">
        <f t="shared" si="12"/>
        <v>31385.255895138176</v>
      </c>
      <c r="E162">
        <f t="shared" si="13"/>
        <v>31.385255895138176</v>
      </c>
      <c r="F162" s="7">
        <v>0.19562575941676794</v>
      </c>
      <c r="G162">
        <f t="shared" si="14"/>
        <v>1</v>
      </c>
      <c r="H162" s="7">
        <f t="shared" si="15"/>
        <v>0.80437424058323204</v>
      </c>
      <c r="I162">
        <f t="shared" si="16"/>
        <v>5</v>
      </c>
      <c r="J162">
        <f>VLOOKUP(A162,'Housing Cost Calc'!$A$2:$C$827,3,FALSE)</f>
        <v>1157</v>
      </c>
      <c r="K162">
        <f t="shared" si="17"/>
        <v>0.44237332479900987</v>
      </c>
    </row>
    <row r="163" spans="1:11" ht="48" x14ac:dyDescent="0.2">
      <c r="A163" s="4" t="s">
        <v>3258</v>
      </c>
      <c r="B163">
        <v>43750</v>
      </c>
      <c r="C163">
        <v>1.9</v>
      </c>
      <c r="D163">
        <f t="shared" si="12"/>
        <v>31739.585942313013</v>
      </c>
      <c r="E163">
        <f t="shared" si="13"/>
        <v>31.739585942313013</v>
      </c>
      <c r="F163" s="7">
        <v>0.1968408262454435</v>
      </c>
      <c r="G163">
        <f t="shared" si="14"/>
        <v>1</v>
      </c>
      <c r="H163" s="7">
        <f t="shared" si="15"/>
        <v>0.80315917375455648</v>
      </c>
      <c r="I163">
        <f t="shared" si="16"/>
        <v>5</v>
      </c>
      <c r="J163">
        <f>VLOOKUP(A163,'Housing Cost Calc'!$A$2:$C$827,3,FALSE)</f>
        <v>958</v>
      </c>
      <c r="K163">
        <f t="shared" si="17"/>
        <v>0.36219754160920953</v>
      </c>
    </row>
    <row r="164" spans="1:11" ht="48" x14ac:dyDescent="0.2">
      <c r="A164" s="4" t="s">
        <v>3337</v>
      </c>
      <c r="B164">
        <v>49583</v>
      </c>
      <c r="C164">
        <v>2.44</v>
      </c>
      <c r="D164">
        <f t="shared" si="12"/>
        <v>31742.263088563905</v>
      </c>
      <c r="E164">
        <f t="shared" si="13"/>
        <v>31.742263088563906</v>
      </c>
      <c r="F164" s="7">
        <v>0.19805589307411908</v>
      </c>
      <c r="G164">
        <f t="shared" si="14"/>
        <v>1</v>
      </c>
      <c r="H164" s="7">
        <f t="shared" si="15"/>
        <v>0.80194410692588092</v>
      </c>
      <c r="I164">
        <f t="shared" si="16"/>
        <v>5</v>
      </c>
      <c r="J164">
        <f>VLOOKUP(A164,'Housing Cost Calc'!$A$2:$C$827,3,FALSE)</f>
        <v>1087</v>
      </c>
      <c r="K164">
        <f t="shared" si="17"/>
        <v>0.41093478318184218</v>
      </c>
    </row>
    <row r="165" spans="1:11" ht="48" x14ac:dyDescent="0.2">
      <c r="A165" s="4" t="s">
        <v>3411</v>
      </c>
      <c r="B165">
        <v>54280</v>
      </c>
      <c r="C165">
        <v>2.9</v>
      </c>
      <c r="D165">
        <f t="shared" si="12"/>
        <v>31874.313515258109</v>
      </c>
      <c r="E165">
        <f t="shared" si="13"/>
        <v>31.874313515258109</v>
      </c>
      <c r="F165" s="7">
        <v>0.19927095990279464</v>
      </c>
      <c r="G165">
        <f t="shared" si="14"/>
        <v>1</v>
      </c>
      <c r="H165" s="7">
        <f t="shared" si="15"/>
        <v>0.80072904009720536</v>
      </c>
      <c r="I165">
        <f t="shared" si="16"/>
        <v>5</v>
      </c>
      <c r="J165">
        <f>VLOOKUP(A165,'Housing Cost Calc'!$A$2:$C$827,3,FALSE)</f>
        <v>1185</v>
      </c>
      <c r="K165">
        <f t="shared" si="17"/>
        <v>0.44612725520168273</v>
      </c>
    </row>
    <row r="166" spans="1:11" ht="48" x14ac:dyDescent="0.2">
      <c r="A166" s="4" t="s">
        <v>3375</v>
      </c>
      <c r="B166">
        <v>52860</v>
      </c>
      <c r="C166">
        <v>2.74</v>
      </c>
      <c r="D166">
        <f t="shared" si="12"/>
        <v>31933.893853433154</v>
      </c>
      <c r="E166">
        <f t="shared" si="13"/>
        <v>31.933893853433155</v>
      </c>
      <c r="F166" s="7">
        <v>0.20048602673147023</v>
      </c>
      <c r="G166">
        <f t="shared" si="14"/>
        <v>2</v>
      </c>
      <c r="H166" s="7">
        <f t="shared" si="15"/>
        <v>0.7995139732685298</v>
      </c>
      <c r="I166">
        <f t="shared" si="16"/>
        <v>4</v>
      </c>
      <c r="J166">
        <f>VLOOKUP(A166,'Housing Cost Calc'!$A$2:$C$827,3,FALSE)</f>
        <v>1123</v>
      </c>
      <c r="K166">
        <f t="shared" si="17"/>
        <v>0.42199676813140091</v>
      </c>
    </row>
    <row r="167" spans="1:11" ht="64" x14ac:dyDescent="0.2">
      <c r="A167" s="4" t="s">
        <v>3328</v>
      </c>
      <c r="B167">
        <v>49183</v>
      </c>
      <c r="C167">
        <v>2.37</v>
      </c>
      <c r="D167">
        <f t="shared" si="12"/>
        <v>31947.791594470389</v>
      </c>
      <c r="E167">
        <f t="shared" si="13"/>
        <v>31.947791594470388</v>
      </c>
      <c r="F167" s="7">
        <v>0.20170109356014582</v>
      </c>
      <c r="G167">
        <f t="shared" si="14"/>
        <v>2</v>
      </c>
      <c r="H167" s="7">
        <f t="shared" si="15"/>
        <v>0.79829890643985424</v>
      </c>
      <c r="I167">
        <f t="shared" si="16"/>
        <v>4</v>
      </c>
      <c r="J167">
        <f>VLOOKUP(A167,'Housing Cost Calc'!$A$2:$C$827,3,FALSE)</f>
        <v>1165</v>
      </c>
      <c r="K167">
        <f t="shared" si="17"/>
        <v>0.43758893188785219</v>
      </c>
    </row>
    <row r="168" spans="1:11" ht="48" x14ac:dyDescent="0.2">
      <c r="A168" s="4" t="s">
        <v>3365</v>
      </c>
      <c r="B168">
        <v>51875</v>
      </c>
      <c r="C168">
        <v>2.57</v>
      </c>
      <c r="D168">
        <f t="shared" si="12"/>
        <v>32358.735942999905</v>
      </c>
      <c r="E168">
        <f t="shared" si="13"/>
        <v>32.358735942999907</v>
      </c>
      <c r="F168" s="7">
        <v>0.20291616038882138</v>
      </c>
      <c r="G168">
        <f t="shared" si="14"/>
        <v>2</v>
      </c>
      <c r="H168" s="7">
        <f t="shared" si="15"/>
        <v>0.79708383961117857</v>
      </c>
      <c r="I168">
        <f t="shared" si="16"/>
        <v>4</v>
      </c>
      <c r="J168">
        <f>VLOOKUP(A168,'Housing Cost Calc'!$A$2:$C$827,3,FALSE)</f>
        <v>1494</v>
      </c>
      <c r="K168">
        <f t="shared" si="17"/>
        <v>0.5540389473674211</v>
      </c>
    </row>
    <row r="169" spans="1:11" ht="64" x14ac:dyDescent="0.2">
      <c r="A169" s="4" t="s">
        <v>3353</v>
      </c>
      <c r="B169">
        <v>50799</v>
      </c>
      <c r="C169">
        <v>2.46</v>
      </c>
      <c r="D169">
        <f t="shared" si="12"/>
        <v>32388.259446904522</v>
      </c>
      <c r="E169">
        <f t="shared" si="13"/>
        <v>32.38825944690452</v>
      </c>
      <c r="F169" s="7">
        <v>0.20413122721749696</v>
      </c>
      <c r="G169">
        <f t="shared" si="14"/>
        <v>2</v>
      </c>
      <c r="H169" s="7">
        <f t="shared" si="15"/>
        <v>0.79586877278250301</v>
      </c>
      <c r="I169">
        <f t="shared" si="16"/>
        <v>4</v>
      </c>
      <c r="J169">
        <f>VLOOKUP(A169,'Housing Cost Calc'!$A$2:$C$827,3,FALSE)</f>
        <v>1107</v>
      </c>
      <c r="K169">
        <f t="shared" si="17"/>
        <v>0.41014862258273055</v>
      </c>
    </row>
    <row r="170" spans="1:11" ht="48" x14ac:dyDescent="0.2">
      <c r="A170" s="4" t="s">
        <v>3129</v>
      </c>
      <c r="B170">
        <v>49446</v>
      </c>
      <c r="C170">
        <v>2.31</v>
      </c>
      <c r="D170">
        <f t="shared" si="12"/>
        <v>32533.07950898074</v>
      </c>
      <c r="E170">
        <f t="shared" si="13"/>
        <v>32.533079508980741</v>
      </c>
      <c r="F170" s="7">
        <v>0.20534629404617255</v>
      </c>
      <c r="G170">
        <f t="shared" si="14"/>
        <v>2</v>
      </c>
      <c r="H170" s="7">
        <f t="shared" si="15"/>
        <v>0.79465370595382745</v>
      </c>
      <c r="I170">
        <f t="shared" si="16"/>
        <v>4</v>
      </c>
      <c r="J170">
        <f>VLOOKUP(A170,'Housing Cost Calc'!$A$2:$C$827,3,FALSE)</f>
        <v>730</v>
      </c>
      <c r="K170">
        <f t="shared" si="17"/>
        <v>0.26926439587687379</v>
      </c>
    </row>
    <row r="171" spans="1:11" ht="48" x14ac:dyDescent="0.2">
      <c r="A171" s="4" t="s">
        <v>3427</v>
      </c>
      <c r="B171">
        <v>56292</v>
      </c>
      <c r="C171">
        <v>2.99</v>
      </c>
      <c r="D171">
        <f t="shared" si="12"/>
        <v>32554.504150243596</v>
      </c>
      <c r="E171">
        <f t="shared" si="13"/>
        <v>32.554504150243595</v>
      </c>
      <c r="F171" s="7">
        <v>0.20656136087484811</v>
      </c>
      <c r="G171">
        <f t="shared" si="14"/>
        <v>2</v>
      </c>
      <c r="H171" s="7">
        <f t="shared" si="15"/>
        <v>0.79343863912515189</v>
      </c>
      <c r="I171">
        <f t="shared" si="16"/>
        <v>4</v>
      </c>
      <c r="J171">
        <f>VLOOKUP(A171,'Housing Cost Calc'!$A$2:$C$827,3,FALSE)</f>
        <v>1185</v>
      </c>
      <c r="K171">
        <f t="shared" si="17"/>
        <v>0.43680591583802686</v>
      </c>
    </row>
    <row r="172" spans="1:11" ht="48" x14ac:dyDescent="0.2">
      <c r="A172" s="4" t="s">
        <v>3397</v>
      </c>
      <c r="B172">
        <v>53617</v>
      </c>
      <c r="C172">
        <v>2.71</v>
      </c>
      <c r="D172">
        <f t="shared" si="12"/>
        <v>32570.007987337107</v>
      </c>
      <c r="E172">
        <f t="shared" si="13"/>
        <v>32.570007987337107</v>
      </c>
      <c r="F172" s="7">
        <v>0.2077764277035237</v>
      </c>
      <c r="G172">
        <f t="shared" si="14"/>
        <v>2</v>
      </c>
      <c r="H172" s="7">
        <f t="shared" si="15"/>
        <v>0.79222357229647633</v>
      </c>
      <c r="I172">
        <f t="shared" si="16"/>
        <v>4</v>
      </c>
      <c r="J172">
        <f>VLOOKUP(A172,'Housing Cost Calc'!$A$2:$C$827,3,FALSE)</f>
        <v>1244</v>
      </c>
      <c r="K172">
        <f t="shared" si="17"/>
        <v>0.45833577952464294</v>
      </c>
    </row>
    <row r="173" spans="1:11" ht="64" x14ac:dyDescent="0.2">
      <c r="A173" s="4" t="s">
        <v>3308</v>
      </c>
      <c r="B173">
        <v>48022</v>
      </c>
      <c r="C173">
        <v>2.15</v>
      </c>
      <c r="D173">
        <f t="shared" si="12"/>
        <v>32750.732170051077</v>
      </c>
      <c r="E173">
        <f t="shared" si="13"/>
        <v>32.75073217005108</v>
      </c>
      <c r="F173" s="7">
        <v>0.20899149453219928</v>
      </c>
      <c r="G173">
        <f t="shared" si="14"/>
        <v>2</v>
      </c>
      <c r="H173" s="7">
        <f t="shared" si="15"/>
        <v>0.79100850546780066</v>
      </c>
      <c r="I173">
        <f t="shared" si="16"/>
        <v>4</v>
      </c>
      <c r="J173">
        <f>VLOOKUP(A173,'Housing Cost Calc'!$A$2:$C$827,3,FALSE)</f>
        <v>1005</v>
      </c>
      <c r="K173">
        <f t="shared" si="17"/>
        <v>0.36823604239993979</v>
      </c>
    </row>
    <row r="174" spans="1:11" ht="48" x14ac:dyDescent="0.2">
      <c r="A174" s="4" t="s">
        <v>3468</v>
      </c>
      <c r="B174">
        <v>59014</v>
      </c>
      <c r="C174">
        <v>3.24</v>
      </c>
      <c r="D174">
        <f t="shared" si="12"/>
        <v>32785.555555555555</v>
      </c>
      <c r="E174">
        <f t="shared" si="13"/>
        <v>32.785555555555554</v>
      </c>
      <c r="F174" s="7">
        <v>0.21020656136087484</v>
      </c>
      <c r="G174">
        <f t="shared" si="14"/>
        <v>2</v>
      </c>
      <c r="H174" s="7">
        <f t="shared" si="15"/>
        <v>0.78979343863912521</v>
      </c>
      <c r="I174">
        <f t="shared" si="16"/>
        <v>4</v>
      </c>
      <c r="J174">
        <f>VLOOKUP(A174,'Housing Cost Calc'!$A$2:$C$827,3,FALSE)</f>
        <v>1532</v>
      </c>
      <c r="K174">
        <f t="shared" si="17"/>
        <v>0.56073474090893682</v>
      </c>
    </row>
    <row r="175" spans="1:11" ht="48" x14ac:dyDescent="0.2">
      <c r="A175" s="4" t="s">
        <v>3383</v>
      </c>
      <c r="B175">
        <v>53083</v>
      </c>
      <c r="C175">
        <v>2.61</v>
      </c>
      <c r="D175">
        <f t="shared" si="12"/>
        <v>32857.552121508146</v>
      </c>
      <c r="E175">
        <f t="shared" si="13"/>
        <v>32.857552121508149</v>
      </c>
      <c r="F175" s="7">
        <v>0.21142162818955043</v>
      </c>
      <c r="G175">
        <f t="shared" si="14"/>
        <v>2</v>
      </c>
      <c r="H175" s="7">
        <f t="shared" si="15"/>
        <v>0.78857837181044954</v>
      </c>
      <c r="I175">
        <f t="shared" si="16"/>
        <v>4</v>
      </c>
      <c r="J175">
        <f>VLOOKUP(A175,'Housing Cost Calc'!$A$2:$C$827,3,FALSE)</f>
        <v>1192</v>
      </c>
      <c r="K175">
        <f t="shared" si="17"/>
        <v>0.43533370797384441</v>
      </c>
    </row>
    <row r="176" spans="1:11" ht="64" x14ac:dyDescent="0.2">
      <c r="A176" s="4" t="s">
        <v>3433</v>
      </c>
      <c r="B176">
        <v>56932</v>
      </c>
      <c r="C176">
        <v>2.99</v>
      </c>
      <c r="D176">
        <f t="shared" si="12"/>
        <v>32924.625706701991</v>
      </c>
      <c r="E176">
        <f t="shared" si="13"/>
        <v>32.924625706701988</v>
      </c>
      <c r="F176" s="7">
        <v>0.21263669501822599</v>
      </c>
      <c r="G176">
        <f t="shared" si="14"/>
        <v>2</v>
      </c>
      <c r="H176" s="7">
        <f t="shared" si="15"/>
        <v>0.78736330498177398</v>
      </c>
      <c r="I176">
        <f t="shared" si="16"/>
        <v>4</v>
      </c>
      <c r="J176">
        <f>VLOOKUP(A176,'Housing Cost Calc'!$A$2:$C$827,3,FALSE)</f>
        <v>1483</v>
      </c>
      <c r="K176">
        <f t="shared" si="17"/>
        <v>0.54050728347012078</v>
      </c>
    </row>
    <row r="177" spans="1:11" ht="48" x14ac:dyDescent="0.2">
      <c r="A177" s="4" t="s">
        <v>3306</v>
      </c>
      <c r="B177">
        <v>47578</v>
      </c>
      <c r="C177">
        <v>2.08</v>
      </c>
      <c r="D177">
        <f t="shared" si="12"/>
        <v>32989.407420004936</v>
      </c>
      <c r="E177">
        <f t="shared" si="13"/>
        <v>32.989407420004937</v>
      </c>
      <c r="F177" s="7">
        <v>0.21385176184690158</v>
      </c>
      <c r="G177">
        <f t="shared" si="14"/>
        <v>2</v>
      </c>
      <c r="H177" s="7">
        <f t="shared" si="15"/>
        <v>0.78614823815309842</v>
      </c>
      <c r="I177">
        <f t="shared" si="16"/>
        <v>4</v>
      </c>
      <c r="J177">
        <f>VLOOKUP(A177,'Housing Cost Calc'!$A$2:$C$827,3,FALSE)</f>
        <v>992</v>
      </c>
      <c r="K177">
        <f t="shared" si="17"/>
        <v>0.3608430987693752</v>
      </c>
    </row>
    <row r="178" spans="1:11" ht="48" x14ac:dyDescent="0.2">
      <c r="A178" s="4" t="s">
        <v>3318</v>
      </c>
      <c r="B178">
        <v>48750</v>
      </c>
      <c r="C178">
        <v>2.1800000000000002</v>
      </c>
      <c r="D178">
        <f t="shared" si="12"/>
        <v>33017.666247081572</v>
      </c>
      <c r="E178">
        <f t="shared" si="13"/>
        <v>33.017666247081571</v>
      </c>
      <c r="F178" s="7">
        <v>0.21506682867557717</v>
      </c>
      <c r="G178">
        <f t="shared" si="14"/>
        <v>2</v>
      </c>
      <c r="H178" s="7">
        <f t="shared" si="15"/>
        <v>0.78493317132442286</v>
      </c>
      <c r="I178">
        <f t="shared" si="16"/>
        <v>4</v>
      </c>
      <c r="J178">
        <f>VLOOKUP(A178,'Housing Cost Calc'!$A$2:$C$827,3,FALSE)</f>
        <v>1284</v>
      </c>
      <c r="K178">
        <f t="shared" si="17"/>
        <v>0.4666592691529769</v>
      </c>
    </row>
    <row r="179" spans="1:11" ht="48" x14ac:dyDescent="0.2">
      <c r="A179" s="4" t="s">
        <v>3458</v>
      </c>
      <c r="B179">
        <v>58273</v>
      </c>
      <c r="C179">
        <v>3.07</v>
      </c>
      <c r="D179">
        <f t="shared" si="12"/>
        <v>33258.157770781429</v>
      </c>
      <c r="E179">
        <f t="shared" si="13"/>
        <v>33.25815777078143</v>
      </c>
      <c r="F179" s="7">
        <v>0.21628189550425272</v>
      </c>
      <c r="G179">
        <f t="shared" si="14"/>
        <v>2</v>
      </c>
      <c r="H179" s="7">
        <f t="shared" si="15"/>
        <v>0.7837181044957473</v>
      </c>
      <c r="I179">
        <f t="shared" si="16"/>
        <v>4</v>
      </c>
      <c r="J179">
        <f>VLOOKUP(A179,'Housing Cost Calc'!$A$2:$C$827,3,FALSE)</f>
        <v>1834</v>
      </c>
      <c r="K179">
        <f t="shared" si="17"/>
        <v>0.66173238312480664</v>
      </c>
    </row>
    <row r="180" spans="1:11" ht="64" x14ac:dyDescent="0.2">
      <c r="A180" s="4" t="s">
        <v>3341</v>
      </c>
      <c r="B180">
        <v>49783</v>
      </c>
      <c r="C180">
        <v>2.2200000000000002</v>
      </c>
      <c r="D180">
        <f t="shared" si="12"/>
        <v>33412.161896719772</v>
      </c>
      <c r="E180">
        <f t="shared" si="13"/>
        <v>33.412161896719773</v>
      </c>
      <c r="F180" s="7">
        <v>0.21749696233292831</v>
      </c>
      <c r="G180">
        <f t="shared" si="14"/>
        <v>2</v>
      </c>
      <c r="H180" s="7">
        <f t="shared" si="15"/>
        <v>0.78250303766707163</v>
      </c>
      <c r="I180">
        <f t="shared" si="16"/>
        <v>4</v>
      </c>
      <c r="J180">
        <f>VLOOKUP(A180,'Housing Cost Calc'!$A$2:$C$827,3,FALSE)</f>
        <v>999</v>
      </c>
      <c r="K180">
        <f t="shared" si="17"/>
        <v>0.35879150942270865</v>
      </c>
    </row>
    <row r="181" spans="1:11" ht="64" x14ac:dyDescent="0.2">
      <c r="A181" s="4" t="s">
        <v>3361</v>
      </c>
      <c r="B181">
        <v>51426</v>
      </c>
      <c r="C181">
        <v>2.33</v>
      </c>
      <c r="D181">
        <f t="shared" si="12"/>
        <v>33690.292765267593</v>
      </c>
      <c r="E181">
        <f t="shared" si="13"/>
        <v>33.690292765267593</v>
      </c>
      <c r="F181" s="7">
        <v>0.2187120291616039</v>
      </c>
      <c r="G181">
        <f t="shared" si="14"/>
        <v>2</v>
      </c>
      <c r="H181" s="7">
        <f t="shared" si="15"/>
        <v>0.78128797083839607</v>
      </c>
      <c r="I181">
        <f t="shared" si="16"/>
        <v>4</v>
      </c>
      <c r="J181">
        <f>VLOOKUP(A181,'Housing Cost Calc'!$A$2:$C$827,3,FALSE)</f>
        <v>1264</v>
      </c>
      <c r="K181">
        <f t="shared" si="17"/>
        <v>0.45021870559810567</v>
      </c>
    </row>
    <row r="182" spans="1:11" ht="48" x14ac:dyDescent="0.2">
      <c r="A182" s="4" t="s">
        <v>3415</v>
      </c>
      <c r="B182">
        <v>54908</v>
      </c>
      <c r="C182">
        <v>2.64</v>
      </c>
      <c r="D182">
        <f t="shared" si="12"/>
        <v>33793.53793346601</v>
      </c>
      <c r="E182">
        <f t="shared" si="13"/>
        <v>33.793537933466013</v>
      </c>
      <c r="F182" s="7">
        <v>0.21992709599027946</v>
      </c>
      <c r="G182">
        <f t="shared" si="14"/>
        <v>2</v>
      </c>
      <c r="H182" s="7">
        <f t="shared" si="15"/>
        <v>0.78007290400972051</v>
      </c>
      <c r="I182">
        <f t="shared" si="16"/>
        <v>4</v>
      </c>
      <c r="J182">
        <f>VLOOKUP(A182,'Housing Cost Calc'!$A$2:$C$827,3,FALSE)</f>
        <v>1182</v>
      </c>
      <c r="K182">
        <f t="shared" si="17"/>
        <v>0.41972521574763771</v>
      </c>
    </row>
    <row r="183" spans="1:11" ht="48" x14ac:dyDescent="0.2">
      <c r="A183" s="4" t="s">
        <v>3407</v>
      </c>
      <c r="B183">
        <v>54167</v>
      </c>
      <c r="C183">
        <v>2.56</v>
      </c>
      <c r="D183">
        <f t="shared" si="12"/>
        <v>33854.375</v>
      </c>
      <c r="E183">
        <f t="shared" si="13"/>
        <v>33.854374999999997</v>
      </c>
      <c r="F183" s="7">
        <v>0.22114216281895505</v>
      </c>
      <c r="G183">
        <f t="shared" si="14"/>
        <v>2</v>
      </c>
      <c r="H183" s="7">
        <f t="shared" si="15"/>
        <v>0.77885783718104495</v>
      </c>
      <c r="I183">
        <f t="shared" si="16"/>
        <v>4</v>
      </c>
      <c r="J183">
        <f>VLOOKUP(A183,'Housing Cost Calc'!$A$2:$C$827,3,FALSE)</f>
        <v>1373</v>
      </c>
      <c r="K183">
        <f t="shared" si="17"/>
        <v>0.48667269739878521</v>
      </c>
    </row>
    <row r="184" spans="1:11" ht="48" x14ac:dyDescent="0.2">
      <c r="A184" s="4" t="s">
        <v>3409</v>
      </c>
      <c r="B184">
        <v>54216</v>
      </c>
      <c r="C184">
        <v>2.5499999999999998</v>
      </c>
      <c r="D184">
        <f t="shared" si="12"/>
        <v>33951.376165472466</v>
      </c>
      <c r="E184">
        <f t="shared" si="13"/>
        <v>33.951376165472468</v>
      </c>
      <c r="F184" s="7">
        <v>0.22235722964763063</v>
      </c>
      <c r="G184">
        <f t="shared" si="14"/>
        <v>2</v>
      </c>
      <c r="H184" s="7">
        <f t="shared" si="15"/>
        <v>0.77764277035236939</v>
      </c>
      <c r="I184">
        <f t="shared" si="16"/>
        <v>4</v>
      </c>
      <c r="J184">
        <f>VLOOKUP(A184,'Housing Cost Calc'!$A$2:$C$827,3,FALSE)</f>
        <v>1492</v>
      </c>
      <c r="K184">
        <f t="shared" si="17"/>
        <v>0.52734239439189012</v>
      </c>
    </row>
    <row r="185" spans="1:11" ht="48" x14ac:dyDescent="0.2">
      <c r="A185" s="4" t="s">
        <v>3371</v>
      </c>
      <c r="B185">
        <v>52586</v>
      </c>
      <c r="C185">
        <v>2.38</v>
      </c>
      <c r="D185">
        <f t="shared" si="12"/>
        <v>34086.441006714122</v>
      </c>
      <c r="E185">
        <f t="shared" si="13"/>
        <v>34.086441006714125</v>
      </c>
      <c r="F185" s="7">
        <v>0.22357229647630619</v>
      </c>
      <c r="G185">
        <f t="shared" si="14"/>
        <v>2</v>
      </c>
      <c r="H185" s="7">
        <f t="shared" si="15"/>
        <v>0.77642770352369384</v>
      </c>
      <c r="I185">
        <f t="shared" si="16"/>
        <v>4</v>
      </c>
      <c r="J185">
        <f>VLOOKUP(A185,'Housing Cost Calc'!$A$2:$C$827,3,FALSE)</f>
        <v>1151</v>
      </c>
      <c r="K185">
        <f t="shared" si="17"/>
        <v>0.4052051077224344</v>
      </c>
    </row>
    <row r="186" spans="1:11" ht="64" x14ac:dyDescent="0.2">
      <c r="A186" s="4" t="s">
        <v>3369</v>
      </c>
      <c r="B186">
        <v>52377</v>
      </c>
      <c r="C186">
        <v>2.36</v>
      </c>
      <c r="D186">
        <f t="shared" si="12"/>
        <v>34094.522952213054</v>
      </c>
      <c r="E186">
        <f t="shared" si="13"/>
        <v>34.094522952213055</v>
      </c>
      <c r="F186" s="7">
        <v>0.22478736330498178</v>
      </c>
      <c r="G186">
        <f t="shared" si="14"/>
        <v>2</v>
      </c>
      <c r="H186" s="7">
        <f t="shared" si="15"/>
        <v>0.77521263669501828</v>
      </c>
      <c r="I186">
        <f t="shared" si="16"/>
        <v>4</v>
      </c>
      <c r="J186">
        <f>VLOOKUP(A186,'Housing Cost Calc'!$A$2:$C$827,3,FALSE)</f>
        <v>1109</v>
      </c>
      <c r="K186">
        <f t="shared" si="17"/>
        <v>0.39032662280251046</v>
      </c>
    </row>
    <row r="187" spans="1:11" ht="48" x14ac:dyDescent="0.2">
      <c r="A187" s="4" t="s">
        <v>3274</v>
      </c>
      <c r="B187">
        <v>45481</v>
      </c>
      <c r="C187">
        <v>1.77</v>
      </c>
      <c r="D187">
        <f t="shared" si="12"/>
        <v>34185.612999596655</v>
      </c>
      <c r="E187">
        <f t="shared" si="13"/>
        <v>34.185612999596657</v>
      </c>
      <c r="F187" s="7">
        <v>0.22600243013365734</v>
      </c>
      <c r="G187">
        <f t="shared" si="14"/>
        <v>2</v>
      </c>
      <c r="H187" s="7">
        <f t="shared" si="15"/>
        <v>0.77399756986634261</v>
      </c>
      <c r="I187">
        <f t="shared" si="16"/>
        <v>4</v>
      </c>
      <c r="J187">
        <f>VLOOKUP(A187,'Housing Cost Calc'!$A$2:$C$827,3,FALSE)</f>
        <v>1051</v>
      </c>
      <c r="K187">
        <f t="shared" si="17"/>
        <v>0.36892712733127836</v>
      </c>
    </row>
    <row r="188" spans="1:11" ht="48" x14ac:dyDescent="0.2">
      <c r="A188" s="4" t="s">
        <v>3401</v>
      </c>
      <c r="B188">
        <v>53857</v>
      </c>
      <c r="C188">
        <v>2.48</v>
      </c>
      <c r="D188">
        <f t="shared" si="12"/>
        <v>34199.2291992463</v>
      </c>
      <c r="E188">
        <f t="shared" si="13"/>
        <v>34.199229199246297</v>
      </c>
      <c r="F188" s="7">
        <v>0.22721749696233293</v>
      </c>
      <c r="G188">
        <f t="shared" si="14"/>
        <v>2</v>
      </c>
      <c r="H188" s="7">
        <f t="shared" si="15"/>
        <v>0.77278250303766705</v>
      </c>
      <c r="I188">
        <f t="shared" si="16"/>
        <v>4</v>
      </c>
      <c r="J188">
        <f>VLOOKUP(A188,'Housing Cost Calc'!$A$2:$C$827,3,FALSE)</f>
        <v>1156</v>
      </c>
      <c r="K188">
        <f t="shared" si="17"/>
        <v>0.40562317703656658</v>
      </c>
    </row>
    <row r="189" spans="1:11" ht="48" x14ac:dyDescent="0.2">
      <c r="A189" s="4" t="s">
        <v>3451</v>
      </c>
      <c r="B189">
        <v>57955</v>
      </c>
      <c r="C189">
        <v>2.87</v>
      </c>
      <c r="D189">
        <f t="shared" si="12"/>
        <v>34209.754833730862</v>
      </c>
      <c r="E189">
        <f t="shared" si="13"/>
        <v>34.209754833730862</v>
      </c>
      <c r="F189" s="7">
        <v>0.22843256379100851</v>
      </c>
      <c r="G189">
        <f t="shared" si="14"/>
        <v>2</v>
      </c>
      <c r="H189" s="7">
        <f t="shared" si="15"/>
        <v>0.77156743620899149</v>
      </c>
      <c r="I189">
        <f t="shared" si="16"/>
        <v>4</v>
      </c>
      <c r="J189">
        <f>VLOOKUP(A189,'Housing Cost Calc'!$A$2:$C$827,3,FALSE)</f>
        <v>1260</v>
      </c>
      <c r="K189">
        <f t="shared" si="17"/>
        <v>0.44197919784831841</v>
      </c>
    </row>
    <row r="190" spans="1:11" ht="48" x14ac:dyDescent="0.2">
      <c r="A190" s="4" t="s">
        <v>3403</v>
      </c>
      <c r="B190">
        <v>53904</v>
      </c>
      <c r="C190">
        <v>2.48</v>
      </c>
      <c r="D190">
        <f t="shared" si="12"/>
        <v>34229.07422909134</v>
      </c>
      <c r="E190">
        <f t="shared" si="13"/>
        <v>34.229074229091339</v>
      </c>
      <c r="F190" s="7">
        <v>0.22964763061968407</v>
      </c>
      <c r="G190">
        <f t="shared" si="14"/>
        <v>2</v>
      </c>
      <c r="H190" s="7">
        <f t="shared" si="15"/>
        <v>0.77035236938031593</v>
      </c>
      <c r="I190">
        <f t="shared" si="16"/>
        <v>4</v>
      </c>
      <c r="J190">
        <f>VLOOKUP(A190,'Housing Cost Calc'!$A$2:$C$827,3,FALSE)</f>
        <v>1120</v>
      </c>
      <c r="K190">
        <f t="shared" si="17"/>
        <v>0.39264865622854983</v>
      </c>
    </row>
    <row r="191" spans="1:11" ht="64" x14ac:dyDescent="0.2">
      <c r="A191" s="4" t="s">
        <v>3417</v>
      </c>
      <c r="B191">
        <v>55399</v>
      </c>
      <c r="C191">
        <v>2.61</v>
      </c>
      <c r="D191">
        <f t="shared" si="12"/>
        <v>34291.120132234988</v>
      </c>
      <c r="E191">
        <f t="shared" si="13"/>
        <v>34.291120132234987</v>
      </c>
      <c r="F191" s="7">
        <v>0.23086269744835966</v>
      </c>
      <c r="G191">
        <f t="shared" si="14"/>
        <v>2</v>
      </c>
      <c r="H191" s="7">
        <f t="shared" si="15"/>
        <v>0.76913730255164037</v>
      </c>
      <c r="I191">
        <f t="shared" si="16"/>
        <v>4</v>
      </c>
      <c r="J191">
        <f>VLOOKUP(A191,'Housing Cost Calc'!$A$2:$C$827,3,FALSE)</f>
        <v>1198</v>
      </c>
      <c r="K191">
        <f t="shared" si="17"/>
        <v>0.41923389917164006</v>
      </c>
    </row>
    <row r="192" spans="1:11" ht="48" x14ac:dyDescent="0.2">
      <c r="A192" s="4" t="s">
        <v>3385</v>
      </c>
      <c r="B192">
        <v>53138</v>
      </c>
      <c r="C192">
        <v>2.4</v>
      </c>
      <c r="D192">
        <f t="shared" si="12"/>
        <v>34300.431508461617</v>
      </c>
      <c r="E192">
        <f t="shared" si="13"/>
        <v>34.300431508461614</v>
      </c>
      <c r="F192" s="7">
        <v>0.23207776427703525</v>
      </c>
      <c r="G192">
        <f t="shared" si="14"/>
        <v>2</v>
      </c>
      <c r="H192" s="7">
        <f t="shared" si="15"/>
        <v>0.7679222357229647</v>
      </c>
      <c r="I192">
        <f t="shared" si="16"/>
        <v>4</v>
      </c>
      <c r="J192">
        <f>VLOOKUP(A192,'Housing Cost Calc'!$A$2:$C$827,3,FALSE)</f>
        <v>1128</v>
      </c>
      <c r="K192">
        <f t="shared" si="17"/>
        <v>0.39463060389373783</v>
      </c>
    </row>
    <row r="193" spans="1:11" ht="64" x14ac:dyDescent="0.2">
      <c r="A193" s="4" t="s">
        <v>3421</v>
      </c>
      <c r="B193">
        <v>55982</v>
      </c>
      <c r="C193">
        <v>2.64</v>
      </c>
      <c r="D193">
        <f t="shared" si="12"/>
        <v>34454.539240025028</v>
      </c>
      <c r="E193">
        <f t="shared" si="13"/>
        <v>34.454539240025028</v>
      </c>
      <c r="F193" s="7">
        <v>0.23329283110571081</v>
      </c>
      <c r="G193">
        <f t="shared" si="14"/>
        <v>2</v>
      </c>
      <c r="H193" s="7">
        <f t="shared" si="15"/>
        <v>0.76670716889428925</v>
      </c>
      <c r="I193">
        <f t="shared" si="16"/>
        <v>4</v>
      </c>
      <c r="J193">
        <f>VLOOKUP(A193,'Housing Cost Calc'!$A$2:$C$827,3,FALSE)</f>
        <v>1617</v>
      </c>
      <c r="K193">
        <f t="shared" si="17"/>
        <v>0.56317688258210197</v>
      </c>
    </row>
    <row r="194" spans="1:11" ht="48" x14ac:dyDescent="0.2">
      <c r="A194" s="4" t="s">
        <v>3405</v>
      </c>
      <c r="B194">
        <v>54038</v>
      </c>
      <c r="C194">
        <v>2.42</v>
      </c>
      <c r="D194">
        <f t="shared" ref="D194:D257" si="18">(B194/(C194)^0.5)</f>
        <v>34736.942037962413</v>
      </c>
      <c r="E194">
        <f t="shared" ref="E194:E257" si="19">D194/1000</f>
        <v>34.736942037962415</v>
      </c>
      <c r="F194" s="7">
        <v>0.23450789793438639</v>
      </c>
      <c r="G194">
        <f t="shared" si="14"/>
        <v>2</v>
      </c>
      <c r="H194" s="7">
        <f t="shared" si="15"/>
        <v>0.76549210206561358</v>
      </c>
      <c r="I194">
        <f t="shared" si="16"/>
        <v>4</v>
      </c>
      <c r="J194">
        <f>VLOOKUP(A194,'Housing Cost Calc'!$A$2:$C$827,3,FALSE)</f>
        <v>1575</v>
      </c>
      <c r="K194">
        <f t="shared" si="17"/>
        <v>0.54408934382724461</v>
      </c>
    </row>
    <row r="195" spans="1:11" ht="48" x14ac:dyDescent="0.2">
      <c r="A195" s="4" t="s">
        <v>3389</v>
      </c>
      <c r="B195">
        <v>53162</v>
      </c>
      <c r="C195">
        <v>2.2999999999999998</v>
      </c>
      <c r="D195">
        <f t="shared" si="18"/>
        <v>35053.984726666829</v>
      </c>
      <c r="E195">
        <f t="shared" si="19"/>
        <v>35.053984726666826</v>
      </c>
      <c r="F195" s="7">
        <v>0.23572296476306198</v>
      </c>
      <c r="G195">
        <f t="shared" ref="G195:G258" si="20">IF(F195&lt;0.2,1,IF(F195&lt;0.4,2,IF(F195&lt;0.6,3,IF(F195&lt;0.8,4,5))))</f>
        <v>2</v>
      </c>
      <c r="H195" s="7">
        <f t="shared" ref="H195:H258" si="21">1-F195</f>
        <v>0.76427703523693802</v>
      </c>
      <c r="I195">
        <f t="shared" ref="I195:I258" si="22">6-G195</f>
        <v>4</v>
      </c>
      <c r="J195">
        <f>VLOOKUP(A195,'Housing Cost Calc'!$A$2:$C$827,3,FALSE)</f>
        <v>1289</v>
      </c>
      <c r="K195">
        <f t="shared" ref="K195:K258" si="23">(J195*12)/D195</f>
        <v>0.44126224509457651</v>
      </c>
    </row>
    <row r="196" spans="1:11" ht="64" x14ac:dyDescent="0.2">
      <c r="A196" s="4" t="s">
        <v>3332</v>
      </c>
      <c r="B196">
        <v>49375</v>
      </c>
      <c r="C196">
        <v>1.97</v>
      </c>
      <c r="D196">
        <f t="shared" si="18"/>
        <v>35178.230931530386</v>
      </c>
      <c r="E196">
        <f t="shared" si="19"/>
        <v>35.178230931530386</v>
      </c>
      <c r="F196" s="7">
        <v>0.23693803159173754</v>
      </c>
      <c r="G196">
        <f t="shared" si="20"/>
        <v>2</v>
      </c>
      <c r="H196" s="7">
        <f t="shared" si="21"/>
        <v>0.76306196840826246</v>
      </c>
      <c r="I196">
        <f t="shared" si="22"/>
        <v>4</v>
      </c>
      <c r="J196">
        <f>VLOOKUP(A196,'Housing Cost Calc'!$A$2:$C$827,3,FALSE)</f>
        <v>1510</v>
      </c>
      <c r="K196">
        <f t="shared" si="23"/>
        <v>0.51509128003816051</v>
      </c>
    </row>
    <row r="197" spans="1:11" ht="48" x14ac:dyDescent="0.2">
      <c r="A197" s="4" t="s">
        <v>3484</v>
      </c>
      <c r="B197">
        <v>60725</v>
      </c>
      <c r="C197">
        <v>2.96</v>
      </c>
      <c r="D197">
        <f t="shared" si="18"/>
        <v>35295.689313592127</v>
      </c>
      <c r="E197">
        <f t="shared" si="19"/>
        <v>35.295689313592128</v>
      </c>
      <c r="F197" s="7">
        <v>0.23815309842041313</v>
      </c>
      <c r="G197">
        <f t="shared" si="20"/>
        <v>2</v>
      </c>
      <c r="H197" s="7">
        <f t="shared" si="21"/>
        <v>0.7618469015795869</v>
      </c>
      <c r="I197">
        <f t="shared" si="22"/>
        <v>4</v>
      </c>
      <c r="J197">
        <f>VLOOKUP(A197,'Housing Cost Calc'!$A$2:$C$827,3,FALSE)</f>
        <v>1634</v>
      </c>
      <c r="K197">
        <f t="shared" si="23"/>
        <v>0.55553526170826462</v>
      </c>
    </row>
    <row r="198" spans="1:11" ht="48" x14ac:dyDescent="0.2">
      <c r="A198" s="4" t="s">
        <v>3535</v>
      </c>
      <c r="B198">
        <v>63618</v>
      </c>
      <c r="C198">
        <v>3.23</v>
      </c>
      <c r="D198">
        <f t="shared" si="18"/>
        <v>35398.002095061544</v>
      </c>
      <c r="E198">
        <f t="shared" si="19"/>
        <v>35.398002095061543</v>
      </c>
      <c r="F198" s="7">
        <v>0.23936816524908869</v>
      </c>
      <c r="G198">
        <f t="shared" si="20"/>
        <v>2</v>
      </c>
      <c r="H198" s="7">
        <f t="shared" si="21"/>
        <v>0.76063183475091134</v>
      </c>
      <c r="I198">
        <f t="shared" si="22"/>
        <v>4</v>
      </c>
      <c r="J198">
        <f>VLOOKUP(A198,'Housing Cost Calc'!$A$2:$C$827,3,FALSE)</f>
        <v>1641</v>
      </c>
      <c r="K198">
        <f t="shared" si="23"/>
        <v>0.55630258304174962</v>
      </c>
    </row>
    <row r="199" spans="1:11" ht="48" x14ac:dyDescent="0.2">
      <c r="A199" s="4" t="s">
        <v>3443</v>
      </c>
      <c r="B199">
        <v>57587</v>
      </c>
      <c r="C199">
        <v>2.62</v>
      </c>
      <c r="D199">
        <f t="shared" si="18"/>
        <v>35577.367414374618</v>
      </c>
      <c r="E199">
        <f t="shared" si="19"/>
        <v>35.577367414374621</v>
      </c>
      <c r="F199" s="7">
        <v>0.24058323207776428</v>
      </c>
      <c r="G199">
        <f t="shared" si="20"/>
        <v>2</v>
      </c>
      <c r="H199" s="7">
        <f t="shared" si="21"/>
        <v>0.75941676792223567</v>
      </c>
      <c r="I199">
        <f t="shared" si="22"/>
        <v>4</v>
      </c>
      <c r="J199">
        <f>VLOOKUP(A199,'Housing Cost Calc'!$A$2:$C$827,3,FALSE)</f>
        <v>1181</v>
      </c>
      <c r="K199">
        <f t="shared" si="23"/>
        <v>0.39834313300747404</v>
      </c>
    </row>
    <row r="200" spans="1:11" ht="48" x14ac:dyDescent="0.2">
      <c r="A200" s="4" t="s">
        <v>3393</v>
      </c>
      <c r="B200">
        <v>53333</v>
      </c>
      <c r="C200">
        <v>2.2400000000000002</v>
      </c>
      <c r="D200">
        <f t="shared" si="18"/>
        <v>35634.609537288321</v>
      </c>
      <c r="E200">
        <f t="shared" si="19"/>
        <v>35.63460953728832</v>
      </c>
      <c r="F200" s="7">
        <v>0.24179829890643986</v>
      </c>
      <c r="G200">
        <f t="shared" si="20"/>
        <v>2</v>
      </c>
      <c r="H200" s="7">
        <f t="shared" si="21"/>
        <v>0.75820170109356011</v>
      </c>
      <c r="I200">
        <f t="shared" si="22"/>
        <v>4</v>
      </c>
      <c r="J200">
        <f>VLOOKUP(A200,'Housing Cost Calc'!$A$2:$C$827,3,FALSE)</f>
        <v>1127</v>
      </c>
      <c r="K200">
        <f t="shared" si="23"/>
        <v>0.37951868073223549</v>
      </c>
    </row>
    <row r="201" spans="1:11" ht="64" x14ac:dyDescent="0.2">
      <c r="A201" s="4" t="s">
        <v>3347</v>
      </c>
      <c r="B201">
        <v>50561</v>
      </c>
      <c r="C201">
        <v>2</v>
      </c>
      <c r="D201">
        <f t="shared" si="18"/>
        <v>35752.025963573025</v>
      </c>
      <c r="E201">
        <f t="shared" si="19"/>
        <v>35.752025963573026</v>
      </c>
      <c r="F201" s="7">
        <v>0.24301336573511542</v>
      </c>
      <c r="G201">
        <f t="shared" si="20"/>
        <v>2</v>
      </c>
      <c r="H201" s="7">
        <f t="shared" si="21"/>
        <v>0.75698663426488455</v>
      </c>
      <c r="I201">
        <f t="shared" si="22"/>
        <v>4</v>
      </c>
      <c r="J201">
        <f>VLOOKUP(A201,'Housing Cost Calc'!$A$2:$C$827,3,FALSE)</f>
        <v>1058</v>
      </c>
      <c r="K201">
        <f t="shared" si="23"/>
        <v>0.35511274278374272</v>
      </c>
    </row>
    <row r="202" spans="1:11" ht="48" x14ac:dyDescent="0.2">
      <c r="A202" s="4" t="s">
        <v>3387</v>
      </c>
      <c r="B202">
        <v>53147</v>
      </c>
      <c r="C202">
        <v>2.2000000000000002</v>
      </c>
      <c r="D202">
        <f t="shared" si="18"/>
        <v>35831.700090333929</v>
      </c>
      <c r="E202">
        <f t="shared" si="19"/>
        <v>35.831700090333932</v>
      </c>
      <c r="F202" s="7">
        <v>0.24422843256379101</v>
      </c>
      <c r="G202">
        <f t="shared" si="20"/>
        <v>2</v>
      </c>
      <c r="H202" s="7">
        <f t="shared" si="21"/>
        <v>0.75577156743620899</v>
      </c>
      <c r="I202">
        <f t="shared" si="22"/>
        <v>4</v>
      </c>
      <c r="J202">
        <f>VLOOKUP(A202,'Housing Cost Calc'!$A$2:$C$827,3,FALSE)</f>
        <v>1138</v>
      </c>
      <c r="K202">
        <f t="shared" si="23"/>
        <v>0.38111504521338313</v>
      </c>
    </row>
    <row r="203" spans="1:11" ht="48" x14ac:dyDescent="0.2">
      <c r="A203" s="4" t="s">
        <v>3429</v>
      </c>
      <c r="B203">
        <v>56438</v>
      </c>
      <c r="C203">
        <v>2.48</v>
      </c>
      <c r="D203">
        <f t="shared" si="18"/>
        <v>35838.165838183755</v>
      </c>
      <c r="E203">
        <f t="shared" si="19"/>
        <v>35.838165838183755</v>
      </c>
      <c r="F203" s="7">
        <v>0.2454434993924666</v>
      </c>
      <c r="G203">
        <f t="shared" si="20"/>
        <v>2</v>
      </c>
      <c r="H203" s="7">
        <f t="shared" si="21"/>
        <v>0.75455650060753343</v>
      </c>
      <c r="I203">
        <f t="shared" si="22"/>
        <v>4</v>
      </c>
      <c r="J203">
        <f>VLOOKUP(A203,'Housing Cost Calc'!$A$2:$C$827,3,FALSE)</f>
        <v>1270</v>
      </c>
      <c r="K203">
        <f t="shared" si="23"/>
        <v>0.42524497678847589</v>
      </c>
    </row>
    <row r="204" spans="1:11" ht="48" x14ac:dyDescent="0.2">
      <c r="A204" s="4" t="s">
        <v>3391</v>
      </c>
      <c r="B204">
        <v>53237</v>
      </c>
      <c r="C204">
        <v>2.2000000000000002</v>
      </c>
      <c r="D204">
        <f t="shared" si="18"/>
        <v>35892.378077955618</v>
      </c>
      <c r="E204">
        <f t="shared" si="19"/>
        <v>35.89237807795562</v>
      </c>
      <c r="F204" s="7">
        <v>0.24665856622114216</v>
      </c>
      <c r="G204">
        <f t="shared" si="20"/>
        <v>2</v>
      </c>
      <c r="H204" s="7">
        <f t="shared" si="21"/>
        <v>0.75334143377885787</v>
      </c>
      <c r="I204">
        <f t="shared" si="22"/>
        <v>4</v>
      </c>
      <c r="J204">
        <f>VLOOKUP(A204,'Housing Cost Calc'!$A$2:$C$827,3,FALSE)</f>
        <v>1201</v>
      </c>
      <c r="K204">
        <f t="shared" si="23"/>
        <v>0.40153371751234179</v>
      </c>
    </row>
    <row r="205" spans="1:11" ht="64" x14ac:dyDescent="0.2">
      <c r="A205" s="4" t="s">
        <v>3478</v>
      </c>
      <c r="B205">
        <v>59771</v>
      </c>
      <c r="C205">
        <v>2.77</v>
      </c>
      <c r="D205">
        <f t="shared" si="18"/>
        <v>35912.9133226657</v>
      </c>
      <c r="E205">
        <f t="shared" si="19"/>
        <v>35.912913322665702</v>
      </c>
      <c r="F205" s="7">
        <v>0.24787363304981774</v>
      </c>
      <c r="G205">
        <f t="shared" si="20"/>
        <v>2</v>
      </c>
      <c r="H205" s="7">
        <f t="shared" si="21"/>
        <v>0.75212636695018231</v>
      </c>
      <c r="I205">
        <f t="shared" si="22"/>
        <v>4</v>
      </c>
      <c r="J205">
        <f>VLOOKUP(A205,'Housing Cost Calc'!$A$2:$C$827,3,FALSE)</f>
        <v>1209</v>
      </c>
      <c r="K205">
        <f t="shared" si="23"/>
        <v>0.40397725101415188</v>
      </c>
    </row>
    <row r="206" spans="1:11" ht="48" x14ac:dyDescent="0.2">
      <c r="A206" s="4" t="s">
        <v>3453</v>
      </c>
      <c r="B206">
        <v>58000</v>
      </c>
      <c r="C206">
        <v>2.59</v>
      </c>
      <c r="D206">
        <f t="shared" si="18"/>
        <v>36039.446428069605</v>
      </c>
      <c r="E206">
        <f t="shared" si="19"/>
        <v>36.039446428069603</v>
      </c>
      <c r="F206" s="7">
        <v>0.24908869987849333</v>
      </c>
      <c r="G206">
        <f t="shared" si="20"/>
        <v>2</v>
      </c>
      <c r="H206" s="7">
        <f t="shared" si="21"/>
        <v>0.75091130012150664</v>
      </c>
      <c r="I206">
        <f t="shared" si="22"/>
        <v>4</v>
      </c>
      <c r="J206">
        <f>VLOOKUP(A206,'Housing Cost Calc'!$A$2:$C$827,3,FALSE)</f>
        <v>964</v>
      </c>
      <c r="K206">
        <f t="shared" si="23"/>
        <v>0.32098162281954956</v>
      </c>
    </row>
    <row r="207" spans="1:11" ht="48" x14ac:dyDescent="0.2">
      <c r="A207" s="4" t="s">
        <v>3381</v>
      </c>
      <c r="B207">
        <v>52932</v>
      </c>
      <c r="C207">
        <v>2.15</v>
      </c>
      <c r="D207">
        <f t="shared" si="18"/>
        <v>36099.324376851102</v>
      </c>
      <c r="E207">
        <f t="shared" si="19"/>
        <v>36.099324376851101</v>
      </c>
      <c r="F207" s="7">
        <v>0.25030376670716892</v>
      </c>
      <c r="G207">
        <f t="shared" si="20"/>
        <v>2</v>
      </c>
      <c r="H207" s="7">
        <f t="shared" si="21"/>
        <v>0.74969623329283108</v>
      </c>
      <c r="I207">
        <f t="shared" si="22"/>
        <v>4</v>
      </c>
      <c r="J207">
        <f>VLOOKUP(A207,'Housing Cost Calc'!$A$2:$C$827,3,FALSE)</f>
        <v>1268</v>
      </c>
      <c r="K207">
        <f t="shared" si="23"/>
        <v>0.42150373345373043</v>
      </c>
    </row>
    <row r="208" spans="1:11" ht="48" x14ac:dyDescent="0.2">
      <c r="A208" s="4" t="s">
        <v>3480</v>
      </c>
      <c r="B208">
        <v>59914</v>
      </c>
      <c r="C208">
        <v>2.74</v>
      </c>
      <c r="D208">
        <f t="shared" si="18"/>
        <v>36195.371099784221</v>
      </c>
      <c r="E208">
        <f t="shared" si="19"/>
        <v>36.195371099784218</v>
      </c>
      <c r="F208" s="7">
        <v>0.25151883353584448</v>
      </c>
      <c r="G208">
        <f t="shared" si="20"/>
        <v>2</v>
      </c>
      <c r="H208" s="7">
        <f t="shared" si="21"/>
        <v>0.74848116646415552</v>
      </c>
      <c r="I208">
        <f t="shared" si="22"/>
        <v>4</v>
      </c>
      <c r="J208">
        <f>VLOOKUP(A208,'Housing Cost Calc'!$A$2:$C$827,3,FALSE)</f>
        <v>1260</v>
      </c>
      <c r="K208">
        <f t="shared" si="23"/>
        <v>0.41773297359811123</v>
      </c>
    </row>
    <row r="209" spans="1:11" ht="64" x14ac:dyDescent="0.2">
      <c r="A209" s="4" t="s">
        <v>3447</v>
      </c>
      <c r="B209">
        <v>57917</v>
      </c>
      <c r="C209">
        <v>2.56</v>
      </c>
      <c r="D209">
        <f t="shared" si="18"/>
        <v>36198.125</v>
      </c>
      <c r="E209">
        <f t="shared" si="19"/>
        <v>36.198124999999997</v>
      </c>
      <c r="F209" s="7">
        <v>0.25273390036452004</v>
      </c>
      <c r="G209">
        <f t="shared" si="20"/>
        <v>2</v>
      </c>
      <c r="H209" s="7">
        <f t="shared" si="21"/>
        <v>0.74726609963547996</v>
      </c>
      <c r="I209">
        <f t="shared" si="22"/>
        <v>4</v>
      </c>
      <c r="J209">
        <f>VLOOKUP(A209,'Housing Cost Calc'!$A$2:$C$827,3,FALSE)</f>
        <v>1032</v>
      </c>
      <c r="K209">
        <f t="shared" si="23"/>
        <v>0.34211716767097744</v>
      </c>
    </row>
    <row r="210" spans="1:11" ht="48" x14ac:dyDescent="0.2">
      <c r="A210" s="4" t="s">
        <v>3553</v>
      </c>
      <c r="B210">
        <v>64662</v>
      </c>
      <c r="C210">
        <v>3.17</v>
      </c>
      <c r="D210">
        <f t="shared" si="18"/>
        <v>36317.797446382494</v>
      </c>
      <c r="E210">
        <f t="shared" si="19"/>
        <v>36.317797446382492</v>
      </c>
      <c r="F210" s="7">
        <v>0.25394896719319565</v>
      </c>
      <c r="G210">
        <f t="shared" si="20"/>
        <v>2</v>
      </c>
      <c r="H210" s="7">
        <f t="shared" si="21"/>
        <v>0.7460510328068044</v>
      </c>
      <c r="I210">
        <f t="shared" si="22"/>
        <v>4</v>
      </c>
      <c r="J210">
        <f>VLOOKUP(A210,'Housing Cost Calc'!$A$2:$C$827,3,FALSE)</f>
        <v>1594</v>
      </c>
      <c r="K210">
        <f t="shared" si="23"/>
        <v>0.52668392206987436</v>
      </c>
    </row>
    <row r="211" spans="1:11" ht="48" x14ac:dyDescent="0.2">
      <c r="A211" s="4" t="s">
        <v>3413</v>
      </c>
      <c r="B211">
        <v>54482</v>
      </c>
      <c r="C211">
        <v>2.25</v>
      </c>
      <c r="D211">
        <f t="shared" si="18"/>
        <v>36321.333333333336</v>
      </c>
      <c r="E211">
        <f t="shared" si="19"/>
        <v>36.321333333333335</v>
      </c>
      <c r="F211" s="7">
        <v>0.25516403402187121</v>
      </c>
      <c r="G211">
        <f t="shared" si="20"/>
        <v>2</v>
      </c>
      <c r="H211" s="7">
        <f t="shared" si="21"/>
        <v>0.74483596597812873</v>
      </c>
      <c r="I211">
        <f t="shared" si="22"/>
        <v>4</v>
      </c>
      <c r="J211">
        <f>VLOOKUP(A211,'Housing Cost Calc'!$A$2:$C$827,3,FALSE)</f>
        <v>1230</v>
      </c>
      <c r="K211">
        <f t="shared" si="23"/>
        <v>0.40637274696229947</v>
      </c>
    </row>
    <row r="212" spans="1:11" ht="64" x14ac:dyDescent="0.2">
      <c r="A212" s="4" t="s">
        <v>3431</v>
      </c>
      <c r="B212">
        <v>56714</v>
      </c>
      <c r="C212">
        <v>2.42</v>
      </c>
      <c r="D212">
        <f t="shared" si="18"/>
        <v>36457.139989285322</v>
      </c>
      <c r="E212">
        <f t="shared" si="19"/>
        <v>36.457139989285324</v>
      </c>
      <c r="F212" s="7">
        <v>0.25637910085054677</v>
      </c>
      <c r="G212">
        <f t="shared" si="20"/>
        <v>2</v>
      </c>
      <c r="H212" s="7">
        <f t="shared" si="21"/>
        <v>0.74362089914945328</v>
      </c>
      <c r="I212">
        <f t="shared" si="22"/>
        <v>4</v>
      </c>
      <c r="J212">
        <f>VLOOKUP(A212,'Housing Cost Calc'!$A$2:$C$827,3,FALSE)</f>
        <v>1007</v>
      </c>
      <c r="K212">
        <f t="shared" si="23"/>
        <v>0.33145770632450772</v>
      </c>
    </row>
    <row r="213" spans="1:11" ht="48" x14ac:dyDescent="0.2">
      <c r="A213" s="4" t="s">
        <v>3457</v>
      </c>
      <c r="B213">
        <v>58229</v>
      </c>
      <c r="C213">
        <v>2.54</v>
      </c>
      <c r="D213">
        <f t="shared" si="18"/>
        <v>36536.124077389839</v>
      </c>
      <c r="E213">
        <f t="shared" si="19"/>
        <v>36.536124077389836</v>
      </c>
      <c r="F213" s="7">
        <v>0.25759416767922233</v>
      </c>
      <c r="G213">
        <f t="shared" si="20"/>
        <v>2</v>
      </c>
      <c r="H213" s="7">
        <f t="shared" si="21"/>
        <v>0.74240583232077761</v>
      </c>
      <c r="I213">
        <f t="shared" si="22"/>
        <v>4</v>
      </c>
      <c r="J213">
        <f>VLOOKUP(A213,'Housing Cost Calc'!$A$2:$C$827,3,FALSE)</f>
        <v>1130</v>
      </c>
      <c r="K213">
        <f t="shared" si="23"/>
        <v>0.37113953224150353</v>
      </c>
    </row>
    <row r="214" spans="1:11" ht="48" x14ac:dyDescent="0.2">
      <c r="A214" s="4" t="s">
        <v>3489</v>
      </c>
      <c r="B214">
        <v>61196</v>
      </c>
      <c r="C214">
        <v>2.74</v>
      </c>
      <c r="D214">
        <f t="shared" si="18"/>
        <v>36969.855623433512</v>
      </c>
      <c r="E214">
        <f t="shared" si="19"/>
        <v>36.96985562343351</v>
      </c>
      <c r="F214" s="7">
        <v>0.25880923450789795</v>
      </c>
      <c r="G214">
        <f t="shared" si="20"/>
        <v>2</v>
      </c>
      <c r="H214" s="7">
        <f t="shared" si="21"/>
        <v>0.74119076549210205</v>
      </c>
      <c r="I214">
        <f t="shared" si="22"/>
        <v>4</v>
      </c>
      <c r="J214">
        <f>VLOOKUP(A214,'Housing Cost Calc'!$A$2:$C$827,3,FALSE)</f>
        <v>1454</v>
      </c>
      <c r="K214">
        <f t="shared" si="23"/>
        <v>0.47195207300026637</v>
      </c>
    </row>
    <row r="215" spans="1:11" ht="48" x14ac:dyDescent="0.2">
      <c r="A215" s="4" t="s">
        <v>3435</v>
      </c>
      <c r="B215">
        <v>57072</v>
      </c>
      <c r="C215">
        <v>2.35</v>
      </c>
      <c r="D215">
        <f t="shared" si="18"/>
        <v>37229.667785306054</v>
      </c>
      <c r="E215">
        <f t="shared" si="19"/>
        <v>37.229667785306056</v>
      </c>
      <c r="F215" s="7">
        <v>0.2600243013365735</v>
      </c>
      <c r="G215">
        <f t="shared" si="20"/>
        <v>2</v>
      </c>
      <c r="H215" s="7">
        <f t="shared" si="21"/>
        <v>0.7399756986634265</v>
      </c>
      <c r="I215">
        <f t="shared" si="22"/>
        <v>4</v>
      </c>
      <c r="J215">
        <f>VLOOKUP(A215,'Housing Cost Calc'!$A$2:$C$827,3,FALSE)</f>
        <v>1136</v>
      </c>
      <c r="K215">
        <f t="shared" si="23"/>
        <v>0.36615959289812222</v>
      </c>
    </row>
    <row r="216" spans="1:11" ht="48" x14ac:dyDescent="0.2">
      <c r="A216" s="4" t="s">
        <v>3455</v>
      </c>
      <c r="B216">
        <v>58029</v>
      </c>
      <c r="C216">
        <v>2.41</v>
      </c>
      <c r="D216">
        <f t="shared" si="18"/>
        <v>37379.764873413813</v>
      </c>
      <c r="E216">
        <f t="shared" si="19"/>
        <v>37.379764873413812</v>
      </c>
      <c r="F216" s="7">
        <v>0.26123936816524906</v>
      </c>
      <c r="G216">
        <f t="shared" si="20"/>
        <v>2</v>
      </c>
      <c r="H216" s="7">
        <f t="shared" si="21"/>
        <v>0.73876063183475094</v>
      </c>
      <c r="I216">
        <f t="shared" si="22"/>
        <v>4</v>
      </c>
      <c r="J216">
        <f>VLOOKUP(A216,'Housing Cost Calc'!$A$2:$C$827,3,FALSE)</f>
        <v>1201</v>
      </c>
      <c r="K216">
        <f t="shared" si="23"/>
        <v>0.38555619728497731</v>
      </c>
    </row>
    <row r="217" spans="1:11" ht="48" x14ac:dyDescent="0.2">
      <c r="A217" s="4" t="s">
        <v>3460</v>
      </c>
      <c r="B217">
        <v>58278</v>
      </c>
      <c r="C217">
        <v>2.4300000000000002</v>
      </c>
      <c r="D217">
        <f t="shared" si="18"/>
        <v>37385.354430925567</v>
      </c>
      <c r="E217">
        <f t="shared" si="19"/>
        <v>37.385354430925567</v>
      </c>
      <c r="F217" s="7">
        <v>0.26245443499392468</v>
      </c>
      <c r="G217">
        <f t="shared" si="20"/>
        <v>2</v>
      </c>
      <c r="H217" s="7">
        <f t="shared" si="21"/>
        <v>0.73754556500607538</v>
      </c>
      <c r="I217">
        <f t="shared" si="22"/>
        <v>4</v>
      </c>
      <c r="J217">
        <f>VLOOKUP(A217,'Housing Cost Calc'!$A$2:$C$827,3,FALSE)</f>
        <v>1191</v>
      </c>
      <c r="K217">
        <f t="shared" si="23"/>
        <v>0.38228873893402238</v>
      </c>
    </row>
    <row r="218" spans="1:11" ht="48" x14ac:dyDescent="0.2">
      <c r="A218" s="4" t="s">
        <v>3423</v>
      </c>
      <c r="B218">
        <v>56009</v>
      </c>
      <c r="C218">
        <v>2.2400000000000002</v>
      </c>
      <c r="D218">
        <f t="shared" si="18"/>
        <v>37422.587245682444</v>
      </c>
      <c r="E218">
        <f t="shared" si="19"/>
        <v>37.422587245682443</v>
      </c>
      <c r="F218" s="7">
        <v>0.26366950182260024</v>
      </c>
      <c r="G218">
        <f t="shared" si="20"/>
        <v>2</v>
      </c>
      <c r="H218" s="7">
        <f t="shared" si="21"/>
        <v>0.73633049817739971</v>
      </c>
      <c r="I218">
        <f t="shared" si="22"/>
        <v>4</v>
      </c>
      <c r="J218">
        <f>VLOOKUP(A218,'Housing Cost Calc'!$A$2:$C$827,3,FALSE)</f>
        <v>1463</v>
      </c>
      <c r="K218">
        <f t="shared" si="23"/>
        <v>0.46912844065920345</v>
      </c>
    </row>
    <row r="219" spans="1:11" ht="48" x14ac:dyDescent="0.2">
      <c r="A219" s="4" t="s">
        <v>3476</v>
      </c>
      <c r="B219">
        <v>59552</v>
      </c>
      <c r="C219">
        <v>2.4700000000000002</v>
      </c>
      <c r="D219">
        <f t="shared" si="18"/>
        <v>37892.030204733514</v>
      </c>
      <c r="E219">
        <f t="shared" si="19"/>
        <v>37.892030204733516</v>
      </c>
      <c r="F219" s="7">
        <v>0.2648845686512758</v>
      </c>
      <c r="G219">
        <f t="shared" si="20"/>
        <v>2</v>
      </c>
      <c r="H219" s="7">
        <f t="shared" si="21"/>
        <v>0.73511543134872426</v>
      </c>
      <c r="I219">
        <f t="shared" si="22"/>
        <v>4</v>
      </c>
      <c r="J219">
        <f>VLOOKUP(A219,'Housing Cost Calc'!$A$2:$C$827,3,FALSE)</f>
        <v>1164</v>
      </c>
      <c r="K219">
        <f t="shared" si="23"/>
        <v>0.36862632919191285</v>
      </c>
    </row>
    <row r="220" spans="1:11" ht="48" x14ac:dyDescent="0.2">
      <c r="A220" s="4" t="s">
        <v>3441</v>
      </c>
      <c r="B220">
        <v>57358</v>
      </c>
      <c r="C220">
        <v>2.2599999999999998</v>
      </c>
      <c r="D220">
        <f t="shared" si="18"/>
        <v>38153.974056226252</v>
      </c>
      <c r="E220">
        <f t="shared" si="19"/>
        <v>38.153974056226254</v>
      </c>
      <c r="F220" s="7">
        <v>0.26609963547995141</v>
      </c>
      <c r="G220">
        <f t="shared" si="20"/>
        <v>2</v>
      </c>
      <c r="H220" s="7">
        <f t="shared" si="21"/>
        <v>0.73390036452004859</v>
      </c>
      <c r="I220">
        <f t="shared" si="22"/>
        <v>4</v>
      </c>
      <c r="J220">
        <f>VLOOKUP(A220,'Housing Cost Calc'!$A$2:$C$827,3,FALSE)</f>
        <v>1120</v>
      </c>
      <c r="K220">
        <f t="shared" si="23"/>
        <v>0.35225688365237956</v>
      </c>
    </row>
    <row r="221" spans="1:11" ht="48" x14ac:dyDescent="0.2">
      <c r="A221" s="4" t="s">
        <v>3523</v>
      </c>
      <c r="B221">
        <v>63167</v>
      </c>
      <c r="C221">
        <v>2.74</v>
      </c>
      <c r="D221">
        <f t="shared" si="18"/>
        <v>38160.58026938729</v>
      </c>
      <c r="E221">
        <f t="shared" si="19"/>
        <v>38.160580269387289</v>
      </c>
      <c r="F221" s="7">
        <v>0.26731470230862697</v>
      </c>
      <c r="G221">
        <f t="shared" si="20"/>
        <v>2</v>
      </c>
      <c r="H221" s="7">
        <f t="shared" si="21"/>
        <v>0.73268529769137303</v>
      </c>
      <c r="I221">
        <f t="shared" si="22"/>
        <v>4</v>
      </c>
      <c r="J221">
        <f>VLOOKUP(A221,'Housing Cost Calc'!$A$2:$C$827,3,FALSE)</f>
        <v>1345</v>
      </c>
      <c r="K221">
        <f t="shared" si="23"/>
        <v>0.42294954337860613</v>
      </c>
    </row>
    <row r="222" spans="1:11" ht="48" x14ac:dyDescent="0.2">
      <c r="A222" s="4" t="s">
        <v>3630</v>
      </c>
      <c r="B222">
        <v>71225</v>
      </c>
      <c r="C222">
        <v>3.45</v>
      </c>
      <c r="D222">
        <f t="shared" si="18"/>
        <v>38346.250974092836</v>
      </c>
      <c r="E222">
        <f t="shared" si="19"/>
        <v>38.34625097409284</v>
      </c>
      <c r="F222" s="7">
        <v>0.26852976913730253</v>
      </c>
      <c r="G222">
        <f t="shared" si="20"/>
        <v>2</v>
      </c>
      <c r="H222" s="7">
        <f t="shared" si="21"/>
        <v>0.73147023086269747</v>
      </c>
      <c r="I222">
        <f t="shared" si="22"/>
        <v>4</v>
      </c>
      <c r="J222">
        <f>VLOOKUP(A222,'Housing Cost Calc'!$A$2:$C$827,3,FALSE)</f>
        <v>1380</v>
      </c>
      <c r="K222">
        <f t="shared" si="23"/>
        <v>0.43185447284502793</v>
      </c>
    </row>
    <row r="223" spans="1:11" ht="48" x14ac:dyDescent="0.2">
      <c r="A223" s="4" t="s">
        <v>3437</v>
      </c>
      <c r="B223">
        <v>57218</v>
      </c>
      <c r="C223">
        <v>2.21</v>
      </c>
      <c r="D223">
        <f t="shared" si="18"/>
        <v>38488.991926881004</v>
      </c>
      <c r="E223">
        <f t="shared" si="19"/>
        <v>38.488991926881006</v>
      </c>
      <c r="F223" s="7">
        <v>0.26974483596597815</v>
      </c>
      <c r="G223">
        <f t="shared" si="20"/>
        <v>2</v>
      </c>
      <c r="H223" s="7">
        <f t="shared" si="21"/>
        <v>0.7302551640340218</v>
      </c>
      <c r="I223">
        <f t="shared" si="22"/>
        <v>4</v>
      </c>
      <c r="J223">
        <f>VLOOKUP(A223,'Housing Cost Calc'!$A$2:$C$827,3,FALSE)</f>
        <v>1035</v>
      </c>
      <c r="K223">
        <f t="shared" si="23"/>
        <v>0.32268966731045451</v>
      </c>
    </row>
    <row r="224" spans="1:11" ht="48" x14ac:dyDescent="0.2">
      <c r="A224" s="4" t="s">
        <v>3359</v>
      </c>
      <c r="B224">
        <v>51138</v>
      </c>
      <c r="C224">
        <v>1.76</v>
      </c>
      <c r="D224">
        <f t="shared" si="18"/>
        <v>38546.717847544191</v>
      </c>
      <c r="E224">
        <f t="shared" si="19"/>
        <v>38.546717847544194</v>
      </c>
      <c r="F224" s="7">
        <v>0.27095990279465371</v>
      </c>
      <c r="G224">
        <f t="shared" si="20"/>
        <v>2</v>
      </c>
      <c r="H224" s="7">
        <f t="shared" si="21"/>
        <v>0.72904009720534635</v>
      </c>
      <c r="I224">
        <f t="shared" si="22"/>
        <v>4</v>
      </c>
      <c r="J224">
        <f>VLOOKUP(A224,'Housing Cost Calc'!$A$2:$C$827,3,FALSE)</f>
        <v>1446</v>
      </c>
      <c r="K224">
        <f t="shared" si="23"/>
        <v>0.45015505778283782</v>
      </c>
    </row>
    <row r="225" spans="1:11" ht="48" x14ac:dyDescent="0.2">
      <c r="A225" s="4" t="s">
        <v>3515</v>
      </c>
      <c r="B225">
        <v>62927</v>
      </c>
      <c r="C225">
        <v>2.66</v>
      </c>
      <c r="D225">
        <f t="shared" si="18"/>
        <v>38583.019215770444</v>
      </c>
      <c r="E225">
        <f t="shared" si="19"/>
        <v>38.583019215770442</v>
      </c>
      <c r="F225" s="7">
        <v>0.27217496962332927</v>
      </c>
      <c r="G225">
        <f t="shared" si="20"/>
        <v>2</v>
      </c>
      <c r="H225" s="7">
        <f t="shared" si="21"/>
        <v>0.72782503037667068</v>
      </c>
      <c r="I225">
        <f t="shared" si="22"/>
        <v>4</v>
      </c>
      <c r="J225">
        <f>VLOOKUP(A225,'Housing Cost Calc'!$A$2:$C$827,3,FALSE)</f>
        <v>1377</v>
      </c>
      <c r="K225">
        <f t="shared" si="23"/>
        <v>0.42827130524938212</v>
      </c>
    </row>
    <row r="226" spans="1:11" ht="48" x14ac:dyDescent="0.2">
      <c r="A226" s="4" t="s">
        <v>3555</v>
      </c>
      <c r="B226">
        <v>65113</v>
      </c>
      <c r="C226">
        <v>2.83</v>
      </c>
      <c r="D226">
        <f t="shared" si="18"/>
        <v>38705.660915760047</v>
      </c>
      <c r="E226">
        <f t="shared" si="19"/>
        <v>38.705660915760049</v>
      </c>
      <c r="F226" s="7">
        <v>0.27339003645200488</v>
      </c>
      <c r="G226">
        <f t="shared" si="20"/>
        <v>2</v>
      </c>
      <c r="H226" s="7">
        <f t="shared" si="21"/>
        <v>0.72660996354799512</v>
      </c>
      <c r="I226">
        <f t="shared" si="22"/>
        <v>4</v>
      </c>
      <c r="J226">
        <f>VLOOKUP(A226,'Housing Cost Calc'!$A$2:$C$827,3,FALSE)</f>
        <v>1492</v>
      </c>
      <c r="K226">
        <f t="shared" si="23"/>
        <v>0.46256799590547509</v>
      </c>
    </row>
    <row r="227" spans="1:11" ht="48" x14ac:dyDescent="0.2">
      <c r="A227" s="4" t="s">
        <v>3449</v>
      </c>
      <c r="B227">
        <v>57917</v>
      </c>
      <c r="C227">
        <v>2.23</v>
      </c>
      <c r="D227">
        <f t="shared" si="18"/>
        <v>38784.091839575507</v>
      </c>
      <c r="E227">
        <f t="shared" si="19"/>
        <v>38.78409183957551</v>
      </c>
      <c r="F227" s="7">
        <v>0.27460510328068044</v>
      </c>
      <c r="G227">
        <f t="shared" si="20"/>
        <v>2</v>
      </c>
      <c r="H227" s="7">
        <f t="shared" si="21"/>
        <v>0.72539489671931956</v>
      </c>
      <c r="I227">
        <f t="shared" si="22"/>
        <v>4</v>
      </c>
      <c r="J227">
        <f>VLOOKUP(A227,'Housing Cost Calc'!$A$2:$C$827,3,FALSE)</f>
        <v>1077</v>
      </c>
      <c r="K227">
        <f t="shared" si="23"/>
        <v>0.33322940894060787</v>
      </c>
    </row>
    <row r="228" spans="1:11" ht="48" x14ac:dyDescent="0.2">
      <c r="A228" s="4" t="s">
        <v>3466</v>
      </c>
      <c r="B228">
        <v>58889</v>
      </c>
      <c r="C228">
        <v>2.2999999999999998</v>
      </c>
      <c r="D228">
        <f t="shared" si="18"/>
        <v>38830.256697804507</v>
      </c>
      <c r="E228">
        <f t="shared" si="19"/>
        <v>38.830256697804508</v>
      </c>
      <c r="F228" s="7">
        <v>0.275820170109356</v>
      </c>
      <c r="G228">
        <f t="shared" si="20"/>
        <v>2</v>
      </c>
      <c r="H228" s="7">
        <f t="shared" si="21"/>
        <v>0.724179829890644</v>
      </c>
      <c r="I228">
        <f t="shared" si="22"/>
        <v>4</v>
      </c>
      <c r="J228">
        <f>VLOOKUP(A228,'Housing Cost Calc'!$A$2:$C$827,3,FALSE)</f>
        <v>1280</v>
      </c>
      <c r="K228">
        <f t="shared" si="23"/>
        <v>0.39556782020625852</v>
      </c>
    </row>
    <row r="229" spans="1:11" ht="64" x14ac:dyDescent="0.2">
      <c r="A229" s="4" t="s">
        <v>3439</v>
      </c>
      <c r="B229">
        <v>57286</v>
      </c>
      <c r="C229">
        <v>2.17</v>
      </c>
      <c r="D229">
        <f t="shared" si="18"/>
        <v>38888.270748945855</v>
      </c>
      <c r="E229">
        <f t="shared" si="19"/>
        <v>38.888270748945857</v>
      </c>
      <c r="F229" s="7">
        <v>0.27703523693803161</v>
      </c>
      <c r="G229">
        <f t="shared" si="20"/>
        <v>2</v>
      </c>
      <c r="H229" s="7">
        <f t="shared" si="21"/>
        <v>0.72296476306196844</v>
      </c>
      <c r="I229">
        <f t="shared" si="22"/>
        <v>4</v>
      </c>
      <c r="J229">
        <f>VLOOKUP(A229,'Housing Cost Calc'!$A$2:$C$827,3,FALSE)</f>
        <v>1094</v>
      </c>
      <c r="K229">
        <f t="shared" si="23"/>
        <v>0.33758250874027002</v>
      </c>
    </row>
    <row r="230" spans="1:11" ht="48" x14ac:dyDescent="0.2">
      <c r="A230" s="4" t="s">
        <v>3470</v>
      </c>
      <c r="B230">
        <v>59018</v>
      </c>
      <c r="C230">
        <v>2.2999999999999998</v>
      </c>
      <c r="D230">
        <f t="shared" si="18"/>
        <v>38915.316778872562</v>
      </c>
      <c r="E230">
        <f t="shared" si="19"/>
        <v>38.915316778872565</v>
      </c>
      <c r="F230" s="7">
        <v>0.27825030376670717</v>
      </c>
      <c r="G230">
        <f t="shared" si="20"/>
        <v>2</v>
      </c>
      <c r="H230" s="7">
        <f t="shared" si="21"/>
        <v>0.72174969623329277</v>
      </c>
      <c r="I230">
        <f t="shared" si="22"/>
        <v>4</v>
      </c>
      <c r="J230">
        <f>VLOOKUP(A230,'Housing Cost Calc'!$A$2:$C$827,3,FALSE)</f>
        <v>1070</v>
      </c>
      <c r="K230">
        <f t="shared" si="23"/>
        <v>0.32994720492602903</v>
      </c>
    </row>
    <row r="231" spans="1:11" ht="48" x14ac:dyDescent="0.2">
      <c r="A231" s="4" t="s">
        <v>3544</v>
      </c>
      <c r="B231">
        <v>64241</v>
      </c>
      <c r="C231">
        <v>2.72</v>
      </c>
      <c r="D231">
        <f t="shared" si="18"/>
        <v>38951.827719897665</v>
      </c>
      <c r="E231">
        <f t="shared" si="19"/>
        <v>38.951827719897665</v>
      </c>
      <c r="F231" s="7">
        <v>0.27946537059538273</v>
      </c>
      <c r="G231">
        <f t="shared" si="20"/>
        <v>2</v>
      </c>
      <c r="H231" s="7">
        <f t="shared" si="21"/>
        <v>0.72053462940461732</v>
      </c>
      <c r="I231">
        <f t="shared" si="22"/>
        <v>4</v>
      </c>
      <c r="J231">
        <f>VLOOKUP(A231,'Housing Cost Calc'!$A$2:$C$827,3,FALSE)</f>
        <v>1235</v>
      </c>
      <c r="K231">
        <f t="shared" si="23"/>
        <v>0.38046995141204981</v>
      </c>
    </row>
    <row r="232" spans="1:11" ht="48" x14ac:dyDescent="0.2">
      <c r="A232" s="4" t="s">
        <v>3419</v>
      </c>
      <c r="B232">
        <v>55565</v>
      </c>
      <c r="C232">
        <v>2.0299999999999998</v>
      </c>
      <c r="D232">
        <f t="shared" si="18"/>
        <v>38998.984608481936</v>
      </c>
      <c r="E232">
        <f t="shared" si="19"/>
        <v>38.998984608481933</v>
      </c>
      <c r="F232" s="7">
        <v>0.28068043742405835</v>
      </c>
      <c r="G232">
        <f t="shared" si="20"/>
        <v>2</v>
      </c>
      <c r="H232" s="7">
        <f t="shared" si="21"/>
        <v>0.71931956257594165</v>
      </c>
      <c r="I232">
        <f t="shared" si="22"/>
        <v>4</v>
      </c>
      <c r="J232">
        <f>VLOOKUP(A232,'Housing Cost Calc'!$A$2:$C$827,3,FALSE)</f>
        <v>1268</v>
      </c>
      <c r="K232">
        <f t="shared" si="23"/>
        <v>0.39016400433899129</v>
      </c>
    </row>
    <row r="233" spans="1:11" ht="48" x14ac:dyDescent="0.2">
      <c r="A233" s="4" t="s">
        <v>3493</v>
      </c>
      <c r="B233">
        <v>61675</v>
      </c>
      <c r="C233">
        <v>2.4900000000000002</v>
      </c>
      <c r="D233">
        <f t="shared" si="18"/>
        <v>39084.943151097177</v>
      </c>
      <c r="E233">
        <f t="shared" si="19"/>
        <v>39.084943151097178</v>
      </c>
      <c r="F233" s="7">
        <v>0.28189550425273391</v>
      </c>
      <c r="G233">
        <f t="shared" si="20"/>
        <v>2</v>
      </c>
      <c r="H233" s="7">
        <f t="shared" si="21"/>
        <v>0.71810449574726609</v>
      </c>
      <c r="I233">
        <f t="shared" si="22"/>
        <v>4</v>
      </c>
      <c r="J233">
        <f>VLOOKUP(A233,'Housing Cost Calc'!$A$2:$C$827,3,FALSE)</f>
        <v>1167</v>
      </c>
      <c r="K233">
        <f t="shared" si="23"/>
        <v>0.35829654263183663</v>
      </c>
    </row>
    <row r="234" spans="1:11" ht="64" x14ac:dyDescent="0.2">
      <c r="A234" s="4" t="s">
        <v>3399</v>
      </c>
      <c r="B234">
        <v>53648</v>
      </c>
      <c r="C234">
        <v>1.88</v>
      </c>
      <c r="D234">
        <f t="shared" si="18"/>
        <v>39126.825319395233</v>
      </c>
      <c r="E234">
        <f t="shared" si="19"/>
        <v>39.12682531939523</v>
      </c>
      <c r="F234" s="7">
        <v>0.28311057108140947</v>
      </c>
      <c r="G234">
        <f t="shared" si="20"/>
        <v>2</v>
      </c>
      <c r="H234" s="7">
        <f t="shared" si="21"/>
        <v>0.71688942891859053</v>
      </c>
      <c r="I234">
        <f t="shared" si="22"/>
        <v>4</v>
      </c>
      <c r="J234">
        <f>VLOOKUP(A234,'Housing Cost Calc'!$A$2:$C$827,3,FALSE)</f>
        <v>1119</v>
      </c>
      <c r="K234">
        <f t="shared" si="23"/>
        <v>0.34319165662908302</v>
      </c>
    </row>
    <row r="235" spans="1:11" ht="48" x14ac:dyDescent="0.2">
      <c r="A235" s="4" t="s">
        <v>3557</v>
      </c>
      <c r="B235">
        <v>65192</v>
      </c>
      <c r="C235">
        <v>2.77</v>
      </c>
      <c r="D235">
        <f t="shared" si="18"/>
        <v>39170.076547677338</v>
      </c>
      <c r="E235">
        <f t="shared" si="19"/>
        <v>39.17007654767734</v>
      </c>
      <c r="F235" s="7">
        <v>0.28432563791008503</v>
      </c>
      <c r="G235">
        <f t="shared" si="20"/>
        <v>2</v>
      </c>
      <c r="H235" s="7">
        <f t="shared" si="21"/>
        <v>0.71567436208991497</v>
      </c>
      <c r="I235">
        <f t="shared" si="22"/>
        <v>4</v>
      </c>
      <c r="J235">
        <f>VLOOKUP(A235,'Housing Cost Calc'!$A$2:$C$827,3,FALSE)</f>
        <v>1124</v>
      </c>
      <c r="K235">
        <f t="shared" si="23"/>
        <v>0.34434448918123944</v>
      </c>
    </row>
    <row r="236" spans="1:11" ht="48" x14ac:dyDescent="0.2">
      <c r="A236" s="4" t="s">
        <v>3392</v>
      </c>
      <c r="B236">
        <v>60160</v>
      </c>
      <c r="C236">
        <v>2.34</v>
      </c>
      <c r="D236">
        <f t="shared" si="18"/>
        <v>39327.822299710504</v>
      </c>
      <c r="E236">
        <f t="shared" si="19"/>
        <v>39.327822299710505</v>
      </c>
      <c r="F236" s="7">
        <v>0.28554070473876064</v>
      </c>
      <c r="G236">
        <f t="shared" si="20"/>
        <v>2</v>
      </c>
      <c r="H236" s="7">
        <f t="shared" si="21"/>
        <v>0.71445929526123941</v>
      </c>
      <c r="I236">
        <f t="shared" si="22"/>
        <v>4</v>
      </c>
      <c r="J236">
        <f>VLOOKUP(A236,'Housing Cost Calc'!$A$2:$C$827,3,FALSE)</f>
        <v>1013</v>
      </c>
      <c r="K236">
        <f t="shared" si="23"/>
        <v>0.30909415495628606</v>
      </c>
    </row>
    <row r="237" spans="1:11" ht="48" x14ac:dyDescent="0.2">
      <c r="A237" s="4" t="s">
        <v>3539</v>
      </c>
      <c r="B237">
        <v>63715</v>
      </c>
      <c r="C237">
        <v>2.61</v>
      </c>
      <c r="D237">
        <f t="shared" si="18"/>
        <v>39438.594906502869</v>
      </c>
      <c r="E237">
        <f t="shared" si="19"/>
        <v>39.438594906502871</v>
      </c>
      <c r="F237" s="7">
        <v>0.2867557715674362</v>
      </c>
      <c r="G237">
        <f t="shared" si="20"/>
        <v>2</v>
      </c>
      <c r="H237" s="7">
        <f t="shared" si="21"/>
        <v>0.71324422843256374</v>
      </c>
      <c r="I237">
        <f t="shared" si="22"/>
        <v>4</v>
      </c>
      <c r="J237">
        <f>VLOOKUP(A237,'Housing Cost Calc'!$A$2:$C$827,3,FALSE)</f>
        <v>1457</v>
      </c>
      <c r="K237">
        <f t="shared" si="23"/>
        <v>0.44332208187054695</v>
      </c>
    </row>
    <row r="238" spans="1:11" ht="48" x14ac:dyDescent="0.2">
      <c r="A238" s="4" t="s">
        <v>3570</v>
      </c>
      <c r="B238">
        <v>66250</v>
      </c>
      <c r="C238">
        <v>2.81</v>
      </c>
      <c r="D238">
        <f t="shared" si="18"/>
        <v>39521.436590512953</v>
      </c>
      <c r="E238">
        <f t="shared" si="19"/>
        <v>39.521436590512955</v>
      </c>
      <c r="F238" s="7">
        <v>0.28797083839611176</v>
      </c>
      <c r="G238">
        <f t="shared" si="20"/>
        <v>2</v>
      </c>
      <c r="H238" s="7">
        <f t="shared" si="21"/>
        <v>0.71202916160388829</v>
      </c>
      <c r="I238">
        <f t="shared" si="22"/>
        <v>4</v>
      </c>
      <c r="J238">
        <f>VLOOKUP(A238,'Housing Cost Calc'!$A$2:$C$827,3,FALSE)</f>
        <v>2096</v>
      </c>
      <c r="K238">
        <f t="shared" si="23"/>
        <v>0.6364141126903694</v>
      </c>
    </row>
    <row r="239" spans="1:11" ht="48" x14ac:dyDescent="0.2">
      <c r="A239" s="4" t="s">
        <v>3503</v>
      </c>
      <c r="B239">
        <v>62120</v>
      </c>
      <c r="C239">
        <v>2.4700000000000002</v>
      </c>
      <c r="D239">
        <f t="shared" si="18"/>
        <v>39526.009476055311</v>
      </c>
      <c r="E239">
        <f t="shared" si="19"/>
        <v>39.526009476055314</v>
      </c>
      <c r="F239" s="7">
        <v>0.28918590522478738</v>
      </c>
      <c r="G239">
        <f t="shared" si="20"/>
        <v>2</v>
      </c>
      <c r="H239" s="7">
        <f t="shared" si="21"/>
        <v>0.71081409477521262</v>
      </c>
      <c r="I239">
        <f t="shared" si="22"/>
        <v>4</v>
      </c>
      <c r="J239">
        <f>VLOOKUP(A239,'Housing Cost Calc'!$A$2:$C$827,3,FALSE)</f>
        <v>1268</v>
      </c>
      <c r="K239">
        <f t="shared" si="23"/>
        <v>0.38496170500636517</v>
      </c>
    </row>
    <row r="240" spans="1:11" ht="48" x14ac:dyDescent="0.2">
      <c r="A240" s="4" t="s">
        <v>3510</v>
      </c>
      <c r="B240">
        <v>62700</v>
      </c>
      <c r="C240">
        <v>2.5099999999999998</v>
      </c>
      <c r="D240">
        <f t="shared" si="18"/>
        <v>39575.889074232262</v>
      </c>
      <c r="E240">
        <f t="shared" si="19"/>
        <v>39.575889074232265</v>
      </c>
      <c r="F240" s="7">
        <v>0.29040097205346294</v>
      </c>
      <c r="G240">
        <f t="shared" si="20"/>
        <v>2</v>
      </c>
      <c r="H240" s="7">
        <f t="shared" si="21"/>
        <v>0.70959902794653706</v>
      </c>
      <c r="I240">
        <f t="shared" si="22"/>
        <v>4</v>
      </c>
      <c r="J240">
        <f>VLOOKUP(A240,'Housing Cost Calc'!$A$2:$C$827,3,FALSE)</f>
        <v>1198</v>
      </c>
      <c r="K240">
        <f t="shared" si="23"/>
        <v>0.36325147296211141</v>
      </c>
    </row>
    <row r="241" spans="1:11" ht="48" x14ac:dyDescent="0.2">
      <c r="A241" s="4" t="s">
        <v>3529</v>
      </c>
      <c r="B241">
        <v>63468</v>
      </c>
      <c r="C241">
        <v>2.57</v>
      </c>
      <c r="D241">
        <f t="shared" si="18"/>
        <v>39590.250656969984</v>
      </c>
      <c r="E241">
        <f t="shared" si="19"/>
        <v>39.590250656969985</v>
      </c>
      <c r="F241" s="7">
        <v>0.2916160388821385</v>
      </c>
      <c r="G241">
        <f t="shared" si="20"/>
        <v>2</v>
      </c>
      <c r="H241" s="7">
        <f t="shared" si="21"/>
        <v>0.7083839611178615</v>
      </c>
      <c r="I241">
        <f t="shared" si="22"/>
        <v>4</v>
      </c>
      <c r="J241">
        <f>VLOOKUP(A241,'Housing Cost Calc'!$A$2:$C$827,3,FALSE)</f>
        <v>1283</v>
      </c>
      <c r="K241">
        <f t="shared" si="23"/>
        <v>0.38888362019727418</v>
      </c>
    </row>
    <row r="242" spans="1:11" ht="48" x14ac:dyDescent="0.2">
      <c r="A242" s="4" t="s">
        <v>3499</v>
      </c>
      <c r="B242">
        <v>62054</v>
      </c>
      <c r="C242">
        <v>2.4300000000000002</v>
      </c>
      <c r="D242">
        <f t="shared" si="18"/>
        <v>39807.659560325599</v>
      </c>
      <c r="E242">
        <f t="shared" si="19"/>
        <v>39.807659560325597</v>
      </c>
      <c r="F242" s="7">
        <v>0.29283110571081411</v>
      </c>
      <c r="G242">
        <f t="shared" si="20"/>
        <v>2</v>
      </c>
      <c r="H242" s="7">
        <f t="shared" si="21"/>
        <v>0.70716889428918583</v>
      </c>
      <c r="I242">
        <f t="shared" si="22"/>
        <v>4</v>
      </c>
      <c r="J242">
        <f>VLOOKUP(A242,'Housing Cost Calc'!$A$2:$C$827,3,FALSE)</f>
        <v>1097</v>
      </c>
      <c r="K242">
        <f t="shared" si="23"/>
        <v>0.3306901271111134</v>
      </c>
    </row>
    <row r="243" spans="1:11" ht="48" x14ac:dyDescent="0.2">
      <c r="A243" s="4" t="s">
        <v>3617</v>
      </c>
      <c r="B243">
        <v>70469</v>
      </c>
      <c r="C243">
        <v>3.11</v>
      </c>
      <c r="D243">
        <f t="shared" si="18"/>
        <v>39959.303899933024</v>
      </c>
      <c r="E243">
        <f t="shared" si="19"/>
        <v>39.959303899933026</v>
      </c>
      <c r="F243" s="7">
        <v>0.29404617253948967</v>
      </c>
      <c r="G243">
        <f t="shared" si="20"/>
        <v>2</v>
      </c>
      <c r="H243" s="7">
        <f t="shared" si="21"/>
        <v>0.70595382746051039</v>
      </c>
      <c r="I243">
        <f t="shared" si="22"/>
        <v>4</v>
      </c>
      <c r="J243">
        <f>VLOOKUP(A243,'Housing Cost Calc'!$A$2:$C$827,3,FALSE)</f>
        <v>1660</v>
      </c>
      <c r="K243">
        <f t="shared" si="23"/>
        <v>0.49850718245453191</v>
      </c>
    </row>
    <row r="244" spans="1:11" ht="48" x14ac:dyDescent="0.2">
      <c r="A244" s="4" t="s">
        <v>3497</v>
      </c>
      <c r="B244">
        <v>61844</v>
      </c>
      <c r="C244">
        <v>2.37</v>
      </c>
      <c r="D244">
        <f t="shared" si="18"/>
        <v>40171.994863437096</v>
      </c>
      <c r="E244">
        <f t="shared" si="19"/>
        <v>40.171994863437092</v>
      </c>
      <c r="F244" s="7">
        <v>0.29526123936816523</v>
      </c>
      <c r="G244">
        <f t="shared" si="20"/>
        <v>2</v>
      </c>
      <c r="H244" s="7">
        <f t="shared" si="21"/>
        <v>0.70473876063183472</v>
      </c>
      <c r="I244">
        <f t="shared" si="22"/>
        <v>4</v>
      </c>
      <c r="J244">
        <f>VLOOKUP(A244,'Housing Cost Calc'!$A$2:$C$827,3,FALSE)</f>
        <v>1541</v>
      </c>
      <c r="K244">
        <f t="shared" si="23"/>
        <v>0.4603206801868498</v>
      </c>
    </row>
    <row r="245" spans="1:11" ht="48" x14ac:dyDescent="0.2">
      <c r="A245" s="4" t="s">
        <v>3512</v>
      </c>
      <c r="B245">
        <v>62788</v>
      </c>
      <c r="C245">
        <v>2.44</v>
      </c>
      <c r="D245">
        <f t="shared" si="18"/>
        <v>40195.898086133362</v>
      </c>
      <c r="E245">
        <f t="shared" si="19"/>
        <v>40.195898086133361</v>
      </c>
      <c r="F245" s="7">
        <v>0.29647630619684084</v>
      </c>
      <c r="G245">
        <f t="shared" si="20"/>
        <v>2</v>
      </c>
      <c r="H245" s="7">
        <f t="shared" si="21"/>
        <v>0.70352369380315916</v>
      </c>
      <c r="I245">
        <f t="shared" si="22"/>
        <v>4</v>
      </c>
      <c r="J245">
        <f>VLOOKUP(A245,'Housing Cost Calc'!$A$2:$C$827,3,FALSE)</f>
        <v>1102</v>
      </c>
      <c r="K245">
        <f t="shared" si="23"/>
        <v>0.328988793126679</v>
      </c>
    </row>
    <row r="246" spans="1:11" ht="64" x14ac:dyDescent="0.2">
      <c r="A246" s="4" t="s">
        <v>3474</v>
      </c>
      <c r="B246">
        <v>59402</v>
      </c>
      <c r="C246">
        <v>2.1800000000000002</v>
      </c>
      <c r="D246">
        <f t="shared" si="18"/>
        <v>40232.110982751583</v>
      </c>
      <c r="E246">
        <f t="shared" si="19"/>
        <v>40.232110982751585</v>
      </c>
      <c r="F246" s="7">
        <v>0.2976913730255164</v>
      </c>
      <c r="G246">
        <f t="shared" si="20"/>
        <v>2</v>
      </c>
      <c r="H246" s="7">
        <f t="shared" si="21"/>
        <v>0.7023086269744836</v>
      </c>
      <c r="I246">
        <f t="shared" si="22"/>
        <v>4</v>
      </c>
      <c r="J246">
        <f>VLOOKUP(A246,'Housing Cost Calc'!$A$2:$C$827,3,FALSE)</f>
        <v>1195</v>
      </c>
      <c r="K246">
        <f t="shared" si="23"/>
        <v>0.35643170715421529</v>
      </c>
    </row>
    <row r="247" spans="1:11" ht="48" x14ac:dyDescent="0.2">
      <c r="A247" s="4" t="s">
        <v>3487</v>
      </c>
      <c r="B247">
        <v>61071</v>
      </c>
      <c r="C247">
        <v>2.2999999999999998</v>
      </c>
      <c r="D247">
        <f t="shared" si="18"/>
        <v>40269.02489075411</v>
      </c>
      <c r="E247">
        <f t="shared" si="19"/>
        <v>40.26902489075411</v>
      </c>
      <c r="F247" s="7">
        <v>0.29890643985419196</v>
      </c>
      <c r="G247">
        <f t="shared" si="20"/>
        <v>2</v>
      </c>
      <c r="H247" s="7">
        <f t="shared" si="21"/>
        <v>0.70109356014580804</v>
      </c>
      <c r="I247">
        <f t="shared" si="22"/>
        <v>4</v>
      </c>
      <c r="J247">
        <f>VLOOKUP(A247,'Housing Cost Calc'!$A$2:$C$827,3,FALSE)</f>
        <v>1124</v>
      </c>
      <c r="K247">
        <f t="shared" si="23"/>
        <v>0.3349472711741</v>
      </c>
    </row>
    <row r="248" spans="1:11" ht="48" x14ac:dyDescent="0.2">
      <c r="A248" s="4" t="s">
        <v>3464</v>
      </c>
      <c r="B248">
        <v>58875</v>
      </c>
      <c r="C248">
        <v>2.13</v>
      </c>
      <c r="D248">
        <f t="shared" si="18"/>
        <v>40340.485291095931</v>
      </c>
      <c r="E248">
        <f t="shared" si="19"/>
        <v>40.340485291095931</v>
      </c>
      <c r="F248" s="7">
        <v>0.30012150668286758</v>
      </c>
      <c r="G248">
        <f t="shared" si="20"/>
        <v>2</v>
      </c>
      <c r="H248" s="7">
        <f t="shared" si="21"/>
        <v>0.69987849331713248</v>
      </c>
      <c r="I248">
        <f t="shared" si="22"/>
        <v>4</v>
      </c>
      <c r="J248">
        <f>VLOOKUP(A248,'Housing Cost Calc'!$A$2:$C$827,3,FALSE)</f>
        <v>1410</v>
      </c>
      <c r="K248">
        <f t="shared" si="23"/>
        <v>0.41942975841529184</v>
      </c>
    </row>
    <row r="249" spans="1:11" ht="48" x14ac:dyDescent="0.2">
      <c r="A249" s="4" t="s">
        <v>3582</v>
      </c>
      <c r="B249">
        <v>67314</v>
      </c>
      <c r="C249">
        <v>2.78</v>
      </c>
      <c r="D249">
        <f t="shared" si="18"/>
        <v>40372.254326758382</v>
      </c>
      <c r="E249">
        <f t="shared" si="19"/>
        <v>40.37225432675838</v>
      </c>
      <c r="F249" s="7">
        <v>0.30133657351154314</v>
      </c>
      <c r="G249">
        <f t="shared" si="20"/>
        <v>2</v>
      </c>
      <c r="H249" s="7">
        <f t="shared" si="21"/>
        <v>0.69866342648845681</v>
      </c>
      <c r="I249">
        <f t="shared" si="22"/>
        <v>4</v>
      </c>
      <c r="J249">
        <f>VLOOKUP(A249,'Housing Cost Calc'!$A$2:$C$827,3,FALSE)</f>
        <v>1320</v>
      </c>
      <c r="K249">
        <f t="shared" si="23"/>
        <v>0.39234866281671532</v>
      </c>
    </row>
    <row r="250" spans="1:11" ht="48" x14ac:dyDescent="0.2">
      <c r="A250" s="4" t="s">
        <v>3438</v>
      </c>
      <c r="B250">
        <v>60694</v>
      </c>
      <c r="C250">
        <v>2.2200000000000002</v>
      </c>
      <c r="D250">
        <f t="shared" si="18"/>
        <v>40735.145615159992</v>
      </c>
      <c r="E250">
        <f t="shared" si="19"/>
        <v>40.735145615159993</v>
      </c>
      <c r="F250" s="7">
        <v>0.3025516403402187</v>
      </c>
      <c r="G250">
        <f t="shared" si="20"/>
        <v>2</v>
      </c>
      <c r="H250" s="7">
        <f t="shared" si="21"/>
        <v>0.69744835965978136</v>
      </c>
      <c r="I250">
        <f t="shared" si="22"/>
        <v>4</v>
      </c>
      <c r="J250">
        <f>VLOOKUP(A250,'Housing Cost Calc'!$A$2:$C$827,3,FALSE)</f>
        <v>1066</v>
      </c>
      <c r="K250">
        <f t="shared" si="23"/>
        <v>0.31402858162950398</v>
      </c>
    </row>
    <row r="251" spans="1:11" ht="64" x14ac:dyDescent="0.2">
      <c r="A251" s="4" t="s">
        <v>3533</v>
      </c>
      <c r="B251">
        <v>63536</v>
      </c>
      <c r="C251">
        <v>2.4300000000000002</v>
      </c>
      <c r="D251">
        <f t="shared" si="18"/>
        <v>40758.363003591185</v>
      </c>
      <c r="E251">
        <f t="shared" si="19"/>
        <v>40.758363003591185</v>
      </c>
      <c r="F251" s="7">
        <v>0.30376670716889431</v>
      </c>
      <c r="G251">
        <f t="shared" si="20"/>
        <v>2</v>
      </c>
      <c r="H251" s="7">
        <f t="shared" si="21"/>
        <v>0.69623329283110569</v>
      </c>
      <c r="I251">
        <f t="shared" si="22"/>
        <v>4</v>
      </c>
      <c r="J251">
        <f>VLOOKUP(A251,'Housing Cost Calc'!$A$2:$C$827,3,FALSE)</f>
        <v>1379</v>
      </c>
      <c r="K251">
        <f t="shared" si="23"/>
        <v>0.40600256684847646</v>
      </c>
    </row>
    <row r="252" spans="1:11" ht="48" x14ac:dyDescent="0.2">
      <c r="A252" s="4" t="s">
        <v>3521</v>
      </c>
      <c r="B252">
        <v>63141</v>
      </c>
      <c r="C252">
        <v>2.39</v>
      </c>
      <c r="D252">
        <f t="shared" si="18"/>
        <v>40842.517641305298</v>
      </c>
      <c r="E252">
        <f t="shared" si="19"/>
        <v>40.842517641305299</v>
      </c>
      <c r="F252" s="7">
        <v>0.30498177399756987</v>
      </c>
      <c r="G252">
        <f t="shared" si="20"/>
        <v>2</v>
      </c>
      <c r="H252" s="7">
        <f t="shared" si="21"/>
        <v>0.69501822600243013</v>
      </c>
      <c r="I252">
        <f t="shared" si="22"/>
        <v>4</v>
      </c>
      <c r="J252">
        <f>VLOOKUP(A252,'Housing Cost Calc'!$A$2:$C$827,3,FALSE)</f>
        <v>1526</v>
      </c>
      <c r="K252">
        <f t="shared" si="23"/>
        <v>0.44835629773911168</v>
      </c>
    </row>
    <row r="253" spans="1:11" ht="64" x14ac:dyDescent="0.2">
      <c r="A253" s="4" t="s">
        <v>3601</v>
      </c>
      <c r="B253">
        <v>68599</v>
      </c>
      <c r="C253">
        <v>2.77</v>
      </c>
      <c r="D253">
        <f t="shared" si="18"/>
        <v>41217.144451682994</v>
      </c>
      <c r="E253">
        <f t="shared" si="19"/>
        <v>41.217144451682991</v>
      </c>
      <c r="F253" s="7">
        <v>0.30619684082624543</v>
      </c>
      <c r="G253">
        <f t="shared" si="20"/>
        <v>2</v>
      </c>
      <c r="H253" s="7">
        <f t="shared" si="21"/>
        <v>0.69380315917375457</v>
      </c>
      <c r="I253">
        <f t="shared" si="22"/>
        <v>4</v>
      </c>
      <c r="J253">
        <f>VLOOKUP(A253,'Housing Cost Calc'!$A$2:$C$827,3,FALSE)</f>
        <v>1630</v>
      </c>
      <c r="K253">
        <f t="shared" si="23"/>
        <v>0.47455980418365246</v>
      </c>
    </row>
    <row r="254" spans="1:11" ht="48" x14ac:dyDescent="0.2">
      <c r="A254" s="4" t="s">
        <v>3537</v>
      </c>
      <c r="B254">
        <v>63667</v>
      </c>
      <c r="C254">
        <v>2.36</v>
      </c>
      <c r="D254">
        <f t="shared" si="18"/>
        <v>41443.686977080564</v>
      </c>
      <c r="E254">
        <f t="shared" si="19"/>
        <v>41.443686977080567</v>
      </c>
      <c r="F254" s="7">
        <v>0.30741190765492105</v>
      </c>
      <c r="G254">
        <f t="shared" si="20"/>
        <v>2</v>
      </c>
      <c r="H254" s="7">
        <f t="shared" si="21"/>
        <v>0.6925880923450789</v>
      </c>
      <c r="I254">
        <f t="shared" si="22"/>
        <v>4</v>
      </c>
      <c r="J254">
        <f>VLOOKUP(A254,'Housing Cost Calc'!$A$2:$C$827,3,FALSE)</f>
        <v>1214</v>
      </c>
      <c r="K254">
        <f t="shared" si="23"/>
        <v>0.35151312691017289</v>
      </c>
    </row>
    <row r="255" spans="1:11" ht="48" x14ac:dyDescent="0.2">
      <c r="A255" s="4" t="s">
        <v>3508</v>
      </c>
      <c r="B255">
        <v>62462</v>
      </c>
      <c r="C255">
        <v>2.27</v>
      </c>
      <c r="D255">
        <f t="shared" si="18"/>
        <v>41457.485489157451</v>
      </c>
      <c r="E255">
        <f t="shared" si="19"/>
        <v>41.457485489157449</v>
      </c>
      <c r="F255" s="7">
        <v>0.30862697448359661</v>
      </c>
      <c r="G255">
        <f t="shared" si="20"/>
        <v>2</v>
      </c>
      <c r="H255" s="7">
        <f t="shared" si="21"/>
        <v>0.69137302551640345</v>
      </c>
      <c r="I255">
        <f t="shared" si="22"/>
        <v>4</v>
      </c>
      <c r="J255">
        <f>VLOOKUP(A255,'Housing Cost Calc'!$A$2:$C$827,3,FALSE)</f>
        <v>1116</v>
      </c>
      <c r="K255">
        <f t="shared" si="23"/>
        <v>0.32302972170134309</v>
      </c>
    </row>
    <row r="256" spans="1:11" ht="48" x14ac:dyDescent="0.2">
      <c r="A256" s="4" t="s">
        <v>3542</v>
      </c>
      <c r="B256">
        <v>64044</v>
      </c>
      <c r="C256">
        <v>2.38</v>
      </c>
      <c r="D256">
        <f t="shared" si="18"/>
        <v>41513.559271174818</v>
      </c>
      <c r="E256">
        <f t="shared" si="19"/>
        <v>41.51355927117482</v>
      </c>
      <c r="F256" s="7">
        <v>0.30984204131227217</v>
      </c>
      <c r="G256">
        <f t="shared" si="20"/>
        <v>2</v>
      </c>
      <c r="H256" s="7">
        <f t="shared" si="21"/>
        <v>0.69015795868772778</v>
      </c>
      <c r="I256">
        <f t="shared" si="22"/>
        <v>4</v>
      </c>
      <c r="J256">
        <f>VLOOKUP(A256,'Housing Cost Calc'!$A$2:$C$827,3,FALSE)</f>
        <v>1852</v>
      </c>
      <c r="K256">
        <f t="shared" si="23"/>
        <v>0.53534315992585502</v>
      </c>
    </row>
    <row r="257" spans="1:11" ht="48" x14ac:dyDescent="0.2">
      <c r="A257" s="4" t="s">
        <v>3568</v>
      </c>
      <c r="B257">
        <v>65967</v>
      </c>
      <c r="C257">
        <v>2.52</v>
      </c>
      <c r="D257">
        <f t="shared" si="18"/>
        <v>41555.303984999489</v>
      </c>
      <c r="E257">
        <f t="shared" si="19"/>
        <v>41.55530398499949</v>
      </c>
      <c r="F257" s="7">
        <v>0.31105710814094772</v>
      </c>
      <c r="G257">
        <f t="shared" si="20"/>
        <v>2</v>
      </c>
      <c r="H257" s="7">
        <f t="shared" si="21"/>
        <v>0.68894289185905233</v>
      </c>
      <c r="I257">
        <f t="shared" si="22"/>
        <v>4</v>
      </c>
      <c r="J257">
        <f>VLOOKUP(A257,'Housing Cost Calc'!$A$2:$C$827,3,FALSE)</f>
        <v>1534</v>
      </c>
      <c r="K257">
        <f t="shared" si="23"/>
        <v>0.4429759437362043</v>
      </c>
    </row>
    <row r="258" spans="1:11" ht="48" x14ac:dyDescent="0.2">
      <c r="A258" s="4" t="s">
        <v>3517</v>
      </c>
      <c r="B258">
        <v>63036</v>
      </c>
      <c r="C258">
        <v>2.2999999999999998</v>
      </c>
      <c r="D258">
        <f t="shared" ref="D258:D321" si="24">(B258/(C258)^0.5)</f>
        <v>41564.70752097683</v>
      </c>
      <c r="E258">
        <f t="shared" ref="E258:E321" si="25">D258/1000</f>
        <v>41.564707520976832</v>
      </c>
      <c r="F258" s="7">
        <v>0.31227217496962334</v>
      </c>
      <c r="G258">
        <f t="shared" si="20"/>
        <v>2</v>
      </c>
      <c r="H258" s="7">
        <f t="shared" si="21"/>
        <v>0.68772782503037666</v>
      </c>
      <c r="I258">
        <f t="shared" si="22"/>
        <v>4</v>
      </c>
      <c r="J258">
        <f>VLOOKUP(A258,'Housing Cost Calc'!$A$2:$C$827,3,FALSE)</f>
        <v>1161</v>
      </c>
      <c r="K258">
        <f t="shared" si="23"/>
        <v>0.33518821208999999</v>
      </c>
    </row>
    <row r="259" spans="1:11" ht="48" x14ac:dyDescent="0.2">
      <c r="A259" s="4" t="s">
        <v>3524</v>
      </c>
      <c r="B259">
        <v>64405</v>
      </c>
      <c r="C259">
        <v>2.39</v>
      </c>
      <c r="D259">
        <f t="shared" si="24"/>
        <v>41660.131272679682</v>
      </c>
      <c r="E259">
        <f t="shared" si="25"/>
        <v>41.660131272679685</v>
      </c>
      <c r="F259" s="7">
        <v>0.3134872417982989</v>
      </c>
      <c r="G259">
        <f t="shared" ref="G259:G322" si="26">IF(F259&lt;0.2,1,IF(F259&lt;0.4,2,IF(F259&lt;0.6,3,IF(F259&lt;0.8,4,5))))</f>
        <v>2</v>
      </c>
      <c r="H259" s="7">
        <f t="shared" ref="H259:H322" si="27">1-F259</f>
        <v>0.6865127582017011</v>
      </c>
      <c r="I259">
        <f t="shared" ref="I259:I322" si="28">6-G259</f>
        <v>4</v>
      </c>
      <c r="J259">
        <f>VLOOKUP(A259,'Housing Cost Calc'!$A$2:$C$827,3,FALSE)</f>
        <v>1116</v>
      </c>
      <c r="K259">
        <f t="shared" ref="K259:K322" si="29">(J259*12)/D259</f>
        <v>0.32145842057829394</v>
      </c>
    </row>
    <row r="260" spans="1:11" ht="64" x14ac:dyDescent="0.2">
      <c r="A260" s="4" t="s">
        <v>3580</v>
      </c>
      <c r="B260">
        <v>67262</v>
      </c>
      <c r="C260">
        <v>2.6</v>
      </c>
      <c r="D260">
        <f t="shared" si="24"/>
        <v>41714.12158969669</v>
      </c>
      <c r="E260">
        <f t="shared" si="25"/>
        <v>41.714121589696688</v>
      </c>
      <c r="F260" s="7">
        <v>0.31470230862697446</v>
      </c>
      <c r="G260">
        <f t="shared" si="26"/>
        <v>2</v>
      </c>
      <c r="H260" s="7">
        <f t="shared" si="27"/>
        <v>0.68529769137302554</v>
      </c>
      <c r="I260">
        <f t="shared" si="28"/>
        <v>4</v>
      </c>
      <c r="J260">
        <f>VLOOKUP(A260,'Housing Cost Calc'!$A$2:$C$827,3,FALSE)</f>
        <v>1245</v>
      </c>
      <c r="K260">
        <f t="shared" si="29"/>
        <v>0.35815209407861898</v>
      </c>
    </row>
    <row r="261" spans="1:11" ht="48" x14ac:dyDescent="0.2">
      <c r="A261" s="4" t="s">
        <v>3506</v>
      </c>
      <c r="B261">
        <v>62432</v>
      </c>
      <c r="C261">
        <v>2.2400000000000002</v>
      </c>
      <c r="D261">
        <f t="shared" si="24"/>
        <v>41714.134637691197</v>
      </c>
      <c r="E261">
        <f t="shared" si="25"/>
        <v>41.714134637691195</v>
      </c>
      <c r="F261" s="7">
        <v>0.31591737545565007</v>
      </c>
      <c r="G261">
        <f t="shared" si="26"/>
        <v>2</v>
      </c>
      <c r="H261" s="7">
        <f t="shared" si="27"/>
        <v>0.68408262454434987</v>
      </c>
      <c r="I261">
        <f t="shared" si="28"/>
        <v>4</v>
      </c>
      <c r="J261">
        <f>VLOOKUP(A261,'Housing Cost Calc'!$A$2:$C$827,3,FALSE)</f>
        <v>1290</v>
      </c>
      <c r="K261">
        <f t="shared" si="29"/>
        <v>0.37109723441350984</v>
      </c>
    </row>
    <row r="262" spans="1:11" ht="48" x14ac:dyDescent="0.2">
      <c r="A262" s="4" t="s">
        <v>3546</v>
      </c>
      <c r="B262">
        <v>64375</v>
      </c>
      <c r="C262">
        <v>2.37</v>
      </c>
      <c r="D262">
        <f t="shared" si="24"/>
        <v>41816.056033467488</v>
      </c>
      <c r="E262">
        <f t="shared" si="25"/>
        <v>41.81605603346749</v>
      </c>
      <c r="F262" s="7">
        <v>0.31713244228432563</v>
      </c>
      <c r="G262">
        <f t="shared" si="26"/>
        <v>2</v>
      </c>
      <c r="H262" s="7">
        <f t="shared" si="27"/>
        <v>0.68286755771567442</v>
      </c>
      <c r="I262">
        <f t="shared" si="28"/>
        <v>4</v>
      </c>
      <c r="J262">
        <f>VLOOKUP(A262,'Housing Cost Calc'!$A$2:$C$827,3,FALSE)</f>
        <v>1592</v>
      </c>
      <c r="K262">
        <f t="shared" si="29"/>
        <v>0.45685800652051234</v>
      </c>
    </row>
    <row r="263" spans="1:11" ht="64" x14ac:dyDescent="0.2">
      <c r="A263" s="4" t="s">
        <v>3425</v>
      </c>
      <c r="B263">
        <v>56020</v>
      </c>
      <c r="C263">
        <v>1.79</v>
      </c>
      <c r="D263">
        <f t="shared" si="24"/>
        <v>41871.313895963453</v>
      </c>
      <c r="E263">
        <f t="shared" si="25"/>
        <v>41.871313895963453</v>
      </c>
      <c r="F263" s="7">
        <v>0.31834750911300119</v>
      </c>
      <c r="G263">
        <f t="shared" si="26"/>
        <v>2</v>
      </c>
      <c r="H263" s="7">
        <f t="shared" si="27"/>
        <v>0.68165249088699875</v>
      </c>
      <c r="I263">
        <f t="shared" si="28"/>
        <v>4</v>
      </c>
      <c r="J263">
        <f>VLOOKUP(A263,'Housing Cost Calc'!$A$2:$C$827,3,FALSE)</f>
        <v>1254</v>
      </c>
      <c r="K263">
        <f t="shared" si="29"/>
        <v>0.35938685939947734</v>
      </c>
    </row>
    <row r="264" spans="1:11" ht="48" x14ac:dyDescent="0.2">
      <c r="A264" s="4" t="s">
        <v>3509</v>
      </c>
      <c r="B264">
        <v>68482</v>
      </c>
      <c r="C264">
        <v>2.67</v>
      </c>
      <c r="D264">
        <f t="shared" si="24"/>
        <v>41910.303382199643</v>
      </c>
      <c r="E264">
        <f t="shared" si="25"/>
        <v>41.910303382199643</v>
      </c>
      <c r="F264" s="7">
        <v>0.31956257594167681</v>
      </c>
      <c r="G264">
        <f t="shared" si="26"/>
        <v>2</v>
      </c>
      <c r="H264" s="7">
        <f t="shared" si="27"/>
        <v>0.68043742405832319</v>
      </c>
      <c r="I264">
        <f t="shared" si="28"/>
        <v>4</v>
      </c>
      <c r="J264">
        <f>VLOOKUP(A264,'Housing Cost Calc'!$A$2:$C$827,3,FALSE)</f>
        <v>1120</v>
      </c>
      <c r="K264">
        <f t="shared" si="29"/>
        <v>0.32068486542400704</v>
      </c>
    </row>
    <row r="265" spans="1:11" ht="48" x14ac:dyDescent="0.2">
      <c r="A265" s="4" t="s">
        <v>3519</v>
      </c>
      <c r="B265">
        <v>63044</v>
      </c>
      <c r="C265">
        <v>2.2599999999999998</v>
      </c>
      <c r="D265">
        <f t="shared" si="24"/>
        <v>41936.244994608038</v>
      </c>
      <c r="E265">
        <f t="shared" si="25"/>
        <v>41.936244994608039</v>
      </c>
      <c r="F265" s="7">
        <v>0.32077764277035237</v>
      </c>
      <c r="G265">
        <f t="shared" si="26"/>
        <v>2</v>
      </c>
      <c r="H265" s="7">
        <f t="shared" si="27"/>
        <v>0.67922235722964763</v>
      </c>
      <c r="I265">
        <f t="shared" si="28"/>
        <v>4</v>
      </c>
      <c r="J265">
        <f>VLOOKUP(A265,'Housing Cost Calc'!$A$2:$C$827,3,FALSE)</f>
        <v>1285</v>
      </c>
      <c r="K265">
        <f t="shared" si="29"/>
        <v>0.36770101858148313</v>
      </c>
    </row>
    <row r="266" spans="1:11" ht="64" x14ac:dyDescent="0.2">
      <c r="A266" s="4" t="s">
        <v>3445</v>
      </c>
      <c r="B266">
        <v>57778</v>
      </c>
      <c r="C266">
        <v>1.89</v>
      </c>
      <c r="D266">
        <f t="shared" si="24"/>
        <v>42027.310873517228</v>
      </c>
      <c r="E266">
        <f t="shared" si="25"/>
        <v>42.02731087351723</v>
      </c>
      <c r="F266" s="7">
        <v>0.32199270959902793</v>
      </c>
      <c r="G266">
        <f t="shared" si="26"/>
        <v>2</v>
      </c>
      <c r="H266" s="7">
        <f t="shared" si="27"/>
        <v>0.67800729040097207</v>
      </c>
      <c r="I266">
        <f t="shared" si="28"/>
        <v>4</v>
      </c>
      <c r="J266">
        <f>VLOOKUP(A266,'Housing Cost Calc'!$A$2:$C$827,3,FALSE)</f>
        <v>1109</v>
      </c>
      <c r="K266">
        <f t="shared" si="29"/>
        <v>0.31665123757384633</v>
      </c>
    </row>
    <row r="267" spans="1:11" ht="48" x14ac:dyDescent="0.2">
      <c r="A267" s="4" t="s">
        <v>3652</v>
      </c>
      <c r="B267">
        <v>72464</v>
      </c>
      <c r="C267">
        <v>2.97</v>
      </c>
      <c r="D267">
        <f t="shared" si="24"/>
        <v>42047.877537245629</v>
      </c>
      <c r="E267">
        <f t="shared" si="25"/>
        <v>42.047877537245633</v>
      </c>
      <c r="F267" s="7">
        <v>0.32320777642770354</v>
      </c>
      <c r="G267">
        <f t="shared" si="26"/>
        <v>2</v>
      </c>
      <c r="H267" s="7">
        <f t="shared" si="27"/>
        <v>0.67679222357229651</v>
      </c>
      <c r="I267">
        <f t="shared" si="28"/>
        <v>4</v>
      </c>
      <c r="J267">
        <f>VLOOKUP(A267,'Housing Cost Calc'!$A$2:$C$827,3,FALSE)</f>
        <v>1368</v>
      </c>
      <c r="K267">
        <f t="shared" si="29"/>
        <v>0.3904120959603456</v>
      </c>
    </row>
    <row r="268" spans="1:11" ht="48" x14ac:dyDescent="0.2">
      <c r="A268" s="4" t="s">
        <v>3611</v>
      </c>
      <c r="B268">
        <v>69837</v>
      </c>
      <c r="C268">
        <v>2.74</v>
      </c>
      <c r="D268">
        <f t="shared" si="24"/>
        <v>42190.074631899566</v>
      </c>
      <c r="E268">
        <f t="shared" si="25"/>
        <v>42.190074631899563</v>
      </c>
      <c r="F268" s="7">
        <v>0.3244228432563791</v>
      </c>
      <c r="G268">
        <f t="shared" si="26"/>
        <v>2</v>
      </c>
      <c r="H268" s="7">
        <f t="shared" si="27"/>
        <v>0.67557715674362084</v>
      </c>
      <c r="I268">
        <f t="shared" si="28"/>
        <v>4</v>
      </c>
      <c r="J268">
        <f>VLOOKUP(A268,'Housing Cost Calc'!$A$2:$C$827,3,FALSE)</f>
        <v>1843</v>
      </c>
      <c r="K268">
        <f t="shared" si="29"/>
        <v>0.52419912012381875</v>
      </c>
    </row>
    <row r="269" spans="1:11" ht="48" x14ac:dyDescent="0.2">
      <c r="A269" s="4" t="s">
        <v>3491</v>
      </c>
      <c r="B269">
        <v>61667</v>
      </c>
      <c r="C269">
        <v>2.13</v>
      </c>
      <c r="D269">
        <f t="shared" si="24"/>
        <v>42253.532168934398</v>
      </c>
      <c r="E269">
        <f t="shared" si="25"/>
        <v>42.253532168934399</v>
      </c>
      <c r="F269" s="7">
        <v>0.32563791008505466</v>
      </c>
      <c r="G269">
        <f t="shared" si="26"/>
        <v>2</v>
      </c>
      <c r="H269" s="7">
        <f t="shared" si="27"/>
        <v>0.6743620899149454</v>
      </c>
      <c r="I269">
        <f t="shared" si="28"/>
        <v>4</v>
      </c>
      <c r="J269">
        <f>VLOOKUP(A269,'Housing Cost Calc'!$A$2:$C$827,3,FALSE)</f>
        <v>1586</v>
      </c>
      <c r="K269">
        <f t="shared" si="29"/>
        <v>0.45042388229007491</v>
      </c>
    </row>
    <row r="270" spans="1:11" ht="64" x14ac:dyDescent="0.2">
      <c r="A270" s="4" t="s">
        <v>3573</v>
      </c>
      <c r="B270">
        <v>66615</v>
      </c>
      <c r="C270">
        <v>2.4700000000000002</v>
      </c>
      <c r="D270">
        <f t="shared" si="24"/>
        <v>42386.109485631438</v>
      </c>
      <c r="E270">
        <f t="shared" si="25"/>
        <v>42.386109485631437</v>
      </c>
      <c r="F270" s="7">
        <v>0.32685297691373028</v>
      </c>
      <c r="G270">
        <f t="shared" si="26"/>
        <v>2</v>
      </c>
      <c r="H270" s="7">
        <f t="shared" si="27"/>
        <v>0.67314702308626972</v>
      </c>
      <c r="I270">
        <f t="shared" si="28"/>
        <v>4</v>
      </c>
      <c r="J270">
        <f>VLOOKUP(A270,'Housing Cost Calc'!$A$2:$C$827,3,FALSE)</f>
        <v>1302</v>
      </c>
      <c r="K270">
        <f t="shared" si="29"/>
        <v>0.36861132549323533</v>
      </c>
    </row>
    <row r="271" spans="1:11" ht="64" x14ac:dyDescent="0.2">
      <c r="A271" s="4" t="s">
        <v>3636</v>
      </c>
      <c r="B271">
        <v>71683</v>
      </c>
      <c r="C271">
        <v>2.86</v>
      </c>
      <c r="D271">
        <f t="shared" si="24"/>
        <v>42387.046481685407</v>
      </c>
      <c r="E271">
        <f t="shared" si="25"/>
        <v>42.38704648168541</v>
      </c>
      <c r="F271" s="7">
        <v>0.32806804374240583</v>
      </c>
      <c r="G271">
        <f t="shared" si="26"/>
        <v>2</v>
      </c>
      <c r="H271" s="7">
        <f t="shared" si="27"/>
        <v>0.67193195625759417</v>
      </c>
      <c r="I271">
        <f t="shared" si="28"/>
        <v>4</v>
      </c>
      <c r="J271">
        <f>VLOOKUP(A271,'Housing Cost Calc'!$A$2:$C$827,3,FALSE)</f>
        <v>1286</v>
      </c>
      <c r="K271">
        <f t="shared" si="29"/>
        <v>0.36407349133579897</v>
      </c>
    </row>
    <row r="272" spans="1:11" ht="48" x14ac:dyDescent="0.2">
      <c r="A272" s="4" t="s">
        <v>3501</v>
      </c>
      <c r="B272">
        <v>62060</v>
      </c>
      <c r="C272">
        <v>2.14</v>
      </c>
      <c r="D272">
        <f t="shared" si="24"/>
        <v>42423.342631150597</v>
      </c>
      <c r="E272">
        <f t="shared" si="25"/>
        <v>42.423342631150597</v>
      </c>
      <c r="F272" s="7">
        <v>0.32928311057108139</v>
      </c>
      <c r="G272">
        <f t="shared" si="26"/>
        <v>2</v>
      </c>
      <c r="H272" s="7">
        <f t="shared" si="27"/>
        <v>0.67071688942891861</v>
      </c>
      <c r="I272">
        <f t="shared" si="28"/>
        <v>4</v>
      </c>
      <c r="J272">
        <f>VLOOKUP(A272,'Housing Cost Calc'!$A$2:$C$827,3,FALSE)</f>
        <v>1181</v>
      </c>
      <c r="K272">
        <f t="shared" si="29"/>
        <v>0.33406137095839755</v>
      </c>
    </row>
    <row r="273" spans="1:11" ht="48" x14ac:dyDescent="0.2">
      <c r="A273" s="4" t="s">
        <v>3575</v>
      </c>
      <c r="B273">
        <v>66964</v>
      </c>
      <c r="C273">
        <v>2.4900000000000002</v>
      </c>
      <c r="D273">
        <f t="shared" si="24"/>
        <v>42436.710712121137</v>
      </c>
      <c r="E273">
        <f t="shared" si="25"/>
        <v>42.43671071212114</v>
      </c>
      <c r="F273" s="7">
        <v>0.33049817739975701</v>
      </c>
      <c r="G273">
        <f t="shared" si="26"/>
        <v>2</v>
      </c>
      <c r="H273" s="7">
        <f t="shared" si="27"/>
        <v>0.66950182260024294</v>
      </c>
      <c r="I273">
        <f t="shared" si="28"/>
        <v>4</v>
      </c>
      <c r="J273">
        <f>VLOOKUP(A273,'Housing Cost Calc'!$A$2:$C$827,3,FALSE)</f>
        <v>1172</v>
      </c>
      <c r="K273">
        <f t="shared" si="29"/>
        <v>0.33141117122404401</v>
      </c>
    </row>
    <row r="274" spans="1:11" ht="48" x14ac:dyDescent="0.2">
      <c r="A274" s="4" t="s">
        <v>3612</v>
      </c>
      <c r="B274">
        <v>70217</v>
      </c>
      <c r="C274">
        <v>2.73</v>
      </c>
      <c r="D274">
        <f t="shared" si="24"/>
        <v>42497.261661405304</v>
      </c>
      <c r="E274">
        <f t="shared" si="25"/>
        <v>42.497261661405304</v>
      </c>
      <c r="F274" s="7">
        <v>0.33171324422843257</v>
      </c>
      <c r="G274">
        <f t="shared" si="26"/>
        <v>2</v>
      </c>
      <c r="H274" s="7">
        <f t="shared" si="27"/>
        <v>0.66828675577156749</v>
      </c>
      <c r="I274">
        <f t="shared" si="28"/>
        <v>4</v>
      </c>
      <c r="J274">
        <f>VLOOKUP(A274,'Housing Cost Calc'!$A$2:$C$827,3,FALSE)</f>
        <v>1254</v>
      </c>
      <c r="K274">
        <f t="shared" si="29"/>
        <v>0.35409340300309577</v>
      </c>
    </row>
    <row r="275" spans="1:11" ht="48" x14ac:dyDescent="0.2">
      <c r="A275" s="4" t="s">
        <v>3364</v>
      </c>
      <c r="B275">
        <v>61048</v>
      </c>
      <c r="C275">
        <v>2.06</v>
      </c>
      <c r="D275">
        <f t="shared" si="24"/>
        <v>42534.157056474673</v>
      </c>
      <c r="E275">
        <f t="shared" si="25"/>
        <v>42.534157056474676</v>
      </c>
      <c r="F275" s="7">
        <v>0.33292831105710813</v>
      </c>
      <c r="G275">
        <f t="shared" si="26"/>
        <v>2</v>
      </c>
      <c r="H275" s="7">
        <f t="shared" si="27"/>
        <v>0.66707168894289182</v>
      </c>
      <c r="I275">
        <f t="shared" si="28"/>
        <v>4</v>
      </c>
      <c r="J275">
        <f>VLOOKUP(A275,'Housing Cost Calc'!$A$2:$C$827,3,FALSE)</f>
        <v>1084</v>
      </c>
      <c r="K275">
        <f t="shared" si="29"/>
        <v>0.30582479823753517</v>
      </c>
    </row>
    <row r="276" spans="1:11" ht="48" x14ac:dyDescent="0.2">
      <c r="A276" s="4" t="s">
        <v>3698</v>
      </c>
      <c r="B276">
        <v>75799</v>
      </c>
      <c r="C276">
        <v>3.16</v>
      </c>
      <c r="D276">
        <f t="shared" si="24"/>
        <v>42640.268901145842</v>
      </c>
      <c r="E276">
        <f t="shared" si="25"/>
        <v>42.640268901145845</v>
      </c>
      <c r="F276" s="7">
        <v>0.33414337788578374</v>
      </c>
      <c r="G276">
        <f t="shared" si="26"/>
        <v>2</v>
      </c>
      <c r="H276" s="7">
        <f t="shared" si="27"/>
        <v>0.66585662211421626</v>
      </c>
      <c r="I276">
        <f t="shared" si="28"/>
        <v>4</v>
      </c>
      <c r="J276">
        <f>VLOOKUP(A276,'Housing Cost Calc'!$A$2:$C$827,3,FALSE)</f>
        <v>1914</v>
      </c>
      <c r="K276">
        <f t="shared" si="29"/>
        <v>0.53864575885408628</v>
      </c>
    </row>
    <row r="277" spans="1:11" ht="48" x14ac:dyDescent="0.2">
      <c r="A277" s="4" t="s">
        <v>3566</v>
      </c>
      <c r="B277">
        <v>65927</v>
      </c>
      <c r="C277">
        <v>2.38</v>
      </c>
      <c r="D277">
        <f t="shared" si="24"/>
        <v>42734.126882623546</v>
      </c>
      <c r="E277">
        <f t="shared" si="25"/>
        <v>42.734126882623549</v>
      </c>
      <c r="F277" s="7">
        <v>0.3353584447144593</v>
      </c>
      <c r="G277">
        <f t="shared" si="26"/>
        <v>2</v>
      </c>
      <c r="H277" s="7">
        <f t="shared" si="27"/>
        <v>0.6646415552855407</v>
      </c>
      <c r="I277">
        <f t="shared" si="28"/>
        <v>4</v>
      </c>
      <c r="J277">
        <f>VLOOKUP(A277,'Housing Cost Calc'!$A$2:$C$827,3,FALSE)</f>
        <v>1319</v>
      </c>
      <c r="K277">
        <f t="shared" si="29"/>
        <v>0.37038313766124809</v>
      </c>
    </row>
    <row r="278" spans="1:11" ht="64" x14ac:dyDescent="0.2">
      <c r="A278" s="4" t="s">
        <v>3527</v>
      </c>
      <c r="B278">
        <v>63295</v>
      </c>
      <c r="C278">
        <v>2.1800000000000002</v>
      </c>
      <c r="D278">
        <f t="shared" si="24"/>
        <v>42868.783284287754</v>
      </c>
      <c r="E278">
        <f t="shared" si="25"/>
        <v>42.868783284287751</v>
      </c>
      <c r="F278" s="7">
        <v>0.33657351154313486</v>
      </c>
      <c r="G278">
        <f t="shared" si="26"/>
        <v>2</v>
      </c>
      <c r="H278" s="7">
        <f t="shared" si="27"/>
        <v>0.66342648845686514</v>
      </c>
      <c r="I278">
        <f t="shared" si="28"/>
        <v>4</v>
      </c>
      <c r="J278">
        <f>VLOOKUP(A278,'Housing Cost Calc'!$A$2:$C$827,3,FALSE)</f>
        <v>1187</v>
      </c>
      <c r="K278">
        <f t="shared" si="29"/>
        <v>0.3322697522236584</v>
      </c>
    </row>
    <row r="279" spans="1:11" ht="64" x14ac:dyDescent="0.2">
      <c r="A279" s="4" t="s">
        <v>3594</v>
      </c>
      <c r="B279">
        <v>68301</v>
      </c>
      <c r="C279">
        <v>2.5299999999999998</v>
      </c>
      <c r="D279">
        <f t="shared" si="24"/>
        <v>42940.470794063382</v>
      </c>
      <c r="E279">
        <f t="shared" si="25"/>
        <v>42.94047079406338</v>
      </c>
      <c r="F279" s="7">
        <v>0.33778857837181048</v>
      </c>
      <c r="G279">
        <f t="shared" si="26"/>
        <v>2</v>
      </c>
      <c r="H279" s="7">
        <f t="shared" si="27"/>
        <v>0.66221142162818958</v>
      </c>
      <c r="I279">
        <f t="shared" si="28"/>
        <v>4</v>
      </c>
      <c r="J279">
        <f>VLOOKUP(A279,'Housing Cost Calc'!$A$2:$C$827,3,FALSE)</f>
        <v>1214</v>
      </c>
      <c r="K279">
        <f t="shared" si="29"/>
        <v>0.33926036977717672</v>
      </c>
    </row>
    <row r="280" spans="1:11" ht="48" x14ac:dyDescent="0.2">
      <c r="A280" s="4" t="s">
        <v>3578</v>
      </c>
      <c r="B280">
        <v>67097</v>
      </c>
      <c r="C280">
        <v>2.44</v>
      </c>
      <c r="D280">
        <f t="shared" si="24"/>
        <v>42954.452664287608</v>
      </c>
      <c r="E280">
        <f t="shared" si="25"/>
        <v>42.954452664287608</v>
      </c>
      <c r="F280" s="7">
        <v>0.33900364520048604</v>
      </c>
      <c r="G280">
        <f t="shared" si="26"/>
        <v>2</v>
      </c>
      <c r="H280" s="7">
        <f t="shared" si="27"/>
        <v>0.66099635479951391</v>
      </c>
      <c r="I280">
        <f t="shared" si="28"/>
        <v>4</v>
      </c>
      <c r="J280">
        <f>VLOOKUP(A280,'Housing Cost Calc'!$A$2:$C$827,3,FALSE)</f>
        <v>1754</v>
      </c>
      <c r="K280">
        <f t="shared" si="29"/>
        <v>0.49000740771862605</v>
      </c>
    </row>
    <row r="281" spans="1:11" ht="64" x14ac:dyDescent="0.2">
      <c r="A281" s="4" t="s">
        <v>3596</v>
      </c>
      <c r="B281">
        <v>68322</v>
      </c>
      <c r="C281">
        <v>2.52</v>
      </c>
      <c r="D281">
        <f t="shared" si="24"/>
        <v>43038.814541560707</v>
      </c>
      <c r="E281">
        <f t="shared" si="25"/>
        <v>43.038814541560704</v>
      </c>
      <c r="F281" s="7">
        <v>0.3402187120291616</v>
      </c>
      <c r="G281">
        <f t="shared" si="26"/>
        <v>2</v>
      </c>
      <c r="H281" s="7">
        <f t="shared" si="27"/>
        <v>0.65978128797083846</v>
      </c>
      <c r="I281">
        <f t="shared" si="28"/>
        <v>4</v>
      </c>
      <c r="J281">
        <f>VLOOKUP(A281,'Housing Cost Calc'!$A$2:$C$827,3,FALSE)</f>
        <v>1254</v>
      </c>
      <c r="K281">
        <f t="shared" si="29"/>
        <v>0.34963788292702164</v>
      </c>
    </row>
    <row r="282" spans="1:11" ht="48" x14ac:dyDescent="0.2">
      <c r="A282" s="4" t="s">
        <v>3588</v>
      </c>
      <c r="B282">
        <v>68087</v>
      </c>
      <c r="C282">
        <v>2.5</v>
      </c>
      <c r="D282">
        <f t="shared" si="24"/>
        <v>43061.99980957689</v>
      </c>
      <c r="E282">
        <f t="shared" si="25"/>
        <v>43.061999809576889</v>
      </c>
      <c r="F282" s="7">
        <v>0.34143377885783716</v>
      </c>
      <c r="G282">
        <f t="shared" si="26"/>
        <v>2</v>
      </c>
      <c r="H282" s="7">
        <f t="shared" si="27"/>
        <v>0.65856622114216279</v>
      </c>
      <c r="I282">
        <f t="shared" si="28"/>
        <v>4</v>
      </c>
      <c r="J282">
        <f>VLOOKUP(A282,'Housing Cost Calc'!$A$2:$C$827,3,FALSE)</f>
        <v>1536</v>
      </c>
      <c r="K282">
        <f t="shared" si="29"/>
        <v>0.42803399938478393</v>
      </c>
    </row>
    <row r="283" spans="1:11" ht="64" x14ac:dyDescent="0.2">
      <c r="A283" s="4" t="s">
        <v>3610</v>
      </c>
      <c r="B283">
        <v>69433</v>
      </c>
      <c r="C283">
        <v>2.56</v>
      </c>
      <c r="D283">
        <f t="shared" si="24"/>
        <v>43395.625</v>
      </c>
      <c r="E283">
        <f t="shared" si="25"/>
        <v>43.395625000000003</v>
      </c>
      <c r="F283" s="7">
        <v>0.34264884568651277</v>
      </c>
      <c r="G283">
        <f t="shared" si="26"/>
        <v>2</v>
      </c>
      <c r="H283" s="7">
        <f t="shared" si="27"/>
        <v>0.65735115431348723</v>
      </c>
      <c r="I283">
        <f t="shared" si="28"/>
        <v>4</v>
      </c>
      <c r="J283">
        <f>VLOOKUP(A283,'Housing Cost Calc'!$A$2:$C$827,3,FALSE)</f>
        <v>1211</v>
      </c>
      <c r="K283">
        <f t="shared" si="29"/>
        <v>0.33487246698255874</v>
      </c>
    </row>
    <row r="284" spans="1:11" ht="48" x14ac:dyDescent="0.2">
      <c r="A284" s="4" t="s">
        <v>3621</v>
      </c>
      <c r="B284">
        <v>70642</v>
      </c>
      <c r="C284">
        <v>2.63</v>
      </c>
      <c r="D284">
        <f t="shared" si="24"/>
        <v>43559.723277532525</v>
      </c>
      <c r="E284">
        <f t="shared" si="25"/>
        <v>43.559723277532527</v>
      </c>
      <c r="F284" s="7">
        <v>0.34386391251518833</v>
      </c>
      <c r="G284">
        <f t="shared" si="26"/>
        <v>2</v>
      </c>
      <c r="H284" s="7">
        <f t="shared" si="27"/>
        <v>0.65613608748481167</v>
      </c>
      <c r="I284">
        <f t="shared" si="28"/>
        <v>4</v>
      </c>
      <c r="J284">
        <f>VLOOKUP(A284,'Housing Cost Calc'!$A$2:$C$827,3,FALSE)</f>
        <v>1573</v>
      </c>
      <c r="K284">
        <f t="shared" si="29"/>
        <v>0.4333360861761022</v>
      </c>
    </row>
    <row r="285" spans="1:11" ht="48" x14ac:dyDescent="0.2">
      <c r="A285" s="4" t="s">
        <v>3525</v>
      </c>
      <c r="B285">
        <v>63190</v>
      </c>
      <c r="C285">
        <v>2.1</v>
      </c>
      <c r="D285">
        <f t="shared" si="24"/>
        <v>43605.242694843364</v>
      </c>
      <c r="E285">
        <f t="shared" si="25"/>
        <v>43.605242694843362</v>
      </c>
      <c r="F285" s="7">
        <v>0.34507897934386389</v>
      </c>
      <c r="G285">
        <f t="shared" si="26"/>
        <v>2</v>
      </c>
      <c r="H285" s="7">
        <f t="shared" si="27"/>
        <v>0.65492102065613611</v>
      </c>
      <c r="I285">
        <f t="shared" si="28"/>
        <v>4</v>
      </c>
      <c r="J285">
        <f>VLOOKUP(A285,'Housing Cost Calc'!$A$2:$C$827,3,FALSE)</f>
        <v>1310</v>
      </c>
      <c r="K285">
        <f t="shared" si="29"/>
        <v>0.36050710943202718</v>
      </c>
    </row>
    <row r="286" spans="1:11" ht="48" x14ac:dyDescent="0.2">
      <c r="A286" s="4" t="s">
        <v>3551</v>
      </c>
      <c r="B286">
        <v>64550</v>
      </c>
      <c r="C286">
        <v>2.19</v>
      </c>
      <c r="D286">
        <f t="shared" si="24"/>
        <v>43618.847775686816</v>
      </c>
      <c r="E286">
        <f t="shared" si="25"/>
        <v>43.618847775686817</v>
      </c>
      <c r="F286" s="7">
        <v>0.3462940461725395</v>
      </c>
      <c r="G286">
        <f t="shared" si="26"/>
        <v>2</v>
      </c>
      <c r="H286" s="7">
        <f t="shared" si="27"/>
        <v>0.65370595382746055</v>
      </c>
      <c r="I286">
        <f t="shared" si="28"/>
        <v>4</v>
      </c>
      <c r="J286">
        <f>VLOOKUP(A286,'Housing Cost Calc'!$A$2:$C$827,3,FALSE)</f>
        <v>1181</v>
      </c>
      <c r="K286">
        <f t="shared" si="29"/>
        <v>0.32490541870524797</v>
      </c>
    </row>
    <row r="287" spans="1:11" ht="48" x14ac:dyDescent="0.2">
      <c r="A287" s="4" t="s">
        <v>3422</v>
      </c>
      <c r="B287">
        <v>69167</v>
      </c>
      <c r="C287">
        <v>2.5099999999999998</v>
      </c>
      <c r="D287">
        <f t="shared" si="24"/>
        <v>43657.823279065757</v>
      </c>
      <c r="E287">
        <f t="shared" si="25"/>
        <v>43.657823279065759</v>
      </c>
      <c r="F287" s="7">
        <v>0.34750911300121506</v>
      </c>
      <c r="G287">
        <f t="shared" si="26"/>
        <v>2</v>
      </c>
      <c r="H287" s="7">
        <f t="shared" si="27"/>
        <v>0.65249088699878488</v>
      </c>
      <c r="I287">
        <f t="shared" si="28"/>
        <v>4</v>
      </c>
      <c r="J287">
        <f>VLOOKUP(A287,'Housing Cost Calc'!$A$2:$C$827,3,FALSE)</f>
        <v>1138</v>
      </c>
      <c r="K287">
        <f t="shared" si="29"/>
        <v>0.31279617201043897</v>
      </c>
    </row>
    <row r="288" spans="1:11" ht="48" x14ac:dyDescent="0.2">
      <c r="A288" s="4" t="s">
        <v>3599</v>
      </c>
      <c r="B288">
        <v>68523</v>
      </c>
      <c r="C288">
        <v>2.4500000000000002</v>
      </c>
      <c r="D288">
        <f t="shared" si="24"/>
        <v>43777.738863490886</v>
      </c>
      <c r="E288">
        <f t="shared" si="25"/>
        <v>43.777738863490889</v>
      </c>
      <c r="F288" s="7">
        <v>0.34872417982989062</v>
      </c>
      <c r="G288">
        <f t="shared" si="26"/>
        <v>2</v>
      </c>
      <c r="H288" s="7">
        <f t="shared" si="27"/>
        <v>0.65127582017010943</v>
      </c>
      <c r="I288">
        <f t="shared" si="28"/>
        <v>4</v>
      </c>
      <c r="J288">
        <f>VLOOKUP(A288,'Housing Cost Calc'!$A$2:$C$827,3,FALSE)</f>
        <v>1206</v>
      </c>
      <c r="K288">
        <f t="shared" si="29"/>
        <v>0.33057897405635872</v>
      </c>
    </row>
    <row r="289" spans="1:11" ht="48" x14ac:dyDescent="0.2">
      <c r="A289" s="4" t="s">
        <v>3615</v>
      </c>
      <c r="B289">
        <v>70350</v>
      </c>
      <c r="C289">
        <v>2.57</v>
      </c>
      <c r="D289">
        <f t="shared" si="24"/>
        <v>43883.124310169507</v>
      </c>
      <c r="E289">
        <f t="shared" si="25"/>
        <v>43.883124310169507</v>
      </c>
      <c r="F289" s="7">
        <v>0.34993924665856624</v>
      </c>
      <c r="G289">
        <f t="shared" si="26"/>
        <v>2</v>
      </c>
      <c r="H289" s="7">
        <f t="shared" si="27"/>
        <v>0.65006075334143376</v>
      </c>
      <c r="I289">
        <f t="shared" si="28"/>
        <v>4</v>
      </c>
      <c r="J289">
        <f>VLOOKUP(A289,'Housing Cost Calc'!$A$2:$C$827,3,FALSE)</f>
        <v>1296</v>
      </c>
      <c r="K289">
        <f t="shared" si="29"/>
        <v>0.35439591516039726</v>
      </c>
    </row>
    <row r="290" spans="1:11" ht="48" x14ac:dyDescent="0.2">
      <c r="A290" s="4" t="s">
        <v>3654</v>
      </c>
      <c r="B290">
        <v>72606</v>
      </c>
      <c r="C290">
        <v>2.72</v>
      </c>
      <c r="D290">
        <f t="shared" si="24"/>
        <v>44023.853978469975</v>
      </c>
      <c r="E290">
        <f t="shared" si="25"/>
        <v>44.023853978469973</v>
      </c>
      <c r="F290" s="7">
        <v>0.3511543134872418</v>
      </c>
      <c r="G290">
        <f t="shared" si="26"/>
        <v>2</v>
      </c>
      <c r="H290" s="7">
        <f t="shared" si="27"/>
        <v>0.6488456865127582</v>
      </c>
      <c r="I290">
        <f t="shared" si="28"/>
        <v>4</v>
      </c>
      <c r="J290">
        <f>VLOOKUP(A290,'Housing Cost Calc'!$A$2:$C$827,3,FALSE)</f>
        <v>1283</v>
      </c>
      <c r="K290">
        <f t="shared" si="29"/>
        <v>0.34971949542467295</v>
      </c>
    </row>
    <row r="291" spans="1:11" ht="48" x14ac:dyDescent="0.2">
      <c r="A291" s="4" t="s">
        <v>3549</v>
      </c>
      <c r="B291">
        <v>64406</v>
      </c>
      <c r="C291">
        <v>2.14</v>
      </c>
      <c r="D291">
        <f t="shared" si="24"/>
        <v>44027.035215950455</v>
      </c>
      <c r="E291">
        <f t="shared" si="25"/>
        <v>44.027035215950455</v>
      </c>
      <c r="F291" s="7">
        <v>0.35236938031591736</v>
      </c>
      <c r="G291">
        <f t="shared" si="26"/>
        <v>2</v>
      </c>
      <c r="H291" s="7">
        <f t="shared" si="27"/>
        <v>0.64763061968408264</v>
      </c>
      <c r="I291">
        <f t="shared" si="28"/>
        <v>4</v>
      </c>
      <c r="J291">
        <f>VLOOKUP(A291,'Housing Cost Calc'!$A$2:$C$827,3,FALSE)</f>
        <v>1319</v>
      </c>
      <c r="K291">
        <f t="shared" si="29"/>
        <v>0.35950637880485103</v>
      </c>
    </row>
    <row r="292" spans="1:11" ht="48" x14ac:dyDescent="0.2">
      <c r="A292" s="4" t="s">
        <v>3626</v>
      </c>
      <c r="B292">
        <v>70875</v>
      </c>
      <c r="C292">
        <v>2.59</v>
      </c>
      <c r="D292">
        <f t="shared" si="24"/>
        <v>44039.58216533505</v>
      </c>
      <c r="E292">
        <f t="shared" si="25"/>
        <v>44.039582165335048</v>
      </c>
      <c r="F292" s="7">
        <v>0.35358444714459297</v>
      </c>
      <c r="G292">
        <f t="shared" si="26"/>
        <v>2</v>
      </c>
      <c r="H292" s="7">
        <f t="shared" si="27"/>
        <v>0.64641555285540697</v>
      </c>
      <c r="I292">
        <f t="shared" si="28"/>
        <v>4</v>
      </c>
      <c r="J292">
        <f>VLOOKUP(A292,'Housing Cost Calc'!$A$2:$C$827,3,FALSE)</f>
        <v>1332</v>
      </c>
      <c r="K292">
        <f t="shared" si="29"/>
        <v>0.36294622278640765</v>
      </c>
    </row>
    <row r="293" spans="1:11" ht="48" x14ac:dyDescent="0.2">
      <c r="A293" s="4" t="s">
        <v>3545</v>
      </c>
      <c r="B293">
        <v>66989</v>
      </c>
      <c r="C293">
        <v>2.2999999999999998</v>
      </c>
      <c r="D293">
        <f t="shared" si="24"/>
        <v>44171.238532310381</v>
      </c>
      <c r="E293">
        <f t="shared" si="25"/>
        <v>44.171238532310383</v>
      </c>
      <c r="F293" s="7">
        <v>0.35479951397326853</v>
      </c>
      <c r="G293">
        <f t="shared" si="26"/>
        <v>2</v>
      </c>
      <c r="H293" s="7">
        <f t="shared" si="27"/>
        <v>0.64520048602673152</v>
      </c>
      <c r="I293">
        <f t="shared" si="28"/>
        <v>4</v>
      </c>
      <c r="J293">
        <f>VLOOKUP(A293,'Housing Cost Calc'!$A$2:$C$827,3,FALSE)</f>
        <v>1190</v>
      </c>
      <c r="K293">
        <f t="shared" si="29"/>
        <v>0.32328728997613376</v>
      </c>
    </row>
    <row r="294" spans="1:11" ht="48" x14ac:dyDescent="0.2">
      <c r="A294" s="4" t="s">
        <v>3495</v>
      </c>
      <c r="B294">
        <v>61755</v>
      </c>
      <c r="C294">
        <v>1.95</v>
      </c>
      <c r="D294">
        <f t="shared" si="24"/>
        <v>44223.674046305176</v>
      </c>
      <c r="E294">
        <f t="shared" si="25"/>
        <v>44.223674046305177</v>
      </c>
      <c r="F294" s="7">
        <v>0.35601458080194409</v>
      </c>
      <c r="G294">
        <f t="shared" si="26"/>
        <v>2</v>
      </c>
      <c r="H294" s="7">
        <f t="shared" si="27"/>
        <v>0.64398541919805585</v>
      </c>
      <c r="I294">
        <f t="shared" si="28"/>
        <v>4</v>
      </c>
      <c r="J294">
        <f>VLOOKUP(A294,'Housing Cost Calc'!$A$2:$C$827,3,FALSE)</f>
        <v>1320</v>
      </c>
      <c r="K294">
        <f t="shared" si="29"/>
        <v>0.35817919568180723</v>
      </c>
    </row>
    <row r="295" spans="1:11" ht="48" x14ac:dyDescent="0.2">
      <c r="A295" s="4" t="s">
        <v>3619</v>
      </c>
      <c r="B295">
        <v>70500</v>
      </c>
      <c r="C295">
        <v>2.52</v>
      </c>
      <c r="D295">
        <f t="shared" si="24"/>
        <v>44410.825578584198</v>
      </c>
      <c r="E295">
        <f t="shared" si="25"/>
        <v>44.410825578584195</v>
      </c>
      <c r="F295" s="7">
        <v>0.35722964763061971</v>
      </c>
      <c r="G295">
        <f t="shared" si="26"/>
        <v>2</v>
      </c>
      <c r="H295" s="7">
        <f t="shared" si="27"/>
        <v>0.64277035236938029</v>
      </c>
      <c r="I295">
        <f t="shared" si="28"/>
        <v>4</v>
      </c>
      <c r="J295">
        <f>VLOOKUP(A295,'Housing Cost Calc'!$A$2:$C$827,3,FALSE)</f>
        <v>1272</v>
      </c>
      <c r="K295">
        <f t="shared" si="29"/>
        <v>0.34369998308161626</v>
      </c>
    </row>
    <row r="296" spans="1:11" ht="48" x14ac:dyDescent="0.2">
      <c r="A296" s="4" t="s">
        <v>3684</v>
      </c>
      <c r="B296">
        <v>74722</v>
      </c>
      <c r="C296">
        <v>2.83</v>
      </c>
      <c r="D296">
        <f t="shared" si="24"/>
        <v>44417.618523911086</v>
      </c>
      <c r="E296">
        <f t="shared" si="25"/>
        <v>44.417618523911088</v>
      </c>
      <c r="F296" s="7">
        <v>0.35844471445929527</v>
      </c>
      <c r="G296">
        <f t="shared" si="26"/>
        <v>2</v>
      </c>
      <c r="H296" s="7">
        <f t="shared" si="27"/>
        <v>0.64155528554070473</v>
      </c>
      <c r="I296">
        <f t="shared" si="28"/>
        <v>4</v>
      </c>
      <c r="J296">
        <f>VLOOKUP(A296,'Housing Cost Calc'!$A$2:$C$827,3,FALSE)</f>
        <v>1691</v>
      </c>
      <c r="K296">
        <f t="shared" si="29"/>
        <v>0.45684574442180692</v>
      </c>
    </row>
    <row r="297" spans="1:11" ht="48" x14ac:dyDescent="0.2">
      <c r="A297" s="4" t="s">
        <v>3366</v>
      </c>
      <c r="B297">
        <v>67108</v>
      </c>
      <c r="C297">
        <v>2.2799999999999998</v>
      </c>
      <c r="D297">
        <f t="shared" si="24"/>
        <v>44443.358708960484</v>
      </c>
      <c r="E297">
        <f t="shared" si="25"/>
        <v>44.443358708960481</v>
      </c>
      <c r="F297" s="7">
        <v>0.35965978128797083</v>
      </c>
      <c r="G297">
        <f t="shared" si="26"/>
        <v>2</v>
      </c>
      <c r="H297" s="7">
        <f t="shared" si="27"/>
        <v>0.64034021871202917</v>
      </c>
      <c r="I297">
        <f t="shared" si="28"/>
        <v>4</v>
      </c>
      <c r="J297">
        <f>VLOOKUP(A297,'Housing Cost Calc'!$A$2:$C$827,3,FALSE)</f>
        <v>1133</v>
      </c>
      <c r="K297">
        <f t="shared" si="29"/>
        <v>0.30591747327275765</v>
      </c>
    </row>
    <row r="298" spans="1:11" ht="48" x14ac:dyDescent="0.2">
      <c r="A298" s="4" t="s">
        <v>3689</v>
      </c>
      <c r="B298">
        <v>75110</v>
      </c>
      <c r="C298">
        <v>2.84</v>
      </c>
      <c r="D298">
        <f t="shared" si="24"/>
        <v>44569.585173470165</v>
      </c>
      <c r="E298">
        <f t="shared" si="25"/>
        <v>44.569585173470166</v>
      </c>
      <c r="F298" s="7">
        <v>0.36087484811664644</v>
      </c>
      <c r="G298">
        <f t="shared" si="26"/>
        <v>2</v>
      </c>
      <c r="H298" s="7">
        <f t="shared" si="27"/>
        <v>0.63912515188335361</v>
      </c>
      <c r="I298">
        <f t="shared" si="28"/>
        <v>4</v>
      </c>
      <c r="J298">
        <f>VLOOKUP(A298,'Housing Cost Calc'!$A$2:$C$827,3,FALSE)</f>
        <v>1319</v>
      </c>
      <c r="K298">
        <f t="shared" si="29"/>
        <v>0.35513007218702008</v>
      </c>
    </row>
    <row r="299" spans="1:11" ht="48" x14ac:dyDescent="0.2">
      <c r="A299" s="4" t="s">
        <v>3692</v>
      </c>
      <c r="B299">
        <v>75293</v>
      </c>
      <c r="C299">
        <v>2.84</v>
      </c>
      <c r="D299">
        <f t="shared" si="24"/>
        <v>44678.175695194906</v>
      </c>
      <c r="E299">
        <f t="shared" si="25"/>
        <v>44.678175695194909</v>
      </c>
      <c r="F299" s="7">
        <v>0.362089914945322</v>
      </c>
      <c r="G299">
        <f t="shared" si="26"/>
        <v>2</v>
      </c>
      <c r="H299" s="7">
        <f t="shared" si="27"/>
        <v>0.63791008505467794</v>
      </c>
      <c r="I299">
        <f t="shared" si="28"/>
        <v>4</v>
      </c>
      <c r="J299">
        <f>VLOOKUP(A299,'Housing Cost Calc'!$A$2:$C$827,3,FALSE)</f>
        <v>1323</v>
      </c>
      <c r="K299">
        <f t="shared" si="29"/>
        <v>0.35534127687553385</v>
      </c>
    </row>
    <row r="300" spans="1:11" ht="48" x14ac:dyDescent="0.2">
      <c r="A300" s="4" t="s">
        <v>3558</v>
      </c>
      <c r="B300">
        <v>65218</v>
      </c>
      <c r="C300">
        <v>2.13</v>
      </c>
      <c r="D300">
        <f t="shared" si="24"/>
        <v>44686.637277531961</v>
      </c>
      <c r="E300">
        <f t="shared" si="25"/>
        <v>44.686637277531965</v>
      </c>
      <c r="F300" s="7">
        <v>0.36330498177399756</v>
      </c>
      <c r="G300">
        <f t="shared" si="26"/>
        <v>2</v>
      </c>
      <c r="H300" s="7">
        <f t="shared" si="27"/>
        <v>0.6366950182260025</v>
      </c>
      <c r="I300">
        <f t="shared" si="28"/>
        <v>4</v>
      </c>
      <c r="J300">
        <f>VLOOKUP(A300,'Housing Cost Calc'!$A$2:$C$827,3,FALSE)</f>
        <v>1515</v>
      </c>
      <c r="K300">
        <f t="shared" si="29"/>
        <v>0.40683302901247259</v>
      </c>
    </row>
    <row r="301" spans="1:11" ht="64" x14ac:dyDescent="0.2">
      <c r="A301" s="4" t="s">
        <v>3716</v>
      </c>
      <c r="B301">
        <v>77434</v>
      </c>
      <c r="C301">
        <v>2.99</v>
      </c>
      <c r="D301">
        <f t="shared" si="24"/>
        <v>44781.238441873844</v>
      </c>
      <c r="E301">
        <f t="shared" si="25"/>
        <v>44.781238441873846</v>
      </c>
      <c r="F301" s="7">
        <v>0.36452004860267317</v>
      </c>
      <c r="G301">
        <f t="shared" si="26"/>
        <v>2</v>
      </c>
      <c r="H301" s="7">
        <f t="shared" si="27"/>
        <v>0.63547995139732683</v>
      </c>
      <c r="I301">
        <f t="shared" si="28"/>
        <v>4</v>
      </c>
      <c r="J301">
        <f>VLOOKUP(A301,'Housing Cost Calc'!$A$2:$C$827,3,FALSE)</f>
        <v>1574</v>
      </c>
      <c r="K301">
        <f t="shared" si="29"/>
        <v>0.42178377948427376</v>
      </c>
    </row>
    <row r="302" spans="1:11" ht="48" x14ac:dyDescent="0.2">
      <c r="A302" s="4" t="s">
        <v>3622</v>
      </c>
      <c r="B302">
        <v>70689</v>
      </c>
      <c r="C302">
        <v>2.48</v>
      </c>
      <c r="D302">
        <f t="shared" si="24"/>
        <v>44887.559887582327</v>
      </c>
      <c r="E302">
        <f t="shared" si="25"/>
        <v>44.887559887582327</v>
      </c>
      <c r="F302" s="7">
        <v>0.36573511543134873</v>
      </c>
      <c r="G302">
        <f t="shared" si="26"/>
        <v>2</v>
      </c>
      <c r="H302" s="7">
        <f t="shared" si="27"/>
        <v>0.63426488456865127</v>
      </c>
      <c r="I302">
        <f t="shared" si="28"/>
        <v>4</v>
      </c>
      <c r="J302">
        <f>VLOOKUP(A302,'Housing Cost Calc'!$A$2:$C$827,3,FALSE)</f>
        <v>1333</v>
      </c>
      <c r="K302">
        <f t="shared" si="29"/>
        <v>0.35635708512694464</v>
      </c>
    </row>
    <row r="303" spans="1:11" ht="48" x14ac:dyDescent="0.2">
      <c r="A303" s="4" t="s">
        <v>3452</v>
      </c>
      <c r="B303">
        <v>65521</v>
      </c>
      <c r="C303">
        <v>2.13</v>
      </c>
      <c r="D303">
        <f t="shared" si="24"/>
        <v>44894.249456609701</v>
      </c>
      <c r="E303">
        <f t="shared" si="25"/>
        <v>44.8942494566097</v>
      </c>
      <c r="F303" s="7">
        <v>0.36695018226002429</v>
      </c>
      <c r="G303">
        <f t="shared" si="26"/>
        <v>2</v>
      </c>
      <c r="H303" s="7">
        <f t="shared" si="27"/>
        <v>0.63304981773997571</v>
      </c>
      <c r="I303">
        <f t="shared" si="28"/>
        <v>4</v>
      </c>
      <c r="J303">
        <f>VLOOKUP(A303,'Housing Cost Calc'!$A$2:$C$827,3,FALSE)</f>
        <v>1183</v>
      </c>
      <c r="K303">
        <f t="shared" si="29"/>
        <v>0.31620976342906537</v>
      </c>
    </row>
    <row r="304" spans="1:11" ht="48" x14ac:dyDescent="0.2">
      <c r="A304" s="4" t="s">
        <v>3585</v>
      </c>
      <c r="B304">
        <v>70341</v>
      </c>
      <c r="C304">
        <v>2.4500000000000002</v>
      </c>
      <c r="D304">
        <f t="shared" si="24"/>
        <v>44939.216458660776</v>
      </c>
      <c r="E304">
        <f t="shared" si="25"/>
        <v>44.939216458660773</v>
      </c>
      <c r="F304" s="7">
        <v>0.36816524908869985</v>
      </c>
      <c r="G304">
        <f t="shared" si="26"/>
        <v>2</v>
      </c>
      <c r="H304" s="7">
        <f t="shared" si="27"/>
        <v>0.63183475091130015</v>
      </c>
      <c r="I304">
        <f t="shared" si="28"/>
        <v>4</v>
      </c>
      <c r="J304">
        <f>VLOOKUP(A304,'Housing Cost Calc'!$A$2:$C$827,3,FALSE)</f>
        <v>1234</v>
      </c>
      <c r="K304">
        <f t="shared" si="29"/>
        <v>0.32951175313930453</v>
      </c>
    </row>
    <row r="305" spans="1:11" ht="64" x14ac:dyDescent="0.2">
      <c r="A305" s="4" t="s">
        <v>3638</v>
      </c>
      <c r="B305">
        <v>71734</v>
      </c>
      <c r="C305">
        <v>2.54</v>
      </c>
      <c r="D305">
        <f t="shared" si="24"/>
        <v>45009.914725780669</v>
      </c>
      <c r="E305">
        <f t="shared" si="25"/>
        <v>45.009914725780668</v>
      </c>
      <c r="F305" s="7">
        <v>0.36938031591737547</v>
      </c>
      <c r="G305">
        <f t="shared" si="26"/>
        <v>2</v>
      </c>
      <c r="H305" s="7">
        <f t="shared" si="27"/>
        <v>0.63061968408262459</v>
      </c>
      <c r="I305">
        <f t="shared" si="28"/>
        <v>4</v>
      </c>
      <c r="J305">
        <f>VLOOKUP(A305,'Housing Cost Calc'!$A$2:$C$827,3,FALSE)</f>
        <v>1409</v>
      </c>
      <c r="K305">
        <f t="shared" si="29"/>
        <v>0.37565056728080132</v>
      </c>
    </row>
    <row r="306" spans="1:11" ht="64" x14ac:dyDescent="0.2">
      <c r="A306" s="4" t="s">
        <v>3677</v>
      </c>
      <c r="B306">
        <v>74444</v>
      </c>
      <c r="C306">
        <v>2.72</v>
      </c>
      <c r="D306">
        <f t="shared" si="24"/>
        <v>45138.30517551193</v>
      </c>
      <c r="E306">
        <f t="shared" si="25"/>
        <v>45.138305175511931</v>
      </c>
      <c r="F306" s="7">
        <v>0.37059538274605103</v>
      </c>
      <c r="G306">
        <f t="shared" si="26"/>
        <v>2</v>
      </c>
      <c r="H306" s="7">
        <f t="shared" si="27"/>
        <v>0.62940461725394892</v>
      </c>
      <c r="I306">
        <f t="shared" si="28"/>
        <v>4</v>
      </c>
      <c r="J306">
        <f>VLOOKUP(A306,'Housing Cost Calc'!$A$2:$C$827,3,FALSE)</f>
        <v>1626</v>
      </c>
      <c r="K306">
        <f t="shared" si="29"/>
        <v>0.43227143607034435</v>
      </c>
    </row>
    <row r="307" spans="1:11" ht="48" x14ac:dyDescent="0.2">
      <c r="A307" s="4" t="s">
        <v>3605</v>
      </c>
      <c r="B307">
        <v>69118</v>
      </c>
      <c r="C307">
        <v>2.3199999999999998</v>
      </c>
      <c r="D307">
        <f t="shared" si="24"/>
        <v>45378.19013199152</v>
      </c>
      <c r="E307">
        <f t="shared" si="25"/>
        <v>45.378190131991516</v>
      </c>
      <c r="F307" s="7">
        <v>0.37181044957472659</v>
      </c>
      <c r="G307">
        <f t="shared" si="26"/>
        <v>2</v>
      </c>
      <c r="H307" s="7">
        <f t="shared" si="27"/>
        <v>0.62818955042527347</v>
      </c>
      <c r="I307">
        <f t="shared" si="28"/>
        <v>4</v>
      </c>
      <c r="J307">
        <f>VLOOKUP(A307,'Housing Cost Calc'!$A$2:$C$827,3,FALSE)</f>
        <v>1310</v>
      </c>
      <c r="K307">
        <f t="shared" si="29"/>
        <v>0.34642192547290324</v>
      </c>
    </row>
    <row r="308" spans="1:11" ht="64" x14ac:dyDescent="0.2">
      <c r="A308" s="4" t="s">
        <v>3541</v>
      </c>
      <c r="B308">
        <v>63821</v>
      </c>
      <c r="C308">
        <v>1.97</v>
      </c>
      <c r="D308">
        <f t="shared" si="24"/>
        <v>45470.579772783814</v>
      </c>
      <c r="E308">
        <f t="shared" si="25"/>
        <v>45.470579772783815</v>
      </c>
      <c r="F308" s="7">
        <v>0.3730255164034022</v>
      </c>
      <c r="G308">
        <f t="shared" si="26"/>
        <v>2</v>
      </c>
      <c r="H308" s="7">
        <f t="shared" si="27"/>
        <v>0.6269744835965978</v>
      </c>
      <c r="I308">
        <f t="shared" si="28"/>
        <v>4</v>
      </c>
      <c r="J308">
        <f>VLOOKUP(A308,'Housing Cost Calc'!$A$2:$C$827,3,FALSE)</f>
        <v>1337</v>
      </c>
      <c r="K308">
        <f t="shared" si="29"/>
        <v>0.35284353267919083</v>
      </c>
    </row>
    <row r="309" spans="1:11" ht="48" x14ac:dyDescent="0.2">
      <c r="A309" s="4" t="s">
        <v>3592</v>
      </c>
      <c r="B309">
        <v>68125</v>
      </c>
      <c r="C309">
        <v>2.2400000000000002</v>
      </c>
      <c r="D309">
        <f t="shared" si="24"/>
        <v>45517.930263209775</v>
      </c>
      <c r="E309">
        <f t="shared" si="25"/>
        <v>45.517930263209777</v>
      </c>
      <c r="F309" s="7">
        <v>0.37424058323207776</v>
      </c>
      <c r="G309">
        <f t="shared" si="26"/>
        <v>2</v>
      </c>
      <c r="H309" s="7">
        <f t="shared" si="27"/>
        <v>0.62575941676792224</v>
      </c>
      <c r="I309">
        <f t="shared" si="28"/>
        <v>4</v>
      </c>
      <c r="J309">
        <f>VLOOKUP(A309,'Housing Cost Calc'!$A$2:$C$827,3,FALSE)</f>
        <v>1408</v>
      </c>
      <c r="K309">
        <f t="shared" si="29"/>
        <v>0.37119438213244782</v>
      </c>
    </row>
    <row r="310" spans="1:11" ht="48" x14ac:dyDescent="0.2">
      <c r="A310" s="4" t="s">
        <v>3711</v>
      </c>
      <c r="B310">
        <v>76921</v>
      </c>
      <c r="C310">
        <v>2.85</v>
      </c>
      <c r="D310">
        <f t="shared" si="24"/>
        <v>45564.068026107139</v>
      </c>
      <c r="E310">
        <f t="shared" si="25"/>
        <v>45.564068026107137</v>
      </c>
      <c r="F310" s="7">
        <v>0.37545565006075332</v>
      </c>
      <c r="G310">
        <f t="shared" si="26"/>
        <v>2</v>
      </c>
      <c r="H310" s="7">
        <f t="shared" si="27"/>
        <v>0.62454434993924668</v>
      </c>
      <c r="I310">
        <f t="shared" si="28"/>
        <v>4</v>
      </c>
      <c r="J310">
        <f>VLOOKUP(A310,'Housing Cost Calc'!$A$2:$C$827,3,FALSE)</f>
        <v>1755</v>
      </c>
      <c r="K310">
        <f t="shared" si="29"/>
        <v>0.46220631546623792</v>
      </c>
    </row>
    <row r="311" spans="1:11" ht="48" x14ac:dyDescent="0.2">
      <c r="A311" s="4" t="s">
        <v>3378</v>
      </c>
      <c r="B311">
        <v>64341</v>
      </c>
      <c r="C311">
        <v>1.99</v>
      </c>
      <c r="D311">
        <f t="shared" si="24"/>
        <v>45610.125611441341</v>
      </c>
      <c r="E311">
        <f t="shared" si="25"/>
        <v>45.61012561144134</v>
      </c>
      <c r="F311" s="7">
        <v>0.37667071688942894</v>
      </c>
      <c r="G311">
        <f t="shared" si="26"/>
        <v>2</v>
      </c>
      <c r="H311" s="7">
        <f t="shared" si="27"/>
        <v>0.62332928311057101</v>
      </c>
      <c r="I311">
        <f t="shared" si="28"/>
        <v>4</v>
      </c>
      <c r="J311">
        <f>VLOOKUP(A311,'Housing Cost Calc'!$A$2:$C$827,3,FALSE)</f>
        <v>1169</v>
      </c>
      <c r="K311">
        <f t="shared" si="29"/>
        <v>0.30756328363369084</v>
      </c>
    </row>
    <row r="312" spans="1:11" ht="48" x14ac:dyDescent="0.2">
      <c r="A312" s="4" t="s">
        <v>3119</v>
      </c>
      <c r="B312">
        <v>66331</v>
      </c>
      <c r="C312">
        <v>2.11</v>
      </c>
      <c r="D312">
        <f t="shared" si="24"/>
        <v>45664.143591581858</v>
      </c>
      <c r="E312">
        <f t="shared" si="25"/>
        <v>45.664143591581862</v>
      </c>
      <c r="F312" s="7">
        <v>0.3778857837181045</v>
      </c>
      <c r="G312">
        <f t="shared" si="26"/>
        <v>2</v>
      </c>
      <c r="H312" s="7">
        <f t="shared" si="27"/>
        <v>0.62211421628189556</v>
      </c>
      <c r="I312">
        <f t="shared" si="28"/>
        <v>4</v>
      </c>
      <c r="J312">
        <f>VLOOKUP(A312,'Housing Cost Calc'!$A$2:$C$827,3,FALSE)</f>
        <v>1014</v>
      </c>
      <c r="K312">
        <f t="shared" si="29"/>
        <v>0.26646727701344997</v>
      </c>
    </row>
    <row r="313" spans="1:11" ht="64" x14ac:dyDescent="0.2">
      <c r="A313" s="4" t="s">
        <v>3249</v>
      </c>
      <c r="B313">
        <v>73594</v>
      </c>
      <c r="C313">
        <v>2.58</v>
      </c>
      <c r="D313">
        <f t="shared" si="24"/>
        <v>45817.623111603025</v>
      </c>
      <c r="E313">
        <f t="shared" si="25"/>
        <v>45.817623111603027</v>
      </c>
      <c r="F313" s="7">
        <v>0.37910085054678005</v>
      </c>
      <c r="G313">
        <f t="shared" si="26"/>
        <v>2</v>
      </c>
      <c r="H313" s="7">
        <f t="shared" si="27"/>
        <v>0.62089914945321989</v>
      </c>
      <c r="I313">
        <f t="shared" si="28"/>
        <v>4</v>
      </c>
      <c r="J313">
        <f>VLOOKUP(A313,'Housing Cost Calc'!$A$2:$C$827,3,FALSE)</f>
        <v>1118</v>
      </c>
      <c r="K313">
        <f t="shared" si="29"/>
        <v>0.29281309437028569</v>
      </c>
    </row>
    <row r="314" spans="1:11" ht="48" x14ac:dyDescent="0.2">
      <c r="A314" s="4" t="s">
        <v>3590</v>
      </c>
      <c r="B314">
        <v>68125</v>
      </c>
      <c r="C314">
        <v>2.21</v>
      </c>
      <c r="D314">
        <f t="shared" si="24"/>
        <v>45825.834090998782</v>
      </c>
      <c r="E314">
        <f t="shared" si="25"/>
        <v>45.825834090998782</v>
      </c>
      <c r="F314" s="7">
        <v>0.38031591737545567</v>
      </c>
      <c r="G314">
        <f t="shared" si="26"/>
        <v>2</v>
      </c>
      <c r="H314" s="7">
        <f t="shared" si="27"/>
        <v>0.61968408262454433</v>
      </c>
      <c r="I314">
        <f t="shared" si="28"/>
        <v>4</v>
      </c>
      <c r="J314">
        <f>VLOOKUP(A314,'Housing Cost Calc'!$A$2:$C$827,3,FALSE)</f>
        <v>1456</v>
      </c>
      <c r="K314">
        <f t="shared" si="29"/>
        <v>0.38126965600462231</v>
      </c>
    </row>
    <row r="315" spans="1:11" ht="48" x14ac:dyDescent="0.2">
      <c r="A315" s="4" t="s">
        <v>3663</v>
      </c>
      <c r="B315">
        <v>73365</v>
      </c>
      <c r="C315">
        <v>2.56</v>
      </c>
      <c r="D315">
        <f t="shared" si="24"/>
        <v>45853.125</v>
      </c>
      <c r="E315">
        <f t="shared" si="25"/>
        <v>45.853124999999999</v>
      </c>
      <c r="F315" s="7">
        <v>0.38153098420413123</v>
      </c>
      <c r="G315">
        <f t="shared" si="26"/>
        <v>2</v>
      </c>
      <c r="H315" s="7">
        <f t="shared" si="27"/>
        <v>0.61846901579586877</v>
      </c>
      <c r="I315">
        <f t="shared" si="28"/>
        <v>4</v>
      </c>
      <c r="J315">
        <f>VLOOKUP(A315,'Housing Cost Calc'!$A$2:$C$827,3,FALSE)</f>
        <v>1400</v>
      </c>
      <c r="K315">
        <f t="shared" si="29"/>
        <v>0.36638724187282762</v>
      </c>
    </row>
    <row r="316" spans="1:11" ht="64" x14ac:dyDescent="0.2">
      <c r="A316" s="4" t="s">
        <v>3664</v>
      </c>
      <c r="B316">
        <v>73411</v>
      </c>
      <c r="C316">
        <v>2.5499999999999998</v>
      </c>
      <c r="D316">
        <f t="shared" si="24"/>
        <v>45971.75143285191</v>
      </c>
      <c r="E316">
        <f t="shared" si="25"/>
        <v>45.97175143285191</v>
      </c>
      <c r="F316" s="7">
        <v>0.38274605103280679</v>
      </c>
      <c r="G316">
        <f t="shared" si="26"/>
        <v>2</v>
      </c>
      <c r="H316" s="7">
        <f t="shared" si="27"/>
        <v>0.61725394896719321</v>
      </c>
      <c r="I316">
        <f t="shared" si="28"/>
        <v>4</v>
      </c>
      <c r="J316">
        <f>VLOOKUP(A316,'Housing Cost Calc'!$A$2:$C$827,3,FALSE)</f>
        <v>1442</v>
      </c>
      <c r="K316">
        <f t="shared" si="29"/>
        <v>0.37640506312392474</v>
      </c>
    </row>
    <row r="317" spans="1:11" ht="48" x14ac:dyDescent="0.2">
      <c r="A317" s="4" t="s">
        <v>3400</v>
      </c>
      <c r="B317">
        <v>70952</v>
      </c>
      <c r="C317">
        <v>2.38</v>
      </c>
      <c r="D317">
        <f t="shared" si="24"/>
        <v>45991.350593473173</v>
      </c>
      <c r="E317">
        <f t="shared" si="25"/>
        <v>45.991350593473172</v>
      </c>
      <c r="F317" s="7">
        <v>0.3839611178614824</v>
      </c>
      <c r="G317">
        <f t="shared" si="26"/>
        <v>2</v>
      </c>
      <c r="H317" s="7">
        <f t="shared" si="27"/>
        <v>0.61603888213851765</v>
      </c>
      <c r="I317">
        <f t="shared" si="28"/>
        <v>4</v>
      </c>
      <c r="J317">
        <f>VLOOKUP(A317,'Housing Cost Calc'!$A$2:$C$827,3,FALSE)</f>
        <v>1191</v>
      </c>
      <c r="K317">
        <f t="shared" si="29"/>
        <v>0.31075408344342553</v>
      </c>
    </row>
    <row r="318" spans="1:11" ht="48" x14ac:dyDescent="0.2">
      <c r="A318" s="4" t="s">
        <v>3530</v>
      </c>
      <c r="B318">
        <v>70396</v>
      </c>
      <c r="C318">
        <v>2.34</v>
      </c>
      <c r="D318">
        <f t="shared" si="24"/>
        <v>46019.304830625348</v>
      </c>
      <c r="E318">
        <f t="shared" si="25"/>
        <v>46.019304830625344</v>
      </c>
      <c r="F318" s="7">
        <v>0.38517618469015796</v>
      </c>
      <c r="G318">
        <f t="shared" si="26"/>
        <v>2</v>
      </c>
      <c r="H318" s="7">
        <f t="shared" si="27"/>
        <v>0.61482381530984198</v>
      </c>
      <c r="I318">
        <f t="shared" si="28"/>
        <v>4</v>
      </c>
      <c r="J318">
        <f>VLOOKUP(A318,'Housing Cost Calc'!$A$2:$C$827,3,FALSE)</f>
        <v>1233</v>
      </c>
      <c r="K318">
        <f t="shared" si="29"/>
        <v>0.32151724269753468</v>
      </c>
    </row>
    <row r="319" spans="1:11" ht="48" x14ac:dyDescent="0.2">
      <c r="A319" s="4" t="s">
        <v>3646</v>
      </c>
      <c r="B319">
        <v>72219</v>
      </c>
      <c r="C319">
        <v>2.46</v>
      </c>
      <c r="D319">
        <f t="shared" si="24"/>
        <v>46045.15264072123</v>
      </c>
      <c r="E319">
        <f t="shared" si="25"/>
        <v>46.045152640721227</v>
      </c>
      <c r="F319" s="7">
        <v>0.38639125151883352</v>
      </c>
      <c r="G319">
        <f t="shared" si="26"/>
        <v>2</v>
      </c>
      <c r="H319" s="7">
        <f t="shared" si="27"/>
        <v>0.61360874848116653</v>
      </c>
      <c r="I319">
        <f t="shared" si="28"/>
        <v>4</v>
      </c>
      <c r="J319">
        <f>VLOOKUP(A319,'Housing Cost Calc'!$A$2:$C$827,3,FALSE)</f>
        <v>1542</v>
      </c>
      <c r="K319">
        <f t="shared" si="29"/>
        <v>0.40186640588168027</v>
      </c>
    </row>
    <row r="320" spans="1:11" ht="64" x14ac:dyDescent="0.2">
      <c r="A320" s="4" t="s">
        <v>3608</v>
      </c>
      <c r="B320">
        <v>69390</v>
      </c>
      <c r="C320">
        <v>2.27</v>
      </c>
      <c r="D320">
        <f t="shared" si="24"/>
        <v>46055.760591922051</v>
      </c>
      <c r="E320">
        <f t="shared" si="25"/>
        <v>46.055760591922052</v>
      </c>
      <c r="F320" s="7">
        <v>0.38760631834750914</v>
      </c>
      <c r="G320">
        <f t="shared" si="26"/>
        <v>2</v>
      </c>
      <c r="H320" s="7">
        <f t="shared" si="27"/>
        <v>0.61239368165249086</v>
      </c>
      <c r="I320">
        <f t="shared" si="28"/>
        <v>4</v>
      </c>
      <c r="J320">
        <f>VLOOKUP(A320,'Housing Cost Calc'!$A$2:$C$827,3,FALSE)</f>
        <v>1430</v>
      </c>
      <c r="K320">
        <f t="shared" si="29"/>
        <v>0.3725918273730513</v>
      </c>
    </row>
    <row r="321" spans="1:11" ht="64" x14ac:dyDescent="0.2">
      <c r="A321" s="4" t="s">
        <v>3189</v>
      </c>
      <c r="B321">
        <v>62212</v>
      </c>
      <c r="C321">
        <v>1.82</v>
      </c>
      <c r="D321">
        <f t="shared" si="24"/>
        <v>46114.602488120421</v>
      </c>
      <c r="E321">
        <f t="shared" si="25"/>
        <v>46.114602488120418</v>
      </c>
      <c r="F321" s="7">
        <v>0.3888213851761847</v>
      </c>
      <c r="G321">
        <f t="shared" si="26"/>
        <v>2</v>
      </c>
      <c r="H321" s="7">
        <f t="shared" si="27"/>
        <v>0.6111786148238153</v>
      </c>
      <c r="I321">
        <f t="shared" si="28"/>
        <v>4</v>
      </c>
      <c r="J321">
        <f>VLOOKUP(A321,'Housing Cost Calc'!$A$2:$C$827,3,FALSE)</f>
        <v>1094</v>
      </c>
      <c r="K321">
        <f t="shared" si="29"/>
        <v>0.28468205929741891</v>
      </c>
    </row>
    <row r="322" spans="1:11" ht="64" x14ac:dyDescent="0.2">
      <c r="A322" s="4" t="s">
        <v>3472</v>
      </c>
      <c r="B322">
        <v>59266</v>
      </c>
      <c r="C322">
        <v>1.64</v>
      </c>
      <c r="D322">
        <f t="shared" ref="D322:D385" si="30">(B322/(C322)^0.5)</f>
        <v>46278.97086045063</v>
      </c>
      <c r="E322">
        <f t="shared" ref="E322:E385" si="31">D322/1000</f>
        <v>46.278970860450627</v>
      </c>
      <c r="F322" s="7">
        <v>0.39003645200486026</v>
      </c>
      <c r="G322">
        <f t="shared" si="26"/>
        <v>2</v>
      </c>
      <c r="H322" s="7">
        <f t="shared" si="27"/>
        <v>0.60996354799513974</v>
      </c>
      <c r="I322">
        <f t="shared" si="28"/>
        <v>4</v>
      </c>
      <c r="J322">
        <f>VLOOKUP(A322,'Housing Cost Calc'!$A$2:$C$827,3,FALSE)</f>
        <v>1446</v>
      </c>
      <c r="K322">
        <f t="shared" si="29"/>
        <v>0.37494351489196098</v>
      </c>
    </row>
    <row r="323" spans="1:11" ht="64" x14ac:dyDescent="0.2">
      <c r="A323" s="4" t="s">
        <v>3586</v>
      </c>
      <c r="B323">
        <v>67917</v>
      </c>
      <c r="C323">
        <v>2.15</v>
      </c>
      <c r="D323">
        <f t="shared" si="30"/>
        <v>46319.009553816148</v>
      </c>
      <c r="E323">
        <f t="shared" si="31"/>
        <v>46.319009553816144</v>
      </c>
      <c r="F323" s="7">
        <v>0.39125151883353587</v>
      </c>
      <c r="G323">
        <f t="shared" ref="G323:G386" si="32">IF(F323&lt;0.2,1,IF(F323&lt;0.4,2,IF(F323&lt;0.6,3,IF(F323&lt;0.8,4,5))))</f>
        <v>2</v>
      </c>
      <c r="H323" s="7">
        <f t="shared" ref="H323:H386" si="33">1-F323</f>
        <v>0.60874848116646407</v>
      </c>
      <c r="I323">
        <f t="shared" ref="I323:I386" si="34">6-G323</f>
        <v>4</v>
      </c>
      <c r="J323">
        <f>VLOOKUP(A323,'Housing Cost Calc'!$A$2:$C$827,3,FALSE)</f>
        <v>1286</v>
      </c>
      <c r="K323">
        <f t="shared" ref="K323:K386" si="35">(J323*12)/D323</f>
        <v>0.33316774578416225</v>
      </c>
    </row>
    <row r="324" spans="1:11" ht="48" x14ac:dyDescent="0.2">
      <c r="A324" s="4" t="s">
        <v>3606</v>
      </c>
      <c r="B324">
        <v>69135</v>
      </c>
      <c r="C324">
        <v>2.2200000000000002</v>
      </c>
      <c r="D324">
        <f t="shared" si="30"/>
        <v>46400.373877221573</v>
      </c>
      <c r="E324">
        <f t="shared" si="31"/>
        <v>46.400373877221575</v>
      </c>
      <c r="F324" s="7">
        <v>0.39246658566221143</v>
      </c>
      <c r="G324">
        <f t="shared" si="32"/>
        <v>2</v>
      </c>
      <c r="H324" s="7">
        <f t="shared" si="33"/>
        <v>0.60753341433778862</v>
      </c>
      <c r="I324">
        <f t="shared" si="34"/>
        <v>4</v>
      </c>
      <c r="J324">
        <f>VLOOKUP(A324,'Housing Cost Calc'!$A$2:$C$827,3,FALSE)</f>
        <v>1450</v>
      </c>
      <c r="K324">
        <f t="shared" si="35"/>
        <v>0.37499697838731944</v>
      </c>
    </row>
    <row r="325" spans="1:11" ht="48" x14ac:dyDescent="0.2">
      <c r="A325" s="4" t="s">
        <v>3735</v>
      </c>
      <c r="B325">
        <v>80298</v>
      </c>
      <c r="C325">
        <v>2.99</v>
      </c>
      <c r="D325">
        <f t="shared" si="30"/>
        <v>46437.532407025159</v>
      </c>
      <c r="E325">
        <f t="shared" si="31"/>
        <v>46.437532407025159</v>
      </c>
      <c r="F325" s="7">
        <v>0.39368165249088699</v>
      </c>
      <c r="G325">
        <f t="shared" si="32"/>
        <v>2</v>
      </c>
      <c r="H325" s="7">
        <f t="shared" si="33"/>
        <v>0.60631834750911295</v>
      </c>
      <c r="I325">
        <f t="shared" si="34"/>
        <v>4</v>
      </c>
      <c r="J325">
        <f>VLOOKUP(A325,'Housing Cost Calc'!$A$2:$C$827,3,FALSE)</f>
        <v>1359</v>
      </c>
      <c r="K325">
        <f t="shared" si="35"/>
        <v>0.35118145075109319</v>
      </c>
    </row>
    <row r="326" spans="1:11" ht="64" x14ac:dyDescent="0.2">
      <c r="A326" s="4" t="s">
        <v>3700</v>
      </c>
      <c r="B326">
        <v>75833</v>
      </c>
      <c r="C326">
        <v>2.63</v>
      </c>
      <c r="D326">
        <f t="shared" si="30"/>
        <v>46760.631002875401</v>
      </c>
      <c r="E326">
        <f t="shared" si="31"/>
        <v>46.7606310028754</v>
      </c>
      <c r="F326" s="7">
        <v>0.39489671931956255</v>
      </c>
      <c r="G326">
        <f t="shared" si="32"/>
        <v>2</v>
      </c>
      <c r="H326" s="7">
        <f t="shared" si="33"/>
        <v>0.60510328068043751</v>
      </c>
      <c r="I326">
        <f t="shared" si="34"/>
        <v>4</v>
      </c>
      <c r="J326">
        <f>VLOOKUP(A326,'Housing Cost Calc'!$A$2:$C$827,3,FALSE)</f>
        <v>1401</v>
      </c>
      <c r="K326">
        <f t="shared" si="35"/>
        <v>0.35953321500229962</v>
      </c>
    </row>
    <row r="327" spans="1:11" ht="48" x14ac:dyDescent="0.2">
      <c r="A327" s="4" t="s">
        <v>3483</v>
      </c>
      <c r="B327">
        <v>65470</v>
      </c>
      <c r="C327">
        <v>1.96</v>
      </c>
      <c r="D327">
        <f t="shared" si="30"/>
        <v>46764.285714285717</v>
      </c>
      <c r="E327">
        <f t="shared" si="31"/>
        <v>46.76428571428572</v>
      </c>
      <c r="F327" s="7">
        <v>0.39611178614823817</v>
      </c>
      <c r="G327">
        <f t="shared" si="32"/>
        <v>2</v>
      </c>
      <c r="H327" s="7">
        <f t="shared" si="33"/>
        <v>0.60388821385176183</v>
      </c>
      <c r="I327">
        <f t="shared" si="34"/>
        <v>4</v>
      </c>
      <c r="J327">
        <f>VLOOKUP(A327,'Housing Cost Calc'!$A$2:$C$827,3,FALSE)</f>
        <v>1242</v>
      </c>
      <c r="K327">
        <f t="shared" si="35"/>
        <v>0.318704750267298</v>
      </c>
    </row>
    <row r="328" spans="1:11" ht="48" x14ac:dyDescent="0.2">
      <c r="A328" s="4" t="s">
        <v>3620</v>
      </c>
      <c r="B328">
        <v>76047</v>
      </c>
      <c r="C328">
        <v>2.62</v>
      </c>
      <c r="D328">
        <f t="shared" si="30"/>
        <v>46981.993501327495</v>
      </c>
      <c r="E328">
        <f t="shared" si="31"/>
        <v>46.981993501327494</v>
      </c>
      <c r="F328" s="7">
        <v>0.39732685297691372</v>
      </c>
      <c r="G328">
        <f t="shared" si="32"/>
        <v>2</v>
      </c>
      <c r="H328" s="7">
        <f t="shared" si="33"/>
        <v>0.60267314702308628</v>
      </c>
      <c r="I328">
        <f t="shared" si="34"/>
        <v>4</v>
      </c>
      <c r="J328">
        <f>VLOOKUP(A328,'Housing Cost Calc'!$A$2:$C$827,3,FALSE)</f>
        <v>1301</v>
      </c>
      <c r="K328">
        <f t="shared" si="35"/>
        <v>0.33229752159322223</v>
      </c>
    </row>
    <row r="329" spans="1:11" ht="64" x14ac:dyDescent="0.2">
      <c r="A329" s="4" t="s">
        <v>3658</v>
      </c>
      <c r="B329">
        <v>72674</v>
      </c>
      <c r="C329">
        <v>2.39</v>
      </c>
      <c r="D329">
        <f t="shared" si="30"/>
        <v>47008.902726662891</v>
      </c>
      <c r="E329">
        <f t="shared" si="31"/>
        <v>47.008902726662889</v>
      </c>
      <c r="F329" s="7">
        <v>0.39854191980558928</v>
      </c>
      <c r="G329">
        <f t="shared" si="32"/>
        <v>2</v>
      </c>
      <c r="H329" s="7">
        <f t="shared" si="33"/>
        <v>0.60145808019441072</v>
      </c>
      <c r="I329">
        <f t="shared" si="34"/>
        <v>4</v>
      </c>
      <c r="J329">
        <f>VLOOKUP(A329,'Housing Cost Calc'!$A$2:$C$827,3,FALSE)</f>
        <v>1335</v>
      </c>
      <c r="K329">
        <f t="shared" si="35"/>
        <v>0.34078651214536104</v>
      </c>
    </row>
    <row r="330" spans="1:11" ht="48" x14ac:dyDescent="0.2">
      <c r="A330" s="4" t="s">
        <v>3603</v>
      </c>
      <c r="B330">
        <v>68832</v>
      </c>
      <c r="C330">
        <v>2.13</v>
      </c>
      <c r="D330">
        <f t="shared" si="30"/>
        <v>47162.909274848658</v>
      </c>
      <c r="E330">
        <f t="shared" si="31"/>
        <v>47.162909274848658</v>
      </c>
      <c r="F330" s="7">
        <v>0.3997569866342649</v>
      </c>
      <c r="G330">
        <f t="shared" si="32"/>
        <v>2</v>
      </c>
      <c r="H330" s="7">
        <f t="shared" si="33"/>
        <v>0.60024301336573505</v>
      </c>
      <c r="I330">
        <f t="shared" si="34"/>
        <v>4</v>
      </c>
      <c r="J330">
        <f>VLOOKUP(A330,'Housing Cost Calc'!$A$2:$C$827,3,FALSE)</f>
        <v>1506</v>
      </c>
      <c r="K330">
        <f t="shared" si="35"/>
        <v>0.3831824685513528</v>
      </c>
    </row>
    <row r="331" spans="1:11" ht="48" x14ac:dyDescent="0.2">
      <c r="A331" s="4" t="s">
        <v>3173</v>
      </c>
      <c r="B331">
        <v>68365</v>
      </c>
      <c r="C331">
        <v>2.1</v>
      </c>
      <c r="D331">
        <f t="shared" si="30"/>
        <v>47176.33196444004</v>
      </c>
      <c r="E331">
        <f t="shared" si="31"/>
        <v>47.176331964440038</v>
      </c>
      <c r="F331" s="7">
        <v>0.40097205346294046</v>
      </c>
      <c r="G331">
        <f t="shared" si="32"/>
        <v>3</v>
      </c>
      <c r="H331" s="7">
        <f t="shared" si="33"/>
        <v>0.5990279465370596</v>
      </c>
      <c r="I331">
        <f t="shared" si="34"/>
        <v>3</v>
      </c>
      <c r="J331">
        <f>VLOOKUP(A331,'Housing Cost Calc'!$A$2:$C$827,3,FALSE)</f>
        <v>1113</v>
      </c>
      <c r="K331">
        <f t="shared" si="35"/>
        <v>0.28310806380765913</v>
      </c>
    </row>
    <row r="332" spans="1:11" ht="48" x14ac:dyDescent="0.2">
      <c r="A332" s="4" t="s">
        <v>3656</v>
      </c>
      <c r="B332">
        <v>72667</v>
      </c>
      <c r="C332">
        <v>2.37</v>
      </c>
      <c r="D332">
        <f t="shared" si="30"/>
        <v>47202.288835479332</v>
      </c>
      <c r="E332">
        <f t="shared" si="31"/>
        <v>47.20228883547933</v>
      </c>
      <c r="F332" s="7">
        <v>0.40218712029161602</v>
      </c>
      <c r="G332">
        <f t="shared" si="32"/>
        <v>3</v>
      </c>
      <c r="H332" s="7">
        <f t="shared" si="33"/>
        <v>0.59781287970838393</v>
      </c>
      <c r="I332">
        <f t="shared" si="34"/>
        <v>3</v>
      </c>
      <c r="J332">
        <f>VLOOKUP(A332,'Housing Cost Calc'!$A$2:$C$827,3,FALSE)</f>
        <v>1446</v>
      </c>
      <c r="K332">
        <f t="shared" si="35"/>
        <v>0.36760929243239299</v>
      </c>
    </row>
    <row r="333" spans="1:11" ht="48" x14ac:dyDescent="0.2">
      <c r="A333" s="4" t="s">
        <v>3693</v>
      </c>
      <c r="B333">
        <v>75417</v>
      </c>
      <c r="C333">
        <v>2.5499999999999998</v>
      </c>
      <c r="D333">
        <f t="shared" si="30"/>
        <v>47227.95736076872</v>
      </c>
      <c r="E333">
        <f t="shared" si="31"/>
        <v>47.22795736076872</v>
      </c>
      <c r="F333" s="7">
        <v>0.40340218712029163</v>
      </c>
      <c r="G333">
        <f t="shared" si="32"/>
        <v>3</v>
      </c>
      <c r="H333" s="7">
        <f t="shared" si="33"/>
        <v>0.59659781287970837</v>
      </c>
      <c r="I333">
        <f t="shared" si="34"/>
        <v>3</v>
      </c>
      <c r="J333">
        <f>VLOOKUP(A333,'Housing Cost Calc'!$A$2:$C$827,3,FALSE)</f>
        <v>1640</v>
      </c>
      <c r="K333">
        <f t="shared" si="35"/>
        <v>0.41670233268118784</v>
      </c>
    </row>
    <row r="334" spans="1:11" ht="64" x14ac:dyDescent="0.2">
      <c r="A334" s="4" t="s">
        <v>3416</v>
      </c>
      <c r="B334">
        <v>75536</v>
      </c>
      <c r="C334">
        <v>2.5499999999999998</v>
      </c>
      <c r="D334">
        <f t="shared" si="30"/>
        <v>47302.478051407852</v>
      </c>
      <c r="E334">
        <f t="shared" si="31"/>
        <v>47.302478051407853</v>
      </c>
      <c r="F334" s="7">
        <v>0.40461725394896719</v>
      </c>
      <c r="G334">
        <f t="shared" si="32"/>
        <v>3</v>
      </c>
      <c r="H334" s="7">
        <f t="shared" si="33"/>
        <v>0.59538274605103281</v>
      </c>
      <c r="I334">
        <f t="shared" si="34"/>
        <v>3</v>
      </c>
      <c r="J334">
        <f>VLOOKUP(A334,'Housing Cost Calc'!$A$2:$C$827,3,FALSE)</f>
        <v>1230</v>
      </c>
      <c r="K334">
        <f t="shared" si="35"/>
        <v>0.31203439244681813</v>
      </c>
    </row>
    <row r="335" spans="1:11" ht="64" x14ac:dyDescent="0.2">
      <c r="A335" s="4" t="s">
        <v>3554</v>
      </c>
      <c r="B335">
        <v>74675</v>
      </c>
      <c r="C335">
        <v>2.48</v>
      </c>
      <c r="D335">
        <f t="shared" si="30"/>
        <v>47418.672418696129</v>
      </c>
      <c r="E335">
        <f t="shared" si="31"/>
        <v>47.418672418696126</v>
      </c>
      <c r="F335" s="7">
        <v>0.40583232077764275</v>
      </c>
      <c r="G335">
        <f t="shared" si="32"/>
        <v>3</v>
      </c>
      <c r="H335" s="7">
        <f t="shared" si="33"/>
        <v>0.59416767922235725</v>
      </c>
      <c r="I335">
        <f t="shared" si="34"/>
        <v>3</v>
      </c>
      <c r="J335">
        <f>VLOOKUP(A335,'Housing Cost Calc'!$A$2:$C$827,3,FALSE)</f>
        <v>1280</v>
      </c>
      <c r="K335">
        <f t="shared" si="35"/>
        <v>0.32392302897843028</v>
      </c>
    </row>
    <row r="336" spans="1:11" ht="48" x14ac:dyDescent="0.2">
      <c r="A336" s="4" t="s">
        <v>3721</v>
      </c>
      <c r="B336">
        <v>77939</v>
      </c>
      <c r="C336">
        <v>2.7</v>
      </c>
      <c r="D336">
        <f t="shared" si="30"/>
        <v>47432.16489932793</v>
      </c>
      <c r="E336">
        <f t="shared" si="31"/>
        <v>47.43216489932793</v>
      </c>
      <c r="F336" s="7">
        <v>0.40704738760631837</v>
      </c>
      <c r="G336">
        <f t="shared" si="32"/>
        <v>3</v>
      </c>
      <c r="H336" s="7">
        <f t="shared" si="33"/>
        <v>0.59295261239368169</v>
      </c>
      <c r="I336">
        <f t="shared" si="34"/>
        <v>3</v>
      </c>
      <c r="J336">
        <f>VLOOKUP(A336,'Housing Cost Calc'!$A$2:$C$827,3,FALSE)</f>
        <v>1424</v>
      </c>
      <c r="K336">
        <f t="shared" si="35"/>
        <v>0.36026186104446861</v>
      </c>
    </row>
    <row r="337" spans="1:11" ht="48" x14ac:dyDescent="0.2">
      <c r="A337" s="4" t="s">
        <v>3675</v>
      </c>
      <c r="B337">
        <v>74397</v>
      </c>
      <c r="C337">
        <v>2.46</v>
      </c>
      <c r="D337">
        <f t="shared" si="30"/>
        <v>47433.794721773178</v>
      </c>
      <c r="E337">
        <f t="shared" si="31"/>
        <v>47.433794721773175</v>
      </c>
      <c r="F337" s="7">
        <v>0.40826245443499393</v>
      </c>
      <c r="G337">
        <f t="shared" si="32"/>
        <v>3</v>
      </c>
      <c r="H337" s="7">
        <f t="shared" si="33"/>
        <v>0.59173754556500602</v>
      </c>
      <c r="I337">
        <f t="shared" si="34"/>
        <v>3</v>
      </c>
      <c r="J337">
        <f>VLOOKUP(A337,'Housing Cost Calc'!$A$2:$C$827,3,FALSE)</f>
        <v>1726</v>
      </c>
      <c r="K337">
        <f t="shared" si="35"/>
        <v>0.43665070697986402</v>
      </c>
    </row>
    <row r="338" spans="1:11" ht="48" x14ac:dyDescent="0.2">
      <c r="A338" s="4" t="s">
        <v>3227</v>
      </c>
      <c r="B338">
        <v>71159</v>
      </c>
      <c r="C338">
        <v>2.25</v>
      </c>
      <c r="D338">
        <f t="shared" si="30"/>
        <v>47439.333333333336</v>
      </c>
      <c r="E338">
        <f t="shared" si="31"/>
        <v>47.439333333333337</v>
      </c>
      <c r="F338" s="7">
        <v>0.40947752126366949</v>
      </c>
      <c r="G338">
        <f t="shared" si="32"/>
        <v>3</v>
      </c>
      <c r="H338" s="7">
        <f t="shared" si="33"/>
        <v>0.59052247873633057</v>
      </c>
      <c r="I338">
        <f t="shared" si="34"/>
        <v>3</v>
      </c>
      <c r="J338">
        <f>VLOOKUP(A338,'Housing Cost Calc'!$A$2:$C$827,3,FALSE)</f>
        <v>1151</v>
      </c>
      <c r="K338">
        <f t="shared" si="35"/>
        <v>0.29115080313101643</v>
      </c>
    </row>
    <row r="339" spans="1:11" ht="48" x14ac:dyDescent="0.2">
      <c r="A339" s="4" t="s">
        <v>3536</v>
      </c>
      <c r="B339">
        <v>71825</v>
      </c>
      <c r="C339">
        <v>2.29</v>
      </c>
      <c r="D339">
        <f t="shared" si="30"/>
        <v>47463.295977686823</v>
      </c>
      <c r="E339">
        <f t="shared" si="31"/>
        <v>47.463295977686826</v>
      </c>
      <c r="F339" s="7">
        <v>0.4106925880923451</v>
      </c>
      <c r="G339">
        <f t="shared" si="32"/>
        <v>3</v>
      </c>
      <c r="H339" s="7">
        <f t="shared" si="33"/>
        <v>0.5893074119076549</v>
      </c>
      <c r="I339">
        <f t="shared" si="34"/>
        <v>3</v>
      </c>
      <c r="J339">
        <f>VLOOKUP(A339,'Housing Cost Calc'!$A$2:$C$827,3,FALSE)</f>
        <v>1273</v>
      </c>
      <c r="K339">
        <f t="shared" si="35"/>
        <v>0.32184869772173991</v>
      </c>
    </row>
    <row r="340" spans="1:11" ht="48" x14ac:dyDescent="0.2">
      <c r="A340" s="4" t="s">
        <v>3650</v>
      </c>
      <c r="B340">
        <v>72455</v>
      </c>
      <c r="C340">
        <v>2.33</v>
      </c>
      <c r="D340">
        <f t="shared" si="30"/>
        <v>47466.848720636714</v>
      </c>
      <c r="E340">
        <f t="shared" si="31"/>
        <v>47.466848720636712</v>
      </c>
      <c r="F340" s="7">
        <v>0.41190765492102066</v>
      </c>
      <c r="G340">
        <f t="shared" si="32"/>
        <v>3</v>
      </c>
      <c r="H340" s="7">
        <f t="shared" si="33"/>
        <v>0.58809234507897934</v>
      </c>
      <c r="I340">
        <f t="shared" si="34"/>
        <v>3</v>
      </c>
      <c r="J340">
        <f>VLOOKUP(A340,'Housing Cost Calc'!$A$2:$C$827,3,FALSE)</f>
        <v>1365</v>
      </c>
      <c r="K340">
        <f t="shared" si="35"/>
        <v>0.34508294612948726</v>
      </c>
    </row>
    <row r="341" spans="1:11" ht="64" x14ac:dyDescent="0.2">
      <c r="A341" s="4" t="s">
        <v>3704</v>
      </c>
      <c r="B341">
        <v>75991</v>
      </c>
      <c r="C341">
        <v>2.56</v>
      </c>
      <c r="D341">
        <f t="shared" si="30"/>
        <v>47494.375</v>
      </c>
      <c r="E341">
        <f t="shared" si="31"/>
        <v>47.494374999999998</v>
      </c>
      <c r="F341" s="7">
        <v>0.41312272174969622</v>
      </c>
      <c r="G341">
        <f t="shared" si="32"/>
        <v>3</v>
      </c>
      <c r="H341" s="7">
        <f t="shared" si="33"/>
        <v>0.58687727825030378</v>
      </c>
      <c r="I341">
        <f t="shared" si="34"/>
        <v>3</v>
      </c>
      <c r="J341">
        <f>VLOOKUP(A341,'Housing Cost Calc'!$A$2:$C$827,3,FALSE)</f>
        <v>1458</v>
      </c>
      <c r="K341">
        <f t="shared" si="35"/>
        <v>0.36838046610782854</v>
      </c>
    </row>
    <row r="342" spans="1:11" ht="48" x14ac:dyDescent="0.2">
      <c r="A342" s="4" t="s">
        <v>3583</v>
      </c>
      <c r="B342">
        <v>73903</v>
      </c>
      <c r="C342">
        <v>2.42</v>
      </c>
      <c r="D342">
        <f t="shared" si="30"/>
        <v>47506.64768184493</v>
      </c>
      <c r="E342">
        <f t="shared" si="31"/>
        <v>47.506647681844932</v>
      </c>
      <c r="F342" s="7">
        <v>0.41433778857837184</v>
      </c>
      <c r="G342">
        <f t="shared" si="32"/>
        <v>3</v>
      </c>
      <c r="H342" s="7">
        <f t="shared" si="33"/>
        <v>0.58566221142162811</v>
      </c>
      <c r="I342">
        <f t="shared" si="34"/>
        <v>3</v>
      </c>
      <c r="J342">
        <f>VLOOKUP(A342,'Housing Cost Calc'!$A$2:$C$827,3,FALSE)</f>
        <v>1303</v>
      </c>
      <c r="K342">
        <f t="shared" si="35"/>
        <v>0.32913288482730452</v>
      </c>
    </row>
    <row r="343" spans="1:11" ht="64" x14ac:dyDescent="0.2">
      <c r="A343" s="4" t="s">
        <v>3562</v>
      </c>
      <c r="B343">
        <v>65550</v>
      </c>
      <c r="C343">
        <v>1.9</v>
      </c>
      <c r="D343">
        <f t="shared" si="30"/>
        <v>47554.968194711269</v>
      </c>
      <c r="E343">
        <f t="shared" si="31"/>
        <v>47.554968194711272</v>
      </c>
      <c r="F343" s="7">
        <v>0.41555285540704739</v>
      </c>
      <c r="G343">
        <f t="shared" si="32"/>
        <v>3</v>
      </c>
      <c r="H343" s="7">
        <f t="shared" si="33"/>
        <v>0.58444714459295266</v>
      </c>
      <c r="I343">
        <f t="shared" si="34"/>
        <v>3</v>
      </c>
      <c r="J343">
        <f>VLOOKUP(A343,'Housing Cost Calc'!$A$2:$C$827,3,FALSE)</f>
        <v>1379</v>
      </c>
      <c r="K343">
        <f t="shared" si="35"/>
        <v>0.34797626048754993</v>
      </c>
    </row>
    <row r="344" spans="1:11" ht="48" x14ac:dyDescent="0.2">
      <c r="A344" s="4" t="s">
        <v>3113</v>
      </c>
      <c r="B344">
        <v>75114</v>
      </c>
      <c r="C344">
        <v>2.4900000000000002</v>
      </c>
      <c r="D344">
        <f t="shared" si="30"/>
        <v>47601.563353895632</v>
      </c>
      <c r="E344">
        <f t="shared" si="31"/>
        <v>47.601563353895635</v>
      </c>
      <c r="F344" s="7">
        <v>0.41676792223572295</v>
      </c>
      <c r="G344">
        <f t="shared" si="32"/>
        <v>3</v>
      </c>
      <c r="H344" s="7">
        <f t="shared" si="33"/>
        <v>0.58323207776427699</v>
      </c>
      <c r="I344">
        <f t="shared" si="34"/>
        <v>3</v>
      </c>
      <c r="J344">
        <f>VLOOKUP(A344,'Housing Cost Calc'!$A$2:$C$827,3,FALSE)</f>
        <v>1054</v>
      </c>
      <c r="K344">
        <f t="shared" si="35"/>
        <v>0.26570555899536247</v>
      </c>
    </row>
    <row r="345" spans="1:11" ht="64" x14ac:dyDescent="0.2">
      <c r="A345" s="4" t="s">
        <v>3456</v>
      </c>
      <c r="B345">
        <v>78254</v>
      </c>
      <c r="C345">
        <v>2.69</v>
      </c>
      <c r="D345">
        <f t="shared" si="30"/>
        <v>47712.305879531828</v>
      </c>
      <c r="E345">
        <f t="shared" si="31"/>
        <v>47.712305879531826</v>
      </c>
      <c r="F345" s="7">
        <v>0.41798298906439857</v>
      </c>
      <c r="G345">
        <f t="shared" si="32"/>
        <v>3</v>
      </c>
      <c r="H345" s="7">
        <f t="shared" si="33"/>
        <v>0.58201701093560143</v>
      </c>
      <c r="I345">
        <f t="shared" si="34"/>
        <v>3</v>
      </c>
      <c r="J345">
        <f>VLOOKUP(A345,'Housing Cost Calc'!$A$2:$C$827,3,FALSE)</f>
        <v>1259</v>
      </c>
      <c r="K345">
        <f t="shared" si="35"/>
        <v>0.31664786938082579</v>
      </c>
    </row>
    <row r="346" spans="1:11" ht="48" x14ac:dyDescent="0.2">
      <c r="A346" s="4" t="s">
        <v>3531</v>
      </c>
      <c r="B346">
        <v>63514</v>
      </c>
      <c r="C346">
        <v>1.77</v>
      </c>
      <c r="D346">
        <f t="shared" si="30"/>
        <v>47740.045822571672</v>
      </c>
      <c r="E346">
        <f t="shared" si="31"/>
        <v>47.740045822571673</v>
      </c>
      <c r="F346" s="7">
        <v>0.41919805589307413</v>
      </c>
      <c r="G346">
        <f t="shared" si="32"/>
        <v>3</v>
      </c>
      <c r="H346" s="7">
        <f t="shared" si="33"/>
        <v>0.58080194410692587</v>
      </c>
      <c r="I346">
        <f t="shared" si="34"/>
        <v>3</v>
      </c>
      <c r="J346">
        <f>VLOOKUP(A346,'Housing Cost Calc'!$A$2:$C$827,3,FALSE)</f>
        <v>1542</v>
      </c>
      <c r="K346">
        <f t="shared" si="35"/>
        <v>0.38759912524531426</v>
      </c>
    </row>
    <row r="347" spans="1:11" ht="48" x14ac:dyDescent="0.2">
      <c r="A347" s="4" t="s">
        <v>3632</v>
      </c>
      <c r="B347">
        <v>71295</v>
      </c>
      <c r="C347">
        <v>2.23</v>
      </c>
      <c r="D347">
        <f t="shared" si="30"/>
        <v>47742.66325435599</v>
      </c>
      <c r="E347">
        <f t="shared" si="31"/>
        <v>47.742663254355989</v>
      </c>
      <c r="F347" s="7">
        <v>0.42041312272174969</v>
      </c>
      <c r="G347">
        <f t="shared" si="32"/>
        <v>3</v>
      </c>
      <c r="H347" s="7">
        <f t="shared" si="33"/>
        <v>0.57958687727825031</v>
      </c>
      <c r="I347">
        <f t="shared" si="34"/>
        <v>3</v>
      </c>
      <c r="J347">
        <f>VLOOKUP(A347,'Housing Cost Calc'!$A$2:$C$827,3,FALSE)</f>
        <v>1571</v>
      </c>
      <c r="K347">
        <f t="shared" si="35"/>
        <v>0.39486695368381997</v>
      </c>
    </row>
    <row r="348" spans="1:11" ht="48" x14ac:dyDescent="0.2">
      <c r="A348" s="4" t="s">
        <v>3305</v>
      </c>
      <c r="B348">
        <v>70857</v>
      </c>
      <c r="C348">
        <v>2.2000000000000002</v>
      </c>
      <c r="D348">
        <f t="shared" si="30"/>
        <v>47771.77965455794</v>
      </c>
      <c r="E348">
        <f t="shared" si="31"/>
        <v>47.771779654557939</v>
      </c>
      <c r="F348" s="7">
        <v>0.42162818955042525</v>
      </c>
      <c r="G348">
        <f t="shared" si="32"/>
        <v>3</v>
      </c>
      <c r="H348" s="7">
        <f t="shared" si="33"/>
        <v>0.57837181044957475</v>
      </c>
      <c r="I348">
        <f t="shared" si="34"/>
        <v>3</v>
      </c>
      <c r="J348">
        <f>VLOOKUP(A348,'Housing Cost Calc'!$A$2:$C$827,3,FALSE)</f>
        <v>1195</v>
      </c>
      <c r="K348">
        <f t="shared" si="35"/>
        <v>0.30017721976643613</v>
      </c>
    </row>
    <row r="349" spans="1:11" ht="48" x14ac:dyDescent="0.2">
      <c r="A349" s="4" t="s">
        <v>3724</v>
      </c>
      <c r="B349">
        <v>78134</v>
      </c>
      <c r="C349">
        <v>2.67</v>
      </c>
      <c r="D349">
        <f t="shared" si="30"/>
        <v>47817.231454466681</v>
      </c>
      <c r="E349">
        <f t="shared" si="31"/>
        <v>47.817231454466679</v>
      </c>
      <c r="F349" s="7">
        <v>0.42284325637910086</v>
      </c>
      <c r="G349">
        <f t="shared" si="32"/>
        <v>3</v>
      </c>
      <c r="H349" s="7">
        <f t="shared" si="33"/>
        <v>0.57715674362089908</v>
      </c>
      <c r="I349">
        <f t="shared" si="34"/>
        <v>3</v>
      </c>
      <c r="J349">
        <f>VLOOKUP(A349,'Housing Cost Calc'!$A$2:$C$827,3,FALSE)</f>
        <v>1673</v>
      </c>
      <c r="K349">
        <f t="shared" si="35"/>
        <v>0.41984864847554176</v>
      </c>
    </row>
    <row r="350" spans="1:11" ht="48" x14ac:dyDescent="0.2">
      <c r="A350" s="4" t="s">
        <v>3380</v>
      </c>
      <c r="B350">
        <v>74735</v>
      </c>
      <c r="C350">
        <v>2.44</v>
      </c>
      <c r="D350">
        <f t="shared" si="30"/>
        <v>47844.181108924902</v>
      </c>
      <c r="E350">
        <f t="shared" si="31"/>
        <v>47.8441811089249</v>
      </c>
      <c r="F350" s="7">
        <v>0.42405832320777642</v>
      </c>
      <c r="G350">
        <f t="shared" si="32"/>
        <v>3</v>
      </c>
      <c r="H350" s="7">
        <f t="shared" si="33"/>
        <v>0.57594167679222363</v>
      </c>
      <c r="I350">
        <f t="shared" si="34"/>
        <v>3</v>
      </c>
      <c r="J350">
        <f>VLOOKUP(A350,'Housing Cost Calc'!$A$2:$C$827,3,FALSE)</f>
        <v>1228</v>
      </c>
      <c r="K350">
        <f t="shared" si="35"/>
        <v>0.30799983735642056</v>
      </c>
    </row>
    <row r="351" spans="1:11" ht="48" x14ac:dyDescent="0.2">
      <c r="A351" s="4" t="s">
        <v>3428</v>
      </c>
      <c r="B351">
        <v>71316</v>
      </c>
      <c r="C351">
        <v>2.2200000000000002</v>
      </c>
      <c r="D351">
        <f t="shared" si="30"/>
        <v>47864.165233643354</v>
      </c>
      <c r="E351">
        <f t="shared" si="31"/>
        <v>47.864165233643355</v>
      </c>
      <c r="F351" s="7">
        <v>0.42527339003645198</v>
      </c>
      <c r="G351">
        <f t="shared" si="32"/>
        <v>3</v>
      </c>
      <c r="H351" s="7">
        <f t="shared" si="33"/>
        <v>0.57472660996354796</v>
      </c>
      <c r="I351">
        <f t="shared" si="34"/>
        <v>3</v>
      </c>
      <c r="J351">
        <f>VLOOKUP(A351,'Housing Cost Calc'!$A$2:$C$827,3,FALSE)</f>
        <v>1250</v>
      </c>
      <c r="K351">
        <f t="shared" si="35"/>
        <v>0.31338685061735111</v>
      </c>
    </row>
    <row r="352" spans="1:11" ht="48" x14ac:dyDescent="0.2">
      <c r="A352" s="4" t="s">
        <v>3093</v>
      </c>
      <c r="B352">
        <v>73828</v>
      </c>
      <c r="C352">
        <v>2.37</v>
      </c>
      <c r="D352">
        <f t="shared" si="30"/>
        <v>47956.439376137285</v>
      </c>
      <c r="E352">
        <f t="shared" si="31"/>
        <v>47.956439376137283</v>
      </c>
      <c r="F352" s="7">
        <v>0.4264884568651276</v>
      </c>
      <c r="G352">
        <f t="shared" si="32"/>
        <v>3</v>
      </c>
      <c r="H352" s="7">
        <f t="shared" si="33"/>
        <v>0.5735115431348724</v>
      </c>
      <c r="I352">
        <f t="shared" si="34"/>
        <v>3</v>
      </c>
      <c r="J352">
        <f>VLOOKUP(A352,'Housing Cost Calc'!$A$2:$C$827,3,FALSE)</f>
        <v>1045</v>
      </c>
      <c r="K352">
        <f t="shared" si="35"/>
        <v>0.26148730312617408</v>
      </c>
    </row>
    <row r="353" spans="1:11" ht="64" x14ac:dyDescent="0.2">
      <c r="A353" s="4" t="s">
        <v>3661</v>
      </c>
      <c r="B353">
        <v>72900</v>
      </c>
      <c r="C353">
        <v>2.31</v>
      </c>
      <c r="D353">
        <f t="shared" si="30"/>
        <v>47964.678562567162</v>
      </c>
      <c r="E353">
        <f t="shared" si="31"/>
        <v>47.964678562567158</v>
      </c>
      <c r="F353" s="7">
        <v>0.42770352369380316</v>
      </c>
      <c r="G353">
        <f t="shared" si="32"/>
        <v>3</v>
      </c>
      <c r="H353" s="7">
        <f t="shared" si="33"/>
        <v>0.57229647630619684</v>
      </c>
      <c r="I353">
        <f t="shared" si="34"/>
        <v>3</v>
      </c>
      <c r="J353">
        <f>VLOOKUP(A353,'Housing Cost Calc'!$A$2:$C$827,3,FALSE)</f>
        <v>1414</v>
      </c>
      <c r="K353">
        <f t="shared" si="35"/>
        <v>0.35376031922878876</v>
      </c>
    </row>
    <row r="354" spans="1:11" ht="48" x14ac:dyDescent="0.2">
      <c r="A354" s="4" t="s">
        <v>3271</v>
      </c>
      <c r="B354">
        <v>74634</v>
      </c>
      <c r="C354">
        <v>2.42</v>
      </c>
      <c r="D354">
        <f t="shared" si="30"/>
        <v>47976.552279160715</v>
      </c>
      <c r="E354">
        <f t="shared" si="31"/>
        <v>47.976552279160714</v>
      </c>
      <c r="F354" s="7">
        <v>0.42891859052247872</v>
      </c>
      <c r="G354">
        <f t="shared" si="32"/>
        <v>3</v>
      </c>
      <c r="H354" s="7">
        <f t="shared" si="33"/>
        <v>0.57108140947752128</v>
      </c>
      <c r="I354">
        <f t="shared" si="34"/>
        <v>3</v>
      </c>
      <c r="J354">
        <f>VLOOKUP(A354,'Housing Cost Calc'!$A$2:$C$827,3,FALSE)</f>
        <v>1184</v>
      </c>
      <c r="K354">
        <f t="shared" si="35"/>
        <v>0.29614466494649394</v>
      </c>
    </row>
    <row r="355" spans="1:11" ht="48" x14ac:dyDescent="0.2">
      <c r="A355" s="4" t="s">
        <v>3635</v>
      </c>
      <c r="B355">
        <v>71660</v>
      </c>
      <c r="C355">
        <v>2.23</v>
      </c>
      <c r="D355">
        <f t="shared" si="30"/>
        <v>47987.085332872579</v>
      </c>
      <c r="E355">
        <f t="shared" si="31"/>
        <v>47.987085332872581</v>
      </c>
      <c r="F355" s="7">
        <v>0.43013365735115433</v>
      </c>
      <c r="G355">
        <f t="shared" si="32"/>
        <v>3</v>
      </c>
      <c r="H355" s="7">
        <f t="shared" si="33"/>
        <v>0.56986634264884573</v>
      </c>
      <c r="I355">
        <f t="shared" si="34"/>
        <v>3</v>
      </c>
      <c r="J355">
        <f>VLOOKUP(A355,'Housing Cost Calc'!$A$2:$C$827,3,FALSE)</f>
        <v>1859</v>
      </c>
      <c r="K355">
        <f t="shared" si="35"/>
        <v>0.46487507722662952</v>
      </c>
    </row>
    <row r="356" spans="1:11" ht="48" x14ac:dyDescent="0.2">
      <c r="A356" s="4" t="s">
        <v>3666</v>
      </c>
      <c r="B356">
        <v>73426</v>
      </c>
      <c r="C356">
        <v>2.34</v>
      </c>
      <c r="D356">
        <f t="shared" si="30"/>
        <v>48000.077795521</v>
      </c>
      <c r="E356">
        <f t="shared" si="31"/>
        <v>48.000077795521001</v>
      </c>
      <c r="F356" s="7">
        <v>0.43134872417982989</v>
      </c>
      <c r="G356">
        <f t="shared" si="32"/>
        <v>3</v>
      </c>
      <c r="H356" s="7">
        <f t="shared" si="33"/>
        <v>0.56865127582017005</v>
      </c>
      <c r="I356">
        <f t="shared" si="34"/>
        <v>3</v>
      </c>
      <c r="J356">
        <f>VLOOKUP(A356,'Housing Cost Calc'!$A$2:$C$827,3,FALSE)</f>
        <v>1549</v>
      </c>
      <c r="K356">
        <f t="shared" si="35"/>
        <v>0.38724937236944418</v>
      </c>
    </row>
    <row r="357" spans="1:11" ht="48" x14ac:dyDescent="0.2">
      <c r="A357" s="4" t="s">
        <v>3736</v>
      </c>
      <c r="B357">
        <v>79475</v>
      </c>
      <c r="C357">
        <v>2.73</v>
      </c>
      <c r="D357">
        <f t="shared" si="30"/>
        <v>48100.458158853071</v>
      </c>
      <c r="E357">
        <f t="shared" si="31"/>
        <v>48.100458158853073</v>
      </c>
      <c r="F357" s="7">
        <v>0.43256379100850545</v>
      </c>
      <c r="G357">
        <f t="shared" si="32"/>
        <v>3</v>
      </c>
      <c r="H357" s="7">
        <f t="shared" si="33"/>
        <v>0.56743620899149461</v>
      </c>
      <c r="I357">
        <f t="shared" si="34"/>
        <v>3</v>
      </c>
      <c r="J357">
        <f>VLOOKUP(A357,'Housing Cost Calc'!$A$2:$C$827,3,FALSE)</f>
        <v>1461</v>
      </c>
      <c r="K357">
        <f t="shared" si="35"/>
        <v>0.36448717270218284</v>
      </c>
    </row>
    <row r="358" spans="1:11" ht="48" x14ac:dyDescent="0.2">
      <c r="A358" s="4" t="s">
        <v>3760</v>
      </c>
      <c r="B358">
        <v>81667</v>
      </c>
      <c r="C358">
        <v>2.88</v>
      </c>
      <c r="D358">
        <f t="shared" si="30"/>
        <v>48122.741249301478</v>
      </c>
      <c r="E358">
        <f t="shared" si="31"/>
        <v>48.122741249301477</v>
      </c>
      <c r="F358" s="7">
        <v>0.43377885783718106</v>
      </c>
      <c r="G358">
        <f t="shared" si="32"/>
        <v>3</v>
      </c>
      <c r="H358" s="7">
        <f t="shared" si="33"/>
        <v>0.56622114216281894</v>
      </c>
      <c r="I358">
        <f t="shared" si="34"/>
        <v>3</v>
      </c>
      <c r="J358">
        <f>VLOOKUP(A358,'Housing Cost Calc'!$A$2:$C$827,3,FALSE)</f>
        <v>1853</v>
      </c>
      <c r="K358">
        <f t="shared" si="35"/>
        <v>0.46206844046571777</v>
      </c>
    </row>
    <row r="359" spans="1:11" ht="48" x14ac:dyDescent="0.2">
      <c r="A359" s="4" t="s">
        <v>3643</v>
      </c>
      <c r="B359">
        <v>72188</v>
      </c>
      <c r="C359">
        <v>2.25</v>
      </c>
      <c r="D359">
        <f t="shared" si="30"/>
        <v>48125.333333333336</v>
      </c>
      <c r="E359">
        <f t="shared" si="31"/>
        <v>48.125333333333337</v>
      </c>
      <c r="F359" s="7">
        <v>0.43499392466585662</v>
      </c>
      <c r="G359">
        <f t="shared" si="32"/>
        <v>3</v>
      </c>
      <c r="H359" s="7">
        <f t="shared" si="33"/>
        <v>0.56500607533414338</v>
      </c>
      <c r="I359">
        <f t="shared" si="34"/>
        <v>3</v>
      </c>
      <c r="J359">
        <f>VLOOKUP(A359,'Housing Cost Calc'!$A$2:$C$827,3,FALSE)</f>
        <v>1715</v>
      </c>
      <c r="K359">
        <f t="shared" si="35"/>
        <v>0.4276334016734083</v>
      </c>
    </row>
    <row r="360" spans="1:11" ht="48" x14ac:dyDescent="0.2">
      <c r="A360" s="4" t="s">
        <v>3647</v>
      </c>
      <c r="B360">
        <v>81250</v>
      </c>
      <c r="C360">
        <v>2.84</v>
      </c>
      <c r="D360">
        <f t="shared" si="30"/>
        <v>48213.004864125294</v>
      </c>
      <c r="E360">
        <f t="shared" si="31"/>
        <v>48.213004864125296</v>
      </c>
      <c r="F360" s="7">
        <v>0.43620899149453218</v>
      </c>
      <c r="G360">
        <f t="shared" si="32"/>
        <v>3</v>
      </c>
      <c r="H360" s="7">
        <f t="shared" si="33"/>
        <v>0.56379100850546782</v>
      </c>
      <c r="I360">
        <f t="shared" si="34"/>
        <v>3</v>
      </c>
      <c r="J360">
        <f>VLOOKUP(A360,'Housing Cost Calc'!$A$2:$C$827,3,FALSE)</f>
        <v>1352</v>
      </c>
      <c r="K360">
        <f t="shared" si="35"/>
        <v>0.33650671734157106</v>
      </c>
    </row>
    <row r="361" spans="1:11" ht="48" x14ac:dyDescent="0.2">
      <c r="A361" s="4" t="s">
        <v>3547</v>
      </c>
      <c r="B361">
        <v>74044</v>
      </c>
      <c r="C361">
        <v>2.35</v>
      </c>
      <c r="D361">
        <f t="shared" si="30"/>
        <v>48300.979841169072</v>
      </c>
      <c r="E361">
        <f t="shared" si="31"/>
        <v>48.300979841169074</v>
      </c>
      <c r="F361" s="7">
        <v>0.4374240583232078</v>
      </c>
      <c r="G361">
        <f t="shared" si="32"/>
        <v>3</v>
      </c>
      <c r="H361" s="7">
        <f t="shared" si="33"/>
        <v>0.56257594167679215</v>
      </c>
      <c r="I361">
        <f t="shared" si="34"/>
        <v>3</v>
      </c>
      <c r="J361">
        <f>VLOOKUP(A361,'Housing Cost Calc'!$A$2:$C$827,3,FALSE)</f>
        <v>1302</v>
      </c>
      <c r="K361">
        <f t="shared" si="35"/>
        <v>0.32347169873939019</v>
      </c>
    </row>
    <row r="362" spans="1:11" ht="48" x14ac:dyDescent="0.2">
      <c r="A362" s="4" t="s">
        <v>3820</v>
      </c>
      <c r="B362">
        <v>91500</v>
      </c>
      <c r="C362">
        <v>3.57</v>
      </c>
      <c r="D362">
        <f t="shared" si="30"/>
        <v>48426.935348284125</v>
      </c>
      <c r="E362">
        <f t="shared" si="31"/>
        <v>48.426935348284125</v>
      </c>
      <c r="F362" s="7">
        <v>0.43863912515188336</v>
      </c>
      <c r="G362">
        <f t="shared" si="32"/>
        <v>3</v>
      </c>
      <c r="H362" s="7">
        <f t="shared" si="33"/>
        <v>0.5613608748481167</v>
      </c>
      <c r="I362">
        <f t="shared" si="34"/>
        <v>3</v>
      </c>
      <c r="J362">
        <f>VLOOKUP(A362,'Housing Cost Calc'!$A$2:$C$827,3,FALSE)</f>
        <v>1696</v>
      </c>
      <c r="K362">
        <f t="shared" si="35"/>
        <v>0.42026198547625249</v>
      </c>
    </row>
    <row r="363" spans="1:11" ht="64" x14ac:dyDescent="0.2">
      <c r="A363" s="4" t="s">
        <v>3362</v>
      </c>
      <c r="B363">
        <v>72813</v>
      </c>
      <c r="C363">
        <v>2.2599999999999998</v>
      </c>
      <c r="D363">
        <f t="shared" si="30"/>
        <v>48434.487132675516</v>
      </c>
      <c r="E363">
        <f t="shared" si="31"/>
        <v>48.434487132675514</v>
      </c>
      <c r="F363" s="7">
        <v>0.43985419198055892</v>
      </c>
      <c r="G363">
        <f t="shared" si="32"/>
        <v>3</v>
      </c>
      <c r="H363" s="7">
        <f t="shared" si="33"/>
        <v>0.56014580801944103</v>
      </c>
      <c r="I363">
        <f t="shared" si="34"/>
        <v>3</v>
      </c>
      <c r="J363">
        <f>VLOOKUP(A363,'Housing Cost Calc'!$A$2:$C$827,3,FALSE)</f>
        <v>1234</v>
      </c>
      <c r="K363">
        <f t="shared" si="35"/>
        <v>0.30573256529870491</v>
      </c>
    </row>
    <row r="364" spans="1:11" ht="48" x14ac:dyDescent="0.2">
      <c r="A364" s="4" t="s">
        <v>3762</v>
      </c>
      <c r="B364">
        <v>82000</v>
      </c>
      <c r="C364">
        <v>2.86</v>
      </c>
      <c r="D364">
        <f t="shared" si="30"/>
        <v>48487.616471104775</v>
      </c>
      <c r="E364">
        <f t="shared" si="31"/>
        <v>48.487616471104772</v>
      </c>
      <c r="F364" s="7">
        <v>0.44106925880923453</v>
      </c>
      <c r="G364">
        <f t="shared" si="32"/>
        <v>3</v>
      </c>
      <c r="H364" s="7">
        <f t="shared" si="33"/>
        <v>0.55893074119076547</v>
      </c>
      <c r="I364">
        <f t="shared" si="34"/>
        <v>3</v>
      </c>
      <c r="J364">
        <f>VLOOKUP(A364,'Housing Cost Calc'!$A$2:$C$827,3,FALSE)</f>
        <v>1490</v>
      </c>
      <c r="K364">
        <f t="shared" si="35"/>
        <v>0.36875394794164051</v>
      </c>
    </row>
    <row r="365" spans="1:11" ht="48" x14ac:dyDescent="0.2">
      <c r="A365" s="4" t="s">
        <v>3398</v>
      </c>
      <c r="B365">
        <v>74732</v>
      </c>
      <c r="C365">
        <v>2.37</v>
      </c>
      <c r="D365">
        <f t="shared" si="30"/>
        <v>48543.650477562594</v>
      </c>
      <c r="E365">
        <f t="shared" si="31"/>
        <v>48.543650477562593</v>
      </c>
      <c r="F365" s="7">
        <v>0.44228432563791009</v>
      </c>
      <c r="G365">
        <f t="shared" si="32"/>
        <v>3</v>
      </c>
      <c r="H365" s="7">
        <f t="shared" si="33"/>
        <v>0.55771567436208991</v>
      </c>
      <c r="I365">
        <f t="shared" si="34"/>
        <v>3</v>
      </c>
      <c r="J365">
        <f>VLOOKUP(A365,'Housing Cost Calc'!$A$2:$C$827,3,FALSE)</f>
        <v>1254</v>
      </c>
      <c r="K365">
        <f t="shared" si="35"/>
        <v>0.30998904804152194</v>
      </c>
    </row>
    <row r="366" spans="1:11" ht="48" x14ac:dyDescent="0.2">
      <c r="A366" s="4" t="s">
        <v>3430</v>
      </c>
      <c r="B366">
        <v>76318</v>
      </c>
      <c r="C366">
        <v>2.4700000000000002</v>
      </c>
      <c r="D366">
        <f t="shared" si="30"/>
        <v>48559.980540785407</v>
      </c>
      <c r="E366">
        <f t="shared" si="31"/>
        <v>48.559980540785411</v>
      </c>
      <c r="F366" s="7">
        <v>0.44349939246658565</v>
      </c>
      <c r="G366">
        <f t="shared" si="32"/>
        <v>3</v>
      </c>
      <c r="H366" s="7">
        <f t="shared" si="33"/>
        <v>0.55650060753341435</v>
      </c>
      <c r="I366">
        <f t="shared" si="34"/>
        <v>3</v>
      </c>
      <c r="J366">
        <f>VLOOKUP(A366,'Housing Cost Calc'!$A$2:$C$827,3,FALSE)</f>
        <v>1269</v>
      </c>
      <c r="K366">
        <f t="shared" si="35"/>
        <v>0.31359155894245139</v>
      </c>
    </row>
    <row r="367" spans="1:11" ht="48" x14ac:dyDescent="0.2">
      <c r="A367" s="4" t="s">
        <v>3714</v>
      </c>
      <c r="B367">
        <v>77273</v>
      </c>
      <c r="C367">
        <v>2.5299999999999998</v>
      </c>
      <c r="D367">
        <f t="shared" si="30"/>
        <v>48581.118866043835</v>
      </c>
      <c r="E367">
        <f t="shared" si="31"/>
        <v>48.581118866043838</v>
      </c>
      <c r="F367" s="7">
        <v>0.44471445929526127</v>
      </c>
      <c r="G367">
        <f t="shared" si="32"/>
        <v>3</v>
      </c>
      <c r="H367" s="7">
        <f t="shared" si="33"/>
        <v>0.55528554070473879</v>
      </c>
      <c r="I367">
        <f t="shared" si="34"/>
        <v>3</v>
      </c>
      <c r="J367">
        <f>VLOOKUP(A367,'Housing Cost Calc'!$A$2:$C$827,3,FALSE)</f>
        <v>1466</v>
      </c>
      <c r="K367">
        <f t="shared" si="35"/>
        <v>0.36211599095746783</v>
      </c>
    </row>
    <row r="368" spans="1:11" ht="48" x14ac:dyDescent="0.2">
      <c r="A368" s="4" t="s">
        <v>3564</v>
      </c>
      <c r="B368">
        <v>65781</v>
      </c>
      <c r="C368">
        <v>1.82</v>
      </c>
      <c r="D368">
        <f t="shared" si="30"/>
        <v>48760.121299283892</v>
      </c>
      <c r="E368">
        <f t="shared" si="31"/>
        <v>48.760121299283895</v>
      </c>
      <c r="F368" s="7">
        <v>0.44592952612393683</v>
      </c>
      <c r="G368">
        <f t="shared" si="32"/>
        <v>3</v>
      </c>
      <c r="H368" s="7">
        <f t="shared" si="33"/>
        <v>0.55407047387606312</v>
      </c>
      <c r="I368">
        <f t="shared" si="34"/>
        <v>3</v>
      </c>
      <c r="J368">
        <f>VLOOKUP(A368,'Housing Cost Calc'!$A$2:$C$827,3,FALSE)</f>
        <v>1454</v>
      </c>
      <c r="K368">
        <f t="shared" si="35"/>
        <v>0.35783340022692373</v>
      </c>
    </row>
    <row r="369" spans="1:11" ht="48" x14ac:dyDescent="0.2">
      <c r="A369" s="4" t="s">
        <v>3728</v>
      </c>
      <c r="B369">
        <v>78684</v>
      </c>
      <c r="C369">
        <v>2.6</v>
      </c>
      <c r="D369">
        <f t="shared" si="30"/>
        <v>48797.745282086384</v>
      </c>
      <c r="E369">
        <f t="shared" si="31"/>
        <v>48.797745282086382</v>
      </c>
      <c r="F369" s="7">
        <v>0.44714459295261239</v>
      </c>
      <c r="G369">
        <f t="shared" si="32"/>
        <v>3</v>
      </c>
      <c r="H369" s="7">
        <f t="shared" si="33"/>
        <v>0.55285540704738767</v>
      </c>
      <c r="I369">
        <f t="shared" si="34"/>
        <v>3</v>
      </c>
      <c r="J369">
        <f>VLOOKUP(A369,'Housing Cost Calc'!$A$2:$C$827,3,FALSE)</f>
        <v>1671</v>
      </c>
      <c r="K369">
        <f t="shared" si="35"/>
        <v>0.41092062520685918</v>
      </c>
    </row>
    <row r="370" spans="1:11" ht="48" x14ac:dyDescent="0.2">
      <c r="A370" s="4" t="s">
        <v>3744</v>
      </c>
      <c r="B370">
        <v>82753</v>
      </c>
      <c r="C370">
        <v>2.86</v>
      </c>
      <c r="D370">
        <f t="shared" si="30"/>
        <v>48932.87470528455</v>
      </c>
      <c r="E370">
        <f t="shared" si="31"/>
        <v>48.932874705284547</v>
      </c>
      <c r="F370" s="7">
        <v>0.44835965978128794</v>
      </c>
      <c r="G370">
        <f t="shared" si="32"/>
        <v>3</v>
      </c>
      <c r="H370" s="7">
        <f t="shared" si="33"/>
        <v>0.551640340218712</v>
      </c>
      <c r="I370">
        <f t="shared" si="34"/>
        <v>3</v>
      </c>
      <c r="J370">
        <f>VLOOKUP(A370,'Housing Cost Calc'!$A$2:$C$827,3,FALSE)</f>
        <v>1441</v>
      </c>
      <c r="K370">
        <f t="shared" si="35"/>
        <v>0.35338205867010986</v>
      </c>
    </row>
    <row r="371" spans="1:11" ht="48" x14ac:dyDescent="0.2">
      <c r="A371" s="4" t="s">
        <v>3720</v>
      </c>
      <c r="B371">
        <v>77917</v>
      </c>
      <c r="C371">
        <v>2.5299999999999998</v>
      </c>
      <c r="D371">
        <f t="shared" si="30"/>
        <v>48985.998197113317</v>
      </c>
      <c r="E371">
        <f t="shared" si="31"/>
        <v>48.985998197113318</v>
      </c>
      <c r="F371" s="7">
        <v>0.44957472660996356</v>
      </c>
      <c r="G371">
        <f t="shared" si="32"/>
        <v>3</v>
      </c>
      <c r="H371" s="7">
        <f t="shared" si="33"/>
        <v>0.55042527339003644</v>
      </c>
      <c r="I371">
        <f t="shared" si="34"/>
        <v>3</v>
      </c>
      <c r="J371">
        <f>VLOOKUP(A371,'Housing Cost Calc'!$A$2:$C$827,3,FALSE)</f>
        <v>1672</v>
      </c>
      <c r="K371">
        <f t="shared" si="35"/>
        <v>0.40958642751884039</v>
      </c>
    </row>
    <row r="372" spans="1:11" ht="48" x14ac:dyDescent="0.2">
      <c r="A372" s="4" t="s">
        <v>3275</v>
      </c>
      <c r="B372">
        <v>71399</v>
      </c>
      <c r="C372">
        <v>2.12</v>
      </c>
      <c r="D372">
        <f t="shared" si="30"/>
        <v>49037.03452686224</v>
      </c>
      <c r="E372">
        <f t="shared" si="31"/>
        <v>49.037034526862243</v>
      </c>
      <c r="F372" s="7">
        <v>0.45078979343863912</v>
      </c>
      <c r="G372">
        <f t="shared" si="32"/>
        <v>3</v>
      </c>
      <c r="H372" s="7">
        <f t="shared" si="33"/>
        <v>0.54921020656136088</v>
      </c>
      <c r="I372">
        <f t="shared" si="34"/>
        <v>3</v>
      </c>
      <c r="J372">
        <f>VLOOKUP(A372,'Housing Cost Calc'!$A$2:$C$827,3,FALSE)</f>
        <v>1212</v>
      </c>
      <c r="K372">
        <f t="shared" si="35"/>
        <v>0.29659216019747014</v>
      </c>
    </row>
    <row r="373" spans="1:11" ht="48" x14ac:dyDescent="0.2">
      <c r="A373" s="4" t="s">
        <v>3749</v>
      </c>
      <c r="B373">
        <v>80882</v>
      </c>
      <c r="C373">
        <v>2.72</v>
      </c>
      <c r="D373">
        <f t="shared" si="30"/>
        <v>49041.916060471704</v>
      </c>
      <c r="E373">
        <f t="shared" si="31"/>
        <v>49.041916060471706</v>
      </c>
      <c r="F373" s="7">
        <v>0.45200486026731468</v>
      </c>
      <c r="G373">
        <f t="shared" si="32"/>
        <v>3</v>
      </c>
      <c r="H373" s="7">
        <f t="shared" si="33"/>
        <v>0.54799513973268532</v>
      </c>
      <c r="I373">
        <f t="shared" si="34"/>
        <v>3</v>
      </c>
      <c r="J373">
        <f>VLOOKUP(A373,'Housing Cost Calc'!$A$2:$C$827,3,FALSE)</f>
        <v>1944</v>
      </c>
      <c r="K373">
        <f t="shared" si="35"/>
        <v>0.47567472631442742</v>
      </c>
    </row>
    <row r="374" spans="1:11" ht="64" x14ac:dyDescent="0.2">
      <c r="A374" s="4" t="s">
        <v>3624</v>
      </c>
      <c r="B374">
        <v>70787</v>
      </c>
      <c r="C374">
        <v>2.08</v>
      </c>
      <c r="D374">
        <f t="shared" si="30"/>
        <v>49081.953487744111</v>
      </c>
      <c r="E374">
        <f t="shared" si="31"/>
        <v>49.081953487744109</v>
      </c>
      <c r="F374" s="7">
        <v>0.45321992709599029</v>
      </c>
      <c r="G374">
        <f t="shared" si="32"/>
        <v>3</v>
      </c>
      <c r="H374" s="7">
        <f t="shared" si="33"/>
        <v>0.54678007290400976</v>
      </c>
      <c r="I374">
        <f t="shared" si="34"/>
        <v>3</v>
      </c>
      <c r="J374">
        <f>VLOOKUP(A374,'Housing Cost Calc'!$A$2:$C$827,3,FALSE)</f>
        <v>1616</v>
      </c>
      <c r="K374">
        <f t="shared" si="35"/>
        <v>0.39509429886164232</v>
      </c>
    </row>
    <row r="375" spans="1:11" ht="48" x14ac:dyDescent="0.2">
      <c r="A375" s="4" t="s">
        <v>3639</v>
      </c>
      <c r="B375">
        <v>71810</v>
      </c>
      <c r="C375">
        <v>2.14</v>
      </c>
      <c r="D375">
        <f t="shared" si="30"/>
        <v>49088.305419641059</v>
      </c>
      <c r="E375">
        <f t="shared" si="31"/>
        <v>49.08830541964106</v>
      </c>
      <c r="F375" s="7">
        <v>0.45443499392466585</v>
      </c>
      <c r="G375">
        <f t="shared" si="32"/>
        <v>3</v>
      </c>
      <c r="H375" s="7">
        <f t="shared" si="33"/>
        <v>0.54556500607533409</v>
      </c>
      <c r="I375">
        <f t="shared" si="34"/>
        <v>3</v>
      </c>
      <c r="J375">
        <f>VLOOKUP(A375,'Housing Cost Calc'!$A$2:$C$827,3,FALSE)</f>
        <v>1716</v>
      </c>
      <c r="K375">
        <f t="shared" si="35"/>
        <v>0.41948891541407324</v>
      </c>
    </row>
    <row r="376" spans="1:11" ht="48" x14ac:dyDescent="0.2">
      <c r="A376" s="4" t="s">
        <v>3569</v>
      </c>
      <c r="B376">
        <v>75685</v>
      </c>
      <c r="C376">
        <v>2.37</v>
      </c>
      <c r="D376">
        <f t="shared" si="30"/>
        <v>49162.690499308534</v>
      </c>
      <c r="E376">
        <f t="shared" si="31"/>
        <v>49.162690499308532</v>
      </c>
      <c r="F376" s="7">
        <v>0.45565006075334141</v>
      </c>
      <c r="G376">
        <f t="shared" si="32"/>
        <v>3</v>
      </c>
      <c r="H376" s="7">
        <f t="shared" si="33"/>
        <v>0.54434993924665864</v>
      </c>
      <c r="I376">
        <f t="shared" si="34"/>
        <v>3</v>
      </c>
      <c r="J376">
        <f>VLOOKUP(A376,'Housing Cost Calc'!$A$2:$C$827,3,FALSE)</f>
        <v>1341</v>
      </c>
      <c r="K376">
        <f t="shared" si="35"/>
        <v>0.32732138612768419</v>
      </c>
    </row>
    <row r="377" spans="1:11" ht="48" x14ac:dyDescent="0.2">
      <c r="A377" s="4" t="s">
        <v>3390</v>
      </c>
      <c r="B377">
        <v>74659</v>
      </c>
      <c r="C377">
        <v>2.2999999999999998</v>
      </c>
      <c r="D377">
        <f t="shared" si="30"/>
        <v>49228.686763256068</v>
      </c>
      <c r="E377">
        <f t="shared" si="31"/>
        <v>49.228686763256071</v>
      </c>
      <c r="F377" s="7">
        <v>0.45686512758201703</v>
      </c>
      <c r="G377">
        <f t="shared" si="32"/>
        <v>3</v>
      </c>
      <c r="H377" s="7">
        <f t="shared" si="33"/>
        <v>0.54313487241798297</v>
      </c>
      <c r="I377">
        <f t="shared" si="34"/>
        <v>3</v>
      </c>
      <c r="J377">
        <f>VLOOKUP(A377,'Housing Cost Calc'!$A$2:$C$827,3,FALSE)</f>
        <v>1268</v>
      </c>
      <c r="K377">
        <f t="shared" si="35"/>
        <v>0.30908807446306108</v>
      </c>
    </row>
    <row r="378" spans="1:11" ht="48" x14ac:dyDescent="0.2">
      <c r="A378" s="4" t="s">
        <v>3560</v>
      </c>
      <c r="B378">
        <v>72198</v>
      </c>
      <c r="C378">
        <v>2.15</v>
      </c>
      <c r="D378">
        <f t="shared" si="30"/>
        <v>49238.627321089247</v>
      </c>
      <c r="E378">
        <f t="shared" si="31"/>
        <v>49.238627321089247</v>
      </c>
      <c r="F378" s="7">
        <v>0.45808019441069259</v>
      </c>
      <c r="G378">
        <f t="shared" si="32"/>
        <v>3</v>
      </c>
      <c r="H378" s="7">
        <f t="shared" si="33"/>
        <v>0.54191980558930741</v>
      </c>
      <c r="I378">
        <f t="shared" si="34"/>
        <v>3</v>
      </c>
      <c r="J378">
        <f>VLOOKUP(A378,'Housing Cost Calc'!$A$2:$C$827,3,FALSE)</f>
        <v>1335</v>
      </c>
      <c r="K378">
        <f t="shared" si="35"/>
        <v>0.32535431777031937</v>
      </c>
    </row>
    <row r="379" spans="1:11" ht="48" x14ac:dyDescent="0.2">
      <c r="A379" s="4" t="s">
        <v>3755</v>
      </c>
      <c r="B379">
        <v>81270</v>
      </c>
      <c r="C379">
        <v>2.72</v>
      </c>
      <c r="D379">
        <f t="shared" si="30"/>
        <v>49277.175616756947</v>
      </c>
      <c r="E379">
        <f t="shared" si="31"/>
        <v>49.277175616756949</v>
      </c>
      <c r="F379" s="7">
        <v>0.45929526123936815</v>
      </c>
      <c r="G379">
        <f t="shared" si="32"/>
        <v>3</v>
      </c>
      <c r="H379" s="7">
        <f t="shared" si="33"/>
        <v>0.54070473876063185</v>
      </c>
      <c r="I379">
        <f t="shared" si="34"/>
        <v>3</v>
      </c>
      <c r="J379">
        <f>VLOOKUP(A379,'Housing Cost Calc'!$A$2:$C$827,3,FALSE)</f>
        <v>1503</v>
      </c>
      <c r="K379">
        <f t="shared" si="35"/>
        <v>0.36601123693190663</v>
      </c>
    </row>
    <row r="380" spans="1:11" ht="64" x14ac:dyDescent="0.2">
      <c r="A380" s="4" t="s">
        <v>3687</v>
      </c>
      <c r="B380">
        <v>75074</v>
      </c>
      <c r="C380">
        <v>2.3199999999999998</v>
      </c>
      <c r="D380">
        <f t="shared" si="30"/>
        <v>49288.495702554057</v>
      </c>
      <c r="E380">
        <f t="shared" si="31"/>
        <v>49.288495702554059</v>
      </c>
      <c r="F380" s="7">
        <v>0.46051032806804376</v>
      </c>
      <c r="G380">
        <f t="shared" si="32"/>
        <v>3</v>
      </c>
      <c r="H380" s="7">
        <f t="shared" si="33"/>
        <v>0.53948967193195618</v>
      </c>
      <c r="I380">
        <f t="shared" si="34"/>
        <v>3</v>
      </c>
      <c r="J380">
        <f>VLOOKUP(A380,'Housing Cost Calc'!$A$2:$C$827,3,FALSE)</f>
        <v>1495</v>
      </c>
      <c r="K380">
        <f t="shared" si="35"/>
        <v>0.36397945898499751</v>
      </c>
    </row>
    <row r="381" spans="1:11" ht="48" x14ac:dyDescent="0.2">
      <c r="A381" s="4" t="s">
        <v>3732</v>
      </c>
      <c r="B381">
        <v>78844</v>
      </c>
      <c r="C381">
        <v>2.54</v>
      </c>
      <c r="D381">
        <f t="shared" si="30"/>
        <v>49471.125500312977</v>
      </c>
      <c r="E381">
        <f t="shared" si="31"/>
        <v>49.471125500312979</v>
      </c>
      <c r="F381" s="7">
        <v>0.46172539489671932</v>
      </c>
      <c r="G381">
        <f t="shared" si="32"/>
        <v>3</v>
      </c>
      <c r="H381" s="7">
        <f t="shared" si="33"/>
        <v>0.53827460510328073</v>
      </c>
      <c r="I381">
        <f t="shared" si="34"/>
        <v>3</v>
      </c>
      <c r="J381">
        <f>VLOOKUP(A381,'Housing Cost Calc'!$A$2:$C$827,3,FALSE)</f>
        <v>1741</v>
      </c>
      <c r="K381">
        <f t="shared" si="35"/>
        <v>0.42230694751159092</v>
      </c>
    </row>
    <row r="382" spans="1:11" ht="48" x14ac:dyDescent="0.2">
      <c r="A382" s="4" t="s">
        <v>3718</v>
      </c>
      <c r="B382">
        <v>77778</v>
      </c>
      <c r="C382">
        <v>2.4700000000000002</v>
      </c>
      <c r="D382">
        <f t="shared" si="30"/>
        <v>49488.956294730044</v>
      </c>
      <c r="E382">
        <f t="shared" si="31"/>
        <v>49.488956294730045</v>
      </c>
      <c r="F382" s="7">
        <v>0.46294046172539488</v>
      </c>
      <c r="G382">
        <f t="shared" si="32"/>
        <v>3</v>
      </c>
      <c r="H382" s="7">
        <f t="shared" si="33"/>
        <v>0.53705953827460506</v>
      </c>
      <c r="I382">
        <f t="shared" si="34"/>
        <v>3</v>
      </c>
      <c r="J382">
        <f>VLOOKUP(A382,'Housing Cost Calc'!$A$2:$C$827,3,FALSE)</f>
        <v>1704</v>
      </c>
      <c r="K382">
        <f t="shared" si="35"/>
        <v>0.41318309236958906</v>
      </c>
    </row>
    <row r="383" spans="1:11" ht="48" x14ac:dyDescent="0.2">
      <c r="A383" s="4" t="s">
        <v>3502</v>
      </c>
      <c r="B383">
        <v>74602</v>
      </c>
      <c r="C383">
        <v>2.2599999999999998</v>
      </c>
      <c r="D383">
        <f t="shared" si="30"/>
        <v>49624.512230945831</v>
      </c>
      <c r="E383">
        <f t="shared" si="31"/>
        <v>49.624512230945832</v>
      </c>
      <c r="F383" s="7">
        <v>0.4641555285540705</v>
      </c>
      <c r="G383">
        <f t="shared" si="32"/>
        <v>3</v>
      </c>
      <c r="H383" s="7">
        <f t="shared" si="33"/>
        <v>0.5358444714459295</v>
      </c>
      <c r="I383">
        <f t="shared" si="34"/>
        <v>3</v>
      </c>
      <c r="J383">
        <f>VLOOKUP(A383,'Housing Cost Calc'!$A$2:$C$827,3,FALSE)</f>
        <v>1325</v>
      </c>
      <c r="K383">
        <f t="shared" si="35"/>
        <v>0.32040617197411492</v>
      </c>
    </row>
    <row r="384" spans="1:11" ht="48" x14ac:dyDescent="0.2">
      <c r="A384" s="4" t="s">
        <v>3660</v>
      </c>
      <c r="B384">
        <v>75980</v>
      </c>
      <c r="C384">
        <v>2.34</v>
      </c>
      <c r="D384">
        <f t="shared" si="30"/>
        <v>49669.679825997409</v>
      </c>
      <c r="E384">
        <f t="shared" si="31"/>
        <v>49.669679825997406</v>
      </c>
      <c r="F384" s="7">
        <v>0.46537059538274606</v>
      </c>
      <c r="G384">
        <f t="shared" si="32"/>
        <v>3</v>
      </c>
      <c r="H384" s="7">
        <f t="shared" si="33"/>
        <v>0.53462940461725394</v>
      </c>
      <c r="I384">
        <f t="shared" si="34"/>
        <v>3</v>
      </c>
      <c r="J384">
        <f>VLOOKUP(A384,'Housing Cost Calc'!$A$2:$C$827,3,FALSE)</f>
        <v>1400</v>
      </c>
      <c r="K384">
        <f t="shared" si="35"/>
        <v>0.33823451366817103</v>
      </c>
    </row>
    <row r="385" spans="1:11" ht="48" x14ac:dyDescent="0.2">
      <c r="A385" s="4" t="s">
        <v>3649</v>
      </c>
      <c r="B385">
        <v>79864</v>
      </c>
      <c r="C385">
        <v>2.57</v>
      </c>
      <c r="D385">
        <f t="shared" si="30"/>
        <v>49817.794454973387</v>
      </c>
      <c r="E385">
        <f t="shared" si="31"/>
        <v>49.817794454973388</v>
      </c>
      <c r="F385" s="7">
        <v>0.46658566221142161</v>
      </c>
      <c r="G385">
        <f t="shared" si="32"/>
        <v>3</v>
      </c>
      <c r="H385" s="7">
        <f t="shared" si="33"/>
        <v>0.53341433778857839</v>
      </c>
      <c r="I385">
        <f t="shared" si="34"/>
        <v>3</v>
      </c>
      <c r="J385">
        <f>VLOOKUP(A385,'Housing Cost Calc'!$A$2:$C$827,3,FALSE)</f>
        <v>1398</v>
      </c>
      <c r="K385">
        <f t="shared" si="35"/>
        <v>0.33674714393794736</v>
      </c>
    </row>
    <row r="386" spans="1:11" ht="64" x14ac:dyDescent="0.2">
      <c r="A386" s="4" t="s">
        <v>3688</v>
      </c>
      <c r="B386">
        <v>79444</v>
      </c>
      <c r="C386">
        <v>2.54</v>
      </c>
      <c r="D386">
        <f t="shared" ref="D386:D449" si="36">(B386/(C386)^0.5)</f>
        <v>49847.598983395867</v>
      </c>
      <c r="E386">
        <f t="shared" ref="E386:E449" si="37">D386/1000</f>
        <v>49.847598983395869</v>
      </c>
      <c r="F386" s="7">
        <v>0.46780072904009723</v>
      </c>
      <c r="G386">
        <f t="shared" si="32"/>
        <v>3</v>
      </c>
      <c r="H386" s="7">
        <f t="shared" si="33"/>
        <v>0.53219927095990283</v>
      </c>
      <c r="I386">
        <f t="shared" si="34"/>
        <v>3</v>
      </c>
      <c r="J386">
        <f>VLOOKUP(A386,'Housing Cost Calc'!$A$2:$C$827,3,FALSE)</f>
        <v>1427</v>
      </c>
      <c r="K386">
        <f t="shared" si="35"/>
        <v>0.34352707751689243</v>
      </c>
    </row>
    <row r="387" spans="1:11" ht="48" x14ac:dyDescent="0.2">
      <c r="A387" s="4" t="s">
        <v>3752</v>
      </c>
      <c r="B387">
        <v>81154</v>
      </c>
      <c r="C387">
        <v>2.65</v>
      </c>
      <c r="D387">
        <f t="shared" si="36"/>
        <v>49852.505911542474</v>
      </c>
      <c r="E387">
        <f t="shared" si="37"/>
        <v>49.852505911542472</v>
      </c>
      <c r="F387" s="7">
        <v>0.46901579586877279</v>
      </c>
      <c r="G387">
        <f t="shared" ref="G387:G450" si="38">IF(F387&lt;0.2,1,IF(F387&lt;0.4,2,IF(F387&lt;0.6,3,IF(F387&lt;0.8,4,5))))</f>
        <v>3</v>
      </c>
      <c r="H387" s="7">
        <f t="shared" ref="H387:H450" si="39">1-F387</f>
        <v>0.53098420413122716</v>
      </c>
      <c r="I387">
        <f t="shared" ref="I387:I450" si="40">6-G387</f>
        <v>3</v>
      </c>
      <c r="J387">
        <f>VLOOKUP(A387,'Housing Cost Calc'!$A$2:$C$827,3,FALSE)</f>
        <v>1520</v>
      </c>
      <c r="K387">
        <f t="shared" ref="K387:K450" si="41">(J387*12)/D387</f>
        <v>0.36587930067878188</v>
      </c>
    </row>
    <row r="388" spans="1:11" ht="48" x14ac:dyDescent="0.2">
      <c r="A388" s="4" t="s">
        <v>3648</v>
      </c>
      <c r="B388">
        <v>72344</v>
      </c>
      <c r="C388">
        <v>2.1</v>
      </c>
      <c r="D388">
        <f t="shared" si="36"/>
        <v>49922.102825063273</v>
      </c>
      <c r="E388">
        <f t="shared" si="37"/>
        <v>49.922102825063277</v>
      </c>
      <c r="F388" s="7">
        <v>0.47023086269744835</v>
      </c>
      <c r="G388">
        <f t="shared" si="38"/>
        <v>3</v>
      </c>
      <c r="H388" s="7">
        <f t="shared" si="39"/>
        <v>0.52976913730255171</v>
      </c>
      <c r="I388">
        <f t="shared" si="40"/>
        <v>3</v>
      </c>
      <c r="J388">
        <f>VLOOKUP(A388,'Housing Cost Calc'!$A$2:$C$827,3,FALSE)</f>
        <v>1719</v>
      </c>
      <c r="K388">
        <f t="shared" si="41"/>
        <v>0.41320374809299421</v>
      </c>
    </row>
    <row r="389" spans="1:11" ht="48" x14ac:dyDescent="0.2">
      <c r="A389" s="4" t="s">
        <v>3673</v>
      </c>
      <c r="B389">
        <v>74202</v>
      </c>
      <c r="C389">
        <v>2.2000000000000002</v>
      </c>
      <c r="D389">
        <f t="shared" si="36"/>
        <v>50026.978194497489</v>
      </c>
      <c r="E389">
        <f t="shared" si="37"/>
        <v>50.026978194497488</v>
      </c>
      <c r="F389" s="7">
        <v>0.47144592952612396</v>
      </c>
      <c r="G389">
        <f t="shared" si="38"/>
        <v>3</v>
      </c>
      <c r="H389" s="7">
        <f t="shared" si="39"/>
        <v>0.52855407047387604</v>
      </c>
      <c r="I389">
        <f t="shared" si="40"/>
        <v>3</v>
      </c>
      <c r="J389">
        <f>VLOOKUP(A389,'Housing Cost Calc'!$A$2:$C$827,3,FALSE)</f>
        <v>1498</v>
      </c>
      <c r="K389">
        <f t="shared" si="41"/>
        <v>0.35932612060060815</v>
      </c>
    </row>
    <row r="390" spans="1:11" ht="48" x14ac:dyDescent="0.2">
      <c r="A390" s="4" t="s">
        <v>3420</v>
      </c>
      <c r="B390">
        <v>75673</v>
      </c>
      <c r="C390">
        <v>2.2799999999999998</v>
      </c>
      <c r="D390">
        <f t="shared" si="36"/>
        <v>50115.668528091534</v>
      </c>
      <c r="E390">
        <f t="shared" si="37"/>
        <v>50.115668528091533</v>
      </c>
      <c r="F390" s="7">
        <v>0.47266099635479952</v>
      </c>
      <c r="G390">
        <f t="shared" si="38"/>
        <v>3</v>
      </c>
      <c r="H390" s="7">
        <f t="shared" si="39"/>
        <v>0.52733900364520048</v>
      </c>
      <c r="I390">
        <f t="shared" si="40"/>
        <v>3</v>
      </c>
      <c r="J390">
        <f>VLOOKUP(A390,'Housing Cost Calc'!$A$2:$C$827,3,FALSE)</f>
        <v>1305</v>
      </c>
      <c r="K390">
        <f t="shared" si="41"/>
        <v>0.31247712461866167</v>
      </c>
    </row>
    <row r="391" spans="1:11" ht="48" x14ac:dyDescent="0.2">
      <c r="A391" s="4" t="s">
        <v>3706</v>
      </c>
      <c r="B391">
        <v>76739</v>
      </c>
      <c r="C391">
        <v>2.34</v>
      </c>
      <c r="D391">
        <f t="shared" si="36"/>
        <v>50165.853647897013</v>
      </c>
      <c r="E391">
        <f t="shared" si="37"/>
        <v>50.165853647897009</v>
      </c>
      <c r="F391" s="7">
        <v>0.47387606318347508</v>
      </c>
      <c r="G391">
        <f t="shared" si="38"/>
        <v>3</v>
      </c>
      <c r="H391" s="7">
        <f t="shared" si="39"/>
        <v>0.52612393681652492</v>
      </c>
      <c r="I391">
        <f t="shared" si="40"/>
        <v>3</v>
      </c>
      <c r="J391">
        <f>VLOOKUP(A391,'Housing Cost Calc'!$A$2:$C$827,3,FALSE)</f>
        <v>1447</v>
      </c>
      <c r="K391">
        <f t="shared" si="41"/>
        <v>0.34613185538262858</v>
      </c>
    </row>
    <row r="392" spans="1:11" ht="48" x14ac:dyDescent="0.2">
      <c r="A392" s="4" t="s">
        <v>3748</v>
      </c>
      <c r="B392">
        <v>80816</v>
      </c>
      <c r="C392">
        <v>2.58</v>
      </c>
      <c r="D392">
        <f t="shared" si="36"/>
        <v>50313.843919168816</v>
      </c>
      <c r="E392">
        <f t="shared" si="37"/>
        <v>50.313843919168818</v>
      </c>
      <c r="F392" s="7">
        <v>0.47509113001215064</v>
      </c>
      <c r="G392">
        <f t="shared" si="38"/>
        <v>3</v>
      </c>
      <c r="H392" s="7">
        <f t="shared" si="39"/>
        <v>0.52490886998784936</v>
      </c>
      <c r="I392">
        <f t="shared" si="40"/>
        <v>3</v>
      </c>
      <c r="J392">
        <f>VLOOKUP(A392,'Housing Cost Calc'!$A$2:$C$827,3,FALSE)</f>
        <v>2170</v>
      </c>
      <c r="K392">
        <f t="shared" si="41"/>
        <v>0.5175513928499339</v>
      </c>
    </row>
    <row r="393" spans="1:11" ht="48" x14ac:dyDescent="0.2">
      <c r="A393" s="4" t="s">
        <v>3567</v>
      </c>
      <c r="B393">
        <v>72658</v>
      </c>
      <c r="C393">
        <v>2.08</v>
      </c>
      <c r="D393">
        <f t="shared" si="36"/>
        <v>50379.258571665865</v>
      </c>
      <c r="E393">
        <f t="shared" si="37"/>
        <v>50.379258571665865</v>
      </c>
      <c r="F393" s="7">
        <v>0.47630619684082626</v>
      </c>
      <c r="G393">
        <f t="shared" si="38"/>
        <v>3</v>
      </c>
      <c r="H393" s="7">
        <f t="shared" si="39"/>
        <v>0.5236938031591738</v>
      </c>
      <c r="I393">
        <f t="shared" si="40"/>
        <v>3</v>
      </c>
      <c r="J393">
        <f>VLOOKUP(A393,'Housing Cost Calc'!$A$2:$C$827,3,FALSE)</f>
        <v>1373</v>
      </c>
      <c r="K393">
        <f t="shared" si="41"/>
        <v>0.32703935046131022</v>
      </c>
    </row>
    <row r="394" spans="1:11" ht="48" x14ac:dyDescent="0.2">
      <c r="A394" s="4" t="s">
        <v>3803</v>
      </c>
      <c r="B394">
        <v>89985</v>
      </c>
      <c r="C394">
        <v>3.18</v>
      </c>
      <c r="D394">
        <f t="shared" si="36"/>
        <v>50461.082285972603</v>
      </c>
      <c r="E394">
        <f t="shared" si="37"/>
        <v>50.461082285972601</v>
      </c>
      <c r="F394" s="7">
        <v>0.47752126366950182</v>
      </c>
      <c r="G394">
        <f t="shared" si="38"/>
        <v>3</v>
      </c>
      <c r="H394" s="7">
        <f t="shared" si="39"/>
        <v>0.52247873633049813</v>
      </c>
      <c r="I394">
        <f t="shared" si="40"/>
        <v>3</v>
      </c>
      <c r="J394">
        <f>VLOOKUP(A394,'Housing Cost Calc'!$A$2:$C$827,3,FALSE)</f>
        <v>1860</v>
      </c>
      <c r="K394">
        <f t="shared" si="41"/>
        <v>0.4423210717817801</v>
      </c>
    </row>
    <row r="395" spans="1:11" ht="64" x14ac:dyDescent="0.2">
      <c r="A395" s="4" t="s">
        <v>3712</v>
      </c>
      <c r="B395">
        <v>78239</v>
      </c>
      <c r="C395">
        <v>2.38</v>
      </c>
      <c r="D395">
        <f t="shared" si="36"/>
        <v>50714.811126997796</v>
      </c>
      <c r="E395">
        <f t="shared" si="37"/>
        <v>50.714811126997795</v>
      </c>
      <c r="F395" s="7">
        <v>0.47873633049817738</v>
      </c>
      <c r="G395">
        <f t="shared" si="38"/>
        <v>3</v>
      </c>
      <c r="H395" s="7">
        <f t="shared" si="39"/>
        <v>0.52126366950182268</v>
      </c>
      <c r="I395">
        <f t="shared" si="40"/>
        <v>3</v>
      </c>
      <c r="J395">
        <f>VLOOKUP(A395,'Housing Cost Calc'!$A$2:$C$827,3,FALSE)</f>
        <v>1470</v>
      </c>
      <c r="K395">
        <f t="shared" si="41"/>
        <v>0.34782738233662525</v>
      </c>
    </row>
    <row r="396" spans="1:11" ht="64" x14ac:dyDescent="0.2">
      <c r="A396" s="4" t="s">
        <v>3633</v>
      </c>
      <c r="B396">
        <v>81641</v>
      </c>
      <c r="C396">
        <v>2.59</v>
      </c>
      <c r="D396">
        <f t="shared" si="36"/>
        <v>50729.24906610397</v>
      </c>
      <c r="E396">
        <f t="shared" si="37"/>
        <v>50.729249066103968</v>
      </c>
      <c r="F396" s="7">
        <v>0.47995139732685299</v>
      </c>
      <c r="G396">
        <f t="shared" si="38"/>
        <v>3</v>
      </c>
      <c r="H396" s="7">
        <f t="shared" si="39"/>
        <v>0.52004860267314701</v>
      </c>
      <c r="I396">
        <f t="shared" si="40"/>
        <v>3</v>
      </c>
      <c r="J396">
        <f>VLOOKUP(A396,'Housing Cost Calc'!$A$2:$C$827,3,FALSE)</f>
        <v>1413</v>
      </c>
      <c r="K396">
        <f t="shared" si="41"/>
        <v>0.33424504230104168</v>
      </c>
    </row>
    <row r="397" spans="1:11" ht="48" x14ac:dyDescent="0.2">
      <c r="A397" s="4" t="s">
        <v>3424</v>
      </c>
      <c r="B397">
        <v>77083</v>
      </c>
      <c r="C397">
        <v>2.29</v>
      </c>
      <c r="D397">
        <f t="shared" si="36"/>
        <v>50937.880178879685</v>
      </c>
      <c r="E397">
        <f t="shared" si="37"/>
        <v>50.937880178879688</v>
      </c>
      <c r="F397" s="7">
        <v>0.48116646415552855</v>
      </c>
      <c r="G397">
        <f t="shared" si="38"/>
        <v>3</v>
      </c>
      <c r="H397" s="7">
        <f t="shared" si="39"/>
        <v>0.51883353584447145</v>
      </c>
      <c r="I397">
        <f t="shared" si="40"/>
        <v>3</v>
      </c>
      <c r="J397">
        <f>VLOOKUP(A397,'Housing Cost Calc'!$A$2:$C$827,3,FALSE)</f>
        <v>1328</v>
      </c>
      <c r="K397">
        <f t="shared" si="41"/>
        <v>0.31285165271968907</v>
      </c>
    </row>
    <row r="398" spans="1:11" ht="48" x14ac:dyDescent="0.2">
      <c r="A398" s="4" t="s">
        <v>3482</v>
      </c>
      <c r="B398">
        <v>84779</v>
      </c>
      <c r="C398">
        <v>2.76</v>
      </c>
      <c r="D398">
        <f t="shared" si="36"/>
        <v>51030.961193792136</v>
      </c>
      <c r="E398">
        <f t="shared" si="37"/>
        <v>51.030961193792137</v>
      </c>
      <c r="F398" s="7">
        <v>0.48238153098420411</v>
      </c>
      <c r="G398">
        <f t="shared" si="38"/>
        <v>3</v>
      </c>
      <c r="H398" s="7">
        <f t="shared" si="39"/>
        <v>0.51761846901579589</v>
      </c>
      <c r="I398">
        <f t="shared" si="40"/>
        <v>3</v>
      </c>
      <c r="J398">
        <f>VLOOKUP(A398,'Housing Cost Calc'!$A$2:$C$827,3,FALSE)</f>
        <v>1355</v>
      </c>
      <c r="K398">
        <f t="shared" si="41"/>
        <v>0.31863009474291487</v>
      </c>
    </row>
    <row r="399" spans="1:11" ht="48" x14ac:dyDescent="0.2">
      <c r="A399" s="4" t="s">
        <v>3079</v>
      </c>
      <c r="B399">
        <v>74132</v>
      </c>
      <c r="C399">
        <v>2.11</v>
      </c>
      <c r="D399">
        <f t="shared" si="36"/>
        <v>51034.573468380491</v>
      </c>
      <c r="E399">
        <f t="shared" si="37"/>
        <v>51.034573468380493</v>
      </c>
      <c r="F399" s="7">
        <v>0.48359659781287972</v>
      </c>
      <c r="G399">
        <f t="shared" si="38"/>
        <v>3</v>
      </c>
      <c r="H399" s="7">
        <f t="shared" si="39"/>
        <v>0.51640340218712022</v>
      </c>
      <c r="I399">
        <f t="shared" si="40"/>
        <v>3</v>
      </c>
      <c r="J399">
        <f>VLOOKUP(A399,'Housing Cost Calc'!$A$2:$C$827,3,FALSE)</f>
        <v>1102</v>
      </c>
      <c r="K399">
        <f t="shared" si="41"/>
        <v>0.25911845835633757</v>
      </c>
    </row>
    <row r="400" spans="1:11" ht="48" x14ac:dyDescent="0.2">
      <c r="A400" s="4" t="s">
        <v>3577</v>
      </c>
      <c r="B400">
        <v>76908</v>
      </c>
      <c r="C400">
        <v>2.27</v>
      </c>
      <c r="D400">
        <f t="shared" si="36"/>
        <v>51045.632448530647</v>
      </c>
      <c r="E400">
        <f t="shared" si="37"/>
        <v>51.045632448530647</v>
      </c>
      <c r="F400" s="7">
        <v>0.48481166464155528</v>
      </c>
      <c r="G400">
        <f t="shared" si="38"/>
        <v>3</v>
      </c>
      <c r="H400" s="7">
        <f t="shared" si="39"/>
        <v>0.51518833535844477</v>
      </c>
      <c r="I400">
        <f t="shared" si="40"/>
        <v>3</v>
      </c>
      <c r="J400">
        <f>VLOOKUP(A400,'Housing Cost Calc'!$A$2:$C$827,3,FALSE)</f>
        <v>1397</v>
      </c>
      <c r="K400">
        <f t="shared" si="41"/>
        <v>0.32841203440672728</v>
      </c>
    </row>
    <row r="401" spans="1:11" ht="48" x14ac:dyDescent="0.2">
      <c r="A401" s="4" t="s">
        <v>3133</v>
      </c>
      <c r="B401">
        <v>76602</v>
      </c>
      <c r="C401">
        <v>2.25</v>
      </c>
      <c r="D401">
        <f t="shared" si="36"/>
        <v>51068</v>
      </c>
      <c r="E401">
        <f t="shared" si="37"/>
        <v>51.067999999999998</v>
      </c>
      <c r="F401" s="7">
        <v>0.48602673147023084</v>
      </c>
      <c r="G401">
        <f t="shared" si="38"/>
        <v>3</v>
      </c>
      <c r="H401" s="7">
        <f t="shared" si="39"/>
        <v>0.5139732685297691</v>
      </c>
      <c r="I401">
        <f t="shared" si="40"/>
        <v>3</v>
      </c>
      <c r="J401">
        <f>VLOOKUP(A401,'Housing Cost Calc'!$A$2:$C$827,3,FALSE)</f>
        <v>1149</v>
      </c>
      <c r="K401">
        <f t="shared" si="41"/>
        <v>0.26999295057570299</v>
      </c>
    </row>
    <row r="402" spans="1:11" ht="48" x14ac:dyDescent="0.2">
      <c r="A402" s="4" t="s">
        <v>3593</v>
      </c>
      <c r="B402">
        <v>85406</v>
      </c>
      <c r="C402">
        <v>2.78</v>
      </c>
      <c r="D402">
        <f t="shared" si="36"/>
        <v>51223.114850270766</v>
      </c>
      <c r="E402">
        <f t="shared" si="37"/>
        <v>51.223114850270768</v>
      </c>
      <c r="F402" s="7">
        <v>0.48724179829890646</v>
      </c>
      <c r="G402">
        <f t="shared" si="38"/>
        <v>3</v>
      </c>
      <c r="H402" s="7">
        <f t="shared" si="39"/>
        <v>0.51275820170109354</v>
      </c>
      <c r="I402">
        <f t="shared" si="40"/>
        <v>3</v>
      </c>
      <c r="J402">
        <f>VLOOKUP(A402,'Housing Cost Calc'!$A$2:$C$827,3,FALSE)</f>
        <v>1408</v>
      </c>
      <c r="K402">
        <f t="shared" si="41"/>
        <v>0.32985108479615793</v>
      </c>
    </row>
    <row r="403" spans="1:11" ht="64" x14ac:dyDescent="0.2">
      <c r="A403" s="4" t="s">
        <v>3679</v>
      </c>
      <c r="B403">
        <v>74519</v>
      </c>
      <c r="C403">
        <v>2.11</v>
      </c>
      <c r="D403">
        <f t="shared" si="36"/>
        <v>51300.995255628419</v>
      </c>
      <c r="E403">
        <f t="shared" si="37"/>
        <v>51.300995255628422</v>
      </c>
      <c r="F403" s="7">
        <v>0.48845686512758202</v>
      </c>
      <c r="G403">
        <f t="shared" si="38"/>
        <v>3</v>
      </c>
      <c r="H403" s="7">
        <f t="shared" si="39"/>
        <v>0.51154313487241798</v>
      </c>
      <c r="I403">
        <f t="shared" si="40"/>
        <v>3</v>
      </c>
      <c r="J403">
        <f>VLOOKUP(A403,'Housing Cost Calc'!$A$2:$C$827,3,FALSE)</f>
        <v>1553</v>
      </c>
      <c r="K403">
        <f t="shared" si="41"/>
        <v>0.36326780615343668</v>
      </c>
    </row>
    <row r="404" spans="1:11" ht="48" x14ac:dyDescent="0.2">
      <c r="A404" s="4" t="s">
        <v>3775</v>
      </c>
      <c r="B404">
        <v>84340</v>
      </c>
      <c r="C404">
        <v>2.69</v>
      </c>
      <c r="D404">
        <f t="shared" si="36"/>
        <v>51423.005570063055</v>
      </c>
      <c r="E404">
        <f t="shared" si="37"/>
        <v>51.423005570063054</v>
      </c>
      <c r="F404" s="7">
        <v>0.48967193195625758</v>
      </c>
      <c r="G404">
        <f t="shared" si="38"/>
        <v>3</v>
      </c>
      <c r="H404" s="7">
        <f t="shared" si="39"/>
        <v>0.51032806804374242</v>
      </c>
      <c r="I404">
        <f t="shared" si="40"/>
        <v>3</v>
      </c>
      <c r="J404">
        <f>VLOOKUP(A404,'Housing Cost Calc'!$A$2:$C$827,3,FALSE)</f>
        <v>1665</v>
      </c>
      <c r="K404">
        <f t="shared" si="41"/>
        <v>0.38854204997367486</v>
      </c>
    </row>
    <row r="405" spans="1:11" ht="48" x14ac:dyDescent="0.2">
      <c r="A405" s="4" t="s">
        <v>3730</v>
      </c>
      <c r="B405">
        <v>78713</v>
      </c>
      <c r="C405">
        <v>2.33</v>
      </c>
      <c r="D405">
        <f t="shared" si="36"/>
        <v>51566.600832895972</v>
      </c>
      <c r="E405">
        <f t="shared" si="37"/>
        <v>51.566600832895972</v>
      </c>
      <c r="F405" s="7">
        <v>0.49088699878493319</v>
      </c>
      <c r="G405">
        <f t="shared" si="38"/>
        <v>3</v>
      </c>
      <c r="H405" s="7">
        <f t="shared" si="39"/>
        <v>0.50911300121506686</v>
      </c>
      <c r="I405">
        <f t="shared" si="40"/>
        <v>3</v>
      </c>
      <c r="J405">
        <f>VLOOKUP(A405,'Housing Cost Calc'!$A$2:$C$827,3,FALSE)</f>
        <v>1620</v>
      </c>
      <c r="K405">
        <f t="shared" si="41"/>
        <v>0.37698819945484185</v>
      </c>
    </row>
    <row r="406" spans="1:11" ht="48" x14ac:dyDescent="0.2">
      <c r="A406" s="4" t="s">
        <v>3800</v>
      </c>
      <c r="B406">
        <v>89506</v>
      </c>
      <c r="C406">
        <v>3.01</v>
      </c>
      <c r="D406">
        <f t="shared" si="36"/>
        <v>51590.400727035259</v>
      </c>
      <c r="E406">
        <f t="shared" si="37"/>
        <v>51.590400727035259</v>
      </c>
      <c r="F406" s="7">
        <v>0.49210206561360875</v>
      </c>
      <c r="G406">
        <f t="shared" si="38"/>
        <v>3</v>
      </c>
      <c r="H406" s="7">
        <f t="shared" si="39"/>
        <v>0.50789793438639119</v>
      </c>
      <c r="I406">
        <f t="shared" si="40"/>
        <v>3</v>
      </c>
      <c r="J406">
        <f>VLOOKUP(A406,'Housing Cost Calc'!$A$2:$C$827,3,FALSE)</f>
        <v>2194</v>
      </c>
      <c r="K406">
        <f t="shared" si="41"/>
        <v>0.51032749559945101</v>
      </c>
    </row>
    <row r="407" spans="1:11" ht="48" x14ac:dyDescent="0.2">
      <c r="A407" s="4" t="s">
        <v>3426</v>
      </c>
      <c r="B407">
        <v>85216</v>
      </c>
      <c r="C407">
        <v>2.72</v>
      </c>
      <c r="D407">
        <f t="shared" si="36"/>
        <v>51669.789557740376</v>
      </c>
      <c r="E407">
        <f t="shared" si="37"/>
        <v>51.669789557740373</v>
      </c>
      <c r="F407" s="7">
        <v>0.49331713244228431</v>
      </c>
      <c r="G407">
        <f t="shared" si="38"/>
        <v>3</v>
      </c>
      <c r="H407" s="7">
        <f t="shared" si="39"/>
        <v>0.50668286755771574</v>
      </c>
      <c r="I407">
        <f t="shared" si="40"/>
        <v>3</v>
      </c>
      <c r="J407">
        <f>VLOOKUP(A407,'Housing Cost Calc'!$A$2:$C$827,3,FALSE)</f>
        <v>1349</v>
      </c>
      <c r="K407">
        <f t="shared" si="41"/>
        <v>0.31329719239344112</v>
      </c>
    </row>
    <row r="408" spans="1:11" ht="64" x14ac:dyDescent="0.2">
      <c r="A408" s="4" t="s">
        <v>3764</v>
      </c>
      <c r="B408">
        <v>82266</v>
      </c>
      <c r="C408">
        <v>2.5299999999999998</v>
      </c>
      <c r="D408">
        <f t="shared" si="36"/>
        <v>51720.191071059257</v>
      </c>
      <c r="E408">
        <f t="shared" si="37"/>
        <v>51.720191071059254</v>
      </c>
      <c r="F408" s="7">
        <v>0.49453219927095993</v>
      </c>
      <c r="G408">
        <f t="shared" si="38"/>
        <v>3</v>
      </c>
      <c r="H408" s="7">
        <f t="shared" si="39"/>
        <v>0.50546780072904007</v>
      </c>
      <c r="I408">
        <f t="shared" si="40"/>
        <v>3</v>
      </c>
      <c r="J408">
        <f>VLOOKUP(A408,'Housing Cost Calc'!$A$2:$C$827,3,FALSE)</f>
        <v>1596</v>
      </c>
      <c r="K408">
        <f t="shared" si="41"/>
        <v>0.37030025611635387</v>
      </c>
    </row>
    <row r="409" spans="1:11" ht="64" x14ac:dyDescent="0.2">
      <c r="A409" s="4" t="s">
        <v>3352</v>
      </c>
      <c r="B409">
        <v>82454</v>
      </c>
      <c r="C409">
        <v>2.54</v>
      </c>
      <c r="D409">
        <f t="shared" si="36"/>
        <v>51736.24095686173</v>
      </c>
      <c r="E409">
        <f t="shared" si="37"/>
        <v>51.736240956861728</v>
      </c>
      <c r="F409" s="7">
        <v>0.49574726609963549</v>
      </c>
      <c r="G409">
        <f t="shared" si="38"/>
        <v>3</v>
      </c>
      <c r="H409" s="7">
        <f t="shared" si="39"/>
        <v>0.50425273390036451</v>
      </c>
      <c r="I409">
        <f t="shared" si="40"/>
        <v>3</v>
      </c>
      <c r="J409">
        <f>VLOOKUP(A409,'Housing Cost Calc'!$A$2:$C$827,3,FALSE)</f>
        <v>1312</v>
      </c>
      <c r="K409">
        <f t="shared" si="41"/>
        <v>0.30431279329179572</v>
      </c>
    </row>
    <row r="410" spans="1:11" ht="48" x14ac:dyDescent="0.2">
      <c r="A410" s="4" t="s">
        <v>3742</v>
      </c>
      <c r="B410">
        <v>84167</v>
      </c>
      <c r="C410">
        <v>2.63</v>
      </c>
      <c r="D410">
        <f t="shared" si="36"/>
        <v>51899.595553637781</v>
      </c>
      <c r="E410">
        <f t="shared" si="37"/>
        <v>51.899595553637781</v>
      </c>
      <c r="F410" s="7">
        <v>0.49696233292831105</v>
      </c>
      <c r="G410">
        <f t="shared" si="38"/>
        <v>3</v>
      </c>
      <c r="H410" s="7">
        <f t="shared" si="39"/>
        <v>0.50303766707168895</v>
      </c>
      <c r="I410">
        <f t="shared" si="40"/>
        <v>3</v>
      </c>
      <c r="J410">
        <f>VLOOKUP(A410,'Housing Cost Calc'!$A$2:$C$827,3,FALSE)</f>
        <v>1524</v>
      </c>
      <c r="K410">
        <f t="shared" si="41"/>
        <v>0.35237268816670281</v>
      </c>
    </row>
    <row r="411" spans="1:11" ht="48" x14ac:dyDescent="0.2">
      <c r="A411" s="4" t="s">
        <v>3183</v>
      </c>
      <c r="B411">
        <v>72150</v>
      </c>
      <c r="C411">
        <v>1.93</v>
      </c>
      <c r="D411">
        <f t="shared" si="36"/>
        <v>51934.706416518311</v>
      </c>
      <c r="E411">
        <f t="shared" si="37"/>
        <v>51.93470641651831</v>
      </c>
      <c r="F411" s="7">
        <v>0.49817739975698666</v>
      </c>
      <c r="G411">
        <f t="shared" si="38"/>
        <v>3</v>
      </c>
      <c r="H411" s="7">
        <f t="shared" si="39"/>
        <v>0.50182260024301328</v>
      </c>
      <c r="I411">
        <f t="shared" si="40"/>
        <v>3</v>
      </c>
      <c r="J411">
        <f>VLOOKUP(A411,'Housing Cost Calc'!$A$2:$C$827,3,FALSE)</f>
        <v>1227</v>
      </c>
      <c r="K411">
        <f t="shared" si="41"/>
        <v>0.28350983409654734</v>
      </c>
    </row>
    <row r="412" spans="1:11" ht="48" x14ac:dyDescent="0.2">
      <c r="A412" s="4" t="s">
        <v>3750</v>
      </c>
      <c r="B412">
        <v>82688</v>
      </c>
      <c r="C412">
        <v>2.5299999999999998</v>
      </c>
      <c r="D412">
        <f t="shared" si="36"/>
        <v>51985.500197940193</v>
      </c>
      <c r="E412">
        <f t="shared" si="37"/>
        <v>51.985500197940191</v>
      </c>
      <c r="F412" s="7">
        <v>0.49939246658566222</v>
      </c>
      <c r="G412">
        <f t="shared" si="38"/>
        <v>3</v>
      </c>
      <c r="H412" s="7">
        <f t="shared" si="39"/>
        <v>0.50060753341433784</v>
      </c>
      <c r="I412">
        <f t="shared" si="40"/>
        <v>3</v>
      </c>
      <c r="J412">
        <f>VLOOKUP(A412,'Housing Cost Calc'!$A$2:$C$827,3,FALSE)</f>
        <v>1536</v>
      </c>
      <c r="K412">
        <f t="shared" si="41"/>
        <v>0.35456040491710661</v>
      </c>
    </row>
    <row r="413" spans="1:11" ht="48" x14ac:dyDescent="0.2">
      <c r="A413" s="4" t="s">
        <v>3651</v>
      </c>
      <c r="B413">
        <v>84648</v>
      </c>
      <c r="C413">
        <v>2.65</v>
      </c>
      <c r="D413">
        <f t="shared" si="36"/>
        <v>51998.853049760299</v>
      </c>
      <c r="E413">
        <f t="shared" si="37"/>
        <v>51.998853049760299</v>
      </c>
      <c r="F413" s="7">
        <v>0.50060753341433784</v>
      </c>
      <c r="G413">
        <f t="shared" si="38"/>
        <v>3</v>
      </c>
      <c r="H413" s="7">
        <f t="shared" si="39"/>
        <v>0.49939246658566216</v>
      </c>
      <c r="I413">
        <f t="shared" si="40"/>
        <v>3</v>
      </c>
      <c r="J413">
        <f>VLOOKUP(A413,'Housing Cost Calc'!$A$2:$C$827,3,FALSE)</f>
        <v>1460</v>
      </c>
      <c r="K413">
        <f t="shared" si="41"/>
        <v>0.33693050851014422</v>
      </c>
    </row>
    <row r="414" spans="1:11" ht="64" x14ac:dyDescent="0.2">
      <c r="A414" s="4" t="s">
        <v>3135</v>
      </c>
      <c r="B414">
        <v>74157</v>
      </c>
      <c r="C414">
        <v>2.0299999999999998</v>
      </c>
      <c r="D414">
        <f t="shared" si="36"/>
        <v>52048.010467222084</v>
      </c>
      <c r="E414">
        <f t="shared" si="37"/>
        <v>52.048010467222085</v>
      </c>
      <c r="F414" s="7">
        <v>0.50182260024301339</v>
      </c>
      <c r="G414">
        <f t="shared" si="38"/>
        <v>3</v>
      </c>
      <c r="H414" s="7">
        <f t="shared" si="39"/>
        <v>0.49817739975698661</v>
      </c>
      <c r="I414">
        <f t="shared" si="40"/>
        <v>3</v>
      </c>
      <c r="J414">
        <f>VLOOKUP(A414,'Housing Cost Calc'!$A$2:$C$827,3,FALSE)</f>
        <v>1177</v>
      </c>
      <c r="K414">
        <f t="shared" si="41"/>
        <v>0.27136483937065708</v>
      </c>
    </row>
    <row r="415" spans="1:11" ht="64" x14ac:dyDescent="0.2">
      <c r="A415" s="4" t="s">
        <v>3694</v>
      </c>
      <c r="B415">
        <v>78958</v>
      </c>
      <c r="C415">
        <v>2.2999999999999998</v>
      </c>
      <c r="D415">
        <f t="shared" si="36"/>
        <v>52063.363418384557</v>
      </c>
      <c r="E415">
        <f t="shared" si="37"/>
        <v>52.063363418384554</v>
      </c>
      <c r="F415" s="7">
        <v>0.50303766707168895</v>
      </c>
      <c r="G415">
        <f t="shared" si="38"/>
        <v>3</v>
      </c>
      <c r="H415" s="7">
        <f t="shared" si="39"/>
        <v>0.49696233292831105</v>
      </c>
      <c r="I415">
        <f t="shared" si="40"/>
        <v>3</v>
      </c>
      <c r="J415">
        <f>VLOOKUP(A415,'Housing Cost Calc'!$A$2:$C$827,3,FALSE)</f>
        <v>1494</v>
      </c>
      <c r="K415">
        <f t="shared" si="41"/>
        <v>0.34434963135073376</v>
      </c>
    </row>
    <row r="416" spans="1:11" ht="48" x14ac:dyDescent="0.2">
      <c r="A416" s="4" t="s">
        <v>3770</v>
      </c>
      <c r="B416">
        <v>83672</v>
      </c>
      <c r="C416">
        <v>2.58</v>
      </c>
      <c r="D416">
        <f t="shared" si="36"/>
        <v>52091.911854146369</v>
      </c>
      <c r="E416">
        <f t="shared" si="37"/>
        <v>52.091911854146367</v>
      </c>
      <c r="F416" s="7">
        <v>0.50425273390036451</v>
      </c>
      <c r="G416">
        <f t="shared" si="38"/>
        <v>3</v>
      </c>
      <c r="H416" s="7">
        <f t="shared" si="39"/>
        <v>0.49574726609963549</v>
      </c>
      <c r="I416">
        <f t="shared" si="40"/>
        <v>3</v>
      </c>
      <c r="J416">
        <f>VLOOKUP(A416,'Housing Cost Calc'!$A$2:$C$827,3,FALSE)</f>
        <v>2127</v>
      </c>
      <c r="K416">
        <f t="shared" si="41"/>
        <v>0.48998009655443969</v>
      </c>
    </row>
    <row r="417" spans="1:11" ht="64" x14ac:dyDescent="0.2">
      <c r="A417" s="4" t="s">
        <v>3372</v>
      </c>
      <c r="B417">
        <v>79082</v>
      </c>
      <c r="C417">
        <v>2.29</v>
      </c>
      <c r="D417">
        <f t="shared" si="36"/>
        <v>52258.856561189408</v>
      </c>
      <c r="E417">
        <f t="shared" si="37"/>
        <v>52.258856561189411</v>
      </c>
      <c r="F417" s="7">
        <v>0.50546780072904007</v>
      </c>
      <c r="G417">
        <f t="shared" si="38"/>
        <v>3</v>
      </c>
      <c r="H417" s="7">
        <f t="shared" si="39"/>
        <v>0.49453219927095993</v>
      </c>
      <c r="I417">
        <f t="shared" si="40"/>
        <v>3</v>
      </c>
      <c r="J417">
        <f>VLOOKUP(A417,'Housing Cost Calc'!$A$2:$C$827,3,FALSE)</f>
        <v>1338</v>
      </c>
      <c r="K417">
        <f t="shared" si="41"/>
        <v>0.30723978778984917</v>
      </c>
    </row>
    <row r="418" spans="1:11" ht="48" x14ac:dyDescent="0.2">
      <c r="A418" s="4" t="s">
        <v>3758</v>
      </c>
      <c r="B418">
        <v>81474</v>
      </c>
      <c r="C418">
        <v>2.42</v>
      </c>
      <c r="D418">
        <f t="shared" si="36"/>
        <v>52373.470809447972</v>
      </c>
      <c r="E418">
        <f t="shared" si="37"/>
        <v>52.373470809447973</v>
      </c>
      <c r="F418" s="7">
        <v>0.50668286755771563</v>
      </c>
      <c r="G418">
        <f t="shared" si="38"/>
        <v>3</v>
      </c>
      <c r="H418" s="7">
        <f t="shared" si="39"/>
        <v>0.49331713244228437</v>
      </c>
      <c r="I418">
        <f t="shared" si="40"/>
        <v>3</v>
      </c>
      <c r="J418">
        <f>VLOOKUP(A418,'Housing Cost Calc'!$A$2:$C$827,3,FALSE)</f>
        <v>1767</v>
      </c>
      <c r="K418">
        <f t="shared" si="41"/>
        <v>0.40486146272694379</v>
      </c>
    </row>
    <row r="419" spans="1:11" ht="48" x14ac:dyDescent="0.2">
      <c r="A419" s="4" t="s">
        <v>3754</v>
      </c>
      <c r="B419">
        <v>81163</v>
      </c>
      <c r="C419">
        <v>2.4</v>
      </c>
      <c r="D419">
        <f t="shared" si="36"/>
        <v>52390.491221372096</v>
      </c>
      <c r="E419">
        <f t="shared" si="37"/>
        <v>52.390491221372095</v>
      </c>
      <c r="F419" s="7">
        <v>0.5078979343863913</v>
      </c>
      <c r="G419">
        <f t="shared" si="38"/>
        <v>3</v>
      </c>
      <c r="H419" s="7">
        <f t="shared" si="39"/>
        <v>0.4921020656136087</v>
      </c>
      <c r="I419">
        <f t="shared" si="40"/>
        <v>3</v>
      </c>
      <c r="J419">
        <f>VLOOKUP(A419,'Housing Cost Calc'!$A$2:$C$827,3,FALSE)</f>
        <v>1602</v>
      </c>
      <c r="K419">
        <f t="shared" si="41"/>
        <v>0.36693681528524763</v>
      </c>
    </row>
    <row r="420" spans="1:11" ht="64" x14ac:dyDescent="0.2">
      <c r="A420" s="4" t="s">
        <v>3277</v>
      </c>
      <c r="B420">
        <v>87604</v>
      </c>
      <c r="C420">
        <v>2.79</v>
      </c>
      <c r="D420">
        <f t="shared" si="36"/>
        <v>52447.142929178626</v>
      </c>
      <c r="E420">
        <f t="shared" si="37"/>
        <v>52.447142929178625</v>
      </c>
      <c r="F420" s="7">
        <v>0.50911300121506686</v>
      </c>
      <c r="G420">
        <f t="shared" si="38"/>
        <v>3</v>
      </c>
      <c r="H420" s="7">
        <f t="shared" si="39"/>
        <v>0.49088699878493314</v>
      </c>
      <c r="I420">
        <f t="shared" si="40"/>
        <v>3</v>
      </c>
      <c r="J420">
        <f>VLOOKUP(A420,'Housing Cost Calc'!$A$2:$C$827,3,FALSE)</f>
        <v>1297</v>
      </c>
      <c r="K420">
        <f t="shared" si="41"/>
        <v>0.29675591711481142</v>
      </c>
    </row>
    <row r="421" spans="1:11" ht="48" x14ac:dyDescent="0.2">
      <c r="A421" s="4" t="s">
        <v>3589</v>
      </c>
      <c r="B421">
        <v>75135</v>
      </c>
      <c r="C421">
        <v>2.0499999999999998</v>
      </c>
      <c r="D421">
        <f t="shared" si="36"/>
        <v>52476.560272647257</v>
      </c>
      <c r="E421">
        <f t="shared" si="37"/>
        <v>52.476560272647255</v>
      </c>
      <c r="F421" s="7">
        <v>0.51032806804374242</v>
      </c>
      <c r="G421">
        <f t="shared" si="38"/>
        <v>3</v>
      </c>
      <c r="H421" s="7">
        <f t="shared" si="39"/>
        <v>0.48967193195625758</v>
      </c>
      <c r="I421">
        <f t="shared" si="40"/>
        <v>3</v>
      </c>
      <c r="J421">
        <f>VLOOKUP(A421,'Housing Cost Calc'!$A$2:$C$827,3,FALSE)</f>
        <v>1442</v>
      </c>
      <c r="K421">
        <f t="shared" si="41"/>
        <v>0.32974722257128369</v>
      </c>
    </row>
    <row r="422" spans="1:11" ht="48" x14ac:dyDescent="0.2">
      <c r="A422" s="4" t="s">
        <v>3727</v>
      </c>
      <c r="B422">
        <v>82281</v>
      </c>
      <c r="C422">
        <v>2.4500000000000002</v>
      </c>
      <c r="D422">
        <f t="shared" si="36"/>
        <v>52567.402644760055</v>
      </c>
      <c r="E422">
        <f t="shared" si="37"/>
        <v>52.567402644760058</v>
      </c>
      <c r="F422" s="7">
        <v>0.51154313487241798</v>
      </c>
      <c r="G422">
        <f t="shared" si="38"/>
        <v>3</v>
      </c>
      <c r="H422" s="7">
        <f t="shared" si="39"/>
        <v>0.48845686512758202</v>
      </c>
      <c r="I422">
        <f t="shared" si="40"/>
        <v>3</v>
      </c>
      <c r="J422">
        <f>VLOOKUP(A422,'Housing Cost Calc'!$A$2:$C$827,3,FALSE)</f>
        <v>1535</v>
      </c>
      <c r="K422">
        <f t="shared" si="41"/>
        <v>0.35040726901571795</v>
      </c>
    </row>
    <row r="423" spans="1:11" ht="48" x14ac:dyDescent="0.2">
      <c r="A423" s="4" t="s">
        <v>3598</v>
      </c>
      <c r="B423">
        <v>82346</v>
      </c>
      <c r="C423">
        <v>2.4500000000000002</v>
      </c>
      <c r="D423">
        <f t="shared" si="36"/>
        <v>52608.929621485055</v>
      </c>
      <c r="E423">
        <f t="shared" si="37"/>
        <v>52.608929621485053</v>
      </c>
      <c r="F423" s="7">
        <v>0.51275820170109354</v>
      </c>
      <c r="G423">
        <f t="shared" si="38"/>
        <v>3</v>
      </c>
      <c r="H423" s="7">
        <f t="shared" si="39"/>
        <v>0.48724179829890646</v>
      </c>
      <c r="I423">
        <f t="shared" si="40"/>
        <v>3</v>
      </c>
      <c r="J423">
        <f>VLOOKUP(A423,'Housing Cost Calc'!$A$2:$C$827,3,FALSE)</f>
        <v>1447</v>
      </c>
      <c r="K423">
        <f t="shared" si="41"/>
        <v>0.33005803624844487</v>
      </c>
    </row>
    <row r="424" spans="1:11" ht="48" x14ac:dyDescent="0.2">
      <c r="A424" s="4" t="s">
        <v>3513</v>
      </c>
      <c r="B424">
        <v>75938</v>
      </c>
      <c r="C424">
        <v>2.08</v>
      </c>
      <c r="D424">
        <f t="shared" si="36"/>
        <v>52653.529376189304</v>
      </c>
      <c r="E424">
        <f t="shared" si="37"/>
        <v>52.653529376189304</v>
      </c>
      <c r="F424" s="7">
        <v>0.5139732685297691</v>
      </c>
      <c r="G424">
        <f t="shared" si="38"/>
        <v>3</v>
      </c>
      <c r="H424" s="7">
        <f t="shared" si="39"/>
        <v>0.4860267314702309</v>
      </c>
      <c r="I424">
        <f t="shared" si="40"/>
        <v>3</v>
      </c>
      <c r="J424">
        <f>VLOOKUP(A424,'Housing Cost Calc'!$A$2:$C$827,3,FALSE)</f>
        <v>1408</v>
      </c>
      <c r="K424">
        <f t="shared" si="41"/>
        <v>0.32089017014005938</v>
      </c>
    </row>
    <row r="425" spans="1:11" ht="64" x14ac:dyDescent="0.2">
      <c r="A425" s="4" t="s">
        <v>3628</v>
      </c>
      <c r="B425">
        <v>85406</v>
      </c>
      <c r="C425">
        <v>2.63</v>
      </c>
      <c r="D425">
        <f t="shared" si="36"/>
        <v>52663.595683034779</v>
      </c>
      <c r="E425">
        <f t="shared" si="37"/>
        <v>52.663595683034778</v>
      </c>
      <c r="F425" s="7">
        <v>0.51518833535844466</v>
      </c>
      <c r="G425">
        <f t="shared" si="38"/>
        <v>3</v>
      </c>
      <c r="H425" s="7">
        <f t="shared" si="39"/>
        <v>0.48481166464155534</v>
      </c>
      <c r="I425">
        <f t="shared" si="40"/>
        <v>3</v>
      </c>
      <c r="J425">
        <f>VLOOKUP(A425,'Housing Cost Calc'!$A$2:$C$827,3,FALSE)</f>
        <v>1464</v>
      </c>
      <c r="K425">
        <f t="shared" si="41"/>
        <v>0.33358907177049085</v>
      </c>
    </row>
    <row r="426" spans="1:11" ht="64" x14ac:dyDescent="0.2">
      <c r="A426" s="4" t="s">
        <v>3741</v>
      </c>
      <c r="B426">
        <v>79954</v>
      </c>
      <c r="C426">
        <v>2.2999999999999998</v>
      </c>
      <c r="D426">
        <f t="shared" si="36"/>
        <v>52720.106369886758</v>
      </c>
      <c r="E426">
        <f t="shared" si="37"/>
        <v>52.720106369886757</v>
      </c>
      <c r="F426" s="7">
        <v>0.51640340218712033</v>
      </c>
      <c r="G426">
        <f t="shared" si="38"/>
        <v>3</v>
      </c>
      <c r="H426" s="7">
        <f t="shared" si="39"/>
        <v>0.48359659781287967</v>
      </c>
      <c r="I426">
        <f t="shared" si="40"/>
        <v>3</v>
      </c>
      <c r="J426">
        <f>VLOOKUP(A426,'Housing Cost Calc'!$A$2:$C$827,3,FALSE)</f>
        <v>1591</v>
      </c>
      <c r="K426">
        <f t="shared" si="41"/>
        <v>0.36213887479758911</v>
      </c>
    </row>
    <row r="427" spans="1:11" ht="48" x14ac:dyDescent="0.2">
      <c r="A427" s="4" t="s">
        <v>3629</v>
      </c>
      <c r="B427">
        <v>71178</v>
      </c>
      <c r="C427">
        <v>1.82</v>
      </c>
      <c r="D427">
        <f t="shared" si="36"/>
        <v>52760.643861303855</v>
      </c>
      <c r="E427">
        <f t="shared" si="37"/>
        <v>52.760643861303855</v>
      </c>
      <c r="F427" s="7">
        <v>0.51761846901579589</v>
      </c>
      <c r="G427">
        <f t="shared" si="38"/>
        <v>3</v>
      </c>
      <c r="H427" s="7">
        <f t="shared" si="39"/>
        <v>0.48238153098420411</v>
      </c>
      <c r="I427">
        <f t="shared" si="40"/>
        <v>3</v>
      </c>
      <c r="J427">
        <f>VLOOKUP(A427,'Housing Cost Calc'!$A$2:$C$827,3,FALSE)</f>
        <v>1867</v>
      </c>
      <c r="K427">
        <f t="shared" si="41"/>
        <v>0.42463469662908576</v>
      </c>
    </row>
    <row r="428" spans="1:11" ht="64" x14ac:dyDescent="0.2">
      <c r="A428" s="4" t="s">
        <v>3768</v>
      </c>
      <c r="B428">
        <v>87039</v>
      </c>
      <c r="C428">
        <v>2.72</v>
      </c>
      <c r="D428">
        <f t="shared" si="36"/>
        <v>52775.145668843463</v>
      </c>
      <c r="E428">
        <f t="shared" si="37"/>
        <v>52.775145668843464</v>
      </c>
      <c r="F428" s="7">
        <v>0.51883353584447145</v>
      </c>
      <c r="G428">
        <f t="shared" si="38"/>
        <v>3</v>
      </c>
      <c r="H428" s="7">
        <f t="shared" si="39"/>
        <v>0.48116646415552855</v>
      </c>
      <c r="I428">
        <f t="shared" si="40"/>
        <v>3</v>
      </c>
      <c r="J428">
        <f>VLOOKUP(A428,'Housing Cost Calc'!$A$2:$C$827,3,FALSE)</f>
        <v>1574</v>
      </c>
      <c r="K428">
        <f t="shared" si="41"/>
        <v>0.35789574354791015</v>
      </c>
    </row>
    <row r="429" spans="1:11" ht="48" x14ac:dyDescent="0.2">
      <c r="A429" s="4" t="s">
        <v>3579</v>
      </c>
      <c r="B429">
        <v>85446</v>
      </c>
      <c r="C429">
        <v>2.61</v>
      </c>
      <c r="D429">
        <f t="shared" si="36"/>
        <v>52889.746219587912</v>
      </c>
      <c r="E429">
        <f t="shared" si="37"/>
        <v>52.889746219587913</v>
      </c>
      <c r="F429" s="7">
        <v>0.52004860267314701</v>
      </c>
      <c r="G429">
        <f t="shared" si="38"/>
        <v>3</v>
      </c>
      <c r="H429" s="7">
        <f t="shared" si="39"/>
        <v>0.47995139732685299</v>
      </c>
      <c r="I429">
        <f t="shared" si="40"/>
        <v>3</v>
      </c>
      <c r="J429">
        <f>VLOOKUP(A429,'Housing Cost Calc'!$A$2:$C$827,3,FALSE)</f>
        <v>1448</v>
      </c>
      <c r="K429">
        <f t="shared" si="41"/>
        <v>0.32853248960314985</v>
      </c>
    </row>
    <row r="430" spans="1:11" ht="48" x14ac:dyDescent="0.2">
      <c r="A430" s="4" t="s">
        <v>3388</v>
      </c>
      <c r="B430">
        <v>80725</v>
      </c>
      <c r="C430">
        <v>2.3199999999999998</v>
      </c>
      <c r="D430">
        <f t="shared" si="36"/>
        <v>52998.558963005518</v>
      </c>
      <c r="E430">
        <f t="shared" si="37"/>
        <v>52.998558963005522</v>
      </c>
      <c r="F430" s="7">
        <v>0.52126366950182257</v>
      </c>
      <c r="G430">
        <f t="shared" si="38"/>
        <v>3</v>
      </c>
      <c r="H430" s="7">
        <f t="shared" si="39"/>
        <v>0.47873633049817743</v>
      </c>
      <c r="I430">
        <f t="shared" si="40"/>
        <v>3</v>
      </c>
      <c r="J430">
        <f>VLOOKUP(A430,'Housing Cost Calc'!$A$2:$C$827,3,FALSE)</f>
        <v>1365</v>
      </c>
      <c r="K430">
        <f t="shared" si="41"/>
        <v>0.30906500705865797</v>
      </c>
    </row>
    <row r="431" spans="1:11" ht="64" x14ac:dyDescent="0.2">
      <c r="A431" s="4" t="s">
        <v>3552</v>
      </c>
      <c r="B431">
        <v>85052</v>
      </c>
      <c r="C431">
        <v>2.57</v>
      </c>
      <c r="D431">
        <f t="shared" si="36"/>
        <v>53053.97994070415</v>
      </c>
      <c r="E431">
        <f t="shared" si="37"/>
        <v>53.053979940704153</v>
      </c>
      <c r="F431" s="7">
        <v>0.52247873633049813</v>
      </c>
      <c r="G431">
        <f t="shared" si="38"/>
        <v>3</v>
      </c>
      <c r="H431" s="7">
        <f t="shared" si="39"/>
        <v>0.47752126366950187</v>
      </c>
      <c r="I431">
        <f t="shared" si="40"/>
        <v>3</v>
      </c>
      <c r="J431">
        <f>VLOOKUP(A431,'Housing Cost Calc'!$A$2:$C$827,3,FALSE)</f>
        <v>1432</v>
      </c>
      <c r="K431">
        <f t="shared" si="41"/>
        <v>0.32389652989663958</v>
      </c>
    </row>
    <row r="432" spans="1:11" ht="64" x14ac:dyDescent="0.2">
      <c r="A432" s="4" t="s">
        <v>3121</v>
      </c>
      <c r="B432">
        <v>80000</v>
      </c>
      <c r="C432">
        <v>2.27</v>
      </c>
      <c r="D432">
        <f t="shared" si="36"/>
        <v>53097.864927997754</v>
      </c>
      <c r="E432">
        <f t="shared" si="37"/>
        <v>53.097864927997755</v>
      </c>
      <c r="F432" s="7">
        <v>0.5236938031591738</v>
      </c>
      <c r="G432">
        <f t="shared" si="38"/>
        <v>3</v>
      </c>
      <c r="H432" s="7">
        <f t="shared" si="39"/>
        <v>0.4763061968408262</v>
      </c>
      <c r="I432">
        <f t="shared" si="40"/>
        <v>3</v>
      </c>
      <c r="J432">
        <f>VLOOKUP(A432,'Housing Cost Calc'!$A$2:$C$827,3,FALSE)</f>
        <v>1181</v>
      </c>
      <c r="K432">
        <f t="shared" si="41"/>
        <v>0.26690338715535256</v>
      </c>
    </row>
    <row r="433" spans="1:11" ht="48" x14ac:dyDescent="0.2">
      <c r="A433" s="4" t="s">
        <v>3257</v>
      </c>
      <c r="B433">
        <v>82790</v>
      </c>
      <c r="C433">
        <v>2.4300000000000002</v>
      </c>
      <c r="D433">
        <f t="shared" si="36"/>
        <v>53109.809762454577</v>
      </c>
      <c r="E433">
        <f t="shared" si="37"/>
        <v>53.109809762454574</v>
      </c>
      <c r="F433" s="7">
        <v>0.52490886998784936</v>
      </c>
      <c r="G433">
        <f t="shared" si="38"/>
        <v>3</v>
      </c>
      <c r="H433" s="7">
        <f t="shared" si="39"/>
        <v>0.47509113001215064</v>
      </c>
      <c r="I433">
        <f t="shared" si="40"/>
        <v>3</v>
      </c>
      <c r="J433">
        <f>VLOOKUP(A433,'Housing Cost Calc'!$A$2:$C$827,3,FALSE)</f>
        <v>1302</v>
      </c>
      <c r="K433">
        <f t="shared" si="41"/>
        <v>0.29418294039993387</v>
      </c>
    </row>
    <row r="434" spans="1:11" ht="48" x14ac:dyDescent="0.2">
      <c r="A434" s="4" t="s">
        <v>3465</v>
      </c>
      <c r="B434">
        <v>81016</v>
      </c>
      <c r="C434">
        <v>2.3199999999999998</v>
      </c>
      <c r="D434">
        <f t="shared" si="36"/>
        <v>53189.609822816419</v>
      </c>
      <c r="E434">
        <f t="shared" si="37"/>
        <v>53.189609822816422</v>
      </c>
      <c r="F434" s="7">
        <v>0.52612393681652492</v>
      </c>
      <c r="G434">
        <f t="shared" si="38"/>
        <v>3</v>
      </c>
      <c r="H434" s="7">
        <f t="shared" si="39"/>
        <v>0.47387606318347508</v>
      </c>
      <c r="I434">
        <f t="shared" si="40"/>
        <v>3</v>
      </c>
      <c r="J434">
        <f>VLOOKUP(A434,'Housing Cost Calc'!$A$2:$C$827,3,FALSE)</f>
        <v>1407</v>
      </c>
      <c r="K434">
        <f t="shared" si="41"/>
        <v>0.31743041650885312</v>
      </c>
    </row>
    <row r="435" spans="1:11" ht="48" x14ac:dyDescent="0.2">
      <c r="A435" s="4" t="s">
        <v>3382</v>
      </c>
      <c r="B435">
        <v>89063</v>
      </c>
      <c r="C435">
        <v>2.79</v>
      </c>
      <c r="D435">
        <f t="shared" si="36"/>
        <v>53320.623381368845</v>
      </c>
      <c r="E435">
        <f t="shared" si="37"/>
        <v>53.320623381368847</v>
      </c>
      <c r="F435" s="7">
        <v>0.52733900364520048</v>
      </c>
      <c r="G435">
        <f t="shared" si="38"/>
        <v>3</v>
      </c>
      <c r="H435" s="7">
        <f t="shared" si="39"/>
        <v>0.47266099635479952</v>
      </c>
      <c r="I435">
        <f t="shared" si="40"/>
        <v>3</v>
      </c>
      <c r="J435">
        <f>VLOOKUP(A435,'Housing Cost Calc'!$A$2:$C$827,3,FALSE)</f>
        <v>1371</v>
      </c>
      <c r="K435">
        <f t="shared" si="41"/>
        <v>0.30854853069382188</v>
      </c>
    </row>
    <row r="436" spans="1:11" ht="64" x14ac:dyDescent="0.2">
      <c r="A436" s="4" t="s">
        <v>3436</v>
      </c>
      <c r="B436">
        <v>80753</v>
      </c>
      <c r="C436">
        <v>2.2799999999999998</v>
      </c>
      <c r="D436">
        <f t="shared" si="36"/>
        <v>53479.980715036741</v>
      </c>
      <c r="E436">
        <f t="shared" si="37"/>
        <v>53.479980715036739</v>
      </c>
      <c r="F436" s="7">
        <v>0.52855407047387604</v>
      </c>
      <c r="G436">
        <f t="shared" si="38"/>
        <v>3</v>
      </c>
      <c r="H436" s="7">
        <f t="shared" si="39"/>
        <v>0.47144592952612396</v>
      </c>
      <c r="I436">
        <f t="shared" si="40"/>
        <v>3</v>
      </c>
      <c r="J436">
        <f>VLOOKUP(A436,'Housing Cost Calc'!$A$2:$C$827,3,FALSE)</f>
        <v>1399</v>
      </c>
      <c r="K436">
        <f t="shared" si="41"/>
        <v>0.31391185590461124</v>
      </c>
    </row>
    <row r="437" spans="1:11" ht="64" x14ac:dyDescent="0.2">
      <c r="A437" s="4" t="s">
        <v>3245</v>
      </c>
      <c r="B437">
        <v>83039</v>
      </c>
      <c r="C437">
        <v>2.41</v>
      </c>
      <c r="D437">
        <f t="shared" si="36"/>
        <v>53490.122099698594</v>
      </c>
      <c r="E437">
        <f t="shared" si="37"/>
        <v>53.490122099698596</v>
      </c>
      <c r="F437" s="7">
        <v>0.5297691373025516</v>
      </c>
      <c r="G437">
        <f t="shared" si="38"/>
        <v>3</v>
      </c>
      <c r="H437" s="7">
        <f t="shared" si="39"/>
        <v>0.4702308626974484</v>
      </c>
      <c r="I437">
        <f t="shared" si="40"/>
        <v>3</v>
      </c>
      <c r="J437">
        <f>VLOOKUP(A437,'Housing Cost Calc'!$A$2:$C$827,3,FALSE)</f>
        <v>1304</v>
      </c>
      <c r="K437">
        <f t="shared" si="41"/>
        <v>0.29253999403542535</v>
      </c>
    </row>
    <row r="438" spans="1:11" ht="64" x14ac:dyDescent="0.2">
      <c r="A438" s="4" t="s">
        <v>3139</v>
      </c>
      <c r="B438">
        <v>79611</v>
      </c>
      <c r="C438">
        <v>2.21</v>
      </c>
      <c r="D438">
        <f t="shared" si="36"/>
        <v>53552.153802840432</v>
      </c>
      <c r="E438">
        <f t="shared" si="37"/>
        <v>53.552153802840429</v>
      </c>
      <c r="F438" s="7">
        <v>0.53098420413122727</v>
      </c>
      <c r="G438">
        <f t="shared" si="38"/>
        <v>3</v>
      </c>
      <c r="H438" s="7">
        <f t="shared" si="39"/>
        <v>0.46901579586877273</v>
      </c>
      <c r="I438">
        <f t="shared" si="40"/>
        <v>3</v>
      </c>
      <c r="J438">
        <f>VLOOKUP(A438,'Housing Cost Calc'!$A$2:$C$827,3,FALSE)</f>
        <v>1216</v>
      </c>
      <c r="K438">
        <f t="shared" si="41"/>
        <v>0.27248203786018471</v>
      </c>
    </row>
    <row r="439" spans="1:11" ht="48" x14ac:dyDescent="0.2">
      <c r="A439" s="4" t="s">
        <v>3640</v>
      </c>
      <c r="B439">
        <v>85524</v>
      </c>
      <c r="C439">
        <v>2.5499999999999998</v>
      </c>
      <c r="D439">
        <f t="shared" si="36"/>
        <v>53557.206270766328</v>
      </c>
      <c r="E439">
        <f t="shared" si="37"/>
        <v>53.557206270766329</v>
      </c>
      <c r="F439" s="7">
        <v>0.53219927095990283</v>
      </c>
      <c r="G439">
        <f t="shared" si="38"/>
        <v>3</v>
      </c>
      <c r="H439" s="7">
        <f t="shared" si="39"/>
        <v>0.46780072904009717</v>
      </c>
      <c r="I439">
        <f t="shared" si="40"/>
        <v>3</v>
      </c>
      <c r="J439">
        <f>VLOOKUP(A439,'Housing Cost Calc'!$A$2:$C$827,3,FALSE)</f>
        <v>1496</v>
      </c>
      <c r="K439">
        <f t="shared" si="41"/>
        <v>0.33519298802183639</v>
      </c>
    </row>
    <row r="440" spans="1:11" ht="48" x14ac:dyDescent="0.2">
      <c r="A440" s="4" t="s">
        <v>3781</v>
      </c>
      <c r="B440">
        <v>85024</v>
      </c>
      <c r="C440">
        <v>2.52</v>
      </c>
      <c r="D440">
        <f t="shared" si="36"/>
        <v>53560.085588560891</v>
      </c>
      <c r="E440">
        <f t="shared" si="37"/>
        <v>53.560085588560888</v>
      </c>
      <c r="F440" s="7">
        <v>0.53341433778857839</v>
      </c>
      <c r="G440">
        <f t="shared" si="38"/>
        <v>3</v>
      </c>
      <c r="H440" s="7">
        <f t="shared" si="39"/>
        <v>0.46658566221142161</v>
      </c>
      <c r="I440">
        <f t="shared" si="40"/>
        <v>3</v>
      </c>
      <c r="J440">
        <f>VLOOKUP(A440,'Housing Cost Calc'!$A$2:$C$827,3,FALSE)</f>
        <v>1689</v>
      </c>
      <c r="K440">
        <f t="shared" si="41"/>
        <v>0.37841612419545395</v>
      </c>
    </row>
    <row r="441" spans="1:11" ht="48" x14ac:dyDescent="0.2">
      <c r="A441" s="4" t="s">
        <v>3219</v>
      </c>
      <c r="B441">
        <v>77903</v>
      </c>
      <c r="C441">
        <v>2.11</v>
      </c>
      <c r="D441">
        <f t="shared" si="36"/>
        <v>53630.636930168424</v>
      </c>
      <c r="E441">
        <f t="shared" si="37"/>
        <v>53.630636930168421</v>
      </c>
      <c r="F441" s="7">
        <v>0.53462940461725394</v>
      </c>
      <c r="G441">
        <f t="shared" si="38"/>
        <v>3</v>
      </c>
      <c r="H441" s="7">
        <f t="shared" si="39"/>
        <v>0.46537059538274606</v>
      </c>
      <c r="I441">
        <f t="shared" si="40"/>
        <v>3</v>
      </c>
      <c r="J441">
        <f>VLOOKUP(A441,'Housing Cost Calc'!$A$2:$C$827,3,FALSE)</f>
        <v>1295</v>
      </c>
      <c r="K441">
        <f t="shared" si="41"/>
        <v>0.28975975094672807</v>
      </c>
    </row>
    <row r="442" spans="1:11" ht="64" x14ac:dyDescent="0.2">
      <c r="A442" s="4" t="s">
        <v>3672</v>
      </c>
      <c r="B442">
        <v>80871</v>
      </c>
      <c r="C442">
        <v>2.27</v>
      </c>
      <c r="D442">
        <f t="shared" si="36"/>
        <v>53675.967932401334</v>
      </c>
      <c r="E442">
        <f t="shared" si="37"/>
        <v>53.675967932401335</v>
      </c>
      <c r="F442" s="7">
        <v>0.5358444714459295</v>
      </c>
      <c r="G442">
        <f t="shared" si="38"/>
        <v>3</v>
      </c>
      <c r="H442" s="7">
        <f t="shared" si="39"/>
        <v>0.4641555285540705</v>
      </c>
      <c r="I442">
        <f t="shared" si="40"/>
        <v>3</v>
      </c>
      <c r="J442">
        <f>VLOOKUP(A442,'Housing Cost Calc'!$A$2:$C$827,3,FALSE)</f>
        <v>1526</v>
      </c>
      <c r="K442">
        <f t="shared" si="41"/>
        <v>0.34115826328575655</v>
      </c>
    </row>
    <row r="443" spans="1:11" ht="48" x14ac:dyDescent="0.2">
      <c r="A443" s="4" t="s">
        <v>3584</v>
      </c>
      <c r="B443">
        <v>67917</v>
      </c>
      <c r="C443">
        <v>1.6</v>
      </c>
      <c r="D443">
        <f t="shared" si="36"/>
        <v>53693.102961413955</v>
      </c>
      <c r="E443">
        <f t="shared" si="37"/>
        <v>53.693102961413956</v>
      </c>
      <c r="F443" s="7">
        <v>0.53705953827460506</v>
      </c>
      <c r="G443">
        <f t="shared" si="38"/>
        <v>3</v>
      </c>
      <c r="H443" s="7">
        <f t="shared" si="39"/>
        <v>0.46294046172539494</v>
      </c>
      <c r="I443">
        <f t="shared" si="40"/>
        <v>3</v>
      </c>
      <c r="J443">
        <f>VLOOKUP(A443,'Housing Cost Calc'!$A$2:$C$827,3,FALSE)</f>
        <v>1487</v>
      </c>
      <c r="K443">
        <f t="shared" si="41"/>
        <v>0.33233318649554344</v>
      </c>
    </row>
    <row r="444" spans="1:11" ht="48" x14ac:dyDescent="0.2">
      <c r="A444" s="4" t="s">
        <v>3374</v>
      </c>
      <c r="B444">
        <v>86053</v>
      </c>
      <c r="C444">
        <v>2.56</v>
      </c>
      <c r="D444">
        <f t="shared" si="36"/>
        <v>53783.125</v>
      </c>
      <c r="E444">
        <f t="shared" si="37"/>
        <v>53.783124999999998</v>
      </c>
      <c r="F444" s="7">
        <v>0.53827460510328073</v>
      </c>
      <c r="G444">
        <f t="shared" si="38"/>
        <v>3</v>
      </c>
      <c r="H444" s="7">
        <f t="shared" si="39"/>
        <v>0.46172539489671927</v>
      </c>
      <c r="I444">
        <f t="shared" si="40"/>
        <v>3</v>
      </c>
      <c r="J444">
        <f>VLOOKUP(A444,'Housing Cost Calc'!$A$2:$C$827,3,FALSE)</f>
        <v>1378</v>
      </c>
      <c r="K444">
        <f t="shared" si="41"/>
        <v>0.30745703229405136</v>
      </c>
    </row>
    <row r="445" spans="1:11" ht="48" x14ac:dyDescent="0.2">
      <c r="A445" s="4" t="s">
        <v>3705</v>
      </c>
      <c r="B445">
        <v>78125</v>
      </c>
      <c r="C445">
        <v>2.11</v>
      </c>
      <c r="D445">
        <f t="shared" si="36"/>
        <v>53783.468032930796</v>
      </c>
      <c r="E445">
        <f t="shared" si="37"/>
        <v>53.783468032930799</v>
      </c>
      <c r="F445" s="7">
        <v>0.53948967193195629</v>
      </c>
      <c r="G445">
        <f t="shared" si="38"/>
        <v>3</v>
      </c>
      <c r="H445" s="7">
        <f t="shared" si="39"/>
        <v>0.46051032806804371</v>
      </c>
      <c r="I445">
        <f t="shared" si="40"/>
        <v>3</v>
      </c>
      <c r="J445">
        <f>VLOOKUP(A445,'Housing Cost Calc'!$A$2:$C$827,3,FALSE)</f>
        <v>1549</v>
      </c>
      <c r="K445">
        <f t="shared" si="41"/>
        <v>0.34560805912736703</v>
      </c>
    </row>
    <row r="446" spans="1:11" ht="48" x14ac:dyDescent="0.2">
      <c r="A446" s="4" t="s">
        <v>3778</v>
      </c>
      <c r="B446">
        <v>84688</v>
      </c>
      <c r="C446">
        <v>2.4700000000000002</v>
      </c>
      <c r="D446">
        <f t="shared" si="36"/>
        <v>53885.684006892669</v>
      </c>
      <c r="E446">
        <f t="shared" si="37"/>
        <v>53.885684006892667</v>
      </c>
      <c r="F446" s="7">
        <v>0.54070473876063185</v>
      </c>
      <c r="G446">
        <f t="shared" si="38"/>
        <v>3</v>
      </c>
      <c r="H446" s="7">
        <f t="shared" si="39"/>
        <v>0.45929526123936815</v>
      </c>
      <c r="I446">
        <f t="shared" si="40"/>
        <v>3</v>
      </c>
      <c r="J446">
        <f>VLOOKUP(A446,'Housing Cost Calc'!$A$2:$C$827,3,FALSE)</f>
        <v>1663</v>
      </c>
      <c r="K446">
        <f t="shared" si="41"/>
        <v>0.37033955062066898</v>
      </c>
    </row>
    <row r="447" spans="1:11" ht="64" x14ac:dyDescent="0.2">
      <c r="A447" s="4" t="s">
        <v>3753</v>
      </c>
      <c r="B447">
        <v>86651</v>
      </c>
      <c r="C447">
        <v>2.58</v>
      </c>
      <c r="D447">
        <f t="shared" si="36"/>
        <v>53946.556244306783</v>
      </c>
      <c r="E447">
        <f t="shared" si="37"/>
        <v>53.946556244306784</v>
      </c>
      <c r="F447" s="7">
        <v>0.54191980558930741</v>
      </c>
      <c r="G447">
        <f t="shared" si="38"/>
        <v>3</v>
      </c>
      <c r="H447" s="7">
        <f t="shared" si="39"/>
        <v>0.45808019441069259</v>
      </c>
      <c r="I447">
        <f t="shared" si="40"/>
        <v>3</v>
      </c>
      <c r="J447">
        <f>VLOOKUP(A447,'Housing Cost Calc'!$A$2:$C$827,3,FALSE)</f>
        <v>1596</v>
      </c>
      <c r="K447">
        <f t="shared" si="41"/>
        <v>0.3550180277174077</v>
      </c>
    </row>
    <row r="448" spans="1:11" ht="48" x14ac:dyDescent="0.2">
      <c r="A448" s="4" t="s">
        <v>3235</v>
      </c>
      <c r="B448">
        <v>76724</v>
      </c>
      <c r="C448">
        <v>2.02</v>
      </c>
      <c r="D448">
        <f t="shared" si="36"/>
        <v>53982.818021886917</v>
      </c>
      <c r="E448">
        <f t="shared" si="37"/>
        <v>53.982818021886914</v>
      </c>
      <c r="F448" s="7">
        <v>0.54313487241798297</v>
      </c>
      <c r="G448">
        <f t="shared" si="38"/>
        <v>3</v>
      </c>
      <c r="H448" s="7">
        <f t="shared" si="39"/>
        <v>0.45686512758201703</v>
      </c>
      <c r="I448">
        <f t="shared" si="40"/>
        <v>3</v>
      </c>
      <c r="J448">
        <f>VLOOKUP(A448,'Housing Cost Calc'!$A$2:$C$827,3,FALSE)</f>
        <v>1313</v>
      </c>
      <c r="K448">
        <f t="shared" si="41"/>
        <v>0.29187064657520939</v>
      </c>
    </row>
    <row r="449" spans="1:11" ht="48" x14ac:dyDescent="0.2">
      <c r="A449" s="4" t="s">
        <v>3756</v>
      </c>
      <c r="B449">
        <v>81316</v>
      </c>
      <c r="C449">
        <v>2.25</v>
      </c>
      <c r="D449">
        <f t="shared" si="36"/>
        <v>54210.666666666664</v>
      </c>
      <c r="E449">
        <f t="shared" si="37"/>
        <v>54.210666666666661</v>
      </c>
      <c r="F449" s="7">
        <v>0.54434993924665853</v>
      </c>
      <c r="G449">
        <f t="shared" si="38"/>
        <v>3</v>
      </c>
      <c r="H449" s="7">
        <f t="shared" si="39"/>
        <v>0.45565006075334147</v>
      </c>
      <c r="I449">
        <f t="shared" si="40"/>
        <v>3</v>
      </c>
      <c r="J449">
        <f>VLOOKUP(A449,'Housing Cost Calc'!$A$2:$C$827,3,FALSE)</f>
        <v>1846</v>
      </c>
      <c r="K449">
        <f t="shared" si="41"/>
        <v>0.40862806827684589</v>
      </c>
    </row>
    <row r="450" spans="1:11" ht="48" x14ac:dyDescent="0.2">
      <c r="A450" s="4" t="s">
        <v>3049</v>
      </c>
      <c r="B450">
        <v>83345</v>
      </c>
      <c r="C450">
        <v>2.36</v>
      </c>
      <c r="D450">
        <f t="shared" ref="D450:D513" si="42">(B450/(C450)^0.5)</f>
        <v>54252.973928483822</v>
      </c>
      <c r="E450">
        <f t="shared" ref="E450:E513" si="43">D450/1000</f>
        <v>54.252973928483819</v>
      </c>
      <c r="F450" s="7">
        <v>0.54556500607533409</v>
      </c>
      <c r="G450">
        <f t="shared" si="38"/>
        <v>3</v>
      </c>
      <c r="H450" s="7">
        <f t="shared" si="39"/>
        <v>0.45443499392466591</v>
      </c>
      <c r="I450">
        <f t="shared" si="40"/>
        <v>3</v>
      </c>
      <c r="J450">
        <f>VLOOKUP(A450,'Housing Cost Calc'!$A$2:$C$827,3,FALSE)</f>
        <v>1133</v>
      </c>
      <c r="K450">
        <f t="shared" si="41"/>
        <v>0.25060377368293624</v>
      </c>
    </row>
    <row r="451" spans="1:11" ht="48" x14ac:dyDescent="0.2">
      <c r="A451" s="4" t="s">
        <v>3707</v>
      </c>
      <c r="B451">
        <v>87308</v>
      </c>
      <c r="C451">
        <v>2.58</v>
      </c>
      <c r="D451">
        <f t="shared" si="42"/>
        <v>54355.586578088383</v>
      </c>
      <c r="E451">
        <f t="shared" si="43"/>
        <v>54.355586578088385</v>
      </c>
      <c r="F451" s="7">
        <v>0.54678007290400976</v>
      </c>
      <c r="G451">
        <f t="shared" ref="G451:G514" si="44">IF(F451&lt;0.2,1,IF(F451&lt;0.4,2,IF(F451&lt;0.6,3,IF(F451&lt;0.8,4,5))))</f>
        <v>3</v>
      </c>
      <c r="H451" s="7">
        <f t="shared" ref="H451:H514" si="45">1-F451</f>
        <v>0.45321992709599024</v>
      </c>
      <c r="I451">
        <f t="shared" ref="I451:I514" si="46">6-G451</f>
        <v>3</v>
      </c>
      <c r="J451">
        <f>VLOOKUP(A451,'Housing Cost Calc'!$A$2:$C$827,3,FALSE)</f>
        <v>1569</v>
      </c>
      <c r="K451">
        <f t="shared" ref="K451:K514" si="47">(J451*12)/D451</f>
        <v>0.3463857385284822</v>
      </c>
    </row>
    <row r="452" spans="1:11" ht="48" x14ac:dyDescent="0.2">
      <c r="A452" s="4" t="s">
        <v>3739</v>
      </c>
      <c r="B452">
        <v>79707</v>
      </c>
      <c r="C452">
        <v>2.15</v>
      </c>
      <c r="D452">
        <f t="shared" si="42"/>
        <v>54359.722816173031</v>
      </c>
      <c r="E452">
        <f t="shared" si="43"/>
        <v>54.359722816173033</v>
      </c>
      <c r="F452" s="7">
        <v>0.54799513973268532</v>
      </c>
      <c r="G452">
        <f t="shared" si="44"/>
        <v>3</v>
      </c>
      <c r="H452" s="7">
        <f t="shared" si="45"/>
        <v>0.45200486026731468</v>
      </c>
      <c r="I452">
        <f t="shared" si="46"/>
        <v>3</v>
      </c>
      <c r="J452">
        <f>VLOOKUP(A452,'Housing Cost Calc'!$A$2:$C$827,3,FALSE)</f>
        <v>1654</v>
      </c>
      <c r="K452">
        <f t="shared" si="47"/>
        <v>0.36512327458179844</v>
      </c>
    </row>
    <row r="453" spans="1:11" ht="48" x14ac:dyDescent="0.2">
      <c r="A453" s="4" t="s">
        <v>3634</v>
      </c>
      <c r="B453">
        <v>91170</v>
      </c>
      <c r="C453">
        <v>2.81</v>
      </c>
      <c r="D453">
        <f t="shared" si="42"/>
        <v>54387.462248408541</v>
      </c>
      <c r="E453">
        <f t="shared" si="43"/>
        <v>54.387462248408539</v>
      </c>
      <c r="F453" s="7">
        <v>0.54921020656136088</v>
      </c>
      <c r="G453">
        <f t="shared" si="44"/>
        <v>3</v>
      </c>
      <c r="H453" s="7">
        <f t="shared" si="45"/>
        <v>0.45078979343863912</v>
      </c>
      <c r="I453">
        <f t="shared" si="46"/>
        <v>3</v>
      </c>
      <c r="J453">
        <f>VLOOKUP(A453,'Housing Cost Calc'!$A$2:$C$827,3,FALSE)</f>
        <v>1516</v>
      </c>
      <c r="K453">
        <f t="shared" si="47"/>
        <v>0.33448885548125251</v>
      </c>
    </row>
    <row r="454" spans="1:11" ht="48" x14ac:dyDescent="0.2">
      <c r="A454" s="4" t="s">
        <v>3488</v>
      </c>
      <c r="B454">
        <v>80000</v>
      </c>
      <c r="C454">
        <v>2.16</v>
      </c>
      <c r="D454">
        <f t="shared" si="42"/>
        <v>54433.10539518173</v>
      </c>
      <c r="E454">
        <f t="shared" si="43"/>
        <v>54.433105395181727</v>
      </c>
      <c r="F454" s="7">
        <v>0.55042527339003644</v>
      </c>
      <c r="G454">
        <f t="shared" si="44"/>
        <v>3</v>
      </c>
      <c r="H454" s="7">
        <f t="shared" si="45"/>
        <v>0.44957472660996356</v>
      </c>
      <c r="I454">
        <f t="shared" si="46"/>
        <v>3</v>
      </c>
      <c r="J454">
        <f>VLOOKUP(A454,'Housing Cost Calc'!$A$2:$C$827,3,FALSE)</f>
        <v>1448</v>
      </c>
      <c r="K454">
        <f t="shared" si="47"/>
        <v>0.31921750327950382</v>
      </c>
    </row>
    <row r="455" spans="1:11" ht="48" x14ac:dyDescent="0.2">
      <c r="A455" s="4" t="s">
        <v>3811</v>
      </c>
      <c r="B455">
        <v>90527</v>
      </c>
      <c r="C455">
        <v>2.76</v>
      </c>
      <c r="D455">
        <f t="shared" si="42"/>
        <v>54490.850611477144</v>
      </c>
      <c r="E455">
        <f t="shared" si="43"/>
        <v>54.490850611477143</v>
      </c>
      <c r="F455" s="7">
        <v>0.551640340218712</v>
      </c>
      <c r="G455">
        <f t="shared" si="44"/>
        <v>3</v>
      </c>
      <c r="H455" s="7">
        <f t="shared" si="45"/>
        <v>0.448359659781288</v>
      </c>
      <c r="I455">
        <f t="shared" si="46"/>
        <v>3</v>
      </c>
      <c r="J455">
        <f>VLOOKUP(A455,'Housing Cost Calc'!$A$2:$C$827,3,FALSE)</f>
        <v>1773</v>
      </c>
      <c r="K455">
        <f t="shared" si="47"/>
        <v>0.39045086948080671</v>
      </c>
    </row>
    <row r="456" spans="1:11" ht="48" x14ac:dyDescent="0.2">
      <c r="A456" s="4" t="s">
        <v>3153</v>
      </c>
      <c r="B456">
        <v>85347</v>
      </c>
      <c r="C456">
        <v>2.4500000000000002</v>
      </c>
      <c r="D456">
        <f t="shared" si="42"/>
        <v>54526.198193049873</v>
      </c>
      <c r="E456">
        <f t="shared" si="43"/>
        <v>54.526198193049872</v>
      </c>
      <c r="F456" s="7">
        <v>0.55285540704738756</v>
      </c>
      <c r="G456">
        <f t="shared" si="44"/>
        <v>3</v>
      </c>
      <c r="H456" s="7">
        <f t="shared" si="45"/>
        <v>0.44714459295261244</v>
      </c>
      <c r="I456">
        <f t="shared" si="46"/>
        <v>3</v>
      </c>
      <c r="J456">
        <f>VLOOKUP(A456,'Housing Cost Calc'!$A$2:$C$827,3,FALSE)</f>
        <v>1256</v>
      </c>
      <c r="K456">
        <f t="shared" si="47"/>
        <v>0.27641758456435234</v>
      </c>
    </row>
    <row r="457" spans="1:11" ht="48" x14ac:dyDescent="0.2">
      <c r="A457" s="4" t="s">
        <v>3772</v>
      </c>
      <c r="B457">
        <v>83925</v>
      </c>
      <c r="C457">
        <v>2.35</v>
      </c>
      <c r="D457">
        <f t="shared" si="42"/>
        <v>54746.633531010135</v>
      </c>
      <c r="E457">
        <f t="shared" si="43"/>
        <v>54.746633531010133</v>
      </c>
      <c r="F457" s="7">
        <v>0.55407047387606323</v>
      </c>
      <c r="G457">
        <f t="shared" si="44"/>
        <v>3</v>
      </c>
      <c r="H457" s="7">
        <f t="shared" si="45"/>
        <v>0.44592952612393677</v>
      </c>
      <c r="I457">
        <f t="shared" si="46"/>
        <v>3</v>
      </c>
      <c r="J457">
        <f>VLOOKUP(A457,'Housing Cost Calc'!$A$2:$C$827,3,FALSE)</f>
        <v>1703</v>
      </c>
      <c r="K457">
        <f t="shared" si="47"/>
        <v>0.37328322641837763</v>
      </c>
    </row>
    <row r="458" spans="1:11" ht="64" x14ac:dyDescent="0.2">
      <c r="A458" s="4" t="s">
        <v>3485</v>
      </c>
      <c r="B458">
        <v>89900</v>
      </c>
      <c r="C458">
        <v>2.69</v>
      </c>
      <c r="D458">
        <f t="shared" si="42"/>
        <v>54812.99740038735</v>
      </c>
      <c r="E458">
        <f t="shared" si="43"/>
        <v>54.812997400387353</v>
      </c>
      <c r="F458" s="7">
        <v>0.55528554070473879</v>
      </c>
      <c r="G458">
        <f t="shared" si="44"/>
        <v>3</v>
      </c>
      <c r="H458" s="7">
        <f t="shared" si="45"/>
        <v>0.44471445929526121</v>
      </c>
      <c r="I458">
        <f t="shared" si="46"/>
        <v>3</v>
      </c>
      <c r="J458">
        <f>VLOOKUP(A458,'Housing Cost Calc'!$A$2:$C$827,3,FALSE)</f>
        <v>1457</v>
      </c>
      <c r="K458">
        <f t="shared" si="47"/>
        <v>0.31897544066576522</v>
      </c>
    </row>
    <row r="459" spans="1:11" ht="64" x14ac:dyDescent="0.2">
      <c r="A459" s="4" t="s">
        <v>3283</v>
      </c>
      <c r="B459">
        <v>82702</v>
      </c>
      <c r="C459">
        <v>2.27</v>
      </c>
      <c r="D459">
        <f t="shared" si="42"/>
        <v>54891.245315940883</v>
      </c>
      <c r="E459">
        <f t="shared" si="43"/>
        <v>54.891245315940886</v>
      </c>
      <c r="F459" s="7">
        <v>0.55650060753341435</v>
      </c>
      <c r="G459">
        <f t="shared" si="44"/>
        <v>3</v>
      </c>
      <c r="H459" s="7">
        <f t="shared" si="45"/>
        <v>0.44349939246658565</v>
      </c>
      <c r="I459">
        <f t="shared" si="46"/>
        <v>3</v>
      </c>
      <c r="J459">
        <f>VLOOKUP(A459,'Housing Cost Calc'!$A$2:$C$827,3,FALSE)</f>
        <v>1362</v>
      </c>
      <c r="K459">
        <f t="shared" si="47"/>
        <v>0.29775239942048765</v>
      </c>
    </row>
    <row r="460" spans="1:11" ht="48" x14ac:dyDescent="0.2">
      <c r="A460" s="4" t="s">
        <v>3815</v>
      </c>
      <c r="B460">
        <v>90913</v>
      </c>
      <c r="C460">
        <v>2.74</v>
      </c>
      <c r="D460">
        <f t="shared" si="42"/>
        <v>54922.551870926378</v>
      </c>
      <c r="E460">
        <f t="shared" si="43"/>
        <v>54.922551870926377</v>
      </c>
      <c r="F460" s="7">
        <v>0.55771567436208991</v>
      </c>
      <c r="G460">
        <f t="shared" si="44"/>
        <v>3</v>
      </c>
      <c r="H460" s="7">
        <f t="shared" si="45"/>
        <v>0.44228432563791009</v>
      </c>
      <c r="I460">
        <f t="shared" si="46"/>
        <v>3</v>
      </c>
      <c r="J460">
        <f>VLOOKUP(A460,'Housing Cost Calc'!$A$2:$C$827,3,FALSE)</f>
        <v>1857</v>
      </c>
      <c r="K460">
        <f t="shared" si="47"/>
        <v>0.40573497117121726</v>
      </c>
    </row>
    <row r="461" spans="1:11" ht="48" x14ac:dyDescent="0.2">
      <c r="A461" s="4" t="s">
        <v>3496</v>
      </c>
      <c r="B461">
        <v>90285</v>
      </c>
      <c r="C461">
        <v>2.7</v>
      </c>
      <c r="D461">
        <f t="shared" si="42"/>
        <v>54945.701227059908</v>
      </c>
      <c r="E461">
        <f t="shared" si="43"/>
        <v>54.945701227059907</v>
      </c>
      <c r="F461" s="7">
        <v>0.55893074119076547</v>
      </c>
      <c r="G461">
        <f t="shared" si="44"/>
        <v>3</v>
      </c>
      <c r="H461" s="7">
        <f t="shared" si="45"/>
        <v>0.44106925880923453</v>
      </c>
      <c r="I461">
        <f t="shared" si="46"/>
        <v>3</v>
      </c>
      <c r="J461">
        <f>VLOOKUP(A461,'Housing Cost Calc'!$A$2:$C$827,3,FALSE)</f>
        <v>1466</v>
      </c>
      <c r="K461">
        <f t="shared" si="47"/>
        <v>0.32017063404654872</v>
      </c>
    </row>
    <row r="462" spans="1:11" ht="48" x14ac:dyDescent="0.2">
      <c r="A462" s="4" t="s">
        <v>3774</v>
      </c>
      <c r="B462">
        <v>90150</v>
      </c>
      <c r="C462">
        <v>2.69</v>
      </c>
      <c r="D462">
        <f t="shared" si="42"/>
        <v>54965.425090599769</v>
      </c>
      <c r="E462">
        <f t="shared" si="43"/>
        <v>54.965425090599766</v>
      </c>
      <c r="F462" s="7">
        <v>0.56014580801944103</v>
      </c>
      <c r="G462">
        <f t="shared" si="44"/>
        <v>3</v>
      </c>
      <c r="H462" s="7">
        <f t="shared" si="45"/>
        <v>0.43985419198055897</v>
      </c>
      <c r="I462">
        <f t="shared" si="46"/>
        <v>3</v>
      </c>
      <c r="J462">
        <f>VLOOKUP(A462,'Housing Cost Calc'!$A$2:$C$827,3,FALSE)</f>
        <v>1651</v>
      </c>
      <c r="K462">
        <f t="shared" si="47"/>
        <v>0.36044476991388291</v>
      </c>
    </row>
    <row r="463" spans="1:11" ht="64" x14ac:dyDescent="0.2">
      <c r="A463" s="4" t="s">
        <v>3207</v>
      </c>
      <c r="B463">
        <v>84625</v>
      </c>
      <c r="C463">
        <v>2.37</v>
      </c>
      <c r="D463">
        <f t="shared" si="42"/>
        <v>54969.84453331551</v>
      </c>
      <c r="E463">
        <f t="shared" si="43"/>
        <v>54.969844533315509</v>
      </c>
      <c r="F463" s="7">
        <v>0.5613608748481167</v>
      </c>
      <c r="G463">
        <f t="shared" si="44"/>
        <v>3</v>
      </c>
      <c r="H463" s="7">
        <f t="shared" si="45"/>
        <v>0.4386391251518833</v>
      </c>
      <c r="I463">
        <f t="shared" si="46"/>
        <v>3</v>
      </c>
      <c r="J463">
        <f>VLOOKUP(A463,'Housing Cost Calc'!$A$2:$C$827,3,FALSE)</f>
        <v>1323</v>
      </c>
      <c r="K463">
        <f t="shared" si="47"/>
        <v>0.28881289613941058</v>
      </c>
    </row>
    <row r="464" spans="1:11" ht="48" x14ac:dyDescent="0.2">
      <c r="A464" s="4" t="s">
        <v>3761</v>
      </c>
      <c r="B464">
        <v>89545</v>
      </c>
      <c r="C464">
        <v>2.65</v>
      </c>
      <c r="D464">
        <f t="shared" si="42"/>
        <v>55007.056236896162</v>
      </c>
      <c r="E464">
        <f t="shared" si="43"/>
        <v>55.007056236896162</v>
      </c>
      <c r="F464" s="7">
        <v>0.56257594167679226</v>
      </c>
      <c r="G464">
        <f t="shared" si="44"/>
        <v>3</v>
      </c>
      <c r="H464" s="7">
        <f t="shared" si="45"/>
        <v>0.43742405832320774</v>
      </c>
      <c r="I464">
        <f t="shared" si="46"/>
        <v>3</v>
      </c>
      <c r="J464">
        <f>VLOOKUP(A464,'Housing Cost Calc'!$A$2:$C$827,3,FALSE)</f>
        <v>1634</v>
      </c>
      <c r="K464">
        <f t="shared" si="47"/>
        <v>0.35646335836542858</v>
      </c>
    </row>
    <row r="465" spans="1:11" ht="64" x14ac:dyDescent="0.2">
      <c r="A465" s="4" t="s">
        <v>3795</v>
      </c>
      <c r="B465">
        <v>88750</v>
      </c>
      <c r="C465">
        <v>2.6</v>
      </c>
      <c r="D465">
        <f t="shared" si="42"/>
        <v>55040.413473961249</v>
      </c>
      <c r="E465">
        <f t="shared" si="43"/>
        <v>55.040413473961252</v>
      </c>
      <c r="F465" s="7">
        <v>0.56379100850546782</v>
      </c>
      <c r="G465">
        <f t="shared" si="44"/>
        <v>3</v>
      </c>
      <c r="H465" s="7">
        <f t="shared" si="45"/>
        <v>0.43620899149453218</v>
      </c>
      <c r="I465">
        <f t="shared" si="46"/>
        <v>3</v>
      </c>
      <c r="J465">
        <f>VLOOKUP(A465,'Housing Cost Calc'!$A$2:$C$827,3,FALSE)</f>
        <v>1741</v>
      </c>
      <c r="K465">
        <f t="shared" si="47"/>
        <v>0.37957563690693702</v>
      </c>
    </row>
    <row r="466" spans="1:11" ht="48" x14ac:dyDescent="0.2">
      <c r="A466" s="4" t="s">
        <v>3796</v>
      </c>
      <c r="B466">
        <v>89167</v>
      </c>
      <c r="C466">
        <v>2.62</v>
      </c>
      <c r="D466">
        <f t="shared" si="42"/>
        <v>55087.556570711124</v>
      </c>
      <c r="E466">
        <f t="shared" si="43"/>
        <v>55.087556570711122</v>
      </c>
      <c r="F466" s="7">
        <v>0.56500607533414338</v>
      </c>
      <c r="G466">
        <f t="shared" si="44"/>
        <v>3</v>
      </c>
      <c r="H466" s="7">
        <f t="shared" si="45"/>
        <v>0.43499392466585662</v>
      </c>
      <c r="I466">
        <f t="shared" si="46"/>
        <v>3</v>
      </c>
      <c r="J466">
        <f>VLOOKUP(A466,'Housing Cost Calc'!$A$2:$C$827,3,FALSE)</f>
        <v>1730</v>
      </c>
      <c r="K466">
        <f t="shared" si="47"/>
        <v>0.37685461640238455</v>
      </c>
    </row>
    <row r="467" spans="1:11" ht="64" x14ac:dyDescent="0.2">
      <c r="A467" s="4" t="s">
        <v>3685</v>
      </c>
      <c r="B467">
        <v>83929</v>
      </c>
      <c r="C467">
        <v>2.3199999999999998</v>
      </c>
      <c r="D467">
        <f t="shared" si="42"/>
        <v>55102.088017418275</v>
      </c>
      <c r="E467">
        <f t="shared" si="43"/>
        <v>55.102088017418275</v>
      </c>
      <c r="F467" s="7">
        <v>0.56622114216281894</v>
      </c>
      <c r="G467">
        <f t="shared" si="44"/>
        <v>3</v>
      </c>
      <c r="H467" s="7">
        <f t="shared" si="45"/>
        <v>0.43377885783718106</v>
      </c>
      <c r="I467">
        <f t="shared" si="46"/>
        <v>3</v>
      </c>
      <c r="J467">
        <f>VLOOKUP(A467,'Housing Cost Calc'!$A$2:$C$827,3,FALSE)</f>
        <v>1576</v>
      </c>
      <c r="K467">
        <f t="shared" si="47"/>
        <v>0.34321748377342332</v>
      </c>
    </row>
    <row r="468" spans="1:11" ht="64" x14ac:dyDescent="0.2">
      <c r="A468" s="4" t="s">
        <v>3571</v>
      </c>
      <c r="B468">
        <v>89141</v>
      </c>
      <c r="C468">
        <v>2.61</v>
      </c>
      <c r="D468">
        <f t="shared" si="42"/>
        <v>55176.893801468606</v>
      </c>
      <c r="E468">
        <f t="shared" si="43"/>
        <v>55.176893801468609</v>
      </c>
      <c r="F468" s="7">
        <v>0.5674362089914945</v>
      </c>
      <c r="G468">
        <f t="shared" si="44"/>
        <v>3</v>
      </c>
      <c r="H468" s="7">
        <f t="shared" si="45"/>
        <v>0.4325637910085055</v>
      </c>
      <c r="I468">
        <f t="shared" si="46"/>
        <v>3</v>
      </c>
      <c r="J468">
        <f>VLOOKUP(A468,'Housing Cost Calc'!$A$2:$C$827,3,FALSE)</f>
        <v>1506</v>
      </c>
      <c r="K468">
        <f t="shared" si="47"/>
        <v>0.32752840464388355</v>
      </c>
    </row>
    <row r="469" spans="1:11" ht="48" x14ac:dyDescent="0.2">
      <c r="A469" s="4" t="s">
        <v>3746</v>
      </c>
      <c r="B469">
        <v>80759</v>
      </c>
      <c r="C469">
        <v>2.14</v>
      </c>
      <c r="D469">
        <f t="shared" si="42"/>
        <v>55205.715880584772</v>
      </c>
      <c r="E469">
        <f t="shared" si="43"/>
        <v>55.205715880584769</v>
      </c>
      <c r="F469" s="7">
        <v>0.56865127582017005</v>
      </c>
      <c r="G469">
        <f t="shared" si="44"/>
        <v>3</v>
      </c>
      <c r="H469" s="7">
        <f t="shared" si="45"/>
        <v>0.43134872417982995</v>
      </c>
      <c r="I469">
        <f t="shared" si="46"/>
        <v>3</v>
      </c>
      <c r="J469">
        <f>VLOOKUP(A469,'Housing Cost Calc'!$A$2:$C$827,3,FALSE)</f>
        <v>1705</v>
      </c>
      <c r="K469">
        <f t="shared" si="47"/>
        <v>0.37061379738751926</v>
      </c>
    </row>
    <row r="470" spans="1:11" ht="64" x14ac:dyDescent="0.2">
      <c r="A470" s="4" t="s">
        <v>3285</v>
      </c>
      <c r="B470">
        <v>86384</v>
      </c>
      <c r="C470">
        <v>2.4300000000000002</v>
      </c>
      <c r="D470">
        <f t="shared" si="42"/>
        <v>55415.361837418481</v>
      </c>
      <c r="E470">
        <f t="shared" si="43"/>
        <v>55.41536183741848</v>
      </c>
      <c r="F470" s="7">
        <v>0.56986634264884573</v>
      </c>
      <c r="G470">
        <f t="shared" si="44"/>
        <v>3</v>
      </c>
      <c r="H470" s="7">
        <f t="shared" si="45"/>
        <v>0.43013365735115427</v>
      </c>
      <c r="I470">
        <f t="shared" si="46"/>
        <v>3</v>
      </c>
      <c r="J470">
        <f>VLOOKUP(A470,'Housing Cost Calc'!$A$2:$C$827,3,FALSE)</f>
        <v>1376</v>
      </c>
      <c r="K470">
        <f t="shared" si="47"/>
        <v>0.29796791814594797</v>
      </c>
    </row>
    <row r="471" spans="1:11" ht="64" x14ac:dyDescent="0.2">
      <c r="A471" s="4" t="s">
        <v>3075</v>
      </c>
      <c r="B471">
        <v>78209</v>
      </c>
      <c r="C471">
        <v>1.99</v>
      </c>
      <c r="D471">
        <f t="shared" si="42"/>
        <v>55440.890162496937</v>
      </c>
      <c r="E471">
        <f t="shared" si="43"/>
        <v>55.440890162496935</v>
      </c>
      <c r="F471" s="7">
        <v>0.57108140947752128</v>
      </c>
      <c r="G471">
        <f t="shared" si="44"/>
        <v>3</v>
      </c>
      <c r="H471" s="7">
        <f t="shared" si="45"/>
        <v>0.42891859052247872</v>
      </c>
      <c r="I471">
        <f t="shared" si="46"/>
        <v>3</v>
      </c>
      <c r="J471">
        <f>VLOOKUP(A471,'Housing Cost Calc'!$A$2:$C$827,3,FALSE)</f>
        <v>1197</v>
      </c>
      <c r="K471">
        <f t="shared" si="47"/>
        <v>0.25908674911061486</v>
      </c>
    </row>
    <row r="472" spans="1:11" ht="48" x14ac:dyDescent="0.2">
      <c r="A472" s="4" t="s">
        <v>3791</v>
      </c>
      <c r="B472">
        <v>93632</v>
      </c>
      <c r="C472">
        <v>2.85</v>
      </c>
      <c r="D472">
        <f t="shared" si="42"/>
        <v>55462.810122339331</v>
      </c>
      <c r="E472">
        <f t="shared" si="43"/>
        <v>55.462810122339334</v>
      </c>
      <c r="F472" s="7">
        <v>0.57229647630619684</v>
      </c>
      <c r="G472">
        <f t="shared" si="44"/>
        <v>3</v>
      </c>
      <c r="H472" s="7">
        <f t="shared" si="45"/>
        <v>0.42770352369380316</v>
      </c>
      <c r="I472">
        <f t="shared" si="46"/>
        <v>3</v>
      </c>
      <c r="J472">
        <f>VLOOKUP(A472,'Housing Cost Calc'!$A$2:$C$827,3,FALSE)</f>
        <v>1699</v>
      </c>
      <c r="K472">
        <f t="shared" si="47"/>
        <v>0.36759767409960559</v>
      </c>
    </row>
    <row r="473" spans="1:11" ht="48" x14ac:dyDescent="0.2">
      <c r="A473" s="4" t="s">
        <v>3221</v>
      </c>
      <c r="B473">
        <v>86714</v>
      </c>
      <c r="C473">
        <v>2.4300000000000002</v>
      </c>
      <c r="D473">
        <f t="shared" si="42"/>
        <v>55627.056936121342</v>
      </c>
      <c r="E473">
        <f t="shared" si="43"/>
        <v>55.627056936121342</v>
      </c>
      <c r="F473" s="7">
        <v>0.5735115431348724</v>
      </c>
      <c r="G473">
        <f t="shared" si="44"/>
        <v>3</v>
      </c>
      <c r="H473" s="7">
        <f t="shared" si="45"/>
        <v>0.4264884568651276</v>
      </c>
      <c r="I473">
        <f t="shared" si="46"/>
        <v>3</v>
      </c>
      <c r="J473">
        <f>VLOOKUP(A473,'Housing Cost Calc'!$A$2:$C$827,3,FALSE)</f>
        <v>1345</v>
      </c>
      <c r="K473">
        <f t="shared" si="47"/>
        <v>0.29014657414887463</v>
      </c>
    </row>
    <row r="474" spans="1:11" ht="48" x14ac:dyDescent="0.2">
      <c r="A474" s="4" t="s">
        <v>3812</v>
      </c>
      <c r="B474">
        <v>90568</v>
      </c>
      <c r="C474">
        <v>2.64</v>
      </c>
      <c r="D474">
        <f t="shared" si="42"/>
        <v>55740.750775081033</v>
      </c>
      <c r="E474">
        <f t="shared" si="43"/>
        <v>55.740750775081032</v>
      </c>
      <c r="F474" s="7">
        <v>0.57472660996354796</v>
      </c>
      <c r="G474">
        <f t="shared" si="44"/>
        <v>3</v>
      </c>
      <c r="H474" s="7">
        <f t="shared" si="45"/>
        <v>0.42527339003645204</v>
      </c>
      <c r="I474">
        <f t="shared" si="46"/>
        <v>3</v>
      </c>
      <c r="J474">
        <f>VLOOKUP(A474,'Housing Cost Calc'!$A$2:$C$827,3,FALSE)</f>
        <v>1958</v>
      </c>
      <c r="K474">
        <f t="shared" si="47"/>
        <v>0.42152284770631243</v>
      </c>
    </row>
    <row r="475" spans="1:11" ht="64" x14ac:dyDescent="0.2">
      <c r="A475" s="4" t="s">
        <v>3039</v>
      </c>
      <c r="B475">
        <v>90156</v>
      </c>
      <c r="C475">
        <v>2.61</v>
      </c>
      <c r="D475">
        <f t="shared" si="42"/>
        <v>55805.163028967632</v>
      </c>
      <c r="E475">
        <f t="shared" si="43"/>
        <v>55.805163028967634</v>
      </c>
      <c r="F475" s="7">
        <v>0.57594167679222352</v>
      </c>
      <c r="G475">
        <f t="shared" si="44"/>
        <v>3</v>
      </c>
      <c r="H475" s="7">
        <f t="shared" si="45"/>
        <v>0.42405832320777648</v>
      </c>
      <c r="I475">
        <f t="shared" si="46"/>
        <v>3</v>
      </c>
      <c r="J475">
        <f>VLOOKUP(A475,'Housing Cost Calc'!$A$2:$C$827,3,FALSE)</f>
        <v>1138</v>
      </c>
      <c r="K475">
        <f t="shared" si="47"/>
        <v>0.24470854055047511</v>
      </c>
    </row>
    <row r="476" spans="1:11" ht="48" x14ac:dyDescent="0.2">
      <c r="A476" s="4" t="s">
        <v>3159</v>
      </c>
      <c r="B476">
        <v>86821</v>
      </c>
      <c r="C476">
        <v>2.41</v>
      </c>
      <c r="D476">
        <f t="shared" si="42"/>
        <v>55926.322460746531</v>
      </c>
      <c r="E476">
        <f t="shared" si="43"/>
        <v>55.926322460746533</v>
      </c>
      <c r="F476" s="7">
        <v>0.57715674362089919</v>
      </c>
      <c r="G476">
        <f t="shared" si="44"/>
        <v>3</v>
      </c>
      <c r="H476" s="7">
        <f t="shared" si="45"/>
        <v>0.42284325637910081</v>
      </c>
      <c r="I476">
        <f t="shared" si="46"/>
        <v>3</v>
      </c>
      <c r="J476">
        <f>VLOOKUP(A476,'Housing Cost Calc'!$A$2:$C$827,3,FALSE)</f>
        <v>1307</v>
      </c>
      <c r="K476">
        <f t="shared" si="47"/>
        <v>0.28044039568323587</v>
      </c>
    </row>
    <row r="477" spans="1:11" ht="48" x14ac:dyDescent="0.2">
      <c r="A477" s="4" t="s">
        <v>3323</v>
      </c>
      <c r="B477">
        <v>87917</v>
      </c>
      <c r="C477">
        <v>2.4700000000000002</v>
      </c>
      <c r="D477">
        <f t="shared" si="42"/>
        <v>55940.247506541455</v>
      </c>
      <c r="E477">
        <f t="shared" si="43"/>
        <v>55.940247506541454</v>
      </c>
      <c r="F477" s="7">
        <v>0.57837181044957475</v>
      </c>
      <c r="G477">
        <f t="shared" si="44"/>
        <v>3</v>
      </c>
      <c r="H477" s="7">
        <f t="shared" si="45"/>
        <v>0.42162818955042525</v>
      </c>
      <c r="I477">
        <f t="shared" si="46"/>
        <v>3</v>
      </c>
      <c r="J477">
        <f>VLOOKUP(A477,'Housing Cost Calc'!$A$2:$C$827,3,FALSE)</f>
        <v>1407</v>
      </c>
      <c r="K477">
        <f t="shared" si="47"/>
        <v>0.30182204678350133</v>
      </c>
    </row>
    <row r="478" spans="1:11" ht="48" x14ac:dyDescent="0.2">
      <c r="A478" s="4" t="s">
        <v>3550</v>
      </c>
      <c r="B478">
        <v>85960</v>
      </c>
      <c r="C478">
        <v>2.36</v>
      </c>
      <c r="D478">
        <f t="shared" si="42"/>
        <v>55955.193939558099</v>
      </c>
      <c r="E478">
        <f t="shared" si="43"/>
        <v>55.9551939395581</v>
      </c>
      <c r="F478" s="7">
        <v>0.57958687727825031</v>
      </c>
      <c r="G478">
        <f t="shared" si="44"/>
        <v>3</v>
      </c>
      <c r="H478" s="7">
        <f t="shared" si="45"/>
        <v>0.42041312272174969</v>
      </c>
      <c r="I478">
        <f t="shared" si="46"/>
        <v>3</v>
      </c>
      <c r="J478">
        <f>VLOOKUP(A478,'Housing Cost Calc'!$A$2:$C$827,3,FALSE)</f>
        <v>1509</v>
      </c>
      <c r="K478">
        <f t="shared" si="47"/>
        <v>0.32361607073616744</v>
      </c>
    </row>
    <row r="479" spans="1:11" ht="64" x14ac:dyDescent="0.2">
      <c r="A479" s="4" t="s">
        <v>3269</v>
      </c>
      <c r="B479">
        <v>89460</v>
      </c>
      <c r="C479">
        <v>2.5499999999999998</v>
      </c>
      <c r="D479">
        <f t="shared" si="42"/>
        <v>56022.025080477477</v>
      </c>
      <c r="E479">
        <f t="shared" si="43"/>
        <v>56.022025080477476</v>
      </c>
      <c r="F479" s="7">
        <v>0.58080194410692587</v>
      </c>
      <c r="G479">
        <f t="shared" si="44"/>
        <v>3</v>
      </c>
      <c r="H479" s="7">
        <f t="shared" si="45"/>
        <v>0.41919805589307413</v>
      </c>
      <c r="I479">
        <f t="shared" si="46"/>
        <v>3</v>
      </c>
      <c r="J479">
        <f>VLOOKUP(A479,'Housing Cost Calc'!$A$2:$C$827,3,FALSE)</f>
        <v>1382</v>
      </c>
      <c r="K479">
        <f t="shared" si="47"/>
        <v>0.29602642846588534</v>
      </c>
    </row>
    <row r="480" spans="1:11" ht="48" x14ac:dyDescent="0.2">
      <c r="A480" s="4" t="s">
        <v>3231</v>
      </c>
      <c r="B480">
        <v>91250</v>
      </c>
      <c r="C480">
        <v>2.65</v>
      </c>
      <c r="D480">
        <f t="shared" si="42"/>
        <v>56054.429411098048</v>
      </c>
      <c r="E480">
        <f t="shared" si="43"/>
        <v>56.054429411098049</v>
      </c>
      <c r="F480" s="7">
        <v>0.58201701093560143</v>
      </c>
      <c r="G480">
        <f t="shared" si="44"/>
        <v>3</v>
      </c>
      <c r="H480" s="7">
        <f t="shared" si="45"/>
        <v>0.41798298906439857</v>
      </c>
      <c r="I480">
        <f t="shared" si="46"/>
        <v>3</v>
      </c>
      <c r="J480">
        <f>VLOOKUP(A480,'Housing Cost Calc'!$A$2:$C$827,3,FALSE)</f>
        <v>1361</v>
      </c>
      <c r="K480">
        <f t="shared" si="47"/>
        <v>0.29135966901424698</v>
      </c>
    </row>
    <row r="481" spans="1:11" ht="48" x14ac:dyDescent="0.2">
      <c r="A481" s="4" t="s">
        <v>3239</v>
      </c>
      <c r="B481">
        <v>82436</v>
      </c>
      <c r="C481">
        <v>2.16</v>
      </c>
      <c r="D481">
        <f t="shared" si="42"/>
        <v>56090.593454465015</v>
      </c>
      <c r="E481">
        <f t="shared" si="43"/>
        <v>56.090593454465015</v>
      </c>
      <c r="F481" s="7">
        <v>0.58323207776427699</v>
      </c>
      <c r="G481">
        <f t="shared" si="44"/>
        <v>3</v>
      </c>
      <c r="H481" s="7">
        <f t="shared" si="45"/>
        <v>0.41676792223572301</v>
      </c>
      <c r="I481">
        <f t="shared" si="46"/>
        <v>3</v>
      </c>
      <c r="J481">
        <f>VLOOKUP(A481,'Housing Cost Calc'!$A$2:$C$827,3,FALSE)</f>
        <v>1366</v>
      </c>
      <c r="K481">
        <f t="shared" si="47"/>
        <v>0.29224151485056427</v>
      </c>
    </row>
    <row r="482" spans="1:11" ht="48" x14ac:dyDescent="0.2">
      <c r="A482" s="4" t="s">
        <v>3805</v>
      </c>
      <c r="B482">
        <v>90000</v>
      </c>
      <c r="C482">
        <v>2.56</v>
      </c>
      <c r="D482">
        <f t="shared" si="42"/>
        <v>56250</v>
      </c>
      <c r="E482">
        <f t="shared" si="43"/>
        <v>56.25</v>
      </c>
      <c r="F482" s="7">
        <v>0.58444714459295266</v>
      </c>
      <c r="G482">
        <f t="shared" si="44"/>
        <v>3</v>
      </c>
      <c r="H482" s="7">
        <f t="shared" si="45"/>
        <v>0.41555285540704734</v>
      </c>
      <c r="I482">
        <f t="shared" si="46"/>
        <v>3</v>
      </c>
      <c r="J482">
        <f>VLOOKUP(A482,'Housing Cost Calc'!$A$2:$C$827,3,FALSE)</f>
        <v>1798</v>
      </c>
      <c r="K482">
        <f t="shared" si="47"/>
        <v>0.38357333333333332</v>
      </c>
    </row>
    <row r="483" spans="1:11" ht="64" x14ac:dyDescent="0.2">
      <c r="A483" s="4" t="s">
        <v>3534</v>
      </c>
      <c r="B483">
        <v>90563</v>
      </c>
      <c r="C483">
        <v>2.59</v>
      </c>
      <c r="D483">
        <f t="shared" si="42"/>
        <v>56273.110118366676</v>
      </c>
      <c r="E483">
        <f t="shared" si="43"/>
        <v>56.273110118366674</v>
      </c>
      <c r="F483" s="7">
        <v>0.58566221142162822</v>
      </c>
      <c r="G483">
        <f t="shared" si="44"/>
        <v>3</v>
      </c>
      <c r="H483" s="7">
        <f t="shared" si="45"/>
        <v>0.41433778857837178</v>
      </c>
      <c r="I483">
        <f t="shared" si="46"/>
        <v>3</v>
      </c>
      <c r="J483">
        <f>VLOOKUP(A483,'Housing Cost Calc'!$A$2:$C$827,3,FALSE)</f>
        <v>1509</v>
      </c>
      <c r="K483">
        <f t="shared" si="47"/>
        <v>0.32178779459516366</v>
      </c>
    </row>
    <row r="484" spans="1:11" ht="48" x14ac:dyDescent="0.2">
      <c r="A484" s="4" t="s">
        <v>3784</v>
      </c>
      <c r="B484">
        <v>85420</v>
      </c>
      <c r="C484">
        <v>2.29</v>
      </c>
      <c r="D484">
        <f t="shared" si="42"/>
        <v>56447.12485087377</v>
      </c>
      <c r="E484">
        <f t="shared" si="43"/>
        <v>56.44712485087377</v>
      </c>
      <c r="F484" s="7">
        <v>0.58687727825030378</v>
      </c>
      <c r="G484">
        <f t="shared" si="44"/>
        <v>3</v>
      </c>
      <c r="H484" s="7">
        <f t="shared" si="45"/>
        <v>0.41312272174969622</v>
      </c>
      <c r="I484">
        <f t="shared" si="46"/>
        <v>3</v>
      </c>
      <c r="J484">
        <f>VLOOKUP(A484,'Housing Cost Calc'!$A$2:$C$827,3,FALSE)</f>
        <v>2014</v>
      </c>
      <c r="K484">
        <f t="shared" si="47"/>
        <v>0.42815289642915966</v>
      </c>
    </row>
    <row r="485" spans="1:11" ht="48" x14ac:dyDescent="0.2">
      <c r="A485" s="4" t="s">
        <v>3402</v>
      </c>
      <c r="B485">
        <v>91973</v>
      </c>
      <c r="C485">
        <v>2.65</v>
      </c>
      <c r="D485">
        <f t="shared" si="42"/>
        <v>56498.564780568995</v>
      </c>
      <c r="E485">
        <f t="shared" si="43"/>
        <v>56.498564780568998</v>
      </c>
      <c r="F485" s="7">
        <v>0.58809234507897934</v>
      </c>
      <c r="G485">
        <f t="shared" si="44"/>
        <v>3</v>
      </c>
      <c r="H485" s="7">
        <f t="shared" si="45"/>
        <v>0.41190765492102066</v>
      </c>
      <c r="I485">
        <f t="shared" si="46"/>
        <v>3</v>
      </c>
      <c r="J485">
        <f>VLOOKUP(A485,'Housing Cost Calc'!$A$2:$C$827,3,FALSE)</f>
        <v>1465</v>
      </c>
      <c r="K485">
        <f t="shared" si="47"/>
        <v>0.31115834655761238</v>
      </c>
    </row>
    <row r="486" spans="1:11" ht="48" x14ac:dyDescent="0.2">
      <c r="A486" s="4" t="s">
        <v>3670</v>
      </c>
      <c r="B486">
        <v>91129</v>
      </c>
      <c r="C486">
        <v>2.6</v>
      </c>
      <c r="D486">
        <f t="shared" si="42"/>
        <v>56515.806641899886</v>
      </c>
      <c r="E486">
        <f t="shared" si="43"/>
        <v>56.515806641899886</v>
      </c>
      <c r="F486" s="7">
        <v>0.5893074119076549</v>
      </c>
      <c r="G486">
        <f t="shared" si="44"/>
        <v>3</v>
      </c>
      <c r="H486" s="7">
        <f t="shared" si="45"/>
        <v>0.4106925880923451</v>
      </c>
      <c r="I486">
        <f t="shared" si="46"/>
        <v>3</v>
      </c>
      <c r="J486">
        <f>VLOOKUP(A486,'Housing Cost Calc'!$A$2:$C$827,3,FALSE)</f>
        <v>1605</v>
      </c>
      <c r="K486">
        <f t="shared" si="47"/>
        <v>0.34078961523166079</v>
      </c>
    </row>
    <row r="487" spans="1:11" ht="64" x14ac:dyDescent="0.2">
      <c r="A487" s="4" t="s">
        <v>3738</v>
      </c>
      <c r="B487">
        <v>82841</v>
      </c>
      <c r="C487">
        <v>2.14</v>
      </c>
      <c r="D487">
        <f t="shared" si="42"/>
        <v>56628.941780650122</v>
      </c>
      <c r="E487">
        <f t="shared" si="43"/>
        <v>56.628941780650123</v>
      </c>
      <c r="F487" s="7">
        <v>0.59052247873633046</v>
      </c>
      <c r="G487">
        <f t="shared" si="44"/>
        <v>3</v>
      </c>
      <c r="H487" s="7">
        <f t="shared" si="45"/>
        <v>0.40947752126366954</v>
      </c>
      <c r="I487">
        <f t="shared" si="46"/>
        <v>3</v>
      </c>
      <c r="J487">
        <f>VLOOKUP(A487,'Housing Cost Calc'!$A$2:$C$827,3,FALSE)</f>
        <v>1662</v>
      </c>
      <c r="K487">
        <f t="shared" si="47"/>
        <v>0.35218740405307702</v>
      </c>
    </row>
    <row r="488" spans="1:11" ht="48" x14ac:dyDescent="0.2">
      <c r="A488" s="4" t="s">
        <v>3479</v>
      </c>
      <c r="B488">
        <v>93403</v>
      </c>
      <c r="C488">
        <v>2.72</v>
      </c>
      <c r="D488">
        <f t="shared" si="42"/>
        <v>56633.887463171523</v>
      </c>
      <c r="E488">
        <f t="shared" si="43"/>
        <v>56.633887463171526</v>
      </c>
      <c r="F488" s="7">
        <v>0.59173754556500613</v>
      </c>
      <c r="G488">
        <f t="shared" si="44"/>
        <v>3</v>
      </c>
      <c r="H488" s="7">
        <f t="shared" si="45"/>
        <v>0.40826245443499387</v>
      </c>
      <c r="I488">
        <f t="shared" si="46"/>
        <v>3</v>
      </c>
      <c r="J488">
        <f>VLOOKUP(A488,'Housing Cost Calc'!$A$2:$C$827,3,FALSE)</f>
        <v>1502</v>
      </c>
      <c r="K488">
        <f t="shared" si="47"/>
        <v>0.31825468473660468</v>
      </c>
    </row>
    <row r="489" spans="1:11" ht="64" x14ac:dyDescent="0.2">
      <c r="A489" s="4" t="s">
        <v>3185</v>
      </c>
      <c r="B489">
        <v>90500</v>
      </c>
      <c r="C489">
        <v>2.5499999999999998</v>
      </c>
      <c r="D489">
        <f t="shared" si="42"/>
        <v>56673.298343206028</v>
      </c>
      <c r="E489">
        <f t="shared" si="43"/>
        <v>56.673298343206028</v>
      </c>
      <c r="F489" s="7">
        <v>0.59295261239368169</v>
      </c>
      <c r="G489">
        <f t="shared" si="44"/>
        <v>3</v>
      </c>
      <c r="H489" s="7">
        <f t="shared" si="45"/>
        <v>0.40704738760631831</v>
      </c>
      <c r="I489">
        <f t="shared" si="46"/>
        <v>3</v>
      </c>
      <c r="J489">
        <f>VLOOKUP(A489,'Housing Cost Calc'!$A$2:$C$827,3,FALSE)</f>
        <v>1343</v>
      </c>
      <c r="K489">
        <f t="shared" si="47"/>
        <v>0.2843667206804098</v>
      </c>
    </row>
    <row r="490" spans="1:11" ht="48" x14ac:dyDescent="0.2">
      <c r="A490" s="4" t="s">
        <v>3818</v>
      </c>
      <c r="B490">
        <v>91467</v>
      </c>
      <c r="C490">
        <v>2.6</v>
      </c>
      <c r="D490">
        <f t="shared" si="42"/>
        <v>56725.425343355644</v>
      </c>
      <c r="E490">
        <f t="shared" si="43"/>
        <v>56.725425343355646</v>
      </c>
      <c r="F490" s="7">
        <v>0.59416767922235725</v>
      </c>
      <c r="G490">
        <f t="shared" si="44"/>
        <v>3</v>
      </c>
      <c r="H490" s="7">
        <f t="shared" si="45"/>
        <v>0.40583232077764275</v>
      </c>
      <c r="I490">
        <f t="shared" si="46"/>
        <v>3</v>
      </c>
      <c r="J490">
        <f>VLOOKUP(A490,'Housing Cost Calc'!$A$2:$C$827,3,FALSE)</f>
        <v>1873</v>
      </c>
      <c r="K490">
        <f t="shared" si="47"/>
        <v>0.39622444193153428</v>
      </c>
    </row>
    <row r="491" spans="1:11" ht="48" x14ac:dyDescent="0.2">
      <c r="A491" s="4" t="s">
        <v>3095</v>
      </c>
      <c r="B491">
        <v>85536</v>
      </c>
      <c r="C491">
        <v>2.27</v>
      </c>
      <c r="D491">
        <f t="shared" si="42"/>
        <v>56772.237181015204</v>
      </c>
      <c r="E491">
        <f t="shared" si="43"/>
        <v>56.772237181015207</v>
      </c>
      <c r="F491" s="7">
        <v>0.59538274605103281</v>
      </c>
      <c r="G491">
        <f t="shared" si="44"/>
        <v>3</v>
      </c>
      <c r="H491" s="7">
        <f t="shared" si="45"/>
        <v>0.40461725394896719</v>
      </c>
      <c r="I491">
        <f t="shared" si="46"/>
        <v>3</v>
      </c>
      <c r="J491">
        <f>VLOOKUP(A491,'Housing Cost Calc'!$A$2:$C$827,3,FALSE)</f>
        <v>1238</v>
      </c>
      <c r="K491">
        <f t="shared" si="47"/>
        <v>0.26167719888565338</v>
      </c>
    </row>
    <row r="492" spans="1:11" ht="64" x14ac:dyDescent="0.2">
      <c r="A492" s="4" t="s">
        <v>3051</v>
      </c>
      <c r="B492">
        <v>89292</v>
      </c>
      <c r="C492">
        <v>2.4500000000000002</v>
      </c>
      <c r="D492">
        <f t="shared" si="42"/>
        <v>57046.566241974637</v>
      </c>
      <c r="E492">
        <f t="shared" si="43"/>
        <v>57.046566241974638</v>
      </c>
      <c r="F492" s="7">
        <v>0.59659781287970837</v>
      </c>
      <c r="G492">
        <f t="shared" si="44"/>
        <v>3</v>
      </c>
      <c r="H492" s="7">
        <f t="shared" si="45"/>
        <v>0.40340218712029163</v>
      </c>
      <c r="I492">
        <f t="shared" si="46"/>
        <v>3</v>
      </c>
      <c r="J492">
        <f>VLOOKUP(A492,'Housing Cost Calc'!$A$2:$C$827,3,FALSE)</f>
        <v>1193</v>
      </c>
      <c r="K492">
        <f t="shared" si="47"/>
        <v>0.25095287837791619</v>
      </c>
    </row>
    <row r="493" spans="1:11" ht="48" x14ac:dyDescent="0.2">
      <c r="A493" s="4" t="s">
        <v>3111</v>
      </c>
      <c r="B493">
        <v>88167</v>
      </c>
      <c r="C493">
        <v>2.38</v>
      </c>
      <c r="D493">
        <f t="shared" si="42"/>
        <v>57150.177694423684</v>
      </c>
      <c r="E493">
        <f t="shared" si="43"/>
        <v>57.150177694423682</v>
      </c>
      <c r="F493" s="7">
        <v>0.59781287970838393</v>
      </c>
      <c r="G493">
        <f t="shared" si="44"/>
        <v>3</v>
      </c>
      <c r="H493" s="7">
        <f t="shared" si="45"/>
        <v>0.40218712029161607</v>
      </c>
      <c r="I493">
        <f t="shared" si="46"/>
        <v>3</v>
      </c>
      <c r="J493">
        <f>VLOOKUP(A493,'Housing Cost Calc'!$A$2:$C$827,3,FALSE)</f>
        <v>1264</v>
      </c>
      <c r="K493">
        <f t="shared" si="47"/>
        <v>0.26540599892972838</v>
      </c>
    </row>
    <row r="494" spans="1:11" ht="48" x14ac:dyDescent="0.2">
      <c r="A494" s="4" t="s">
        <v>3641</v>
      </c>
      <c r="B494">
        <v>94434</v>
      </c>
      <c r="C494">
        <v>2.73</v>
      </c>
      <c r="D494">
        <f t="shared" si="42"/>
        <v>57154.056820045691</v>
      </c>
      <c r="E494">
        <f t="shared" si="43"/>
        <v>57.154056820045689</v>
      </c>
      <c r="F494" s="7">
        <v>0.59902794653705949</v>
      </c>
      <c r="G494">
        <f t="shared" si="44"/>
        <v>3</v>
      </c>
      <c r="H494" s="7">
        <f t="shared" si="45"/>
        <v>0.40097205346294051</v>
      </c>
      <c r="I494">
        <f t="shared" si="46"/>
        <v>3</v>
      </c>
      <c r="J494">
        <f>VLOOKUP(A494,'Housing Cost Calc'!$A$2:$C$827,3,FALSE)</f>
        <v>1597</v>
      </c>
      <c r="K494">
        <f t="shared" si="47"/>
        <v>0.33530428225487913</v>
      </c>
    </row>
    <row r="495" spans="1:11" ht="48" x14ac:dyDescent="0.2">
      <c r="A495" s="4" t="s">
        <v>3821</v>
      </c>
      <c r="B495">
        <v>91556</v>
      </c>
      <c r="C495">
        <v>2.5499999999999998</v>
      </c>
      <c r="D495">
        <f t="shared" si="42"/>
        <v>57334.591194591951</v>
      </c>
      <c r="E495">
        <f t="shared" si="43"/>
        <v>57.334591194591951</v>
      </c>
      <c r="F495" s="7">
        <v>0.60024301336573516</v>
      </c>
      <c r="G495">
        <f t="shared" si="44"/>
        <v>4</v>
      </c>
      <c r="H495" s="7">
        <f t="shared" si="45"/>
        <v>0.39975698663426484</v>
      </c>
      <c r="I495">
        <f t="shared" si="46"/>
        <v>2</v>
      </c>
      <c r="J495">
        <f>VLOOKUP(A495,'Housing Cost Calc'!$A$2:$C$827,3,FALSE)</f>
        <v>1979</v>
      </c>
      <c r="K495">
        <f t="shared" si="47"/>
        <v>0.41420021500458548</v>
      </c>
    </row>
    <row r="496" spans="1:11" ht="64" x14ac:dyDescent="0.2">
      <c r="A496" s="4" t="s">
        <v>3261</v>
      </c>
      <c r="B496">
        <v>86009</v>
      </c>
      <c r="C496">
        <v>2.25</v>
      </c>
      <c r="D496">
        <f t="shared" si="42"/>
        <v>57339.333333333336</v>
      </c>
      <c r="E496">
        <f t="shared" si="43"/>
        <v>57.339333333333336</v>
      </c>
      <c r="F496" s="7">
        <v>0.60145808019441072</v>
      </c>
      <c r="G496">
        <f t="shared" si="44"/>
        <v>4</v>
      </c>
      <c r="H496" s="7">
        <f t="shared" si="45"/>
        <v>0.39854191980558928</v>
      </c>
      <c r="I496">
        <f t="shared" si="46"/>
        <v>2</v>
      </c>
      <c r="J496">
        <f>VLOOKUP(A496,'Housing Cost Calc'!$A$2:$C$827,3,FALSE)</f>
        <v>1409</v>
      </c>
      <c r="K496">
        <f t="shared" si="47"/>
        <v>0.29487611761559834</v>
      </c>
    </row>
    <row r="497" spans="1:11" ht="48" x14ac:dyDescent="0.2">
      <c r="A497" s="4" t="s">
        <v>3526</v>
      </c>
      <c r="B497">
        <v>86119</v>
      </c>
      <c r="C497">
        <v>2.25</v>
      </c>
      <c r="D497">
        <f t="shared" si="42"/>
        <v>57412.666666666664</v>
      </c>
      <c r="E497">
        <f t="shared" si="43"/>
        <v>57.412666666666667</v>
      </c>
      <c r="F497" s="7">
        <v>0.60267314702308628</v>
      </c>
      <c r="G497">
        <f t="shared" si="44"/>
        <v>4</v>
      </c>
      <c r="H497" s="7">
        <f t="shared" si="45"/>
        <v>0.39732685297691372</v>
      </c>
      <c r="I497">
        <f t="shared" si="46"/>
        <v>2</v>
      </c>
      <c r="J497">
        <f>VLOOKUP(A497,'Housing Cost Calc'!$A$2:$C$827,3,FALSE)</f>
        <v>1538</v>
      </c>
      <c r="K497">
        <f t="shared" si="47"/>
        <v>0.32146216282121254</v>
      </c>
    </row>
    <row r="498" spans="1:11" ht="64" x14ac:dyDescent="0.2">
      <c r="A498" s="4" t="s">
        <v>3358</v>
      </c>
      <c r="B498">
        <v>91684</v>
      </c>
      <c r="C498">
        <v>2.5499999999999998</v>
      </c>
      <c r="D498">
        <f t="shared" si="42"/>
        <v>57414.747903850846</v>
      </c>
      <c r="E498">
        <f t="shared" si="43"/>
        <v>57.414747903850845</v>
      </c>
      <c r="F498" s="7">
        <v>0.60388821385176183</v>
      </c>
      <c r="G498">
        <f t="shared" si="44"/>
        <v>4</v>
      </c>
      <c r="H498" s="7">
        <f t="shared" si="45"/>
        <v>0.39611178614823817</v>
      </c>
      <c r="I498">
        <f t="shared" si="46"/>
        <v>2</v>
      </c>
      <c r="J498">
        <f>VLOOKUP(A498,'Housing Cost Calc'!$A$2:$C$827,3,FALSE)</f>
        <v>1462</v>
      </c>
      <c r="K498">
        <f t="shared" si="47"/>
        <v>0.30556608955907844</v>
      </c>
    </row>
    <row r="499" spans="1:11" ht="48" x14ac:dyDescent="0.2">
      <c r="A499" s="4" t="s">
        <v>3710</v>
      </c>
      <c r="B499">
        <v>87647</v>
      </c>
      <c r="C499">
        <v>2.33</v>
      </c>
      <c r="D499">
        <f t="shared" si="42"/>
        <v>57419.458834002427</v>
      </c>
      <c r="E499">
        <f t="shared" si="43"/>
        <v>57.419458834002427</v>
      </c>
      <c r="F499" s="7">
        <v>0.60510328068043739</v>
      </c>
      <c r="G499">
        <f t="shared" si="44"/>
        <v>4</v>
      </c>
      <c r="H499" s="7">
        <f t="shared" si="45"/>
        <v>0.39489671931956261</v>
      </c>
      <c r="I499">
        <f t="shared" si="46"/>
        <v>2</v>
      </c>
      <c r="J499">
        <f>VLOOKUP(A499,'Housing Cost Calc'!$A$2:$C$827,3,FALSE)</f>
        <v>1661</v>
      </c>
      <c r="K499">
        <f t="shared" si="47"/>
        <v>0.34712970837330059</v>
      </c>
    </row>
    <row r="500" spans="1:11" ht="48" x14ac:dyDescent="0.2">
      <c r="A500" s="4" t="s">
        <v>3655</v>
      </c>
      <c r="B500">
        <v>88063</v>
      </c>
      <c r="C500">
        <v>2.35</v>
      </c>
      <c r="D500">
        <f t="shared" si="42"/>
        <v>57445.967097305278</v>
      </c>
      <c r="E500">
        <f t="shared" si="43"/>
        <v>57.445967097305278</v>
      </c>
      <c r="F500" s="7">
        <v>0.60631834750911295</v>
      </c>
      <c r="G500">
        <f t="shared" si="44"/>
        <v>4</v>
      </c>
      <c r="H500" s="7">
        <f t="shared" si="45"/>
        <v>0.39368165249088705</v>
      </c>
      <c r="I500">
        <f t="shared" si="46"/>
        <v>2</v>
      </c>
      <c r="J500">
        <f>VLOOKUP(A500,'Housing Cost Calc'!$A$2:$C$827,3,FALSE)</f>
        <v>1618</v>
      </c>
      <c r="K500">
        <f t="shared" si="47"/>
        <v>0.3379871726610863</v>
      </c>
    </row>
    <row r="501" spans="1:11" ht="64" x14ac:dyDescent="0.2">
      <c r="A501" s="4" t="s">
        <v>3414</v>
      </c>
      <c r="B501">
        <v>92283</v>
      </c>
      <c r="C501">
        <v>2.58</v>
      </c>
      <c r="D501">
        <f t="shared" si="42"/>
        <v>57452.886289752721</v>
      </c>
      <c r="E501">
        <f t="shared" si="43"/>
        <v>57.452886289752719</v>
      </c>
      <c r="F501" s="7">
        <v>0.60753341433778862</v>
      </c>
      <c r="G501">
        <f t="shared" si="44"/>
        <v>4</v>
      </c>
      <c r="H501" s="7">
        <f t="shared" si="45"/>
        <v>0.39246658566221138</v>
      </c>
      <c r="I501">
        <f t="shared" si="46"/>
        <v>2</v>
      </c>
      <c r="J501">
        <f>VLOOKUP(A501,'Housing Cost Calc'!$A$2:$C$827,3,FALSE)</f>
        <v>1493</v>
      </c>
      <c r="K501">
        <f t="shared" si="47"/>
        <v>0.31183811914416371</v>
      </c>
    </row>
    <row r="502" spans="1:11" ht="48" x14ac:dyDescent="0.2">
      <c r="A502" s="4" t="s">
        <v>3047</v>
      </c>
      <c r="B502">
        <v>81919</v>
      </c>
      <c r="C502">
        <v>2.0299999999999998</v>
      </c>
      <c r="D502">
        <f t="shared" si="42"/>
        <v>57495.866465261075</v>
      </c>
      <c r="E502">
        <f t="shared" si="43"/>
        <v>57.495866465261074</v>
      </c>
      <c r="F502" s="7">
        <v>0.60874848116646418</v>
      </c>
      <c r="G502">
        <f t="shared" si="44"/>
        <v>4</v>
      </c>
      <c r="H502" s="7">
        <f t="shared" si="45"/>
        <v>0.39125151883353582</v>
      </c>
      <c r="I502">
        <f t="shared" si="46"/>
        <v>2</v>
      </c>
      <c r="J502">
        <f>VLOOKUP(A502,'Housing Cost Calc'!$A$2:$C$827,3,FALSE)</f>
        <v>1194</v>
      </c>
      <c r="K502">
        <f t="shared" si="47"/>
        <v>0.2492005231133782</v>
      </c>
    </row>
    <row r="503" spans="1:11" ht="48" x14ac:dyDescent="0.2">
      <c r="A503" s="4" t="s">
        <v>3792</v>
      </c>
      <c r="B503">
        <v>91829</v>
      </c>
      <c r="C503">
        <v>2.5499999999999998</v>
      </c>
      <c r="D503">
        <f t="shared" si="42"/>
        <v>57505.550426058195</v>
      </c>
      <c r="E503">
        <f t="shared" si="43"/>
        <v>57.505550426058193</v>
      </c>
      <c r="F503" s="7">
        <v>0.60996354799513974</v>
      </c>
      <c r="G503">
        <f t="shared" si="44"/>
        <v>4</v>
      </c>
      <c r="H503" s="7">
        <f t="shared" si="45"/>
        <v>0.39003645200486026</v>
      </c>
      <c r="I503">
        <f t="shared" si="46"/>
        <v>2</v>
      </c>
      <c r="J503">
        <f>VLOOKUP(A503,'Housing Cost Calc'!$A$2:$C$827,3,FALSE)</f>
        <v>1762</v>
      </c>
      <c r="K503">
        <f t="shared" si="47"/>
        <v>0.36768624669000227</v>
      </c>
    </row>
    <row r="504" spans="1:11" ht="48" x14ac:dyDescent="0.2">
      <c r="A504" s="4" t="s">
        <v>3376</v>
      </c>
      <c r="B504">
        <v>94576</v>
      </c>
      <c r="C504">
        <v>2.7</v>
      </c>
      <c r="D504">
        <f t="shared" si="42"/>
        <v>57557.120665120652</v>
      </c>
      <c r="E504">
        <f t="shared" si="43"/>
        <v>57.55712066512065</v>
      </c>
      <c r="F504" s="7">
        <v>0.6111786148238153</v>
      </c>
      <c r="G504">
        <f t="shared" si="44"/>
        <v>4</v>
      </c>
      <c r="H504" s="7">
        <f t="shared" si="45"/>
        <v>0.3888213851761847</v>
      </c>
      <c r="I504">
        <f t="shared" si="46"/>
        <v>2</v>
      </c>
      <c r="J504">
        <f>VLOOKUP(A504,'Housing Cost Calc'!$A$2:$C$827,3,FALSE)</f>
        <v>1475</v>
      </c>
      <c r="K504">
        <f t="shared" si="47"/>
        <v>0.30752059511423957</v>
      </c>
    </row>
    <row r="505" spans="1:11" ht="48" x14ac:dyDescent="0.2">
      <c r="A505" s="4" t="s">
        <v>3771</v>
      </c>
      <c r="B505">
        <v>90644</v>
      </c>
      <c r="C505">
        <v>2.48</v>
      </c>
      <c r="D505">
        <f t="shared" si="42"/>
        <v>57558.997559026335</v>
      </c>
      <c r="E505">
        <f t="shared" si="43"/>
        <v>57.558997559026338</v>
      </c>
      <c r="F505" s="7">
        <v>0.61239368165249086</v>
      </c>
      <c r="G505">
        <f t="shared" si="44"/>
        <v>4</v>
      </c>
      <c r="H505" s="7">
        <f t="shared" si="45"/>
        <v>0.38760631834750914</v>
      </c>
      <c r="I505">
        <f t="shared" si="46"/>
        <v>2</v>
      </c>
      <c r="J505">
        <f>VLOOKUP(A505,'Housing Cost Calc'!$A$2:$C$827,3,FALSE)</f>
        <v>1726</v>
      </c>
      <c r="K505">
        <f t="shared" si="47"/>
        <v>0.3598394843266684</v>
      </c>
    </row>
    <row r="506" spans="1:11" ht="48" x14ac:dyDescent="0.2">
      <c r="A506" s="4" t="s">
        <v>3279</v>
      </c>
      <c r="B506">
        <v>86983</v>
      </c>
      <c r="C506">
        <v>2.2799999999999998</v>
      </c>
      <c r="D506">
        <f t="shared" si="42"/>
        <v>57605.899007294356</v>
      </c>
      <c r="E506">
        <f t="shared" si="43"/>
        <v>57.605899007294354</v>
      </c>
      <c r="F506" s="7">
        <v>0.61360874848116642</v>
      </c>
      <c r="G506">
        <f t="shared" si="44"/>
        <v>4</v>
      </c>
      <c r="H506" s="7">
        <f t="shared" si="45"/>
        <v>0.38639125151883358</v>
      </c>
      <c r="I506">
        <f t="shared" si="46"/>
        <v>2</v>
      </c>
      <c r="J506">
        <f>VLOOKUP(A506,'Housing Cost Calc'!$A$2:$C$827,3,FALSE)</f>
        <v>1426</v>
      </c>
      <c r="K506">
        <f t="shared" si="47"/>
        <v>0.2970529111581644</v>
      </c>
    </row>
    <row r="507" spans="1:11" ht="64" x14ac:dyDescent="0.2">
      <c r="A507" s="4" t="s">
        <v>3676</v>
      </c>
      <c r="B507">
        <v>91383</v>
      </c>
      <c r="C507">
        <v>2.4900000000000002</v>
      </c>
      <c r="D507">
        <f t="shared" si="42"/>
        <v>57911.623185678363</v>
      </c>
      <c r="E507">
        <f t="shared" si="43"/>
        <v>57.911623185678366</v>
      </c>
      <c r="F507" s="7">
        <v>0.61482381530984209</v>
      </c>
      <c r="G507">
        <f t="shared" si="44"/>
        <v>4</v>
      </c>
      <c r="H507" s="7">
        <f t="shared" si="45"/>
        <v>0.38517618469015791</v>
      </c>
      <c r="I507">
        <f t="shared" si="46"/>
        <v>2</v>
      </c>
      <c r="J507">
        <f>VLOOKUP(A507,'Housing Cost Calc'!$A$2:$C$827,3,FALSE)</f>
        <v>1648</v>
      </c>
      <c r="K507">
        <f t="shared" si="47"/>
        <v>0.34148585227171868</v>
      </c>
    </row>
    <row r="508" spans="1:11" ht="64" x14ac:dyDescent="0.2">
      <c r="A508" s="4" t="s">
        <v>3325</v>
      </c>
      <c r="B508">
        <v>87500</v>
      </c>
      <c r="C508">
        <v>2.2799999999999998</v>
      </c>
      <c r="D508">
        <f t="shared" si="42"/>
        <v>57948.290621595668</v>
      </c>
      <c r="E508">
        <f t="shared" si="43"/>
        <v>57.948290621595667</v>
      </c>
      <c r="F508" s="7">
        <v>0.61603888213851765</v>
      </c>
      <c r="G508">
        <f t="shared" si="44"/>
        <v>4</v>
      </c>
      <c r="H508" s="7">
        <f t="shared" si="45"/>
        <v>0.38396111786148235</v>
      </c>
      <c r="I508">
        <f t="shared" si="46"/>
        <v>2</v>
      </c>
      <c r="J508">
        <f>VLOOKUP(A508,'Housing Cost Calc'!$A$2:$C$827,3,FALSE)</f>
        <v>1458</v>
      </c>
      <c r="K508">
        <f t="shared" si="47"/>
        <v>0.30192435035313608</v>
      </c>
    </row>
    <row r="509" spans="1:11" ht="64" x14ac:dyDescent="0.2">
      <c r="A509" s="4" t="s">
        <v>3187</v>
      </c>
      <c r="B509">
        <v>91125</v>
      </c>
      <c r="C509">
        <v>2.4700000000000002</v>
      </c>
      <c r="D509">
        <f t="shared" si="42"/>
        <v>57981.449026167749</v>
      </c>
      <c r="E509">
        <f t="shared" si="43"/>
        <v>57.981449026167752</v>
      </c>
      <c r="F509" s="7">
        <v>0.61725394896719321</v>
      </c>
      <c r="G509">
        <f t="shared" si="44"/>
        <v>4</v>
      </c>
      <c r="H509" s="7">
        <f t="shared" si="45"/>
        <v>0.38274605103280679</v>
      </c>
      <c r="I509">
        <f t="shared" si="46"/>
        <v>2</v>
      </c>
      <c r="J509">
        <f>VLOOKUP(A509,'Housing Cost Calc'!$A$2:$C$827,3,FALSE)</f>
        <v>1374</v>
      </c>
      <c r="K509">
        <f t="shared" si="47"/>
        <v>0.28436681519564577</v>
      </c>
    </row>
    <row r="510" spans="1:11" ht="48" x14ac:dyDescent="0.2">
      <c r="A510" s="4" t="s">
        <v>3574</v>
      </c>
      <c r="B510">
        <v>91836</v>
      </c>
      <c r="C510">
        <v>2.5</v>
      </c>
      <c r="D510">
        <f t="shared" si="42"/>
        <v>58082.186239844654</v>
      </c>
      <c r="E510">
        <f t="shared" si="43"/>
        <v>58.082186239844653</v>
      </c>
      <c r="F510" s="7">
        <v>0.61846901579586877</v>
      </c>
      <c r="G510">
        <f t="shared" si="44"/>
        <v>4</v>
      </c>
      <c r="H510" s="7">
        <f t="shared" si="45"/>
        <v>0.38153098420413123</v>
      </c>
      <c r="I510">
        <f t="shared" si="46"/>
        <v>2</v>
      </c>
      <c r="J510">
        <f>VLOOKUP(A510,'Housing Cost Calc'!$A$2:$C$827,3,FALSE)</f>
        <v>1586</v>
      </c>
      <c r="K510">
        <f t="shared" si="47"/>
        <v>0.32767361616536322</v>
      </c>
    </row>
    <row r="511" spans="1:11" ht="48" x14ac:dyDescent="0.2">
      <c r="A511" s="4" t="s">
        <v>3103</v>
      </c>
      <c r="B511">
        <v>82364</v>
      </c>
      <c r="C511">
        <v>2.0099999999999998</v>
      </c>
      <c r="D511">
        <f t="shared" si="42"/>
        <v>58095.086304577591</v>
      </c>
      <c r="E511">
        <f t="shared" si="43"/>
        <v>58.095086304577592</v>
      </c>
      <c r="F511" s="7">
        <v>0.61968408262454433</v>
      </c>
      <c r="G511">
        <f t="shared" si="44"/>
        <v>4</v>
      </c>
      <c r="H511" s="7">
        <f t="shared" si="45"/>
        <v>0.38031591737545567</v>
      </c>
      <c r="I511">
        <f t="shared" si="46"/>
        <v>2</v>
      </c>
      <c r="J511">
        <f>VLOOKUP(A511,'Housing Cost Calc'!$A$2:$C$827,3,FALSE)</f>
        <v>1283</v>
      </c>
      <c r="K511">
        <f t="shared" si="47"/>
        <v>0.26501380717953893</v>
      </c>
    </row>
    <row r="512" spans="1:11" ht="48" x14ac:dyDescent="0.2">
      <c r="A512" s="4" t="s">
        <v>3682</v>
      </c>
      <c r="B512">
        <v>88167</v>
      </c>
      <c r="C512">
        <v>2.2999999999999998</v>
      </c>
      <c r="D512">
        <f t="shared" si="42"/>
        <v>58135.598197886357</v>
      </c>
      <c r="E512">
        <f t="shared" si="43"/>
        <v>58.13559819788636</v>
      </c>
      <c r="F512" s="7">
        <v>0.62089914945321989</v>
      </c>
      <c r="G512">
        <f t="shared" si="44"/>
        <v>4</v>
      </c>
      <c r="H512" s="7">
        <f t="shared" si="45"/>
        <v>0.37910085054678011</v>
      </c>
      <c r="I512">
        <f t="shared" si="46"/>
        <v>2</v>
      </c>
      <c r="J512">
        <f>VLOOKUP(A512,'Housing Cost Calc'!$A$2:$C$827,3,FALSE)</f>
        <v>1657</v>
      </c>
      <c r="K512">
        <f t="shared" si="47"/>
        <v>0.34202795905388872</v>
      </c>
    </row>
    <row r="513" spans="1:11" ht="48" x14ac:dyDescent="0.2">
      <c r="A513" s="4" t="s">
        <v>3780</v>
      </c>
      <c r="B513">
        <v>99391</v>
      </c>
      <c r="C513">
        <v>2.92</v>
      </c>
      <c r="D513">
        <f t="shared" si="42"/>
        <v>58164.183304853068</v>
      </c>
      <c r="E513">
        <f t="shared" si="43"/>
        <v>58.164183304853069</v>
      </c>
      <c r="F513" s="7">
        <v>0.62211421628189545</v>
      </c>
      <c r="G513">
        <f t="shared" si="44"/>
        <v>4</v>
      </c>
      <c r="H513" s="7">
        <f t="shared" si="45"/>
        <v>0.37788578371810455</v>
      </c>
      <c r="I513">
        <f t="shared" si="46"/>
        <v>2</v>
      </c>
      <c r="J513">
        <f>VLOOKUP(A513,'Housing Cost Calc'!$A$2:$C$827,3,FALSE)</f>
        <v>1752</v>
      </c>
      <c r="K513">
        <f t="shared" si="47"/>
        <v>0.36145955819250386</v>
      </c>
    </row>
    <row r="514" spans="1:11" ht="48" x14ac:dyDescent="0.2">
      <c r="A514" s="4" t="s">
        <v>3043</v>
      </c>
      <c r="B514">
        <v>90543</v>
      </c>
      <c r="C514">
        <v>2.4</v>
      </c>
      <c r="D514">
        <f t="shared" ref="D514:D577" si="48">(B514/(C514)^0.5)</f>
        <v>58445.255185943024</v>
      </c>
      <c r="E514">
        <f t="shared" ref="E514:E577" si="49">D514/1000</f>
        <v>58.445255185943026</v>
      </c>
      <c r="F514" s="7">
        <v>0.62332928311057112</v>
      </c>
      <c r="G514">
        <f t="shared" si="44"/>
        <v>4</v>
      </c>
      <c r="H514" s="7">
        <f t="shared" si="45"/>
        <v>0.37667071688942888</v>
      </c>
      <c r="I514">
        <f t="shared" si="46"/>
        <v>2</v>
      </c>
      <c r="J514">
        <f>VLOOKUP(A514,'Housing Cost Calc'!$A$2:$C$827,3,FALSE)</f>
        <v>1204</v>
      </c>
      <c r="K514">
        <f t="shared" si="47"/>
        <v>0.24720569623716801</v>
      </c>
    </row>
    <row r="515" spans="1:11" ht="48" x14ac:dyDescent="0.2">
      <c r="A515" s="4" t="s">
        <v>3623</v>
      </c>
      <c r="B515">
        <v>90141</v>
      </c>
      <c r="C515">
        <v>2.37</v>
      </c>
      <c r="D515">
        <f t="shared" si="48"/>
        <v>58552.871563693865</v>
      </c>
      <c r="E515">
        <f t="shared" si="49"/>
        <v>58.552871563693863</v>
      </c>
      <c r="F515" s="7">
        <v>0.62454434993924668</v>
      </c>
      <c r="G515">
        <f t="shared" ref="G515:G578" si="50">IF(F515&lt;0.2,1,IF(F515&lt;0.4,2,IF(F515&lt;0.6,3,IF(F515&lt;0.8,4,5))))</f>
        <v>4</v>
      </c>
      <c r="H515" s="7">
        <f t="shared" ref="H515:H578" si="51">1-F515</f>
        <v>0.37545565006075332</v>
      </c>
      <c r="I515">
        <f t="shared" ref="I515:I578" si="52">6-G515</f>
        <v>2</v>
      </c>
      <c r="J515">
        <f>VLOOKUP(A515,'Housing Cost Calc'!$A$2:$C$827,3,FALSE)</f>
        <v>1623</v>
      </c>
      <c r="K515">
        <f t="shared" ref="K515:K578" si="53">(J515*12)/D515</f>
        <v>0.33262245693303</v>
      </c>
    </row>
    <row r="516" spans="1:11" ht="48" x14ac:dyDescent="0.2">
      <c r="A516" s="4" t="s">
        <v>3147</v>
      </c>
      <c r="B516">
        <v>89076</v>
      </c>
      <c r="C516">
        <v>2.31</v>
      </c>
      <c r="D516">
        <f t="shared" si="48"/>
        <v>58607.705180236386</v>
      </c>
      <c r="E516">
        <f t="shared" si="49"/>
        <v>58.607705180236387</v>
      </c>
      <c r="F516" s="7">
        <v>0.62575941676792224</v>
      </c>
      <c r="G516">
        <f t="shared" si="50"/>
        <v>4</v>
      </c>
      <c r="H516" s="7">
        <f t="shared" si="51"/>
        <v>0.37424058323207776</v>
      </c>
      <c r="I516">
        <f t="shared" si="52"/>
        <v>2</v>
      </c>
      <c r="J516">
        <f>VLOOKUP(A516,'Housing Cost Calc'!$A$2:$C$827,3,FALSE)</f>
        <v>1346</v>
      </c>
      <c r="K516">
        <f t="shared" si="53"/>
        <v>0.27559516193865163</v>
      </c>
    </row>
    <row r="517" spans="1:11" ht="48" x14ac:dyDescent="0.2">
      <c r="A517" s="4" t="s">
        <v>3708</v>
      </c>
      <c r="B517">
        <v>95057</v>
      </c>
      <c r="C517">
        <v>2.63</v>
      </c>
      <c r="D517">
        <f t="shared" si="48"/>
        <v>58614.657223640461</v>
      </c>
      <c r="E517">
        <f t="shared" si="49"/>
        <v>58.614657223640464</v>
      </c>
      <c r="F517" s="7">
        <v>0.6269744835965978</v>
      </c>
      <c r="G517">
        <f t="shared" si="50"/>
        <v>4</v>
      </c>
      <c r="H517" s="7">
        <f t="shared" si="51"/>
        <v>0.3730255164034022</v>
      </c>
      <c r="I517">
        <f t="shared" si="52"/>
        <v>2</v>
      </c>
      <c r="J517">
        <f>VLOOKUP(A517,'Housing Cost Calc'!$A$2:$C$827,3,FALSE)</f>
        <v>1694</v>
      </c>
      <c r="K517">
        <f t="shared" si="53"/>
        <v>0.34680745333781993</v>
      </c>
    </row>
    <row r="518" spans="1:11" ht="48" x14ac:dyDescent="0.2">
      <c r="A518" s="4" t="s">
        <v>3625</v>
      </c>
      <c r="B518">
        <v>98611</v>
      </c>
      <c r="C518">
        <v>2.83</v>
      </c>
      <c r="D518">
        <f t="shared" si="48"/>
        <v>58618.155031468588</v>
      </c>
      <c r="E518">
        <f t="shared" si="49"/>
        <v>58.618155031468589</v>
      </c>
      <c r="F518" s="7">
        <v>0.62818955042527336</v>
      </c>
      <c r="G518">
        <f t="shared" si="50"/>
        <v>4</v>
      </c>
      <c r="H518" s="7">
        <f t="shared" si="51"/>
        <v>0.37181044957472664</v>
      </c>
      <c r="I518">
        <f t="shared" si="52"/>
        <v>2</v>
      </c>
      <c r="J518">
        <f>VLOOKUP(A518,'Housing Cost Calc'!$A$2:$C$827,3,FALSE)</f>
        <v>1627</v>
      </c>
      <c r="K518">
        <f t="shared" si="53"/>
        <v>0.33307087180616191</v>
      </c>
    </row>
    <row r="519" spans="1:11" ht="64" x14ac:dyDescent="0.2">
      <c r="A519" s="4" t="s">
        <v>3344</v>
      </c>
      <c r="B519">
        <v>88896</v>
      </c>
      <c r="C519">
        <v>2.29</v>
      </c>
      <c r="D519">
        <f t="shared" si="48"/>
        <v>58744.13030605566</v>
      </c>
      <c r="E519">
        <f t="shared" si="49"/>
        <v>58.744130306055659</v>
      </c>
      <c r="F519" s="7">
        <v>0.62940461725394892</v>
      </c>
      <c r="G519">
        <f t="shared" si="50"/>
        <v>4</v>
      </c>
      <c r="H519" s="7">
        <f t="shared" si="51"/>
        <v>0.37059538274605108</v>
      </c>
      <c r="I519">
        <f t="shared" si="52"/>
        <v>2</v>
      </c>
      <c r="J519">
        <f>VLOOKUP(A519,'Housing Cost Calc'!$A$2:$C$827,3,FALSE)</f>
        <v>1484</v>
      </c>
      <c r="K519">
        <f t="shared" si="53"/>
        <v>0.30314518075628494</v>
      </c>
    </row>
    <row r="520" spans="1:11" ht="48" x14ac:dyDescent="0.2">
      <c r="A520" s="4" t="s">
        <v>3346</v>
      </c>
      <c r="B520">
        <v>93839</v>
      </c>
      <c r="C520">
        <v>2.5499999999999998</v>
      </c>
      <c r="D520">
        <f t="shared" si="48"/>
        <v>58764.261251139345</v>
      </c>
      <c r="E520">
        <f t="shared" si="49"/>
        <v>58.764261251139345</v>
      </c>
      <c r="F520" s="7">
        <v>0.63061968408262459</v>
      </c>
      <c r="G520">
        <f t="shared" si="50"/>
        <v>4</v>
      </c>
      <c r="H520" s="7">
        <f t="shared" si="51"/>
        <v>0.36938031591737541</v>
      </c>
      <c r="I520">
        <f t="shared" si="52"/>
        <v>2</v>
      </c>
      <c r="J520">
        <f>VLOOKUP(A520,'Housing Cost Calc'!$A$2:$C$827,3,FALSE)</f>
        <v>1487</v>
      </c>
      <c r="K520">
        <f t="shared" si="53"/>
        <v>0.30365394918759459</v>
      </c>
    </row>
    <row r="521" spans="1:11" ht="48" x14ac:dyDescent="0.2">
      <c r="A521" s="4" t="s">
        <v>3609</v>
      </c>
      <c r="B521">
        <v>98409</v>
      </c>
      <c r="C521">
        <v>2.8</v>
      </c>
      <c r="D521">
        <f t="shared" si="48"/>
        <v>58810.626107994169</v>
      </c>
      <c r="E521">
        <f t="shared" si="49"/>
        <v>58.810626107994167</v>
      </c>
      <c r="F521" s="7">
        <v>0.63183475091130015</v>
      </c>
      <c r="G521">
        <f t="shared" si="50"/>
        <v>4</v>
      </c>
      <c r="H521" s="7">
        <f t="shared" si="51"/>
        <v>0.36816524908869985</v>
      </c>
      <c r="I521">
        <f t="shared" si="52"/>
        <v>2</v>
      </c>
      <c r="J521">
        <f>VLOOKUP(A521,'Housing Cost Calc'!$A$2:$C$827,3,FALSE)</f>
        <v>1623</v>
      </c>
      <c r="K521">
        <f t="shared" si="53"/>
        <v>0.33116464300577503</v>
      </c>
    </row>
    <row r="522" spans="1:11" ht="64" x14ac:dyDescent="0.2">
      <c r="A522" s="4" t="s">
        <v>3386</v>
      </c>
      <c r="B522">
        <v>88438</v>
      </c>
      <c r="C522">
        <v>2.2599999999999998</v>
      </c>
      <c r="D522">
        <f t="shared" si="48"/>
        <v>58828.082527015191</v>
      </c>
      <c r="E522">
        <f t="shared" si="49"/>
        <v>58.828082527015191</v>
      </c>
      <c r="F522" s="7">
        <v>0.63304981773997571</v>
      </c>
      <c r="G522">
        <f t="shared" si="50"/>
        <v>4</v>
      </c>
      <c r="H522" s="7">
        <f t="shared" si="51"/>
        <v>0.36695018226002429</v>
      </c>
      <c r="I522">
        <f t="shared" si="52"/>
        <v>2</v>
      </c>
      <c r="J522">
        <f>VLOOKUP(A522,'Housing Cost Calc'!$A$2:$C$827,3,FALSE)</f>
        <v>1515</v>
      </c>
      <c r="K522">
        <f t="shared" si="53"/>
        <v>0.30903607969291419</v>
      </c>
    </row>
    <row r="523" spans="1:11" ht="48" x14ac:dyDescent="0.2">
      <c r="A523" s="4" t="s">
        <v>3561</v>
      </c>
      <c r="B523">
        <v>91932</v>
      </c>
      <c r="C523">
        <v>2.44</v>
      </c>
      <c r="D523">
        <f t="shared" si="48"/>
        <v>58853.432229954968</v>
      </c>
      <c r="E523">
        <f t="shared" si="49"/>
        <v>58.853432229954969</v>
      </c>
      <c r="F523" s="7">
        <v>0.63426488456865127</v>
      </c>
      <c r="G523">
        <f t="shared" si="50"/>
        <v>4</v>
      </c>
      <c r="H523" s="7">
        <f t="shared" si="51"/>
        <v>0.36573511543134873</v>
      </c>
      <c r="I523">
        <f t="shared" si="52"/>
        <v>2</v>
      </c>
      <c r="J523">
        <f>VLOOKUP(A523,'Housing Cost Calc'!$A$2:$C$827,3,FALSE)</f>
        <v>1596</v>
      </c>
      <c r="K523">
        <f t="shared" si="53"/>
        <v>0.32541857414820569</v>
      </c>
    </row>
    <row r="524" spans="1:11" ht="48" x14ac:dyDescent="0.2">
      <c r="A524" s="4" t="s">
        <v>3518</v>
      </c>
      <c r="B524">
        <v>92750</v>
      </c>
      <c r="C524">
        <v>2.46</v>
      </c>
      <c r="D524">
        <f t="shared" si="48"/>
        <v>59135.240136624627</v>
      </c>
      <c r="E524">
        <f t="shared" si="49"/>
        <v>59.135240136624624</v>
      </c>
      <c r="F524" s="7">
        <v>0.63547995139732683</v>
      </c>
      <c r="G524">
        <f t="shared" si="50"/>
        <v>4</v>
      </c>
      <c r="H524" s="7">
        <f t="shared" si="51"/>
        <v>0.36452004860267317</v>
      </c>
      <c r="I524">
        <f t="shared" si="52"/>
        <v>2</v>
      </c>
      <c r="J524">
        <f>VLOOKUP(A524,'Housing Cost Calc'!$A$2:$C$827,3,FALSE)</f>
        <v>1582</v>
      </c>
      <c r="K524">
        <f t="shared" si="53"/>
        <v>0.32102685228198663</v>
      </c>
    </row>
    <row r="525" spans="1:11" ht="48" x14ac:dyDescent="0.2">
      <c r="A525" s="4" t="s">
        <v>3779</v>
      </c>
      <c r="B525">
        <v>100286</v>
      </c>
      <c r="C525">
        <v>2.87</v>
      </c>
      <c r="D525">
        <f t="shared" si="48"/>
        <v>59196.954072220404</v>
      </c>
      <c r="E525">
        <f t="shared" si="49"/>
        <v>59.196954072220407</v>
      </c>
      <c r="F525" s="7">
        <v>0.63669501822600238</v>
      </c>
      <c r="G525">
        <f t="shared" si="50"/>
        <v>4</v>
      </c>
      <c r="H525" s="7">
        <f t="shared" si="51"/>
        <v>0.36330498177399762</v>
      </c>
      <c r="I525">
        <f t="shared" si="52"/>
        <v>2</v>
      </c>
      <c r="J525">
        <f>VLOOKUP(A525,'Housing Cost Calc'!$A$2:$C$827,3,FALSE)</f>
        <v>1782</v>
      </c>
      <c r="K525">
        <f t="shared" si="53"/>
        <v>0.36123480228241939</v>
      </c>
    </row>
    <row r="526" spans="1:11" ht="48" x14ac:dyDescent="0.2">
      <c r="A526" s="4" t="s">
        <v>3213</v>
      </c>
      <c r="B526">
        <v>91591</v>
      </c>
      <c r="C526">
        <v>2.39</v>
      </c>
      <c r="D526">
        <f t="shared" si="48"/>
        <v>59245.292809502447</v>
      </c>
      <c r="E526">
        <f t="shared" si="49"/>
        <v>59.245292809502445</v>
      </c>
      <c r="F526" s="7">
        <v>0.63791008505467806</v>
      </c>
      <c r="G526">
        <f t="shared" si="50"/>
        <v>4</v>
      </c>
      <c r="H526" s="7">
        <f t="shared" si="51"/>
        <v>0.36208991494532194</v>
      </c>
      <c r="I526">
        <f t="shared" si="52"/>
        <v>2</v>
      </c>
      <c r="J526">
        <f>VLOOKUP(A526,'Housing Cost Calc'!$A$2:$C$827,3,FALSE)</f>
        <v>1429</v>
      </c>
      <c r="K526">
        <f t="shared" si="53"/>
        <v>0.28944071649941455</v>
      </c>
    </row>
    <row r="527" spans="1:11" ht="64" x14ac:dyDescent="0.2">
      <c r="A527" s="4" t="s">
        <v>3331</v>
      </c>
      <c r="B527">
        <v>94167</v>
      </c>
      <c r="C527">
        <v>2.5099999999999998</v>
      </c>
      <c r="D527">
        <f t="shared" si="48"/>
        <v>59437.683356510839</v>
      </c>
      <c r="E527">
        <f t="shared" si="49"/>
        <v>59.437683356510838</v>
      </c>
      <c r="F527" s="7">
        <v>0.63912515188335361</v>
      </c>
      <c r="G527">
        <f t="shared" si="50"/>
        <v>4</v>
      </c>
      <c r="H527" s="7">
        <f t="shared" si="51"/>
        <v>0.36087484811664639</v>
      </c>
      <c r="I527">
        <f t="shared" si="52"/>
        <v>2</v>
      </c>
      <c r="J527">
        <f>VLOOKUP(A527,'Housing Cost Calc'!$A$2:$C$827,3,FALSE)</f>
        <v>1496</v>
      </c>
      <c r="K527">
        <f t="shared" si="53"/>
        <v>0.30203061401843023</v>
      </c>
    </row>
    <row r="528" spans="1:11" ht="48" x14ac:dyDescent="0.2">
      <c r="A528" s="4" t="s">
        <v>3699</v>
      </c>
      <c r="B528">
        <v>91375</v>
      </c>
      <c r="C528">
        <v>2.36</v>
      </c>
      <c r="D528">
        <f t="shared" si="48"/>
        <v>59480.058704363903</v>
      </c>
      <c r="E528">
        <f t="shared" si="49"/>
        <v>59.480058704363906</v>
      </c>
      <c r="F528" s="7">
        <v>0.64034021871202917</v>
      </c>
      <c r="G528">
        <f t="shared" si="50"/>
        <v>4</v>
      </c>
      <c r="H528" s="7">
        <f t="shared" si="51"/>
        <v>0.35965978128797083</v>
      </c>
      <c r="I528">
        <f t="shared" si="52"/>
        <v>2</v>
      </c>
      <c r="J528">
        <f>VLOOKUP(A528,'Housing Cost Calc'!$A$2:$C$827,3,FALSE)</f>
        <v>1709</v>
      </c>
      <c r="K528">
        <f t="shared" si="53"/>
        <v>0.34478782379707673</v>
      </c>
    </row>
    <row r="529" spans="1:11" ht="64" x14ac:dyDescent="0.2">
      <c r="A529" s="4" t="s">
        <v>3481</v>
      </c>
      <c r="B529">
        <v>90375</v>
      </c>
      <c r="C529">
        <v>2.2999999999999998</v>
      </c>
      <c r="D529">
        <f t="shared" si="48"/>
        <v>59591.510283144256</v>
      </c>
      <c r="E529">
        <f t="shared" si="49"/>
        <v>59.59151028314426</v>
      </c>
      <c r="F529" s="7">
        <v>0.64155528554070473</v>
      </c>
      <c r="G529">
        <f t="shared" si="50"/>
        <v>4</v>
      </c>
      <c r="H529" s="7">
        <f t="shared" si="51"/>
        <v>0.35844471445929527</v>
      </c>
      <c r="I529">
        <f t="shared" si="52"/>
        <v>2</v>
      </c>
      <c r="J529">
        <f>VLOOKUP(A529,'Housing Cost Calc'!$A$2:$C$827,3,FALSE)</f>
        <v>1581</v>
      </c>
      <c r="K529">
        <f t="shared" si="53"/>
        <v>0.31836749748170623</v>
      </c>
    </row>
    <row r="530" spans="1:11" ht="48" x14ac:dyDescent="0.2">
      <c r="A530" s="4" t="s">
        <v>3125</v>
      </c>
      <c r="B530">
        <v>89079</v>
      </c>
      <c r="C530">
        <v>2.23</v>
      </c>
      <c r="D530">
        <f t="shared" si="48"/>
        <v>59651.710499120236</v>
      </c>
      <c r="E530">
        <f t="shared" si="49"/>
        <v>59.651710499120234</v>
      </c>
      <c r="F530" s="7">
        <v>0.64277035236938029</v>
      </c>
      <c r="G530">
        <f t="shared" si="50"/>
        <v>4</v>
      </c>
      <c r="H530" s="7">
        <f t="shared" si="51"/>
        <v>0.35722964763061971</v>
      </c>
      <c r="I530">
        <f t="shared" si="52"/>
        <v>2</v>
      </c>
      <c r="J530">
        <f>VLOOKUP(A530,'Housing Cost Calc'!$A$2:$C$827,3,FALSE)</f>
        <v>1336</v>
      </c>
      <c r="K530">
        <f t="shared" si="53"/>
        <v>0.2687601053826687</v>
      </c>
    </row>
    <row r="531" spans="1:11" ht="64" x14ac:dyDescent="0.2">
      <c r="A531" s="4" t="s">
        <v>3418</v>
      </c>
      <c r="B531">
        <v>89691</v>
      </c>
      <c r="C531">
        <v>2.2599999999999998</v>
      </c>
      <c r="D531">
        <f t="shared" si="48"/>
        <v>59661.565728878079</v>
      </c>
      <c r="E531">
        <f t="shared" si="49"/>
        <v>59.661565728878081</v>
      </c>
      <c r="F531" s="7">
        <v>0.64398541919805585</v>
      </c>
      <c r="G531">
        <f t="shared" si="50"/>
        <v>4</v>
      </c>
      <c r="H531" s="7">
        <f t="shared" si="51"/>
        <v>0.35601458080194415</v>
      </c>
      <c r="I531">
        <f t="shared" si="52"/>
        <v>2</v>
      </c>
      <c r="J531">
        <f>VLOOKUP(A531,'Housing Cost Calc'!$A$2:$C$827,3,FALSE)</f>
        <v>1552</v>
      </c>
      <c r="K531">
        <f t="shared" si="53"/>
        <v>0.31216076501635287</v>
      </c>
    </row>
    <row r="532" spans="1:11" ht="48" x14ac:dyDescent="0.2">
      <c r="A532" s="4" t="s">
        <v>3834</v>
      </c>
      <c r="B532">
        <v>95279</v>
      </c>
      <c r="C532">
        <v>2.5499999999999998</v>
      </c>
      <c r="D532">
        <f t="shared" si="48"/>
        <v>59666.024230301962</v>
      </c>
      <c r="E532">
        <f t="shared" si="49"/>
        <v>59.666024230301964</v>
      </c>
      <c r="F532" s="7">
        <v>0.64520048602673152</v>
      </c>
      <c r="G532">
        <f t="shared" si="50"/>
        <v>4</v>
      </c>
      <c r="H532" s="7">
        <f t="shared" si="51"/>
        <v>0.35479951397326848</v>
      </c>
      <c r="I532">
        <f t="shared" si="52"/>
        <v>2</v>
      </c>
      <c r="J532">
        <f>VLOOKUP(A532,'Housing Cost Calc'!$A$2:$C$827,3,FALSE)</f>
        <v>2131</v>
      </c>
      <c r="K532">
        <f t="shared" si="53"/>
        <v>0.4285856202064996</v>
      </c>
    </row>
    <row r="533" spans="1:11" ht="48" x14ac:dyDescent="0.2">
      <c r="A533" s="4" t="s">
        <v>3061</v>
      </c>
      <c r="B533">
        <v>92500</v>
      </c>
      <c r="C533">
        <v>2.4</v>
      </c>
      <c r="D533">
        <f t="shared" si="48"/>
        <v>59708.493254031011</v>
      </c>
      <c r="E533">
        <f t="shared" si="49"/>
        <v>59.708493254031012</v>
      </c>
      <c r="F533" s="7">
        <v>0.64641555285540708</v>
      </c>
      <c r="G533">
        <f t="shared" si="50"/>
        <v>4</v>
      </c>
      <c r="H533" s="7">
        <f t="shared" si="51"/>
        <v>0.35358444714459292</v>
      </c>
      <c r="I533">
        <f t="shared" si="52"/>
        <v>2</v>
      </c>
      <c r="J533">
        <f>VLOOKUP(A533,'Housing Cost Calc'!$A$2:$C$827,3,FALSE)</f>
        <v>1268</v>
      </c>
      <c r="K533">
        <f t="shared" si="53"/>
        <v>0.25483811717142513</v>
      </c>
    </row>
    <row r="534" spans="1:11" ht="48" x14ac:dyDescent="0.2">
      <c r="A534" s="4" t="s">
        <v>3045</v>
      </c>
      <c r="B534">
        <v>93472</v>
      </c>
      <c r="C534">
        <v>2.4500000000000002</v>
      </c>
      <c r="D534">
        <f t="shared" si="48"/>
        <v>59717.070283674388</v>
      </c>
      <c r="E534">
        <f t="shared" si="49"/>
        <v>59.717070283674389</v>
      </c>
      <c r="F534" s="7">
        <v>0.64763061968408264</v>
      </c>
      <c r="G534">
        <f t="shared" si="50"/>
        <v>4</v>
      </c>
      <c r="H534" s="7">
        <f t="shared" si="51"/>
        <v>0.35236938031591736</v>
      </c>
      <c r="I534">
        <f t="shared" si="52"/>
        <v>2</v>
      </c>
      <c r="J534">
        <f>VLOOKUP(A534,'Housing Cost Calc'!$A$2:$C$827,3,FALSE)</f>
        <v>1240</v>
      </c>
      <c r="K534">
        <f t="shared" si="53"/>
        <v>0.2491749834564127</v>
      </c>
    </row>
    <row r="535" spans="1:11" ht="48" x14ac:dyDescent="0.2">
      <c r="A535" s="4" t="s">
        <v>3773</v>
      </c>
      <c r="B535">
        <v>96875</v>
      </c>
      <c r="C535">
        <v>2.63</v>
      </c>
      <c r="D535">
        <f t="shared" si="48"/>
        <v>59735.684047888841</v>
      </c>
      <c r="E535">
        <f t="shared" si="49"/>
        <v>59.735684047888839</v>
      </c>
      <c r="F535" s="7">
        <v>0.6488456865127582</v>
      </c>
      <c r="G535">
        <f t="shared" si="50"/>
        <v>4</v>
      </c>
      <c r="H535" s="7">
        <f t="shared" si="51"/>
        <v>0.3511543134872418</v>
      </c>
      <c r="I535">
        <f t="shared" si="52"/>
        <v>2</v>
      </c>
      <c r="J535">
        <f>VLOOKUP(A535,'Housing Cost Calc'!$A$2:$C$827,3,FALSE)</f>
        <v>1792</v>
      </c>
      <c r="K535">
        <f t="shared" si="53"/>
        <v>0.35998583330460726</v>
      </c>
    </row>
    <row r="536" spans="1:11" ht="64" x14ac:dyDescent="0.2">
      <c r="A536" s="4" t="s">
        <v>3165</v>
      </c>
      <c r="B536">
        <v>84837</v>
      </c>
      <c r="C536">
        <v>2.0099999999999998</v>
      </c>
      <c r="D536">
        <f t="shared" si="48"/>
        <v>59839.406012595908</v>
      </c>
      <c r="E536">
        <f t="shared" si="49"/>
        <v>59.839406012595909</v>
      </c>
      <c r="F536" s="7">
        <v>0.65006075334143376</v>
      </c>
      <c r="G536">
        <f t="shared" si="50"/>
        <v>4</v>
      </c>
      <c r="H536" s="7">
        <f t="shared" si="51"/>
        <v>0.34993924665856624</v>
      </c>
      <c r="I536">
        <f t="shared" si="52"/>
        <v>2</v>
      </c>
      <c r="J536">
        <f>VLOOKUP(A536,'Housing Cost Calc'!$A$2:$C$827,3,FALSE)</f>
        <v>1408</v>
      </c>
      <c r="K536">
        <f t="shared" si="53"/>
        <v>0.28235574391302404</v>
      </c>
    </row>
    <row r="537" spans="1:11" ht="48" x14ac:dyDescent="0.2">
      <c r="A537" s="4" t="s">
        <v>3291</v>
      </c>
      <c r="B537">
        <v>88021</v>
      </c>
      <c r="C537">
        <v>2.16</v>
      </c>
      <c r="D537">
        <f t="shared" si="48"/>
        <v>59890.704624866143</v>
      </c>
      <c r="E537">
        <f t="shared" si="49"/>
        <v>59.890704624866146</v>
      </c>
      <c r="F537" s="7">
        <v>0.65127582017010932</v>
      </c>
      <c r="G537">
        <f t="shared" si="50"/>
        <v>4</v>
      </c>
      <c r="H537" s="7">
        <f t="shared" si="51"/>
        <v>0.34872417982989068</v>
      </c>
      <c r="I537">
        <f t="shared" si="52"/>
        <v>2</v>
      </c>
      <c r="J537">
        <f>VLOOKUP(A537,'Housing Cost Calc'!$A$2:$C$827,3,FALSE)</f>
        <v>1489</v>
      </c>
      <c r="K537">
        <f t="shared" si="53"/>
        <v>0.29834345933845213</v>
      </c>
    </row>
    <row r="538" spans="1:11" ht="64" x14ac:dyDescent="0.2">
      <c r="A538" s="4" t="s">
        <v>3471</v>
      </c>
      <c r="B538">
        <v>93571</v>
      </c>
      <c r="C538">
        <v>2.44</v>
      </c>
      <c r="D538">
        <f t="shared" si="48"/>
        <v>59902.694461005049</v>
      </c>
      <c r="E538">
        <f t="shared" si="49"/>
        <v>59.902694461005048</v>
      </c>
      <c r="F538" s="7">
        <v>0.65249088699878488</v>
      </c>
      <c r="G538">
        <f t="shared" si="50"/>
        <v>4</v>
      </c>
      <c r="H538" s="7">
        <f t="shared" si="51"/>
        <v>0.34750911300121512</v>
      </c>
      <c r="I538">
        <f t="shared" si="52"/>
        <v>2</v>
      </c>
      <c r="J538">
        <f>VLOOKUP(A538,'Housing Cost Calc'!$A$2:$C$827,3,FALSE)</f>
        <v>1586</v>
      </c>
      <c r="K538">
        <f t="shared" si="53"/>
        <v>0.3177152575730845</v>
      </c>
    </row>
    <row r="539" spans="1:11" ht="48" x14ac:dyDescent="0.2">
      <c r="A539" s="4" t="s">
        <v>3828</v>
      </c>
      <c r="B539">
        <v>105528</v>
      </c>
      <c r="C539">
        <v>3.09</v>
      </c>
      <c r="D539">
        <f t="shared" si="48"/>
        <v>60032.781724266271</v>
      </c>
      <c r="E539">
        <f t="shared" si="49"/>
        <v>60.032781724266272</v>
      </c>
      <c r="F539" s="7">
        <v>0.65370595382746055</v>
      </c>
      <c r="G539">
        <f t="shared" si="50"/>
        <v>4</v>
      </c>
      <c r="H539" s="7">
        <f t="shared" si="51"/>
        <v>0.34629404617253945</v>
      </c>
      <c r="I539">
        <f t="shared" si="52"/>
        <v>2</v>
      </c>
      <c r="J539">
        <f>VLOOKUP(A539,'Housing Cost Calc'!$A$2:$C$827,3,FALSE)</f>
        <v>1936</v>
      </c>
      <c r="K539">
        <f t="shared" si="53"/>
        <v>0.38698856412661004</v>
      </c>
    </row>
    <row r="540" spans="1:11" ht="48" x14ac:dyDescent="0.2">
      <c r="A540" s="4" t="s">
        <v>3067</v>
      </c>
      <c r="B540">
        <v>92813</v>
      </c>
      <c r="C540">
        <v>2.39</v>
      </c>
      <c r="D540">
        <f t="shared" si="48"/>
        <v>60035.738899327996</v>
      </c>
      <c r="E540">
        <f t="shared" si="49"/>
        <v>60.035738899327995</v>
      </c>
      <c r="F540" s="7">
        <v>0.65492102065613611</v>
      </c>
      <c r="G540">
        <f t="shared" si="50"/>
        <v>4</v>
      </c>
      <c r="H540" s="7">
        <f t="shared" si="51"/>
        <v>0.34507897934386389</v>
      </c>
      <c r="I540">
        <f t="shared" si="52"/>
        <v>2</v>
      </c>
      <c r="J540">
        <f>VLOOKUP(A540,'Housing Cost Calc'!$A$2:$C$827,3,FALSE)</f>
        <v>1280</v>
      </c>
      <c r="K540">
        <f t="shared" si="53"/>
        <v>0.25584760480347701</v>
      </c>
    </row>
    <row r="541" spans="1:11" ht="48" x14ac:dyDescent="0.2">
      <c r="A541" s="4" t="s">
        <v>3410</v>
      </c>
      <c r="B541">
        <v>96658</v>
      </c>
      <c r="C541">
        <v>2.59</v>
      </c>
      <c r="D541">
        <f t="shared" si="48"/>
        <v>60060.358842143993</v>
      </c>
      <c r="E541">
        <f t="shared" si="49"/>
        <v>60.060358842143991</v>
      </c>
      <c r="F541" s="7">
        <v>0.65613608748481167</v>
      </c>
      <c r="G541">
        <f t="shared" si="50"/>
        <v>4</v>
      </c>
      <c r="H541" s="7">
        <f t="shared" si="51"/>
        <v>0.34386391251518833</v>
      </c>
      <c r="I541">
        <f t="shared" si="52"/>
        <v>2</v>
      </c>
      <c r="J541">
        <f>VLOOKUP(A541,'Housing Cost Calc'!$A$2:$C$827,3,FALSE)</f>
        <v>1560</v>
      </c>
      <c r="K541">
        <f t="shared" si="53"/>
        <v>0.31168644944665713</v>
      </c>
    </row>
    <row r="542" spans="1:11" ht="64" x14ac:dyDescent="0.2">
      <c r="A542" s="4" t="s">
        <v>3338</v>
      </c>
      <c r="B542">
        <v>100757</v>
      </c>
      <c r="C542">
        <v>2.81</v>
      </c>
      <c r="D542">
        <f t="shared" si="48"/>
        <v>60106.586966797186</v>
      </c>
      <c r="E542">
        <f t="shared" si="49"/>
        <v>60.106586966797188</v>
      </c>
      <c r="F542" s="7">
        <v>0.65735115431348723</v>
      </c>
      <c r="G542">
        <f t="shared" si="50"/>
        <v>4</v>
      </c>
      <c r="H542" s="7">
        <f t="shared" si="51"/>
        <v>0.34264884568651277</v>
      </c>
      <c r="I542">
        <f t="shared" si="52"/>
        <v>2</v>
      </c>
      <c r="J542">
        <f>VLOOKUP(A542,'Housing Cost Calc'!$A$2:$C$827,3,FALSE)</f>
        <v>1517</v>
      </c>
      <c r="K542">
        <f t="shared" si="53"/>
        <v>0.30286198100144779</v>
      </c>
    </row>
    <row r="543" spans="1:11" ht="48" x14ac:dyDescent="0.2">
      <c r="A543" s="4" t="s">
        <v>3659</v>
      </c>
      <c r="B543">
        <v>95234</v>
      </c>
      <c r="C543">
        <v>2.5099999999999998</v>
      </c>
      <c r="D543">
        <f t="shared" si="48"/>
        <v>60111.167784616191</v>
      </c>
      <c r="E543">
        <f t="shared" si="49"/>
        <v>60.111167784616192</v>
      </c>
      <c r="F543" s="7">
        <v>0.65856622114216279</v>
      </c>
      <c r="G543">
        <f t="shared" si="50"/>
        <v>4</v>
      </c>
      <c r="H543" s="7">
        <f t="shared" si="51"/>
        <v>0.34143377885783721</v>
      </c>
      <c r="I543">
        <f t="shared" si="52"/>
        <v>2</v>
      </c>
      <c r="J543">
        <f>VLOOKUP(A543,'Housing Cost Calc'!$A$2:$C$827,3,FALSE)</f>
        <v>1694</v>
      </c>
      <c r="K543">
        <f t="shared" si="53"/>
        <v>0.33817343347640627</v>
      </c>
    </row>
    <row r="544" spans="1:11" ht="48" x14ac:dyDescent="0.2">
      <c r="A544" s="4" t="s">
        <v>3273</v>
      </c>
      <c r="B544">
        <v>89036</v>
      </c>
      <c r="C544">
        <v>2.1800000000000002</v>
      </c>
      <c r="D544">
        <f t="shared" si="48"/>
        <v>60302.788348208305</v>
      </c>
      <c r="E544">
        <f t="shared" si="49"/>
        <v>60.302788348208303</v>
      </c>
      <c r="F544" s="7">
        <v>0.65978128797083835</v>
      </c>
      <c r="G544">
        <f t="shared" si="50"/>
        <v>4</v>
      </c>
      <c r="H544" s="7">
        <f t="shared" si="51"/>
        <v>0.34021871202916165</v>
      </c>
      <c r="I544">
        <f t="shared" si="52"/>
        <v>2</v>
      </c>
      <c r="J544">
        <f>VLOOKUP(A544,'Housing Cost Calc'!$A$2:$C$827,3,FALSE)</f>
        <v>1489</v>
      </c>
      <c r="K544">
        <f t="shared" si="53"/>
        <v>0.29630470645609686</v>
      </c>
    </row>
    <row r="545" spans="1:11" ht="48" x14ac:dyDescent="0.2">
      <c r="A545" s="4" t="s">
        <v>3788</v>
      </c>
      <c r="B545">
        <v>86705</v>
      </c>
      <c r="C545">
        <v>2.06</v>
      </c>
      <c r="D545">
        <f t="shared" si="48"/>
        <v>60410.236004154707</v>
      </c>
      <c r="E545">
        <f t="shared" si="49"/>
        <v>60.410236004154704</v>
      </c>
      <c r="F545" s="7">
        <v>0.66099635479951402</v>
      </c>
      <c r="G545">
        <f t="shared" si="50"/>
        <v>4</v>
      </c>
      <c r="H545" s="7">
        <f t="shared" si="51"/>
        <v>0.33900364520048598</v>
      </c>
      <c r="I545">
        <f t="shared" si="52"/>
        <v>2</v>
      </c>
      <c r="J545">
        <f>VLOOKUP(A545,'Housing Cost Calc'!$A$2:$C$827,3,FALSE)</f>
        <v>1908</v>
      </c>
      <c r="K545">
        <f t="shared" si="53"/>
        <v>0.37900861699042743</v>
      </c>
    </row>
    <row r="546" spans="1:11" ht="64" x14ac:dyDescent="0.2">
      <c r="A546" s="4" t="s">
        <v>3342</v>
      </c>
      <c r="B546">
        <v>97750</v>
      </c>
      <c r="C546">
        <v>2.61</v>
      </c>
      <c r="D546">
        <f t="shared" si="48"/>
        <v>60505.731022689404</v>
      </c>
      <c r="E546">
        <f t="shared" si="49"/>
        <v>60.505731022689403</v>
      </c>
      <c r="F546" s="7">
        <v>0.66221142162818958</v>
      </c>
      <c r="G546">
        <f t="shared" si="50"/>
        <v>4</v>
      </c>
      <c r="H546" s="7">
        <f t="shared" si="51"/>
        <v>0.33778857837181042</v>
      </c>
      <c r="I546">
        <f t="shared" si="52"/>
        <v>2</v>
      </c>
      <c r="J546">
        <f>VLOOKUP(A546,'Housing Cost Calc'!$A$2:$C$827,3,FALSE)</f>
        <v>1528</v>
      </c>
      <c r="K546">
        <f t="shared" si="53"/>
        <v>0.30304567336148824</v>
      </c>
    </row>
    <row r="547" spans="1:11" ht="64" x14ac:dyDescent="0.2">
      <c r="A547" s="4" t="s">
        <v>3175</v>
      </c>
      <c r="B547">
        <v>90571</v>
      </c>
      <c r="C547">
        <v>2.23</v>
      </c>
      <c r="D547">
        <f t="shared" si="48"/>
        <v>60650.82759815242</v>
      </c>
      <c r="E547">
        <f t="shared" si="49"/>
        <v>60.650827598152418</v>
      </c>
      <c r="F547" s="7">
        <v>0.66342648845686514</v>
      </c>
      <c r="G547">
        <f t="shared" si="50"/>
        <v>4</v>
      </c>
      <c r="H547" s="7">
        <f t="shared" si="51"/>
        <v>0.33657351154313486</v>
      </c>
      <c r="I547">
        <f t="shared" si="52"/>
        <v>2</v>
      </c>
      <c r="J547">
        <f>VLOOKUP(A547,'Housing Cost Calc'!$A$2:$C$827,3,FALSE)</f>
        <v>1431</v>
      </c>
      <c r="K547">
        <f t="shared" si="53"/>
        <v>0.28312886534334947</v>
      </c>
    </row>
    <row r="548" spans="1:11" ht="48" x14ac:dyDescent="0.2">
      <c r="A548" s="4" t="s">
        <v>3793</v>
      </c>
      <c r="B548">
        <v>100156</v>
      </c>
      <c r="C548">
        <v>2.72</v>
      </c>
      <c r="D548">
        <f t="shared" si="48"/>
        <v>60728.495152847412</v>
      </c>
      <c r="E548">
        <f t="shared" si="49"/>
        <v>60.728495152847415</v>
      </c>
      <c r="F548" s="7">
        <v>0.6646415552855407</v>
      </c>
      <c r="G548">
        <f t="shared" si="50"/>
        <v>4</v>
      </c>
      <c r="H548" s="7">
        <f t="shared" si="51"/>
        <v>0.3353584447144593</v>
      </c>
      <c r="I548">
        <f t="shared" si="52"/>
        <v>2</v>
      </c>
      <c r="J548">
        <f>VLOOKUP(A548,'Housing Cost Calc'!$A$2:$C$827,3,FALSE)</f>
        <v>1861</v>
      </c>
      <c r="K548">
        <f t="shared" si="53"/>
        <v>0.36773511254959701</v>
      </c>
    </row>
    <row r="549" spans="1:11" ht="48" x14ac:dyDescent="0.2">
      <c r="A549" s="4" t="s">
        <v>3335</v>
      </c>
      <c r="B549">
        <v>89699</v>
      </c>
      <c r="C549">
        <v>2.1800000000000002</v>
      </c>
      <c r="D549">
        <f t="shared" si="48"/>
        <v>60751.828609168617</v>
      </c>
      <c r="E549">
        <f t="shared" si="49"/>
        <v>60.751828609168619</v>
      </c>
      <c r="F549" s="7">
        <v>0.66585662211421626</v>
      </c>
      <c r="G549">
        <f t="shared" si="50"/>
        <v>4</v>
      </c>
      <c r="H549" s="7">
        <f t="shared" si="51"/>
        <v>0.33414337788578374</v>
      </c>
      <c r="I549">
        <f t="shared" si="52"/>
        <v>2</v>
      </c>
      <c r="J549">
        <f>VLOOKUP(A549,'Housing Cost Calc'!$A$2:$C$827,3,FALSE)</f>
        <v>1530</v>
      </c>
      <c r="K549">
        <f t="shared" si="53"/>
        <v>0.30221312543716788</v>
      </c>
    </row>
    <row r="550" spans="1:11" ht="48" x14ac:dyDescent="0.2">
      <c r="A550" s="4" t="s">
        <v>3311</v>
      </c>
      <c r="B550">
        <v>101848</v>
      </c>
      <c r="C550">
        <v>2.81</v>
      </c>
      <c r="D550">
        <f t="shared" si="48"/>
        <v>60757.423001819821</v>
      </c>
      <c r="E550">
        <f t="shared" si="49"/>
        <v>60.757423001819824</v>
      </c>
      <c r="F550" s="7">
        <v>0.66707168894289182</v>
      </c>
      <c r="G550">
        <f t="shared" si="50"/>
        <v>4</v>
      </c>
      <c r="H550" s="7">
        <f t="shared" si="51"/>
        <v>0.33292831105710818</v>
      </c>
      <c r="I550">
        <f t="shared" si="52"/>
        <v>2</v>
      </c>
      <c r="J550">
        <f>VLOOKUP(A550,'Housing Cost Calc'!$A$2:$C$827,3,FALSE)</f>
        <v>1522</v>
      </c>
      <c r="K550">
        <f t="shared" si="53"/>
        <v>0.30060524455510484</v>
      </c>
    </row>
    <row r="551" spans="1:11" ht="64" x14ac:dyDescent="0.2">
      <c r="A551" s="4" t="s">
        <v>3259</v>
      </c>
      <c r="B551">
        <v>96607</v>
      </c>
      <c r="C551">
        <v>2.52</v>
      </c>
      <c r="D551">
        <f t="shared" si="48"/>
        <v>60856.689740004025</v>
      </c>
      <c r="E551">
        <f t="shared" si="49"/>
        <v>60.856689740004022</v>
      </c>
      <c r="F551" s="7">
        <v>0.66828675577156749</v>
      </c>
      <c r="G551">
        <f t="shared" si="50"/>
        <v>4</v>
      </c>
      <c r="H551" s="7">
        <f t="shared" si="51"/>
        <v>0.33171324422843251</v>
      </c>
      <c r="I551">
        <f t="shared" si="52"/>
        <v>2</v>
      </c>
      <c r="J551">
        <f>VLOOKUP(A551,'Housing Cost Calc'!$A$2:$C$827,3,FALSE)</f>
        <v>1494</v>
      </c>
      <c r="K551">
        <f t="shared" si="53"/>
        <v>0.29459374271905336</v>
      </c>
    </row>
    <row r="552" spans="1:11" ht="48" x14ac:dyDescent="0.2">
      <c r="A552" s="4" t="s">
        <v>3807</v>
      </c>
      <c r="B552">
        <v>96916</v>
      </c>
      <c r="C552">
        <v>2.5299999999999998</v>
      </c>
      <c r="D552">
        <f t="shared" si="48"/>
        <v>60930.567158276557</v>
      </c>
      <c r="E552">
        <f t="shared" si="49"/>
        <v>60.93056715827656</v>
      </c>
      <c r="F552" s="7">
        <v>0.66950182260024305</v>
      </c>
      <c r="G552">
        <f t="shared" si="50"/>
        <v>4</v>
      </c>
      <c r="H552" s="7">
        <f t="shared" si="51"/>
        <v>0.33049817739975695</v>
      </c>
      <c r="I552">
        <f t="shared" si="52"/>
        <v>2</v>
      </c>
      <c r="J552">
        <f>VLOOKUP(A552,'Housing Cost Calc'!$A$2:$C$827,3,FALSE)</f>
        <v>1905</v>
      </c>
      <c r="K552">
        <f t="shared" si="53"/>
        <v>0.37518114578874051</v>
      </c>
    </row>
    <row r="553" spans="1:11" ht="64" x14ac:dyDescent="0.2">
      <c r="A553" s="4" t="s">
        <v>3123</v>
      </c>
      <c r="B553">
        <v>85378</v>
      </c>
      <c r="C553">
        <v>1.96</v>
      </c>
      <c r="D553">
        <f t="shared" si="48"/>
        <v>60984.285714285717</v>
      </c>
      <c r="E553">
        <f t="shared" si="49"/>
        <v>60.984285714285718</v>
      </c>
      <c r="F553" s="7">
        <v>0.67071688942891861</v>
      </c>
      <c r="G553">
        <f t="shared" si="50"/>
        <v>4</v>
      </c>
      <c r="H553" s="7">
        <f t="shared" si="51"/>
        <v>0.32928311057108139</v>
      </c>
      <c r="I553">
        <f t="shared" si="52"/>
        <v>2</v>
      </c>
      <c r="J553">
        <f>VLOOKUP(A553,'Housing Cost Calc'!$A$2:$C$827,3,FALSE)</f>
        <v>1363</v>
      </c>
      <c r="K553">
        <f t="shared" si="53"/>
        <v>0.26820023893743117</v>
      </c>
    </row>
    <row r="554" spans="1:11" ht="48" x14ac:dyDescent="0.2">
      <c r="A554" s="4" t="s">
        <v>3396</v>
      </c>
      <c r="B554">
        <v>96111</v>
      </c>
      <c r="C554">
        <v>2.48</v>
      </c>
      <c r="D554">
        <f t="shared" si="48"/>
        <v>61030.546030576545</v>
      </c>
      <c r="E554">
        <f t="shared" si="49"/>
        <v>61.030546030576545</v>
      </c>
      <c r="F554" s="7">
        <v>0.67193195625759417</v>
      </c>
      <c r="G554">
        <f t="shared" si="50"/>
        <v>4</v>
      </c>
      <c r="H554" s="7">
        <f t="shared" si="51"/>
        <v>0.32806804374240583</v>
      </c>
      <c r="I554">
        <f t="shared" si="52"/>
        <v>2</v>
      </c>
      <c r="J554">
        <f>VLOOKUP(A554,'Housing Cost Calc'!$A$2:$C$827,3,FALSE)</f>
        <v>1576</v>
      </c>
      <c r="K554">
        <f t="shared" si="53"/>
        <v>0.30987761424459503</v>
      </c>
    </row>
    <row r="555" spans="1:11" ht="48" x14ac:dyDescent="0.2">
      <c r="A555" s="4" t="s">
        <v>3734</v>
      </c>
      <c r="B555">
        <v>87227</v>
      </c>
      <c r="C555">
        <v>2.04</v>
      </c>
      <c r="D555">
        <f t="shared" si="48"/>
        <v>61071.115444755611</v>
      </c>
      <c r="E555">
        <f t="shared" si="49"/>
        <v>61.071115444755613</v>
      </c>
      <c r="F555" s="7">
        <v>0.67314702308626972</v>
      </c>
      <c r="G555">
        <f t="shared" si="50"/>
        <v>4</v>
      </c>
      <c r="H555" s="7">
        <f t="shared" si="51"/>
        <v>0.32685297691373028</v>
      </c>
      <c r="I555">
        <f t="shared" si="52"/>
        <v>2</v>
      </c>
      <c r="J555">
        <f>VLOOKUP(A555,'Housing Cost Calc'!$A$2:$C$827,3,FALSE)</f>
        <v>1786</v>
      </c>
      <c r="K555">
        <f t="shared" si="53"/>
        <v>0.35093513265509613</v>
      </c>
    </row>
    <row r="556" spans="1:11" ht="64" x14ac:dyDescent="0.2">
      <c r="A556" s="4" t="s">
        <v>3265</v>
      </c>
      <c r="B556">
        <v>102656</v>
      </c>
      <c r="C556">
        <v>2.82</v>
      </c>
      <c r="D556">
        <f t="shared" si="48"/>
        <v>61130.758401111263</v>
      </c>
      <c r="E556">
        <f t="shared" si="49"/>
        <v>61.130758401111265</v>
      </c>
      <c r="F556" s="7">
        <v>0.67436208991494528</v>
      </c>
      <c r="G556">
        <f t="shared" si="50"/>
        <v>4</v>
      </c>
      <c r="H556" s="7">
        <f t="shared" si="51"/>
        <v>0.32563791008505472</v>
      </c>
      <c r="I556">
        <f t="shared" si="52"/>
        <v>2</v>
      </c>
      <c r="J556">
        <f>VLOOKUP(A556,'Housing Cost Calc'!$A$2:$C$827,3,FALSE)</f>
        <v>1507</v>
      </c>
      <c r="K556">
        <f t="shared" si="53"/>
        <v>0.29582489196913447</v>
      </c>
    </row>
    <row r="557" spans="1:11" ht="48" x14ac:dyDescent="0.2">
      <c r="A557" s="4" t="s">
        <v>3444</v>
      </c>
      <c r="B557">
        <v>89261</v>
      </c>
      <c r="C557">
        <v>2.13</v>
      </c>
      <c r="D557">
        <f t="shared" si="48"/>
        <v>61160.629427915308</v>
      </c>
      <c r="E557">
        <f t="shared" si="49"/>
        <v>61.16062942791531</v>
      </c>
      <c r="F557" s="7">
        <v>0.67557715674362095</v>
      </c>
      <c r="G557">
        <f t="shared" si="50"/>
        <v>4</v>
      </c>
      <c r="H557" s="7">
        <f t="shared" si="51"/>
        <v>0.32442284325637905</v>
      </c>
      <c r="I557">
        <f t="shared" si="52"/>
        <v>2</v>
      </c>
      <c r="J557">
        <f>VLOOKUP(A557,'Housing Cost Calc'!$A$2:$C$827,3,FALSE)</f>
        <v>1605</v>
      </c>
      <c r="K557">
        <f t="shared" si="53"/>
        <v>0.31490846611871581</v>
      </c>
    </row>
    <row r="558" spans="1:11" ht="48" x14ac:dyDescent="0.2">
      <c r="A558" s="4" t="s">
        <v>3814</v>
      </c>
      <c r="B558">
        <v>90929</v>
      </c>
      <c r="C558">
        <v>2.21</v>
      </c>
      <c r="D558">
        <f t="shared" si="48"/>
        <v>61165.464485290693</v>
      </c>
      <c r="E558">
        <f t="shared" si="49"/>
        <v>61.165464485290691</v>
      </c>
      <c r="F558" s="7">
        <v>0.67679222357229651</v>
      </c>
      <c r="G558">
        <f t="shared" si="50"/>
        <v>4</v>
      </c>
      <c r="H558" s="7">
        <f t="shared" si="51"/>
        <v>0.32320777642770349</v>
      </c>
      <c r="I558">
        <f t="shared" si="52"/>
        <v>2</v>
      </c>
      <c r="J558">
        <f>VLOOKUP(A558,'Housing Cost Calc'!$A$2:$C$827,3,FALSE)</f>
        <v>1930</v>
      </c>
      <c r="K558">
        <f t="shared" si="53"/>
        <v>0.37864504414201916</v>
      </c>
    </row>
    <row r="559" spans="1:11" ht="48" x14ac:dyDescent="0.2">
      <c r="A559" s="4" t="s">
        <v>3842</v>
      </c>
      <c r="B559">
        <v>100357</v>
      </c>
      <c r="C559">
        <v>2.68</v>
      </c>
      <c r="D559">
        <f t="shared" si="48"/>
        <v>61302.79463632861</v>
      </c>
      <c r="E559">
        <f t="shared" si="49"/>
        <v>61.302794636328613</v>
      </c>
      <c r="F559" s="7">
        <v>0.67800729040097207</v>
      </c>
      <c r="G559">
        <f t="shared" si="50"/>
        <v>4</v>
      </c>
      <c r="H559" s="7">
        <f t="shared" si="51"/>
        <v>0.32199270959902793</v>
      </c>
      <c r="I559">
        <f t="shared" si="52"/>
        <v>2</v>
      </c>
      <c r="J559">
        <f>VLOOKUP(A559,'Housing Cost Calc'!$A$2:$C$827,3,FALSE)</f>
        <v>2200</v>
      </c>
      <c r="K559">
        <f t="shared" si="53"/>
        <v>0.43064920867987821</v>
      </c>
    </row>
    <row r="560" spans="1:11" ht="48" x14ac:dyDescent="0.2">
      <c r="A560" s="4" t="s">
        <v>3809</v>
      </c>
      <c r="B560">
        <v>101974</v>
      </c>
      <c r="C560">
        <v>2.76</v>
      </c>
      <c r="D560">
        <f t="shared" si="48"/>
        <v>61381.134912841146</v>
      </c>
      <c r="E560">
        <f t="shared" si="49"/>
        <v>61.381134912841148</v>
      </c>
      <c r="F560" s="7">
        <v>0.67922235722964763</v>
      </c>
      <c r="G560">
        <f t="shared" si="50"/>
        <v>4</v>
      </c>
      <c r="H560" s="7">
        <f t="shared" si="51"/>
        <v>0.32077764277035237</v>
      </c>
      <c r="I560">
        <f t="shared" si="52"/>
        <v>2</v>
      </c>
      <c r="J560">
        <f>VLOOKUP(A560,'Housing Cost Calc'!$A$2:$C$827,3,FALSE)</f>
        <v>1923</v>
      </c>
      <c r="K560">
        <f t="shared" si="53"/>
        <v>0.37594612795555238</v>
      </c>
    </row>
    <row r="561" spans="1:11" ht="48" x14ac:dyDescent="0.2">
      <c r="A561" s="4" t="s">
        <v>3767</v>
      </c>
      <c r="B561">
        <v>93558</v>
      </c>
      <c r="C561">
        <v>2.3199999999999998</v>
      </c>
      <c r="D561">
        <f t="shared" si="48"/>
        <v>61423.836227449618</v>
      </c>
      <c r="E561">
        <f t="shared" si="49"/>
        <v>61.42383622744962</v>
      </c>
      <c r="F561" s="7">
        <v>0.68043742405832319</v>
      </c>
      <c r="G561">
        <f t="shared" si="50"/>
        <v>4</v>
      </c>
      <c r="H561" s="7">
        <f t="shared" si="51"/>
        <v>0.31956257594167681</v>
      </c>
      <c r="I561">
        <f t="shared" si="52"/>
        <v>2</v>
      </c>
      <c r="J561">
        <f>VLOOKUP(A561,'Housing Cost Calc'!$A$2:$C$827,3,FALSE)</f>
        <v>1831</v>
      </c>
      <c r="K561">
        <f t="shared" si="53"/>
        <v>0.35771129498715615</v>
      </c>
    </row>
    <row r="562" spans="1:11" ht="48" x14ac:dyDescent="0.2">
      <c r="A562" s="4" t="s">
        <v>3105</v>
      </c>
      <c r="B562">
        <v>95240</v>
      </c>
      <c r="C562">
        <v>2.4</v>
      </c>
      <c r="D562">
        <f t="shared" si="48"/>
        <v>61477.15564879906</v>
      </c>
      <c r="E562">
        <f t="shared" si="49"/>
        <v>61.477155648799062</v>
      </c>
      <c r="F562" s="7">
        <v>0.68165249088699875</v>
      </c>
      <c r="G562">
        <f t="shared" si="50"/>
        <v>4</v>
      </c>
      <c r="H562" s="7">
        <f t="shared" si="51"/>
        <v>0.31834750911300125</v>
      </c>
      <c r="I562">
        <f t="shared" si="52"/>
        <v>2</v>
      </c>
      <c r="J562">
        <f>VLOOKUP(A562,'Housing Cost Calc'!$A$2:$C$827,3,FALSE)</f>
        <v>1358</v>
      </c>
      <c r="K562">
        <f t="shared" si="53"/>
        <v>0.26507407227969793</v>
      </c>
    </row>
    <row r="563" spans="1:11" ht="48" x14ac:dyDescent="0.2">
      <c r="A563" s="4" t="s">
        <v>3751</v>
      </c>
      <c r="B563">
        <v>93843</v>
      </c>
      <c r="C563">
        <v>2.33</v>
      </c>
      <c r="D563">
        <f t="shared" si="48"/>
        <v>61478.593395772703</v>
      </c>
      <c r="E563">
        <f t="shared" si="49"/>
        <v>61.478593395772705</v>
      </c>
      <c r="F563" s="7">
        <v>0.68286755771567431</v>
      </c>
      <c r="G563">
        <f t="shared" si="50"/>
        <v>4</v>
      </c>
      <c r="H563" s="7">
        <f t="shared" si="51"/>
        <v>0.31713244228432569</v>
      </c>
      <c r="I563">
        <f t="shared" si="52"/>
        <v>2</v>
      </c>
      <c r="J563">
        <f>VLOOKUP(A563,'Housing Cost Calc'!$A$2:$C$827,3,FALSE)</f>
        <v>1818</v>
      </c>
      <c r="K563">
        <f t="shared" si="53"/>
        <v>0.35485522350125986</v>
      </c>
    </row>
    <row r="564" spans="1:11" ht="48" x14ac:dyDescent="0.2">
      <c r="A564" s="4" t="s">
        <v>3702</v>
      </c>
      <c r="B564">
        <v>98000</v>
      </c>
      <c r="C564">
        <v>2.54</v>
      </c>
      <c r="D564">
        <f t="shared" si="48"/>
        <v>61490.668903539539</v>
      </c>
      <c r="E564">
        <f t="shared" si="49"/>
        <v>61.490668903539536</v>
      </c>
      <c r="F564" s="7">
        <v>0.68408262454434998</v>
      </c>
      <c r="G564">
        <f t="shared" si="50"/>
        <v>4</v>
      </c>
      <c r="H564" s="7">
        <f t="shared" si="51"/>
        <v>0.31591737545565002</v>
      </c>
      <c r="I564">
        <f t="shared" si="52"/>
        <v>2</v>
      </c>
      <c r="J564">
        <f>VLOOKUP(A564,'Housing Cost Calc'!$A$2:$C$827,3,FALSE)</f>
        <v>1768</v>
      </c>
      <c r="K564">
        <f t="shared" si="53"/>
        <v>0.34502795917347323</v>
      </c>
    </row>
    <row r="565" spans="1:11" ht="48" x14ac:dyDescent="0.2">
      <c r="A565" s="4" t="s">
        <v>3450</v>
      </c>
      <c r="B565">
        <v>103348</v>
      </c>
      <c r="C565">
        <v>2.82</v>
      </c>
      <c r="D565">
        <f t="shared" si="48"/>
        <v>61542.838404360649</v>
      </c>
      <c r="E565">
        <f t="shared" si="49"/>
        <v>61.542838404360651</v>
      </c>
      <c r="F565" s="7">
        <v>0.68529769137302554</v>
      </c>
      <c r="G565">
        <f t="shared" si="50"/>
        <v>4</v>
      </c>
      <c r="H565" s="7">
        <f t="shared" si="51"/>
        <v>0.31470230862697446</v>
      </c>
      <c r="I565">
        <f t="shared" si="52"/>
        <v>2</v>
      </c>
      <c r="J565">
        <f>VLOOKUP(A565,'Housing Cost Calc'!$A$2:$C$827,3,FALSE)</f>
        <v>1618</v>
      </c>
      <c r="K565">
        <f t="shared" si="53"/>
        <v>0.31548756124033872</v>
      </c>
    </row>
    <row r="566" spans="1:11" ht="48" x14ac:dyDescent="0.2">
      <c r="A566" s="4" t="s">
        <v>3681</v>
      </c>
      <c r="B566">
        <v>101679</v>
      </c>
      <c r="C566">
        <v>2.72</v>
      </c>
      <c r="D566">
        <f t="shared" si="48"/>
        <v>61651.949545173251</v>
      </c>
      <c r="E566">
        <f t="shared" si="49"/>
        <v>61.651949545173252</v>
      </c>
      <c r="F566" s="7">
        <v>0.6865127582017011</v>
      </c>
      <c r="G566">
        <f t="shared" si="50"/>
        <v>4</v>
      </c>
      <c r="H566" s="7">
        <f t="shared" si="51"/>
        <v>0.3134872417982989</v>
      </c>
      <c r="I566">
        <f t="shared" si="52"/>
        <v>2</v>
      </c>
      <c r="J566">
        <f>VLOOKUP(A566,'Housing Cost Calc'!$A$2:$C$827,3,FALSE)</f>
        <v>1757</v>
      </c>
      <c r="K566">
        <f t="shared" si="53"/>
        <v>0.34198431932069651</v>
      </c>
    </row>
    <row r="567" spans="1:11" ht="64" x14ac:dyDescent="0.2">
      <c r="A567" s="4" t="s">
        <v>3327</v>
      </c>
      <c r="B567">
        <v>93125</v>
      </c>
      <c r="C567">
        <v>2.2799999999999998</v>
      </c>
      <c r="D567">
        <f t="shared" si="48"/>
        <v>61673.53787584111</v>
      </c>
      <c r="E567">
        <f t="shared" si="49"/>
        <v>61.673537875841113</v>
      </c>
      <c r="F567" s="7">
        <v>0.68772782503037666</v>
      </c>
      <c r="G567">
        <f t="shared" si="50"/>
        <v>4</v>
      </c>
      <c r="H567" s="7">
        <f t="shared" si="51"/>
        <v>0.31227217496962334</v>
      </c>
      <c r="I567">
        <f t="shared" si="52"/>
        <v>2</v>
      </c>
      <c r="J567">
        <f>VLOOKUP(A567,'Housing Cost Calc'!$A$2:$C$827,3,FALSE)</f>
        <v>1552</v>
      </c>
      <c r="K567">
        <f t="shared" si="53"/>
        <v>0.30197716300130456</v>
      </c>
    </row>
    <row r="568" spans="1:11" ht="64" x14ac:dyDescent="0.2">
      <c r="A568" s="4" t="s">
        <v>3243</v>
      </c>
      <c r="B568">
        <v>96719</v>
      </c>
      <c r="C568">
        <v>2.4500000000000002</v>
      </c>
      <c r="D568">
        <f t="shared" si="48"/>
        <v>61791.502490229192</v>
      </c>
      <c r="E568">
        <f t="shared" si="49"/>
        <v>61.791502490229192</v>
      </c>
      <c r="F568" s="7">
        <v>0.68894289185905222</v>
      </c>
      <c r="G568">
        <f t="shared" si="50"/>
        <v>4</v>
      </c>
      <c r="H568" s="7">
        <f t="shared" si="51"/>
        <v>0.31105710814094778</v>
      </c>
      <c r="I568">
        <f t="shared" si="52"/>
        <v>2</v>
      </c>
      <c r="J568">
        <f>VLOOKUP(A568,'Housing Cost Calc'!$A$2:$C$827,3,FALSE)</f>
        <v>1506</v>
      </c>
      <c r="K568">
        <f t="shared" si="53"/>
        <v>0.29246739877959177</v>
      </c>
    </row>
    <row r="569" spans="1:11" ht="48" x14ac:dyDescent="0.2">
      <c r="A569" s="4" t="s">
        <v>3195</v>
      </c>
      <c r="B569">
        <v>99722</v>
      </c>
      <c r="C569">
        <v>2.6</v>
      </c>
      <c r="D569">
        <f t="shared" si="48"/>
        <v>61844.959013525222</v>
      </c>
      <c r="E569">
        <f t="shared" si="49"/>
        <v>61.844959013525219</v>
      </c>
      <c r="F569" s="7">
        <v>0.69015795868772778</v>
      </c>
      <c r="G569">
        <f t="shared" si="50"/>
        <v>4</v>
      </c>
      <c r="H569" s="7">
        <f t="shared" si="51"/>
        <v>0.30984204131227222</v>
      </c>
      <c r="I569">
        <f t="shared" si="52"/>
        <v>2</v>
      </c>
      <c r="J569">
        <f>VLOOKUP(A569,'Housing Cost Calc'!$A$2:$C$827,3,FALSE)</f>
        <v>1473</v>
      </c>
      <c r="K569">
        <f t="shared" si="53"/>
        <v>0.28581149186523569</v>
      </c>
    </row>
    <row r="570" spans="1:11" ht="48" x14ac:dyDescent="0.2">
      <c r="A570" s="4" t="s">
        <v>3309</v>
      </c>
      <c r="B570">
        <v>98664</v>
      </c>
      <c r="C570">
        <v>2.54</v>
      </c>
      <c r="D570">
        <f t="shared" si="48"/>
        <v>61907.299558151281</v>
      </c>
      <c r="E570">
        <f t="shared" si="49"/>
        <v>61.90729955815128</v>
      </c>
      <c r="F570" s="7">
        <v>0.69137302551640345</v>
      </c>
      <c r="G570">
        <f t="shared" si="50"/>
        <v>4</v>
      </c>
      <c r="H570" s="7">
        <f t="shared" si="51"/>
        <v>0.30862697448359655</v>
      </c>
      <c r="I570">
        <f t="shared" si="52"/>
        <v>2</v>
      </c>
      <c r="J570">
        <f>VLOOKUP(A570,'Housing Cost Calc'!$A$2:$C$827,3,FALSE)</f>
        <v>1549</v>
      </c>
      <c r="K570">
        <f t="shared" si="53"/>
        <v>0.30025538398003881</v>
      </c>
    </row>
    <row r="571" spans="1:11" ht="64" x14ac:dyDescent="0.2">
      <c r="A571" s="4" t="s">
        <v>3492</v>
      </c>
      <c r="B571">
        <v>89079</v>
      </c>
      <c r="C571">
        <v>2.0699999999999998</v>
      </c>
      <c r="D571">
        <f t="shared" si="48"/>
        <v>61914.184965967215</v>
      </c>
      <c r="E571">
        <f t="shared" si="49"/>
        <v>61.914184965967216</v>
      </c>
      <c r="F571" s="7">
        <v>0.69258809234507901</v>
      </c>
      <c r="G571">
        <f t="shared" si="50"/>
        <v>4</v>
      </c>
      <c r="H571" s="7">
        <f t="shared" si="51"/>
        <v>0.30741190765492099</v>
      </c>
      <c r="I571">
        <f t="shared" si="52"/>
        <v>2</v>
      </c>
      <c r="J571">
        <f>VLOOKUP(A571,'Housing Cost Calc'!$A$2:$C$827,3,FALSE)</f>
        <v>1650</v>
      </c>
      <c r="K571">
        <f t="shared" si="53"/>
        <v>0.3197974746963656</v>
      </c>
    </row>
    <row r="572" spans="1:11" ht="64" x14ac:dyDescent="0.2">
      <c r="A572" s="4" t="s">
        <v>3835</v>
      </c>
      <c r="B572">
        <v>106904</v>
      </c>
      <c r="C572">
        <v>2.98</v>
      </c>
      <c r="D572">
        <f t="shared" si="48"/>
        <v>61927.824454042777</v>
      </c>
      <c r="E572">
        <f t="shared" si="49"/>
        <v>61.927824454042778</v>
      </c>
      <c r="F572" s="7">
        <v>0.69380315917375457</v>
      </c>
      <c r="G572">
        <f t="shared" si="50"/>
        <v>4</v>
      </c>
      <c r="H572" s="7">
        <f t="shared" si="51"/>
        <v>0.30619684082624543</v>
      </c>
      <c r="I572">
        <f t="shared" si="52"/>
        <v>2</v>
      </c>
      <c r="J572">
        <f>VLOOKUP(A572,'Housing Cost Calc'!$A$2:$C$827,3,FALSE)</f>
        <v>2045</v>
      </c>
      <c r="K572">
        <f t="shared" si="53"/>
        <v>0.39626775550966375</v>
      </c>
    </row>
    <row r="573" spans="1:11" ht="48" x14ac:dyDescent="0.2">
      <c r="A573" s="4" t="s">
        <v>3844</v>
      </c>
      <c r="B573">
        <v>100813</v>
      </c>
      <c r="C573">
        <v>2.65</v>
      </c>
      <c r="D573">
        <f t="shared" si="48"/>
        <v>61928.933613381123</v>
      </c>
      <c r="E573">
        <f t="shared" si="49"/>
        <v>61.928933613381126</v>
      </c>
      <c r="F573" s="7">
        <v>0.69501822600243013</v>
      </c>
      <c r="G573">
        <f t="shared" si="50"/>
        <v>4</v>
      </c>
      <c r="H573" s="7">
        <f t="shared" si="51"/>
        <v>0.30498177399756987</v>
      </c>
      <c r="I573">
        <f t="shared" si="52"/>
        <v>2</v>
      </c>
      <c r="J573">
        <f>VLOOKUP(A573,'Housing Cost Calc'!$A$2:$C$827,3,FALSE)</f>
        <v>2347</v>
      </c>
      <c r="K573">
        <f t="shared" si="53"/>
        <v>0.45477934717601115</v>
      </c>
    </row>
    <row r="574" spans="1:11" ht="48" x14ac:dyDescent="0.2">
      <c r="A574" s="4" t="s">
        <v>3083</v>
      </c>
      <c r="B574">
        <v>90054</v>
      </c>
      <c r="C574">
        <v>2.11</v>
      </c>
      <c r="D574">
        <f t="shared" si="48"/>
        <v>61995.730307040641</v>
      </c>
      <c r="E574">
        <f t="shared" si="49"/>
        <v>61.995730307040638</v>
      </c>
      <c r="F574" s="7">
        <v>0.69623329283110569</v>
      </c>
      <c r="G574">
        <f t="shared" si="50"/>
        <v>4</v>
      </c>
      <c r="H574" s="7">
        <f t="shared" si="51"/>
        <v>0.30376670716889431</v>
      </c>
      <c r="I574">
        <f t="shared" si="52"/>
        <v>2</v>
      </c>
      <c r="J574">
        <f>VLOOKUP(A574,'Housing Cost Calc'!$A$2:$C$827,3,FALSE)</f>
        <v>1342</v>
      </c>
      <c r="K574">
        <f t="shared" si="53"/>
        <v>0.25975982410793741</v>
      </c>
    </row>
    <row r="575" spans="1:11" ht="48" x14ac:dyDescent="0.2">
      <c r="A575" s="4" t="s">
        <v>3477</v>
      </c>
      <c r="B575">
        <v>94872</v>
      </c>
      <c r="C575">
        <v>2.33</v>
      </c>
      <c r="D575">
        <f t="shared" si="48"/>
        <v>62152.713709533455</v>
      </c>
      <c r="E575">
        <f t="shared" si="49"/>
        <v>62.152713709533458</v>
      </c>
      <c r="F575" s="7">
        <v>0.69744835965978125</v>
      </c>
      <c r="G575">
        <f t="shared" si="50"/>
        <v>4</v>
      </c>
      <c r="H575" s="7">
        <f t="shared" si="51"/>
        <v>0.30255164034021875</v>
      </c>
      <c r="I575">
        <f t="shared" si="52"/>
        <v>2</v>
      </c>
      <c r="J575">
        <f>VLOOKUP(A575,'Housing Cost Calc'!$A$2:$C$827,3,FALSE)</f>
        <v>1648</v>
      </c>
      <c r="K575">
        <f t="shared" si="53"/>
        <v>0.31818401514086436</v>
      </c>
    </row>
    <row r="576" spans="1:11" ht="48" x14ac:dyDescent="0.2">
      <c r="A576" s="4" t="s">
        <v>3507</v>
      </c>
      <c r="B576">
        <v>102697</v>
      </c>
      <c r="C576">
        <v>2.72</v>
      </c>
      <c r="D576">
        <f t="shared" si="48"/>
        <v>62269.202710890713</v>
      </c>
      <c r="E576">
        <f t="shared" si="49"/>
        <v>62.26920271089071</v>
      </c>
      <c r="F576" s="7">
        <v>0.69866342648845692</v>
      </c>
      <c r="G576">
        <f t="shared" si="50"/>
        <v>4</v>
      </c>
      <c r="H576" s="7">
        <f t="shared" si="51"/>
        <v>0.30133657351154308</v>
      </c>
      <c r="I576">
        <f t="shared" si="52"/>
        <v>2</v>
      </c>
      <c r="J576">
        <f>VLOOKUP(A576,'Housing Cost Calc'!$A$2:$C$827,3,FALSE)</f>
        <v>1664</v>
      </c>
      <c r="K576">
        <f t="shared" si="53"/>
        <v>0.32067216425926154</v>
      </c>
    </row>
    <row r="577" spans="1:11" ht="48" x14ac:dyDescent="0.2">
      <c r="A577" s="4" t="s">
        <v>3665</v>
      </c>
      <c r="B577">
        <v>105701</v>
      </c>
      <c r="C577">
        <v>2.86</v>
      </c>
      <c r="D577">
        <f t="shared" si="48"/>
        <v>62502.311568442019</v>
      </c>
      <c r="E577">
        <f t="shared" si="49"/>
        <v>62.502311568442018</v>
      </c>
      <c r="F577" s="7">
        <v>0.69987849331713248</v>
      </c>
      <c r="G577">
        <f t="shared" si="50"/>
        <v>4</v>
      </c>
      <c r="H577" s="7">
        <f t="shared" si="51"/>
        <v>0.30012150668286752</v>
      </c>
      <c r="I577">
        <f t="shared" si="52"/>
        <v>2</v>
      </c>
      <c r="J577">
        <f>VLOOKUP(A577,'Housing Cost Calc'!$A$2:$C$827,3,FALSE)</f>
        <v>1769</v>
      </c>
      <c r="K577">
        <f t="shared" si="53"/>
        <v>0.33963543855101525</v>
      </c>
    </row>
    <row r="578" spans="1:11" ht="48" x14ac:dyDescent="0.2">
      <c r="A578" s="4" t="s">
        <v>3801</v>
      </c>
      <c r="B578">
        <v>98636</v>
      </c>
      <c r="C578">
        <v>2.4900000000000002</v>
      </c>
      <c r="D578">
        <f t="shared" ref="D578:D641" si="54">(B578/(C578)^0.5)</f>
        <v>62508.025174732407</v>
      </c>
      <c r="E578">
        <f t="shared" ref="E578:E641" si="55">D578/1000</f>
        <v>62.50802517473241</v>
      </c>
      <c r="F578" s="7">
        <v>0.70109356014580804</v>
      </c>
      <c r="G578">
        <f t="shared" si="50"/>
        <v>4</v>
      </c>
      <c r="H578" s="7">
        <f t="shared" si="51"/>
        <v>0.29890643985419196</v>
      </c>
      <c r="I578">
        <f t="shared" si="52"/>
        <v>2</v>
      </c>
      <c r="J578">
        <f>VLOOKUP(A578,'Housing Cost Calc'!$A$2:$C$827,3,FALSE)</f>
        <v>1940</v>
      </c>
      <c r="K578">
        <f t="shared" si="53"/>
        <v>0.37243217866704359</v>
      </c>
    </row>
    <row r="579" spans="1:11" ht="48" x14ac:dyDescent="0.2">
      <c r="A579" s="4" t="s">
        <v>3825</v>
      </c>
      <c r="B579">
        <v>91996</v>
      </c>
      <c r="C579">
        <v>2.16</v>
      </c>
      <c r="D579">
        <f t="shared" si="54"/>
        <v>62595.349549189232</v>
      </c>
      <c r="E579">
        <f t="shared" si="55"/>
        <v>62.59534954918923</v>
      </c>
      <c r="F579" s="7">
        <v>0.7023086269744836</v>
      </c>
      <c r="G579">
        <f t="shared" ref="G579:G642" si="56">IF(F579&lt;0.2,1,IF(F579&lt;0.4,2,IF(F579&lt;0.6,3,IF(F579&lt;0.8,4,5))))</f>
        <v>4</v>
      </c>
      <c r="H579" s="7">
        <f t="shared" ref="H579:H642" si="57">1-F579</f>
        <v>0.2976913730255164</v>
      </c>
      <c r="I579">
        <f t="shared" ref="I579:I642" si="58">6-G579</f>
        <v>2</v>
      </c>
      <c r="J579">
        <f>VLOOKUP(A579,'Housing Cost Calc'!$A$2:$C$827,3,FALSE)</f>
        <v>2280</v>
      </c>
      <c r="K579">
        <f t="shared" ref="K579:K642" si="59">(J579*12)/D579</f>
        <v>0.43709317380678131</v>
      </c>
    </row>
    <row r="580" spans="1:11" ht="48" x14ac:dyDescent="0.2">
      <c r="A580" s="4" t="s">
        <v>3446</v>
      </c>
      <c r="B580">
        <v>104500</v>
      </c>
      <c r="C580">
        <v>2.78</v>
      </c>
      <c r="D580">
        <f t="shared" si="54"/>
        <v>62674.935037975025</v>
      </c>
      <c r="E580">
        <f t="shared" si="55"/>
        <v>62.674935037975025</v>
      </c>
      <c r="F580" s="7">
        <v>0.70352369380315916</v>
      </c>
      <c r="G580">
        <f t="shared" si="56"/>
        <v>4</v>
      </c>
      <c r="H580" s="7">
        <f t="shared" si="57"/>
        <v>0.29647630619684084</v>
      </c>
      <c r="I580">
        <f t="shared" si="58"/>
        <v>2</v>
      </c>
      <c r="J580">
        <f>VLOOKUP(A580,'Housing Cost Calc'!$A$2:$C$827,3,FALSE)</f>
        <v>1647</v>
      </c>
      <c r="K580">
        <f t="shared" si="59"/>
        <v>0.31534137192204353</v>
      </c>
    </row>
    <row r="581" spans="1:11" ht="48" x14ac:dyDescent="0.2">
      <c r="A581" s="4" t="s">
        <v>3783</v>
      </c>
      <c r="B581">
        <v>103810</v>
      </c>
      <c r="C581">
        <v>2.74</v>
      </c>
      <c r="D581">
        <f t="shared" si="54"/>
        <v>62713.914508605667</v>
      </c>
      <c r="E581">
        <f t="shared" si="55"/>
        <v>62.713914508605669</v>
      </c>
      <c r="F581" s="7">
        <v>0.70473876063183472</v>
      </c>
      <c r="G581">
        <f t="shared" si="56"/>
        <v>4</v>
      </c>
      <c r="H581" s="7">
        <f t="shared" si="57"/>
        <v>0.29526123936816528</v>
      </c>
      <c r="I581">
        <f t="shared" si="58"/>
        <v>2</v>
      </c>
      <c r="J581">
        <f>VLOOKUP(A581,'Housing Cost Calc'!$A$2:$C$827,3,FALSE)</f>
        <v>1898</v>
      </c>
      <c r="K581">
        <f t="shared" si="59"/>
        <v>0.36317299244451812</v>
      </c>
    </row>
    <row r="582" spans="1:11" ht="64" x14ac:dyDescent="0.2">
      <c r="A582" s="4" t="s">
        <v>3810</v>
      </c>
      <c r="B582">
        <v>99112</v>
      </c>
      <c r="C582">
        <v>2.4900000000000002</v>
      </c>
      <c r="D582">
        <f t="shared" si="54"/>
        <v>62809.677917982059</v>
      </c>
      <c r="E582">
        <f t="shared" si="55"/>
        <v>62.809677917982057</v>
      </c>
      <c r="F582" s="7">
        <v>0.70595382746051027</v>
      </c>
      <c r="G582">
        <f t="shared" si="56"/>
        <v>4</v>
      </c>
      <c r="H582" s="7">
        <f t="shared" si="57"/>
        <v>0.29404617253948973</v>
      </c>
      <c r="I582">
        <f t="shared" si="58"/>
        <v>2</v>
      </c>
      <c r="J582">
        <f>VLOOKUP(A582,'Housing Cost Calc'!$A$2:$C$827,3,FALSE)</f>
        <v>1969</v>
      </c>
      <c r="K582">
        <f t="shared" si="59"/>
        <v>0.37618406562845047</v>
      </c>
    </row>
    <row r="583" spans="1:11" ht="48" x14ac:dyDescent="0.2">
      <c r="A583" s="4" t="s">
        <v>3301</v>
      </c>
      <c r="B583">
        <v>98250</v>
      </c>
      <c r="C583">
        <v>2.44</v>
      </c>
      <c r="D583">
        <f t="shared" si="54"/>
        <v>62898.117267035152</v>
      </c>
      <c r="E583">
        <f t="shared" si="55"/>
        <v>62.898117267035154</v>
      </c>
      <c r="F583" s="7">
        <v>0.70716889428918595</v>
      </c>
      <c r="G583">
        <f t="shared" si="56"/>
        <v>4</v>
      </c>
      <c r="H583" s="7">
        <f t="shared" si="57"/>
        <v>0.29283110571081405</v>
      </c>
      <c r="I583">
        <f t="shared" si="58"/>
        <v>2</v>
      </c>
      <c r="J583">
        <f>VLOOKUP(A583,'Housing Cost Calc'!$A$2:$C$827,3,FALSE)</f>
        <v>1570</v>
      </c>
      <c r="K583">
        <f t="shared" si="59"/>
        <v>0.29953201810500024</v>
      </c>
    </row>
    <row r="584" spans="1:11" ht="48" x14ac:dyDescent="0.2">
      <c r="A584" s="4" t="s">
        <v>3333</v>
      </c>
      <c r="B584">
        <v>100833</v>
      </c>
      <c r="C584">
        <v>2.56</v>
      </c>
      <c r="D584">
        <f t="shared" si="54"/>
        <v>63020.625</v>
      </c>
      <c r="E584">
        <f t="shared" si="55"/>
        <v>63.020625000000003</v>
      </c>
      <c r="F584" s="7">
        <v>0.7083839611178615</v>
      </c>
      <c r="G584">
        <f t="shared" si="56"/>
        <v>4</v>
      </c>
      <c r="H584" s="7">
        <f t="shared" si="57"/>
        <v>0.2916160388821385</v>
      </c>
      <c r="I584">
        <f t="shared" si="58"/>
        <v>2</v>
      </c>
      <c r="J584">
        <f>VLOOKUP(A584,'Housing Cost Calc'!$A$2:$C$827,3,FALSE)</f>
        <v>1587</v>
      </c>
      <c r="K584">
        <f t="shared" si="59"/>
        <v>0.30218678408854244</v>
      </c>
    </row>
    <row r="585" spans="1:11" ht="48" x14ac:dyDescent="0.2">
      <c r="A585" s="4" t="s">
        <v>3799</v>
      </c>
      <c r="B585">
        <v>95948</v>
      </c>
      <c r="C585">
        <v>2.31</v>
      </c>
      <c r="D585">
        <f t="shared" si="54"/>
        <v>63129.149227999915</v>
      </c>
      <c r="E585">
        <f t="shared" si="55"/>
        <v>63.129149227999918</v>
      </c>
      <c r="F585" s="7">
        <v>0.70959902794653706</v>
      </c>
      <c r="G585">
        <f t="shared" si="56"/>
        <v>4</v>
      </c>
      <c r="H585" s="7">
        <f t="shared" si="57"/>
        <v>0.29040097205346294</v>
      </c>
      <c r="I585">
        <f t="shared" si="58"/>
        <v>2</v>
      </c>
      <c r="J585">
        <f>VLOOKUP(A585,'Housing Cost Calc'!$A$2:$C$827,3,FALSE)</f>
        <v>1955</v>
      </c>
      <c r="K585">
        <f t="shared" si="59"/>
        <v>0.37161913770247196</v>
      </c>
    </row>
    <row r="586" spans="1:11" ht="48" x14ac:dyDescent="0.2">
      <c r="A586" s="4" t="s">
        <v>3368</v>
      </c>
      <c r="B586">
        <v>103598</v>
      </c>
      <c r="C586">
        <v>2.69</v>
      </c>
      <c r="D586">
        <f t="shared" si="54"/>
        <v>63164.815402506436</v>
      </c>
      <c r="E586">
        <f t="shared" si="55"/>
        <v>63.164815402506434</v>
      </c>
      <c r="F586" s="7">
        <v>0.71081409477521262</v>
      </c>
      <c r="G586">
        <f t="shared" si="56"/>
        <v>4</v>
      </c>
      <c r="H586" s="7">
        <f t="shared" si="57"/>
        <v>0.28918590522478738</v>
      </c>
      <c r="I586">
        <f t="shared" si="58"/>
        <v>2</v>
      </c>
      <c r="J586">
        <f>VLOOKUP(A586,'Housing Cost Calc'!$A$2:$C$827,3,FALSE)</f>
        <v>1613</v>
      </c>
      <c r="K586">
        <f t="shared" si="59"/>
        <v>0.30643642155300177</v>
      </c>
    </row>
    <row r="587" spans="1:11" ht="48" x14ac:dyDescent="0.2">
      <c r="A587" s="4" t="s">
        <v>3511</v>
      </c>
      <c r="B587">
        <v>75881</v>
      </c>
      <c r="C587">
        <v>1.44</v>
      </c>
      <c r="D587">
        <f t="shared" si="54"/>
        <v>63234.166666666672</v>
      </c>
      <c r="E587">
        <f t="shared" si="55"/>
        <v>63.234166666666674</v>
      </c>
      <c r="F587" s="7">
        <v>0.71202916160388818</v>
      </c>
      <c r="G587">
        <f t="shared" si="56"/>
        <v>4</v>
      </c>
      <c r="H587" s="7">
        <f t="shared" si="57"/>
        <v>0.28797083839611182</v>
      </c>
      <c r="I587">
        <f t="shared" si="58"/>
        <v>2</v>
      </c>
      <c r="J587">
        <f>VLOOKUP(A587,'Housing Cost Calc'!$A$2:$C$827,3,FALSE)</f>
        <v>1690</v>
      </c>
      <c r="K587">
        <f t="shared" si="59"/>
        <v>0.32071269487750553</v>
      </c>
    </row>
    <row r="588" spans="1:11" ht="64" x14ac:dyDescent="0.2">
      <c r="A588" s="4" t="s">
        <v>3097</v>
      </c>
      <c r="B588">
        <v>98000</v>
      </c>
      <c r="C588">
        <v>2.37</v>
      </c>
      <c r="D588">
        <f t="shared" si="54"/>
        <v>63657.840641239825</v>
      </c>
      <c r="E588">
        <f t="shared" si="55"/>
        <v>63.657840641239822</v>
      </c>
      <c r="F588" s="7">
        <v>0.71324422843256374</v>
      </c>
      <c r="G588">
        <f t="shared" si="56"/>
        <v>4</v>
      </c>
      <c r="H588" s="7">
        <f t="shared" si="57"/>
        <v>0.28675577156743626</v>
      </c>
      <c r="I588">
        <f t="shared" si="58"/>
        <v>2</v>
      </c>
      <c r="J588">
        <f>VLOOKUP(A588,'Housing Cost Calc'!$A$2:$C$827,3,FALSE)</f>
        <v>1396</v>
      </c>
      <c r="K588">
        <f t="shared" si="59"/>
        <v>0.26315689993963531</v>
      </c>
    </row>
    <row r="589" spans="1:11" ht="48" x14ac:dyDescent="0.2">
      <c r="A589" s="4" t="s">
        <v>3303</v>
      </c>
      <c r="B589">
        <v>99743</v>
      </c>
      <c r="C589">
        <v>2.4500000000000002</v>
      </c>
      <c r="D589">
        <f t="shared" si="54"/>
        <v>63723.465222789004</v>
      </c>
      <c r="E589">
        <f t="shared" si="55"/>
        <v>63.723465222789002</v>
      </c>
      <c r="F589" s="7">
        <v>0.71445929526123941</v>
      </c>
      <c r="G589">
        <f t="shared" si="56"/>
        <v>4</v>
      </c>
      <c r="H589" s="7">
        <f t="shared" si="57"/>
        <v>0.28554070473876059</v>
      </c>
      <c r="I589">
        <f t="shared" si="58"/>
        <v>2</v>
      </c>
      <c r="J589">
        <f>VLOOKUP(A589,'Housing Cost Calc'!$A$2:$C$827,3,FALSE)</f>
        <v>1591</v>
      </c>
      <c r="K589">
        <f t="shared" si="59"/>
        <v>0.29960705892642281</v>
      </c>
    </row>
    <row r="590" spans="1:11" ht="48" x14ac:dyDescent="0.2">
      <c r="A590" s="4" t="s">
        <v>3683</v>
      </c>
      <c r="B590">
        <v>99779</v>
      </c>
      <c r="C590">
        <v>2.44</v>
      </c>
      <c r="D590">
        <f t="shared" si="54"/>
        <v>63876.959214122136</v>
      </c>
      <c r="E590">
        <f t="shared" si="55"/>
        <v>63.876959214122138</v>
      </c>
      <c r="F590" s="7">
        <v>0.71567436208991497</v>
      </c>
      <c r="G590">
        <f t="shared" si="56"/>
        <v>4</v>
      </c>
      <c r="H590" s="7">
        <f t="shared" si="57"/>
        <v>0.28432563791008503</v>
      </c>
      <c r="I590">
        <f t="shared" si="58"/>
        <v>2</v>
      </c>
      <c r="J590">
        <f>VLOOKUP(A590,'Housing Cost Calc'!$A$2:$C$827,3,FALSE)</f>
        <v>1823</v>
      </c>
      <c r="K590">
        <f t="shared" si="59"/>
        <v>0.34247090451925549</v>
      </c>
    </row>
    <row r="591" spans="1:11" ht="64" x14ac:dyDescent="0.2">
      <c r="A591" s="4" t="s">
        <v>3540</v>
      </c>
      <c r="B591">
        <v>102610</v>
      </c>
      <c r="C591">
        <v>2.57</v>
      </c>
      <c r="D591">
        <f t="shared" si="54"/>
        <v>64006.359423830749</v>
      </c>
      <c r="E591">
        <f t="shared" si="55"/>
        <v>64.006359423830745</v>
      </c>
      <c r="F591" s="7">
        <v>0.71688942891859053</v>
      </c>
      <c r="G591">
        <f t="shared" si="56"/>
        <v>4</v>
      </c>
      <c r="H591" s="7">
        <f t="shared" si="57"/>
        <v>0.28311057108140947</v>
      </c>
      <c r="I591">
        <f t="shared" si="58"/>
        <v>2</v>
      </c>
      <c r="J591">
        <f>VLOOKUP(A591,'Housing Cost Calc'!$A$2:$C$827,3,FALSE)</f>
        <v>1720</v>
      </c>
      <c r="K591">
        <f t="shared" si="59"/>
        <v>0.32246795764977293</v>
      </c>
    </row>
    <row r="592" spans="1:11" ht="48" x14ac:dyDescent="0.2">
      <c r="A592" s="4" t="s">
        <v>3177</v>
      </c>
      <c r="B592">
        <v>99617</v>
      </c>
      <c r="C592">
        <v>2.42</v>
      </c>
      <c r="D592">
        <f t="shared" si="54"/>
        <v>64036.232928600279</v>
      </c>
      <c r="E592">
        <f t="shared" si="55"/>
        <v>64.036232928600285</v>
      </c>
      <c r="F592" s="7">
        <v>0.71810449574726609</v>
      </c>
      <c r="G592">
        <f t="shared" si="56"/>
        <v>4</v>
      </c>
      <c r="H592" s="7">
        <f t="shared" si="57"/>
        <v>0.28189550425273391</v>
      </c>
      <c r="I592">
        <f t="shared" si="58"/>
        <v>2</v>
      </c>
      <c r="J592">
        <f>VLOOKUP(A592,'Housing Cost Calc'!$A$2:$C$827,3,FALSE)</f>
        <v>1511</v>
      </c>
      <c r="K592">
        <f t="shared" si="59"/>
        <v>0.28315219635447619</v>
      </c>
    </row>
    <row r="593" spans="1:11" ht="64" x14ac:dyDescent="0.2">
      <c r="A593" s="4" t="s">
        <v>3406</v>
      </c>
      <c r="B593">
        <v>95642</v>
      </c>
      <c r="C593">
        <v>2.23</v>
      </c>
      <c r="D593">
        <f t="shared" si="54"/>
        <v>64046.620365707495</v>
      </c>
      <c r="E593">
        <f t="shared" si="55"/>
        <v>64.046620365707497</v>
      </c>
      <c r="F593" s="7">
        <v>0.71931956257594165</v>
      </c>
      <c r="G593">
        <f t="shared" si="56"/>
        <v>4</v>
      </c>
      <c r="H593" s="7">
        <f t="shared" si="57"/>
        <v>0.28068043742405835</v>
      </c>
      <c r="I593">
        <f t="shared" si="58"/>
        <v>2</v>
      </c>
      <c r="J593">
        <f>VLOOKUP(A593,'Housing Cost Calc'!$A$2:$C$827,3,FALSE)</f>
        <v>1661</v>
      </c>
      <c r="K593">
        <f t="shared" si="59"/>
        <v>0.31121080060412054</v>
      </c>
    </row>
    <row r="594" spans="1:11" ht="48" x14ac:dyDescent="0.2">
      <c r="A594" s="4" t="s">
        <v>3295</v>
      </c>
      <c r="B594">
        <v>93945</v>
      </c>
      <c r="C594">
        <v>2.15</v>
      </c>
      <c r="D594">
        <f t="shared" si="54"/>
        <v>64069.958221553628</v>
      </c>
      <c r="E594">
        <f t="shared" si="55"/>
        <v>64.069958221553634</v>
      </c>
      <c r="F594" s="7">
        <v>0.72053462940461721</v>
      </c>
      <c r="G594">
        <f t="shared" si="56"/>
        <v>4</v>
      </c>
      <c r="H594" s="7">
        <f t="shared" si="57"/>
        <v>0.27946537059538279</v>
      </c>
      <c r="I594">
        <f t="shared" si="58"/>
        <v>2</v>
      </c>
      <c r="J594">
        <f>VLOOKUP(A594,'Housing Cost Calc'!$A$2:$C$827,3,FALSE)</f>
        <v>1594</v>
      </c>
      <c r="K594">
        <f t="shared" si="59"/>
        <v>0.29854865729513141</v>
      </c>
    </row>
    <row r="595" spans="1:11" ht="64" x14ac:dyDescent="0.2">
      <c r="A595" s="4" t="s">
        <v>3490</v>
      </c>
      <c r="B595">
        <v>95125</v>
      </c>
      <c r="C595">
        <v>2.19</v>
      </c>
      <c r="D595">
        <f t="shared" si="54"/>
        <v>64279.518120251101</v>
      </c>
      <c r="E595">
        <f t="shared" si="55"/>
        <v>64.279518120251097</v>
      </c>
      <c r="F595" s="7">
        <v>0.72174969623329288</v>
      </c>
      <c r="G595">
        <f t="shared" si="56"/>
        <v>4</v>
      </c>
      <c r="H595" s="7">
        <f t="shared" si="57"/>
        <v>0.27825030376670712</v>
      </c>
      <c r="I595">
        <f t="shared" si="58"/>
        <v>2</v>
      </c>
      <c r="J595">
        <f>VLOOKUP(A595,'Housing Cost Calc'!$A$2:$C$827,3,FALSE)</f>
        <v>1710</v>
      </c>
      <c r="K595">
        <f t="shared" si="59"/>
        <v>0.3192307689925763</v>
      </c>
    </row>
    <row r="596" spans="1:11" ht="64" x14ac:dyDescent="0.2">
      <c r="A596" s="4" t="s">
        <v>3759</v>
      </c>
      <c r="B596">
        <v>106063</v>
      </c>
      <c r="C596">
        <v>2.72</v>
      </c>
      <c r="D596">
        <f t="shared" si="54"/>
        <v>64310.139995571459</v>
      </c>
      <c r="E596">
        <f t="shared" si="55"/>
        <v>64.310139995571461</v>
      </c>
      <c r="F596" s="7">
        <v>0.72296476306196844</v>
      </c>
      <c r="G596">
        <f t="shared" si="56"/>
        <v>4</v>
      </c>
      <c r="H596" s="7">
        <f t="shared" si="57"/>
        <v>0.27703523693803156</v>
      </c>
      <c r="I596">
        <f t="shared" si="58"/>
        <v>2</v>
      </c>
      <c r="J596">
        <f>VLOOKUP(A596,'Housing Cost Calc'!$A$2:$C$827,3,FALSE)</f>
        <v>1906</v>
      </c>
      <c r="K596">
        <f t="shared" si="59"/>
        <v>0.35565153491463425</v>
      </c>
    </row>
    <row r="597" spans="1:11" ht="48" x14ac:dyDescent="0.2">
      <c r="A597" s="4" t="s">
        <v>3027</v>
      </c>
      <c r="B597">
        <v>104336</v>
      </c>
      <c r="C597">
        <v>2.62</v>
      </c>
      <c r="D597">
        <f t="shared" si="54"/>
        <v>64458.996067622727</v>
      </c>
      <c r="E597">
        <f t="shared" si="55"/>
        <v>64.458996067622721</v>
      </c>
      <c r="F597" s="7">
        <v>0.724179829890644</v>
      </c>
      <c r="G597">
        <f t="shared" si="56"/>
        <v>4</v>
      </c>
      <c r="H597" s="7">
        <f t="shared" si="57"/>
        <v>0.275820170109356</v>
      </c>
      <c r="I597">
        <f t="shared" si="58"/>
        <v>2</v>
      </c>
      <c r="J597">
        <f>VLOOKUP(A597,'Housing Cost Calc'!$A$2:$C$827,3,FALSE)</f>
        <v>1214</v>
      </c>
      <c r="K597">
        <f t="shared" si="59"/>
        <v>0.22600414044173112</v>
      </c>
    </row>
    <row r="598" spans="1:11" ht="48" x14ac:dyDescent="0.2">
      <c r="A598" s="4" t="s">
        <v>3607</v>
      </c>
      <c r="B598">
        <v>105772</v>
      </c>
      <c r="C598">
        <v>2.69</v>
      </c>
      <c r="D598">
        <f t="shared" si="54"/>
        <v>64490.326596593666</v>
      </c>
      <c r="E598">
        <f t="shared" si="55"/>
        <v>64.490326596593661</v>
      </c>
      <c r="F598" s="7">
        <v>0.72539489671931956</v>
      </c>
      <c r="G598">
        <f t="shared" si="56"/>
        <v>4</v>
      </c>
      <c r="H598" s="7">
        <f t="shared" si="57"/>
        <v>0.27460510328068044</v>
      </c>
      <c r="I598">
        <f t="shared" si="58"/>
        <v>2</v>
      </c>
      <c r="J598">
        <f>VLOOKUP(A598,'Housing Cost Calc'!$A$2:$C$827,3,FALSE)</f>
        <v>1778</v>
      </c>
      <c r="K598">
        <f t="shared" si="59"/>
        <v>0.33084031553232907</v>
      </c>
    </row>
    <row r="599" spans="1:11" ht="48" x14ac:dyDescent="0.2">
      <c r="A599" s="4" t="s">
        <v>3631</v>
      </c>
      <c r="B599">
        <v>102222</v>
      </c>
      <c r="C599">
        <v>2.5099999999999998</v>
      </c>
      <c r="D599">
        <f t="shared" si="54"/>
        <v>64521.954273463642</v>
      </c>
      <c r="E599">
        <f t="shared" si="55"/>
        <v>64.521954273463635</v>
      </c>
      <c r="F599" s="7">
        <v>0.72660996354799512</v>
      </c>
      <c r="G599">
        <f t="shared" si="56"/>
        <v>4</v>
      </c>
      <c r="H599" s="7">
        <f t="shared" si="57"/>
        <v>0.27339003645200488</v>
      </c>
      <c r="I599">
        <f t="shared" si="58"/>
        <v>2</v>
      </c>
      <c r="J599">
        <f>VLOOKUP(A599,'Housing Cost Calc'!$A$2:$C$827,3,FALSE)</f>
        <v>1797</v>
      </c>
      <c r="K599">
        <f t="shared" si="59"/>
        <v>0.33421182360046348</v>
      </c>
    </row>
    <row r="600" spans="1:11" ht="64" x14ac:dyDescent="0.2">
      <c r="A600" s="4" t="s">
        <v>3680</v>
      </c>
      <c r="B600">
        <v>105441</v>
      </c>
      <c r="C600">
        <v>2.67</v>
      </c>
      <c r="D600">
        <f t="shared" si="54"/>
        <v>64528.844060081668</v>
      </c>
      <c r="E600">
        <f t="shared" si="55"/>
        <v>64.528844060081667</v>
      </c>
      <c r="F600" s="7">
        <v>0.72782503037667068</v>
      </c>
      <c r="G600">
        <f t="shared" si="56"/>
        <v>4</v>
      </c>
      <c r="H600" s="7">
        <f t="shared" si="57"/>
        <v>0.27217496962332932</v>
      </c>
      <c r="I600">
        <f t="shared" si="58"/>
        <v>2</v>
      </c>
      <c r="J600">
        <f>VLOOKUP(A600,'Housing Cost Calc'!$A$2:$C$827,3,FALSE)</f>
        <v>1838</v>
      </c>
      <c r="K600">
        <f t="shared" si="59"/>
        <v>0.3418006369285656</v>
      </c>
    </row>
    <row r="601" spans="1:11" ht="48" x14ac:dyDescent="0.2">
      <c r="A601" s="4" t="s">
        <v>3826</v>
      </c>
      <c r="B601">
        <v>110625</v>
      </c>
      <c r="C601">
        <v>2.93</v>
      </c>
      <c r="D601">
        <f t="shared" si="54"/>
        <v>64627.815060716573</v>
      </c>
      <c r="E601">
        <f t="shared" si="55"/>
        <v>64.627815060716571</v>
      </c>
      <c r="F601" s="7">
        <v>0.72904009720534635</v>
      </c>
      <c r="G601">
        <f t="shared" si="56"/>
        <v>4</v>
      </c>
      <c r="H601" s="7">
        <f t="shared" si="57"/>
        <v>0.27095990279465365</v>
      </c>
      <c r="I601">
        <f t="shared" si="58"/>
        <v>2</v>
      </c>
      <c r="J601">
        <f>VLOOKUP(A601,'Housing Cost Calc'!$A$2:$C$827,3,FALSE)</f>
        <v>2079</v>
      </c>
      <c r="K601">
        <f t="shared" si="59"/>
        <v>0.38602573793593115</v>
      </c>
    </row>
    <row r="602" spans="1:11" ht="48" x14ac:dyDescent="0.2">
      <c r="A602" s="4" t="s">
        <v>3671</v>
      </c>
      <c r="B602">
        <v>101818</v>
      </c>
      <c r="C602">
        <v>2.48</v>
      </c>
      <c r="D602">
        <f t="shared" si="54"/>
        <v>64654.494654526978</v>
      </c>
      <c r="E602">
        <f t="shared" si="55"/>
        <v>64.654494654526971</v>
      </c>
      <c r="F602" s="7">
        <v>0.73025516403402191</v>
      </c>
      <c r="G602">
        <f t="shared" si="56"/>
        <v>4</v>
      </c>
      <c r="H602" s="7">
        <f t="shared" si="57"/>
        <v>0.26974483596597809</v>
      </c>
      <c r="I602">
        <f t="shared" si="58"/>
        <v>2</v>
      </c>
      <c r="J602">
        <f>VLOOKUP(A602,'Housing Cost Calc'!$A$2:$C$827,3,FALSE)</f>
        <v>1838</v>
      </c>
      <c r="K602">
        <f t="shared" si="59"/>
        <v>0.34113637602232322</v>
      </c>
    </row>
    <row r="603" spans="1:11" ht="64" x14ac:dyDescent="0.2">
      <c r="A603" s="4" t="s">
        <v>3223</v>
      </c>
      <c r="B603">
        <v>94592</v>
      </c>
      <c r="C603">
        <v>2.14</v>
      </c>
      <c r="D603">
        <f t="shared" si="54"/>
        <v>64661.760009116937</v>
      </c>
      <c r="E603">
        <f t="shared" si="55"/>
        <v>64.661760009116932</v>
      </c>
      <c r="F603" s="7">
        <v>0.73147023086269747</v>
      </c>
      <c r="G603">
        <f t="shared" si="56"/>
        <v>4</v>
      </c>
      <c r="H603" s="7">
        <f t="shared" si="57"/>
        <v>0.26852976913730253</v>
      </c>
      <c r="I603">
        <f t="shared" si="58"/>
        <v>2</v>
      </c>
      <c r="J603">
        <f>VLOOKUP(A603,'Housing Cost Calc'!$A$2:$C$827,3,FALSE)</f>
        <v>1565</v>
      </c>
      <c r="K603">
        <f t="shared" si="59"/>
        <v>0.29043440817806582</v>
      </c>
    </row>
    <row r="604" spans="1:11" ht="48" x14ac:dyDescent="0.2">
      <c r="A604" s="4" t="s">
        <v>3757</v>
      </c>
      <c r="B604">
        <v>104417</v>
      </c>
      <c r="C604">
        <v>2.6</v>
      </c>
      <c r="D604">
        <f t="shared" si="54"/>
        <v>64756.674408006889</v>
      </c>
      <c r="E604">
        <f t="shared" si="55"/>
        <v>64.756674408006887</v>
      </c>
      <c r="F604" s="7">
        <v>0.73268529769137303</v>
      </c>
      <c r="G604">
        <f t="shared" si="56"/>
        <v>4</v>
      </c>
      <c r="H604" s="7">
        <f t="shared" si="57"/>
        <v>0.26731470230862697</v>
      </c>
      <c r="I604">
        <f t="shared" si="58"/>
        <v>2</v>
      </c>
      <c r="J604">
        <f>VLOOKUP(A604,'Housing Cost Calc'!$A$2:$C$827,3,FALSE)</f>
        <v>1919</v>
      </c>
      <c r="K604">
        <f t="shared" si="59"/>
        <v>0.35560813167936067</v>
      </c>
    </row>
    <row r="605" spans="1:11" ht="48" x14ac:dyDescent="0.2">
      <c r="A605" s="4" t="s">
        <v>3033</v>
      </c>
      <c r="B605">
        <v>105708</v>
      </c>
      <c r="C605">
        <v>2.66</v>
      </c>
      <c r="D605">
        <f t="shared" si="54"/>
        <v>64813.733298276762</v>
      </c>
      <c r="E605">
        <f t="shared" si="55"/>
        <v>64.813733298276759</v>
      </c>
      <c r="F605" s="7">
        <v>0.73390036452004859</v>
      </c>
      <c r="G605">
        <f t="shared" si="56"/>
        <v>4</v>
      </c>
      <c r="H605" s="7">
        <f t="shared" si="57"/>
        <v>0.26609963547995141</v>
      </c>
      <c r="I605">
        <f t="shared" si="58"/>
        <v>2</v>
      </c>
      <c r="J605">
        <f>VLOOKUP(A605,'Housing Cost Calc'!$A$2:$C$827,3,FALSE)</f>
        <v>1281</v>
      </c>
      <c r="K605">
        <f t="shared" si="59"/>
        <v>0.23717195751179948</v>
      </c>
    </row>
    <row r="606" spans="1:11" ht="64" x14ac:dyDescent="0.2">
      <c r="A606" s="4" t="s">
        <v>3384</v>
      </c>
      <c r="B606">
        <v>103631</v>
      </c>
      <c r="C606">
        <v>2.5499999999999998</v>
      </c>
      <c r="D606">
        <f t="shared" si="54"/>
        <v>64896.24950944513</v>
      </c>
      <c r="E606">
        <f t="shared" si="55"/>
        <v>64.896249509445127</v>
      </c>
      <c r="F606" s="7">
        <v>0.73511543134872415</v>
      </c>
      <c r="G606">
        <f t="shared" si="56"/>
        <v>4</v>
      </c>
      <c r="H606" s="7">
        <f t="shared" si="57"/>
        <v>0.26488456865127585</v>
      </c>
      <c r="I606">
        <f t="shared" si="58"/>
        <v>2</v>
      </c>
      <c r="J606">
        <f>VLOOKUP(A606,'Housing Cost Calc'!$A$2:$C$827,3,FALSE)</f>
        <v>1669</v>
      </c>
      <c r="K606">
        <f t="shared" si="59"/>
        <v>0.30861567735258855</v>
      </c>
    </row>
    <row r="607" spans="1:11" ht="48" x14ac:dyDescent="0.2">
      <c r="A607" s="4" t="s">
        <v>3145</v>
      </c>
      <c r="B607">
        <v>105328</v>
      </c>
      <c r="C607">
        <v>2.63</v>
      </c>
      <c r="D607">
        <f t="shared" si="54"/>
        <v>64948.027142152627</v>
      </c>
      <c r="E607">
        <f t="shared" si="55"/>
        <v>64.948027142152625</v>
      </c>
      <c r="F607" s="7">
        <v>0.73633049817739971</v>
      </c>
      <c r="G607">
        <f t="shared" si="56"/>
        <v>4</v>
      </c>
      <c r="H607" s="7">
        <f t="shared" si="57"/>
        <v>0.26366950182260029</v>
      </c>
      <c r="I607">
        <f t="shared" si="58"/>
        <v>2</v>
      </c>
      <c r="J607">
        <f>VLOOKUP(A607,'Housing Cost Calc'!$A$2:$C$827,3,FALSE)</f>
        <v>1487</v>
      </c>
      <c r="K607">
        <f t="shared" si="59"/>
        <v>0.2747427564034331</v>
      </c>
    </row>
    <row r="608" spans="1:11" ht="64" x14ac:dyDescent="0.2">
      <c r="A608" s="4" t="s">
        <v>3538</v>
      </c>
      <c r="B608">
        <v>102688</v>
      </c>
      <c r="C608">
        <v>2.4900000000000002</v>
      </c>
      <c r="D608">
        <f t="shared" si="54"/>
        <v>65075.875837857588</v>
      </c>
      <c r="E608">
        <f t="shared" si="55"/>
        <v>65.075875837857581</v>
      </c>
      <c r="F608" s="7">
        <v>0.73754556500607538</v>
      </c>
      <c r="G608">
        <f t="shared" si="56"/>
        <v>4</v>
      </c>
      <c r="H608" s="7">
        <f t="shared" si="57"/>
        <v>0.26245443499392462</v>
      </c>
      <c r="I608">
        <f t="shared" si="58"/>
        <v>2</v>
      </c>
      <c r="J608">
        <f>VLOOKUP(A608,'Housing Cost Calc'!$A$2:$C$827,3,FALSE)</f>
        <v>1746</v>
      </c>
      <c r="K608">
        <f t="shared" si="59"/>
        <v>0.32196262793610025</v>
      </c>
    </row>
    <row r="609" spans="1:11" ht="48" x14ac:dyDescent="0.2">
      <c r="A609" s="4" t="s">
        <v>3151</v>
      </c>
      <c r="B609">
        <v>99554</v>
      </c>
      <c r="C609">
        <v>2.34</v>
      </c>
      <c r="D609">
        <f t="shared" si="54"/>
        <v>65080.485725155908</v>
      </c>
      <c r="E609">
        <f t="shared" si="55"/>
        <v>65.08048572515591</v>
      </c>
      <c r="F609" s="7">
        <v>0.73876063183475094</v>
      </c>
      <c r="G609">
        <f t="shared" si="56"/>
        <v>4</v>
      </c>
      <c r="H609" s="7">
        <f t="shared" si="57"/>
        <v>0.26123936816524906</v>
      </c>
      <c r="I609">
        <f t="shared" si="58"/>
        <v>2</v>
      </c>
      <c r="J609">
        <f>VLOOKUP(A609,'Housing Cost Calc'!$A$2:$C$827,3,FALSE)</f>
        <v>1497</v>
      </c>
      <c r="K609">
        <f t="shared" si="59"/>
        <v>0.27602744201794238</v>
      </c>
    </row>
    <row r="610" spans="1:11" ht="64" x14ac:dyDescent="0.2">
      <c r="A610" s="4" t="s">
        <v>3565</v>
      </c>
      <c r="B610">
        <v>100435</v>
      </c>
      <c r="C610">
        <v>2.36</v>
      </c>
      <c r="D610">
        <f t="shared" si="54"/>
        <v>65377.616371795222</v>
      </c>
      <c r="E610">
        <f t="shared" si="55"/>
        <v>65.377616371795227</v>
      </c>
      <c r="F610" s="7">
        <v>0.7399756986634265</v>
      </c>
      <c r="G610">
        <f t="shared" si="56"/>
        <v>4</v>
      </c>
      <c r="H610" s="7">
        <f t="shared" si="57"/>
        <v>0.2600243013365735</v>
      </c>
      <c r="I610">
        <f t="shared" si="58"/>
        <v>2</v>
      </c>
      <c r="J610">
        <f>VLOOKUP(A610,'Housing Cost Calc'!$A$2:$C$827,3,FALSE)</f>
        <v>1779</v>
      </c>
      <c r="K610">
        <f t="shared" si="59"/>
        <v>0.32653377692139007</v>
      </c>
    </row>
    <row r="611" spans="1:11" ht="48" x14ac:dyDescent="0.2">
      <c r="A611" s="4" t="s">
        <v>3454</v>
      </c>
      <c r="B611">
        <v>106250</v>
      </c>
      <c r="C611">
        <v>2.64</v>
      </c>
      <c r="D611">
        <f t="shared" si="54"/>
        <v>65392.354582770517</v>
      </c>
      <c r="E611">
        <f t="shared" si="55"/>
        <v>65.392354582770523</v>
      </c>
      <c r="F611" s="7">
        <v>0.74119076549210205</v>
      </c>
      <c r="G611">
        <f t="shared" si="56"/>
        <v>4</v>
      </c>
      <c r="H611" s="7">
        <f t="shared" si="57"/>
        <v>0.25880923450789795</v>
      </c>
      <c r="I611">
        <f t="shared" si="58"/>
        <v>2</v>
      </c>
      <c r="J611">
        <f>VLOOKUP(A611,'Housing Cost Calc'!$A$2:$C$827,3,FALSE)</f>
        <v>1724</v>
      </c>
      <c r="K611">
        <f t="shared" si="59"/>
        <v>0.31636725932255766</v>
      </c>
    </row>
    <row r="612" spans="1:11" ht="64" x14ac:dyDescent="0.2">
      <c r="A612" s="4" t="s">
        <v>3785</v>
      </c>
      <c r="B612">
        <v>113500</v>
      </c>
      <c r="C612">
        <v>3.01</v>
      </c>
      <c r="D612">
        <f t="shared" si="54"/>
        <v>65420.31240943067</v>
      </c>
      <c r="E612">
        <f t="shared" si="55"/>
        <v>65.420312409430665</v>
      </c>
      <c r="F612" s="7">
        <v>0.74240583232077761</v>
      </c>
      <c r="G612">
        <f t="shared" si="56"/>
        <v>4</v>
      </c>
      <c r="H612" s="7">
        <f t="shared" si="57"/>
        <v>0.25759416767922239</v>
      </c>
      <c r="I612">
        <f t="shared" si="58"/>
        <v>2</v>
      </c>
      <c r="J612">
        <f>VLOOKUP(A612,'Housing Cost Calc'!$A$2:$C$827,3,FALSE)</f>
        <v>1981</v>
      </c>
      <c r="K612">
        <f t="shared" si="59"/>
        <v>0.36337337937525876</v>
      </c>
    </row>
    <row r="613" spans="1:11" ht="48" x14ac:dyDescent="0.2">
      <c r="A613" s="4" t="s">
        <v>3847</v>
      </c>
      <c r="B613">
        <v>111793</v>
      </c>
      <c r="C613">
        <v>2.92</v>
      </c>
      <c r="D613">
        <f t="shared" si="54"/>
        <v>65421.904842485121</v>
      </c>
      <c r="E613">
        <f t="shared" si="55"/>
        <v>65.42190484248512</v>
      </c>
      <c r="F613" s="7">
        <v>0.74362089914945317</v>
      </c>
      <c r="G613">
        <f t="shared" si="56"/>
        <v>4</v>
      </c>
      <c r="H613" s="7">
        <f t="shared" si="57"/>
        <v>0.25637910085054683</v>
      </c>
      <c r="I613">
        <f t="shared" si="58"/>
        <v>2</v>
      </c>
      <c r="J613">
        <f>VLOOKUP(A613,'Housing Cost Calc'!$A$2:$C$827,3,FALSE)</f>
        <v>2304</v>
      </c>
      <c r="K613">
        <f t="shared" si="59"/>
        <v>0.42261074584372743</v>
      </c>
    </row>
    <row r="614" spans="1:11" ht="48" x14ac:dyDescent="0.2">
      <c r="A614" s="4" t="s">
        <v>3225</v>
      </c>
      <c r="B614">
        <v>102955</v>
      </c>
      <c r="C614">
        <v>2.4700000000000002</v>
      </c>
      <c r="D614">
        <f t="shared" si="54"/>
        <v>65508.697772171196</v>
      </c>
      <c r="E614">
        <f t="shared" si="55"/>
        <v>65.508697772171189</v>
      </c>
      <c r="F614" s="7">
        <v>0.74483596597812884</v>
      </c>
      <c r="G614">
        <f t="shared" si="56"/>
        <v>4</v>
      </c>
      <c r="H614" s="7">
        <f t="shared" si="57"/>
        <v>0.25516403402187116</v>
      </c>
      <c r="I614">
        <f t="shared" si="58"/>
        <v>2</v>
      </c>
      <c r="J614">
        <f>VLOOKUP(A614,'Housing Cost Calc'!$A$2:$C$827,3,FALSE)</f>
        <v>1589</v>
      </c>
      <c r="K614">
        <f t="shared" si="59"/>
        <v>0.29107585173369593</v>
      </c>
    </row>
    <row r="615" spans="1:11" ht="48" x14ac:dyDescent="0.2">
      <c r="A615" s="4" t="s">
        <v>3786</v>
      </c>
      <c r="B615">
        <v>107033</v>
      </c>
      <c r="C615">
        <v>2.66</v>
      </c>
      <c r="D615">
        <f t="shared" si="54"/>
        <v>65626.142923094347</v>
      </c>
      <c r="E615">
        <f t="shared" si="55"/>
        <v>65.626142923094349</v>
      </c>
      <c r="F615" s="7">
        <v>0.7460510328068044</v>
      </c>
      <c r="G615">
        <f t="shared" si="56"/>
        <v>4</v>
      </c>
      <c r="H615" s="7">
        <f t="shared" si="57"/>
        <v>0.2539489671931956</v>
      </c>
      <c r="I615">
        <f t="shared" si="58"/>
        <v>2</v>
      </c>
      <c r="J615">
        <f>VLOOKUP(A615,'Housing Cost Calc'!$A$2:$C$827,3,FALSE)</f>
        <v>1991</v>
      </c>
      <c r="K615">
        <f t="shared" si="59"/>
        <v>0.36406223093132933</v>
      </c>
    </row>
    <row r="616" spans="1:11" ht="48" x14ac:dyDescent="0.2">
      <c r="A616" s="4" t="s">
        <v>3085</v>
      </c>
      <c r="B616">
        <v>95795</v>
      </c>
      <c r="C616">
        <v>2.13</v>
      </c>
      <c r="D616">
        <f t="shared" si="54"/>
        <v>65637.652457928401</v>
      </c>
      <c r="E616">
        <f t="shared" si="55"/>
        <v>65.637652457928397</v>
      </c>
      <c r="F616" s="7">
        <v>0.74726609963547996</v>
      </c>
      <c r="G616">
        <f t="shared" si="56"/>
        <v>4</v>
      </c>
      <c r="H616" s="7">
        <f t="shared" si="57"/>
        <v>0.25273390036452004</v>
      </c>
      <c r="I616">
        <f t="shared" si="58"/>
        <v>2</v>
      </c>
      <c r="J616">
        <f>VLOOKUP(A616,'Housing Cost Calc'!$A$2:$C$827,3,FALSE)</f>
        <v>1421</v>
      </c>
      <c r="K616">
        <f t="shared" si="59"/>
        <v>0.25978991267138596</v>
      </c>
    </row>
    <row r="617" spans="1:11" ht="64" x14ac:dyDescent="0.2">
      <c r="A617" s="4" t="s">
        <v>3169</v>
      </c>
      <c r="B617">
        <v>106782</v>
      </c>
      <c r="C617">
        <v>2.64</v>
      </c>
      <c r="D617">
        <f t="shared" si="54"/>
        <v>65719.777948775532</v>
      </c>
      <c r="E617">
        <f t="shared" si="55"/>
        <v>65.71977794877553</v>
      </c>
      <c r="F617" s="7">
        <v>0.74848116646415552</v>
      </c>
      <c r="G617">
        <f t="shared" si="56"/>
        <v>4</v>
      </c>
      <c r="H617" s="7">
        <f t="shared" si="57"/>
        <v>0.25151883353584448</v>
      </c>
      <c r="I617">
        <f t="shared" si="58"/>
        <v>2</v>
      </c>
      <c r="J617">
        <f>VLOOKUP(A617,'Housing Cost Calc'!$A$2:$C$827,3,FALSE)</f>
        <v>1549</v>
      </c>
      <c r="K617">
        <f t="shared" si="59"/>
        <v>0.28283723074183525</v>
      </c>
    </row>
    <row r="618" spans="1:11" ht="48" x14ac:dyDescent="0.2">
      <c r="A618" s="4" t="s">
        <v>3669</v>
      </c>
      <c r="B618">
        <v>108636</v>
      </c>
      <c r="C618">
        <v>2.73</v>
      </c>
      <c r="D618">
        <f t="shared" si="54"/>
        <v>65749.498239008026</v>
      </c>
      <c r="E618">
        <f t="shared" si="55"/>
        <v>65.74949823900802</v>
      </c>
      <c r="F618" s="7">
        <v>0.74969623329283108</v>
      </c>
      <c r="G618">
        <f t="shared" si="56"/>
        <v>4</v>
      </c>
      <c r="H618" s="7">
        <f t="shared" si="57"/>
        <v>0.25030376670716892</v>
      </c>
      <c r="I618">
        <f t="shared" si="58"/>
        <v>2</v>
      </c>
      <c r="J618">
        <f>VLOOKUP(A618,'Housing Cost Calc'!$A$2:$C$827,3,FALSE)</f>
        <v>1867</v>
      </c>
      <c r="K618">
        <f t="shared" si="59"/>
        <v>0.3407478475129731</v>
      </c>
    </row>
    <row r="619" spans="1:11" ht="64" x14ac:dyDescent="0.2">
      <c r="A619" s="4" t="s">
        <v>3701</v>
      </c>
      <c r="B619">
        <v>104432</v>
      </c>
      <c r="C619">
        <v>2.5099999999999998</v>
      </c>
      <c r="D619">
        <f t="shared" si="54"/>
        <v>65916.893904309793</v>
      </c>
      <c r="E619">
        <f t="shared" si="55"/>
        <v>65.916893904309788</v>
      </c>
      <c r="F619" s="7">
        <v>0.75091130012150664</v>
      </c>
      <c r="G619">
        <f t="shared" si="56"/>
        <v>4</v>
      </c>
      <c r="H619" s="7">
        <f t="shared" si="57"/>
        <v>0.24908869987849336</v>
      </c>
      <c r="I619">
        <f t="shared" si="58"/>
        <v>2</v>
      </c>
      <c r="J619">
        <f>VLOOKUP(A619,'Housing Cost Calc'!$A$2:$C$827,3,FALSE)</f>
        <v>1895</v>
      </c>
      <c r="K619">
        <f t="shared" si="59"/>
        <v>0.34497984739710569</v>
      </c>
    </row>
    <row r="620" spans="1:11" ht="48" x14ac:dyDescent="0.2">
      <c r="A620" s="4" t="s">
        <v>3765</v>
      </c>
      <c r="B620">
        <v>106296</v>
      </c>
      <c r="C620">
        <v>2.6</v>
      </c>
      <c r="D620">
        <f t="shared" si="54"/>
        <v>65921.980739472507</v>
      </c>
      <c r="E620">
        <f t="shared" si="55"/>
        <v>65.921980739472502</v>
      </c>
      <c r="F620" s="7">
        <v>0.75212636695018231</v>
      </c>
      <c r="G620">
        <f t="shared" si="56"/>
        <v>4</v>
      </c>
      <c r="H620" s="7">
        <f t="shared" si="57"/>
        <v>0.24787363304981769</v>
      </c>
      <c r="I620">
        <f t="shared" si="58"/>
        <v>2</v>
      </c>
      <c r="J620">
        <f>VLOOKUP(A620,'Housing Cost Calc'!$A$2:$C$827,3,FALSE)</f>
        <v>1962</v>
      </c>
      <c r="K620">
        <f t="shared" si="59"/>
        <v>0.35714946268145759</v>
      </c>
    </row>
    <row r="621" spans="1:11" ht="48" x14ac:dyDescent="0.2">
      <c r="A621" s="4" t="s">
        <v>3769</v>
      </c>
      <c r="B621">
        <v>106915</v>
      </c>
      <c r="C621">
        <v>2.62</v>
      </c>
      <c r="D621">
        <f t="shared" si="54"/>
        <v>66052.307588654759</v>
      </c>
      <c r="E621">
        <f t="shared" si="55"/>
        <v>66.052307588654756</v>
      </c>
      <c r="F621" s="7">
        <v>0.75334143377885787</v>
      </c>
      <c r="G621">
        <f t="shared" si="56"/>
        <v>4</v>
      </c>
      <c r="H621" s="7">
        <f t="shared" si="57"/>
        <v>0.24665856622114213</v>
      </c>
      <c r="I621">
        <f t="shared" si="58"/>
        <v>2</v>
      </c>
      <c r="J621">
        <f>VLOOKUP(A621,'Housing Cost Calc'!$A$2:$C$827,3,FALSE)</f>
        <v>1972</v>
      </c>
      <c r="K621">
        <f t="shared" si="59"/>
        <v>0.35826151824050068</v>
      </c>
    </row>
    <row r="622" spans="1:11" ht="48" x14ac:dyDescent="0.2">
      <c r="A622" s="4" t="s">
        <v>3101</v>
      </c>
      <c r="B622">
        <v>96472</v>
      </c>
      <c r="C622">
        <v>2.13</v>
      </c>
      <c r="D622">
        <f t="shared" si="54"/>
        <v>66101.525214481633</v>
      </c>
      <c r="E622">
        <f t="shared" si="55"/>
        <v>66.10152521448164</v>
      </c>
      <c r="F622" s="7">
        <v>0.75455650060753343</v>
      </c>
      <c r="G622">
        <f t="shared" si="56"/>
        <v>4</v>
      </c>
      <c r="H622" s="7">
        <f t="shared" si="57"/>
        <v>0.24544349939246657</v>
      </c>
      <c r="I622">
        <f t="shared" si="58"/>
        <v>2</v>
      </c>
      <c r="J622">
        <f>VLOOKUP(A622,'Housing Cost Calc'!$A$2:$C$827,3,FALSE)</f>
        <v>1454</v>
      </c>
      <c r="K622">
        <f t="shared" si="59"/>
        <v>0.26395760072685076</v>
      </c>
    </row>
    <row r="623" spans="1:11" ht="48" x14ac:dyDescent="0.2">
      <c r="A623" s="4" t="s">
        <v>3776</v>
      </c>
      <c r="B623">
        <v>107109</v>
      </c>
      <c r="C623">
        <v>2.62</v>
      </c>
      <c r="D623">
        <f t="shared" si="54"/>
        <v>66172.161188918515</v>
      </c>
      <c r="E623">
        <f t="shared" si="55"/>
        <v>66.172161188918508</v>
      </c>
      <c r="F623" s="7">
        <v>0.75577156743620899</v>
      </c>
      <c r="G623">
        <f t="shared" si="56"/>
        <v>4</v>
      </c>
      <c r="H623" s="7">
        <f t="shared" si="57"/>
        <v>0.24422843256379101</v>
      </c>
      <c r="I623">
        <f t="shared" si="58"/>
        <v>2</v>
      </c>
      <c r="J623">
        <f>VLOOKUP(A623,'Housing Cost Calc'!$A$2:$C$827,3,FALSE)</f>
        <v>1988</v>
      </c>
      <c r="K623">
        <f t="shared" si="59"/>
        <v>0.36051414327986364</v>
      </c>
    </row>
    <row r="624" spans="1:11" ht="48" x14ac:dyDescent="0.2">
      <c r="A624" s="4" t="s">
        <v>3287</v>
      </c>
      <c r="B624">
        <v>106765</v>
      </c>
      <c r="C624">
        <v>2.59</v>
      </c>
      <c r="D624">
        <f t="shared" si="54"/>
        <v>66340.543067118124</v>
      </c>
      <c r="E624">
        <f t="shared" si="55"/>
        <v>66.340543067118119</v>
      </c>
      <c r="F624" s="7">
        <v>0.75698663426488455</v>
      </c>
      <c r="G624">
        <f t="shared" si="56"/>
        <v>4</v>
      </c>
      <c r="H624" s="7">
        <f t="shared" si="57"/>
        <v>0.24301336573511545</v>
      </c>
      <c r="I624">
        <f t="shared" si="58"/>
        <v>2</v>
      </c>
      <c r="J624">
        <f>VLOOKUP(A624,'Housing Cost Calc'!$A$2:$C$827,3,FALSE)</f>
        <v>1649</v>
      </c>
      <c r="K624">
        <f t="shared" si="59"/>
        <v>0.29827913799228423</v>
      </c>
    </row>
    <row r="625" spans="1:11" ht="48" x14ac:dyDescent="0.2">
      <c r="A625" s="4" t="s">
        <v>3737</v>
      </c>
      <c r="B625">
        <v>110543</v>
      </c>
      <c r="C625">
        <v>2.77</v>
      </c>
      <c r="D625">
        <f t="shared" si="54"/>
        <v>66418.851573964537</v>
      </c>
      <c r="E625">
        <f t="shared" si="55"/>
        <v>66.418851573964531</v>
      </c>
      <c r="F625" s="7">
        <v>0.75820170109356011</v>
      </c>
      <c r="G625">
        <f t="shared" si="56"/>
        <v>4</v>
      </c>
      <c r="H625" s="7">
        <f t="shared" si="57"/>
        <v>0.24179829890643989</v>
      </c>
      <c r="I625">
        <f t="shared" si="58"/>
        <v>2</v>
      </c>
      <c r="J625">
        <f>VLOOKUP(A625,'Housing Cost Calc'!$A$2:$C$827,3,FALSE)</f>
        <v>1948</v>
      </c>
      <c r="K625">
        <f t="shared" si="59"/>
        <v>0.35194827140255969</v>
      </c>
    </row>
    <row r="626" spans="1:11" ht="64" x14ac:dyDescent="0.2">
      <c r="A626" s="4" t="s">
        <v>3587</v>
      </c>
      <c r="B626">
        <v>105769</v>
      </c>
      <c r="C626">
        <v>2.5299999999999998</v>
      </c>
      <c r="D626">
        <f t="shared" si="54"/>
        <v>66496.400571255028</v>
      </c>
      <c r="E626">
        <f t="shared" si="55"/>
        <v>66.496400571255023</v>
      </c>
      <c r="F626" s="7">
        <v>0.75941676792223567</v>
      </c>
      <c r="G626">
        <f t="shared" si="56"/>
        <v>4</v>
      </c>
      <c r="H626" s="7">
        <f t="shared" si="57"/>
        <v>0.24058323207776433</v>
      </c>
      <c r="I626">
        <f t="shared" si="58"/>
        <v>2</v>
      </c>
      <c r="J626">
        <f>VLOOKUP(A626,'Housing Cost Calc'!$A$2:$C$827,3,FALSE)</f>
        <v>1827</v>
      </c>
      <c r="K626">
        <f t="shared" si="59"/>
        <v>0.329702056226443</v>
      </c>
    </row>
    <row r="627" spans="1:11" ht="48" x14ac:dyDescent="0.2">
      <c r="A627" s="4" t="s">
        <v>3434</v>
      </c>
      <c r="B627">
        <v>109688</v>
      </c>
      <c r="C627">
        <v>2.72</v>
      </c>
      <c r="D627">
        <f t="shared" si="54"/>
        <v>66508.119097463219</v>
      </c>
      <c r="E627">
        <f t="shared" si="55"/>
        <v>66.508119097463222</v>
      </c>
      <c r="F627" s="7">
        <v>0.76063183475091134</v>
      </c>
      <c r="G627">
        <f t="shared" si="56"/>
        <v>4</v>
      </c>
      <c r="H627" s="7">
        <f t="shared" si="57"/>
        <v>0.23936816524908866</v>
      </c>
      <c r="I627">
        <f t="shared" si="58"/>
        <v>2</v>
      </c>
      <c r="J627">
        <f>VLOOKUP(A627,'Housing Cost Calc'!$A$2:$C$827,3,FALSE)</f>
        <v>1739</v>
      </c>
      <c r="K627">
        <f t="shared" si="59"/>
        <v>0.31376620303183339</v>
      </c>
    </row>
    <row r="628" spans="1:11" ht="64" x14ac:dyDescent="0.2">
      <c r="A628" s="4" t="s">
        <v>3505</v>
      </c>
      <c r="B628">
        <v>107500</v>
      </c>
      <c r="C628">
        <v>2.61</v>
      </c>
      <c r="D628">
        <f t="shared" si="54"/>
        <v>66540.82951344359</v>
      </c>
      <c r="E628">
        <f t="shared" si="55"/>
        <v>66.540829513443583</v>
      </c>
      <c r="F628" s="7">
        <v>0.7618469015795869</v>
      </c>
      <c r="G628">
        <f t="shared" si="56"/>
        <v>4</v>
      </c>
      <c r="H628" s="7">
        <f t="shared" si="57"/>
        <v>0.2381530984204131</v>
      </c>
      <c r="I628">
        <f t="shared" si="58"/>
        <v>2</v>
      </c>
      <c r="J628">
        <f>VLOOKUP(A628,'Housing Cost Calc'!$A$2:$C$827,3,FALSE)</f>
        <v>1778</v>
      </c>
      <c r="K628">
        <f t="shared" si="59"/>
        <v>0.32064523625587471</v>
      </c>
    </row>
    <row r="629" spans="1:11" ht="64" x14ac:dyDescent="0.2">
      <c r="A629" s="4" t="s">
        <v>3171</v>
      </c>
      <c r="B629">
        <v>107670</v>
      </c>
      <c r="C629">
        <v>2.61</v>
      </c>
      <c r="D629">
        <f t="shared" si="54"/>
        <v>66646.056871743916</v>
      </c>
      <c r="E629">
        <f t="shared" si="55"/>
        <v>66.646056871743923</v>
      </c>
      <c r="F629" s="7">
        <v>0.76306196840826246</v>
      </c>
      <c r="G629">
        <f t="shared" si="56"/>
        <v>4</v>
      </c>
      <c r="H629" s="7">
        <f t="shared" si="57"/>
        <v>0.23693803159173754</v>
      </c>
      <c r="I629">
        <f t="shared" si="58"/>
        <v>2</v>
      </c>
      <c r="J629">
        <f>VLOOKUP(A629,'Housing Cost Calc'!$A$2:$C$827,3,FALSE)</f>
        <v>1572</v>
      </c>
      <c r="K629">
        <f t="shared" si="59"/>
        <v>0.28304750326493533</v>
      </c>
    </row>
    <row r="630" spans="1:11" ht="48" x14ac:dyDescent="0.2">
      <c r="A630" s="4" t="s">
        <v>3729</v>
      </c>
      <c r="B630">
        <v>104375</v>
      </c>
      <c r="C630">
        <v>2.4500000000000002</v>
      </c>
      <c r="D630">
        <f t="shared" si="54"/>
        <v>66682.741471868736</v>
      </c>
      <c r="E630">
        <f t="shared" si="55"/>
        <v>66.682741471868738</v>
      </c>
      <c r="F630" s="7">
        <v>0.76427703523693802</v>
      </c>
      <c r="G630">
        <f t="shared" si="56"/>
        <v>4</v>
      </c>
      <c r="H630" s="7">
        <f t="shared" si="57"/>
        <v>0.23572296476306198</v>
      </c>
      <c r="I630">
        <f t="shared" si="58"/>
        <v>2</v>
      </c>
      <c r="J630">
        <f>VLOOKUP(A630,'Housing Cost Calc'!$A$2:$C$827,3,FALSE)</f>
        <v>1948</v>
      </c>
      <c r="K630">
        <f t="shared" si="59"/>
        <v>0.35055547333580411</v>
      </c>
    </row>
    <row r="631" spans="1:11" ht="48" x14ac:dyDescent="0.2">
      <c r="A631" s="4" t="s">
        <v>3229</v>
      </c>
      <c r="B631">
        <v>110365</v>
      </c>
      <c r="C631">
        <v>2.73</v>
      </c>
      <c r="D631">
        <f t="shared" si="54"/>
        <v>66795.936642992383</v>
      </c>
      <c r="E631">
        <f t="shared" si="55"/>
        <v>66.795936642992388</v>
      </c>
      <c r="F631" s="7">
        <v>0.76549210206561358</v>
      </c>
      <c r="G631">
        <f t="shared" si="56"/>
        <v>4</v>
      </c>
      <c r="H631" s="7">
        <f t="shared" si="57"/>
        <v>0.23450789793438642</v>
      </c>
      <c r="I631">
        <f t="shared" si="58"/>
        <v>2</v>
      </c>
      <c r="J631">
        <f>VLOOKUP(A631,'Housing Cost Calc'!$A$2:$C$827,3,FALSE)</f>
        <v>1621</v>
      </c>
      <c r="K631">
        <f t="shared" si="59"/>
        <v>0.29121531903903208</v>
      </c>
    </row>
    <row r="632" spans="1:11" ht="48" x14ac:dyDescent="0.2">
      <c r="A632" s="4" t="s">
        <v>3035</v>
      </c>
      <c r="B632">
        <v>101964</v>
      </c>
      <c r="C632">
        <v>2.3199999999999998</v>
      </c>
      <c r="D632">
        <f t="shared" si="54"/>
        <v>66942.645600543765</v>
      </c>
      <c r="E632">
        <f t="shared" si="55"/>
        <v>66.94264560054377</v>
      </c>
      <c r="F632" s="7">
        <v>0.76670716889428914</v>
      </c>
      <c r="G632">
        <f t="shared" si="56"/>
        <v>4</v>
      </c>
      <c r="H632" s="7">
        <f t="shared" si="57"/>
        <v>0.23329283110571086</v>
      </c>
      <c r="I632">
        <f t="shared" si="58"/>
        <v>2</v>
      </c>
      <c r="J632">
        <f>VLOOKUP(A632,'Housing Cost Calc'!$A$2:$C$827,3,FALSE)</f>
        <v>1333</v>
      </c>
      <c r="K632">
        <f t="shared" si="59"/>
        <v>0.23895081911537219</v>
      </c>
    </row>
    <row r="633" spans="1:11" ht="64" x14ac:dyDescent="0.2">
      <c r="A633" s="4" t="s">
        <v>3722</v>
      </c>
      <c r="B633">
        <v>113466</v>
      </c>
      <c r="C633">
        <v>2.86</v>
      </c>
      <c r="D633">
        <f t="shared" si="54"/>
        <v>67093.852323297251</v>
      </c>
      <c r="E633">
        <f t="shared" si="55"/>
        <v>67.093852323297256</v>
      </c>
      <c r="F633" s="7">
        <v>0.76792223572296481</v>
      </c>
      <c r="G633">
        <f t="shared" si="56"/>
        <v>4</v>
      </c>
      <c r="H633" s="7">
        <f t="shared" si="57"/>
        <v>0.23207776427703519</v>
      </c>
      <c r="I633">
        <f t="shared" si="58"/>
        <v>2</v>
      </c>
      <c r="J633">
        <f>VLOOKUP(A633,'Housing Cost Calc'!$A$2:$C$827,3,FALSE)</f>
        <v>1955</v>
      </c>
      <c r="K633">
        <f t="shared" si="59"/>
        <v>0.34965945742623422</v>
      </c>
    </row>
    <row r="634" spans="1:11" ht="48" x14ac:dyDescent="0.2">
      <c r="A634" s="4" t="s">
        <v>3849</v>
      </c>
      <c r="B634">
        <v>113636</v>
      </c>
      <c r="C634">
        <v>2.85</v>
      </c>
      <c r="D634">
        <f t="shared" si="54"/>
        <v>67312.157073032213</v>
      </c>
      <c r="E634">
        <f t="shared" si="55"/>
        <v>67.312157073032211</v>
      </c>
      <c r="F634" s="7">
        <v>0.76913730255164037</v>
      </c>
      <c r="G634">
        <f t="shared" si="56"/>
        <v>4</v>
      </c>
      <c r="H634" s="7">
        <f t="shared" si="57"/>
        <v>0.23086269744835963</v>
      </c>
      <c r="I634">
        <f t="shared" si="58"/>
        <v>2</v>
      </c>
      <c r="J634">
        <f>VLOOKUP(A634,'Housing Cost Calc'!$A$2:$C$827,3,FALSE)</f>
        <v>2439</v>
      </c>
      <c r="K634">
        <f t="shared" si="59"/>
        <v>0.43481001460471491</v>
      </c>
    </row>
    <row r="635" spans="1:11" ht="64" x14ac:dyDescent="0.2">
      <c r="A635" s="4" t="s">
        <v>3107</v>
      </c>
      <c r="B635">
        <v>102227</v>
      </c>
      <c r="C635">
        <v>2.29</v>
      </c>
      <c r="D635">
        <f t="shared" si="54"/>
        <v>67553.503068722464</v>
      </c>
      <c r="E635">
        <f t="shared" si="55"/>
        <v>67.553503068722463</v>
      </c>
      <c r="F635" s="7">
        <v>0.77035236938031593</v>
      </c>
      <c r="G635">
        <f t="shared" si="56"/>
        <v>4</v>
      </c>
      <c r="H635" s="7">
        <f t="shared" si="57"/>
        <v>0.22964763061968407</v>
      </c>
      <c r="I635">
        <f t="shared" si="58"/>
        <v>2</v>
      </c>
      <c r="J635">
        <f>VLOOKUP(A635,'Housing Cost Calc'!$A$2:$C$827,3,FALSE)</f>
        <v>1493</v>
      </c>
      <c r="K635">
        <f t="shared" si="59"/>
        <v>0.26521200509430248</v>
      </c>
    </row>
    <row r="636" spans="1:11" ht="48" x14ac:dyDescent="0.2">
      <c r="A636" s="4" t="s">
        <v>3548</v>
      </c>
      <c r="B636">
        <v>107619</v>
      </c>
      <c r="C636">
        <v>2.5299999999999998</v>
      </c>
      <c r="D636">
        <f t="shared" si="54"/>
        <v>67659.485606159607</v>
      </c>
      <c r="E636">
        <f t="shared" si="55"/>
        <v>67.659485606159606</v>
      </c>
      <c r="F636" s="7">
        <v>0.77156743620899149</v>
      </c>
      <c r="G636">
        <f t="shared" si="56"/>
        <v>4</v>
      </c>
      <c r="H636" s="7">
        <f t="shared" si="57"/>
        <v>0.22843256379100851</v>
      </c>
      <c r="I636">
        <f t="shared" si="58"/>
        <v>2</v>
      </c>
      <c r="J636">
        <f>VLOOKUP(A636,'Housing Cost Calc'!$A$2:$C$827,3,FALSE)</f>
        <v>1824</v>
      </c>
      <c r="K636">
        <f t="shared" si="59"/>
        <v>0.32350231167006321</v>
      </c>
    </row>
    <row r="637" spans="1:11" ht="64" x14ac:dyDescent="0.2">
      <c r="A637" s="4" t="s">
        <v>3823</v>
      </c>
      <c r="B637">
        <v>116500</v>
      </c>
      <c r="C637">
        <v>2.96</v>
      </c>
      <c r="D637">
        <f t="shared" si="54"/>
        <v>67714.249568274739</v>
      </c>
      <c r="E637">
        <f t="shared" si="55"/>
        <v>67.714249568274738</v>
      </c>
      <c r="F637" s="7">
        <v>0.77278250303766705</v>
      </c>
      <c r="G637">
        <f t="shared" si="56"/>
        <v>4</v>
      </c>
      <c r="H637" s="7">
        <f t="shared" si="57"/>
        <v>0.22721749696233295</v>
      </c>
      <c r="I637">
        <f t="shared" si="58"/>
        <v>2</v>
      </c>
      <c r="J637">
        <f>VLOOKUP(A637,'Housing Cost Calc'!$A$2:$C$827,3,FALSE)</f>
        <v>2158</v>
      </c>
      <c r="K637">
        <f t="shared" si="59"/>
        <v>0.38243058388898854</v>
      </c>
    </row>
    <row r="638" spans="1:11" ht="64" x14ac:dyDescent="0.2">
      <c r="A638" s="4" t="s">
        <v>3408</v>
      </c>
      <c r="B638">
        <v>105000</v>
      </c>
      <c r="C638">
        <v>2.4</v>
      </c>
      <c r="D638">
        <f t="shared" si="54"/>
        <v>67777.208558629791</v>
      </c>
      <c r="E638">
        <f t="shared" si="55"/>
        <v>67.777208558629795</v>
      </c>
      <c r="F638" s="7">
        <v>0.77399756986634261</v>
      </c>
      <c r="G638">
        <f t="shared" si="56"/>
        <v>4</v>
      </c>
      <c r="H638" s="7">
        <f t="shared" si="57"/>
        <v>0.22600243013365739</v>
      </c>
      <c r="I638">
        <f t="shared" si="58"/>
        <v>2</v>
      </c>
      <c r="J638">
        <f>VLOOKUP(A638,'Housing Cost Calc'!$A$2:$C$827,3,FALSE)</f>
        <v>1759</v>
      </c>
      <c r="K638">
        <f t="shared" si="59"/>
        <v>0.31143212370189016</v>
      </c>
    </row>
    <row r="639" spans="1:11" ht="48" x14ac:dyDescent="0.2">
      <c r="A639" s="4" t="s">
        <v>3616</v>
      </c>
      <c r="B639">
        <v>109167</v>
      </c>
      <c r="C639">
        <v>2.59</v>
      </c>
      <c r="D639">
        <f t="shared" si="54"/>
        <v>67833.073245053005</v>
      </c>
      <c r="E639">
        <f t="shared" si="55"/>
        <v>67.833073245053001</v>
      </c>
      <c r="F639" s="7">
        <v>0.77521263669501828</v>
      </c>
      <c r="G639">
        <f t="shared" si="56"/>
        <v>4</v>
      </c>
      <c r="H639" s="7">
        <f t="shared" si="57"/>
        <v>0.22478736330498172</v>
      </c>
      <c r="I639">
        <f t="shared" si="58"/>
        <v>2</v>
      </c>
      <c r="J639">
        <f>VLOOKUP(A639,'Housing Cost Calc'!$A$2:$C$827,3,FALSE)</f>
        <v>1878</v>
      </c>
      <c r="K639">
        <f t="shared" si="59"/>
        <v>0.33222731806042011</v>
      </c>
    </row>
    <row r="640" spans="1:11" ht="48" x14ac:dyDescent="0.2">
      <c r="A640" s="4" t="s">
        <v>3071</v>
      </c>
      <c r="B640">
        <v>109886</v>
      </c>
      <c r="C640">
        <v>2.62</v>
      </c>
      <c r="D640">
        <f t="shared" si="54"/>
        <v>67887.797518467167</v>
      </c>
      <c r="E640">
        <f t="shared" si="55"/>
        <v>67.887797518467167</v>
      </c>
      <c r="F640" s="7">
        <v>0.77642770352369384</v>
      </c>
      <c r="G640">
        <f t="shared" si="56"/>
        <v>4</v>
      </c>
      <c r="H640" s="7">
        <f t="shared" si="57"/>
        <v>0.22357229647630616</v>
      </c>
      <c r="I640">
        <f t="shared" si="58"/>
        <v>2</v>
      </c>
      <c r="J640">
        <f>VLOOKUP(A640,'Housing Cost Calc'!$A$2:$C$827,3,FALSE)</f>
        <v>1464</v>
      </c>
      <c r="K640">
        <f t="shared" si="59"/>
        <v>0.25877993751706363</v>
      </c>
    </row>
    <row r="641" spans="1:11" ht="48" x14ac:dyDescent="0.2">
      <c r="A641" s="4" t="s">
        <v>3251</v>
      </c>
      <c r="B641">
        <v>109605</v>
      </c>
      <c r="C641">
        <v>2.6</v>
      </c>
      <c r="D641">
        <f t="shared" si="54"/>
        <v>67974.135423250962</v>
      </c>
      <c r="E641">
        <f t="shared" si="55"/>
        <v>67.974135423250956</v>
      </c>
      <c r="F641" s="7">
        <v>0.77764277035236939</v>
      </c>
      <c r="G641">
        <f t="shared" si="56"/>
        <v>4</v>
      </c>
      <c r="H641" s="7">
        <f t="shared" si="57"/>
        <v>0.22235722964763061</v>
      </c>
      <c r="I641">
        <f t="shared" si="58"/>
        <v>2</v>
      </c>
      <c r="J641">
        <f>VLOOKUP(A641,'Housing Cost Calc'!$A$2:$C$827,3,FALSE)</f>
        <v>1660</v>
      </c>
      <c r="K641">
        <f t="shared" si="59"/>
        <v>0.29305264239059736</v>
      </c>
    </row>
    <row r="642" spans="1:11" ht="48" x14ac:dyDescent="0.2">
      <c r="A642" s="4" t="s">
        <v>3843</v>
      </c>
      <c r="B642">
        <v>112188</v>
      </c>
      <c r="C642">
        <v>2.7</v>
      </c>
      <c r="D642">
        <f t="shared" ref="D642:D705" si="60">(B642/(C642)^0.5)</f>
        <v>68275.442534877307</v>
      </c>
      <c r="E642">
        <f t="shared" ref="E642:E705" si="61">D642/1000</f>
        <v>68.275442534877314</v>
      </c>
      <c r="F642" s="7">
        <v>0.77885783718104495</v>
      </c>
      <c r="G642">
        <f t="shared" si="56"/>
        <v>4</v>
      </c>
      <c r="H642" s="7">
        <f t="shared" si="57"/>
        <v>0.22114216281895505</v>
      </c>
      <c r="I642">
        <f t="shared" si="58"/>
        <v>2</v>
      </c>
      <c r="J642">
        <f>VLOOKUP(A642,'Housing Cost Calc'!$A$2:$C$827,3,FALSE)</f>
        <v>2357</v>
      </c>
      <c r="K642">
        <f t="shared" si="59"/>
        <v>0.4142631515797443</v>
      </c>
    </row>
    <row r="643" spans="1:11" ht="48" x14ac:dyDescent="0.2">
      <c r="A643" s="4" t="s">
        <v>3556</v>
      </c>
      <c r="B643">
        <v>112500</v>
      </c>
      <c r="C643">
        <v>2.71</v>
      </c>
      <c r="D643">
        <f t="shared" si="60"/>
        <v>68338.883163463543</v>
      </c>
      <c r="E643">
        <f t="shared" si="61"/>
        <v>68.338883163463549</v>
      </c>
      <c r="F643" s="7">
        <v>0.78007290400972051</v>
      </c>
      <c r="G643">
        <f t="shared" ref="G643:G706" si="62">IF(F643&lt;0.2,1,IF(F643&lt;0.4,2,IF(F643&lt;0.6,3,IF(F643&lt;0.8,4,5))))</f>
        <v>4</v>
      </c>
      <c r="H643" s="7">
        <f t="shared" ref="H643:H706" si="63">1-F643</f>
        <v>0.21992709599027949</v>
      </c>
      <c r="I643">
        <f t="shared" ref="I643:I706" si="64">6-G643</f>
        <v>2</v>
      </c>
      <c r="J643">
        <f>VLOOKUP(A643,'Housing Cost Calc'!$A$2:$C$827,3,FALSE)</f>
        <v>1850</v>
      </c>
      <c r="K643">
        <f t="shared" ref="K643:K706" si="65">(J643*12)/D643</f>
        <v>0.32485166529424536</v>
      </c>
    </row>
    <row r="644" spans="1:11" ht="48" x14ac:dyDescent="0.2">
      <c r="A644" s="4" t="s">
        <v>3500</v>
      </c>
      <c r="B644">
        <v>109429</v>
      </c>
      <c r="C644">
        <v>2.56</v>
      </c>
      <c r="D644">
        <f t="shared" si="60"/>
        <v>68393.125</v>
      </c>
      <c r="E644">
        <f t="shared" si="61"/>
        <v>68.393124999999998</v>
      </c>
      <c r="F644" s="7">
        <v>0.78128797083839607</v>
      </c>
      <c r="G644">
        <f t="shared" si="62"/>
        <v>4</v>
      </c>
      <c r="H644" s="7">
        <f t="shared" si="63"/>
        <v>0.21871202916160393</v>
      </c>
      <c r="I644">
        <f t="shared" si="64"/>
        <v>2</v>
      </c>
      <c r="J644">
        <f>VLOOKUP(A644,'Housing Cost Calc'!$A$2:$C$827,3,FALSE)</f>
        <v>1826</v>
      </c>
      <c r="K644">
        <f t="shared" si="65"/>
        <v>0.32038307943963668</v>
      </c>
    </row>
    <row r="645" spans="1:11" ht="48" x14ac:dyDescent="0.2">
      <c r="A645" s="4" t="s">
        <v>3572</v>
      </c>
      <c r="B645">
        <v>110497</v>
      </c>
      <c r="C645">
        <v>2.61</v>
      </c>
      <c r="D645">
        <f t="shared" si="60"/>
        <v>68395.925941832335</v>
      </c>
      <c r="E645">
        <f t="shared" si="61"/>
        <v>68.395925941832331</v>
      </c>
      <c r="F645" s="7">
        <v>0.78250303766707174</v>
      </c>
      <c r="G645">
        <f t="shared" si="62"/>
        <v>4</v>
      </c>
      <c r="H645" s="7">
        <f t="shared" si="63"/>
        <v>0.21749696233292826</v>
      </c>
      <c r="I645">
        <f t="shared" si="64"/>
        <v>2</v>
      </c>
      <c r="J645">
        <f>VLOOKUP(A645,'Housing Cost Calc'!$A$2:$C$827,3,FALSE)</f>
        <v>1867</v>
      </c>
      <c r="K645">
        <f t="shared" si="65"/>
        <v>0.32756337006174308</v>
      </c>
    </row>
    <row r="646" spans="1:11" ht="48" x14ac:dyDescent="0.2">
      <c r="A646" s="4" t="s">
        <v>3543</v>
      </c>
      <c r="B646">
        <v>112557</v>
      </c>
      <c r="C646">
        <v>2.68</v>
      </c>
      <c r="D646">
        <f t="shared" si="60"/>
        <v>68755.130742063237</v>
      </c>
      <c r="E646">
        <f t="shared" si="61"/>
        <v>68.75513074206323</v>
      </c>
      <c r="F646" s="7">
        <v>0.7837181044957473</v>
      </c>
      <c r="G646">
        <f t="shared" si="62"/>
        <v>4</v>
      </c>
      <c r="H646" s="7">
        <f t="shared" si="63"/>
        <v>0.2162818955042527</v>
      </c>
      <c r="I646">
        <f t="shared" si="64"/>
        <v>2</v>
      </c>
      <c r="J646">
        <f>VLOOKUP(A646,'Housing Cost Calc'!$A$2:$C$827,3,FALSE)</f>
        <v>1849</v>
      </c>
      <c r="K646">
        <f t="shared" si="65"/>
        <v>0.32271046190340169</v>
      </c>
    </row>
    <row r="647" spans="1:11" ht="64" x14ac:dyDescent="0.2">
      <c r="A647" s="4" t="s">
        <v>3161</v>
      </c>
      <c r="B647">
        <v>109671</v>
      </c>
      <c r="C647">
        <v>2.54</v>
      </c>
      <c r="D647">
        <f t="shared" si="60"/>
        <v>68813.705605306983</v>
      </c>
      <c r="E647">
        <f t="shared" si="61"/>
        <v>68.813705605306978</v>
      </c>
      <c r="F647" s="7">
        <v>0.78493317132442286</v>
      </c>
      <c r="G647">
        <f t="shared" si="62"/>
        <v>4</v>
      </c>
      <c r="H647" s="7">
        <f t="shared" si="63"/>
        <v>0.21506682867557714</v>
      </c>
      <c r="I647">
        <f t="shared" si="64"/>
        <v>2</v>
      </c>
      <c r="J647">
        <f>VLOOKUP(A647,'Housing Cost Calc'!$A$2:$C$827,3,FALSE)</f>
        <v>1615</v>
      </c>
      <c r="K647">
        <f t="shared" si="65"/>
        <v>0.28162994318540802</v>
      </c>
    </row>
    <row r="648" spans="1:11" ht="64" x14ac:dyDescent="0.2">
      <c r="A648" s="4" t="s">
        <v>3053</v>
      </c>
      <c r="B648">
        <v>111849</v>
      </c>
      <c r="C648">
        <v>2.64</v>
      </c>
      <c r="D648">
        <f t="shared" si="60"/>
        <v>68838.300872736931</v>
      </c>
      <c r="E648">
        <f t="shared" si="61"/>
        <v>68.838300872736937</v>
      </c>
      <c r="F648" s="7">
        <v>0.78614823815309842</v>
      </c>
      <c r="G648">
        <f t="shared" si="62"/>
        <v>4</v>
      </c>
      <c r="H648" s="7">
        <f t="shared" si="63"/>
        <v>0.21385176184690158</v>
      </c>
      <c r="I648">
        <f t="shared" si="64"/>
        <v>2</v>
      </c>
      <c r="J648">
        <f>VLOOKUP(A648,'Housing Cost Calc'!$A$2:$C$827,3,FALSE)</f>
        <v>1443</v>
      </c>
      <c r="K648">
        <f t="shared" si="65"/>
        <v>0.25154601116626218</v>
      </c>
    </row>
    <row r="649" spans="1:11" ht="48" x14ac:dyDescent="0.2">
      <c r="A649" s="4" t="s">
        <v>3201</v>
      </c>
      <c r="B649">
        <v>105759</v>
      </c>
      <c r="C649">
        <v>2.36</v>
      </c>
      <c r="D649">
        <f t="shared" si="60"/>
        <v>68843.245182104758</v>
      </c>
      <c r="E649">
        <f t="shared" si="61"/>
        <v>68.843245182104752</v>
      </c>
      <c r="F649" s="7">
        <v>0.78736330498177398</v>
      </c>
      <c r="G649">
        <f t="shared" si="62"/>
        <v>4</v>
      </c>
      <c r="H649" s="7">
        <f t="shared" si="63"/>
        <v>0.21263669501822602</v>
      </c>
      <c r="I649">
        <f t="shared" si="64"/>
        <v>2</v>
      </c>
      <c r="J649">
        <f>VLOOKUP(A649,'Housing Cost Calc'!$A$2:$C$827,3,FALSE)</f>
        <v>1649</v>
      </c>
      <c r="K649">
        <f t="shared" si="65"/>
        <v>0.28743560748271829</v>
      </c>
    </row>
    <row r="650" spans="1:11" ht="48" x14ac:dyDescent="0.2">
      <c r="A650" s="4" t="s">
        <v>3077</v>
      </c>
      <c r="B650">
        <v>82355</v>
      </c>
      <c r="C650">
        <v>1.43</v>
      </c>
      <c r="D650">
        <f t="shared" si="60"/>
        <v>68868.710734133958</v>
      </c>
      <c r="E650">
        <f t="shared" si="61"/>
        <v>68.868710734133955</v>
      </c>
      <c r="F650" s="7">
        <v>0.78857837181044954</v>
      </c>
      <c r="G650">
        <f t="shared" si="62"/>
        <v>4</v>
      </c>
      <c r="H650" s="7">
        <f t="shared" si="63"/>
        <v>0.21142162818955046</v>
      </c>
      <c r="I650">
        <f t="shared" si="64"/>
        <v>2</v>
      </c>
      <c r="J650">
        <f>VLOOKUP(A650,'Housing Cost Calc'!$A$2:$C$827,3,FALSE)</f>
        <v>1487</v>
      </c>
      <c r="K650">
        <f t="shared" si="65"/>
        <v>0.2591016995931047</v>
      </c>
    </row>
    <row r="651" spans="1:11" ht="48" x14ac:dyDescent="0.2">
      <c r="A651" s="4" t="s">
        <v>3317</v>
      </c>
      <c r="B651">
        <v>105833</v>
      </c>
      <c r="C651">
        <v>2.36</v>
      </c>
      <c r="D651">
        <f t="shared" si="60"/>
        <v>68891.415079167666</v>
      </c>
      <c r="E651">
        <f t="shared" si="61"/>
        <v>68.891415079167672</v>
      </c>
      <c r="F651" s="7">
        <v>0.7897934386391251</v>
      </c>
      <c r="G651">
        <f t="shared" si="62"/>
        <v>4</v>
      </c>
      <c r="H651" s="7">
        <f t="shared" si="63"/>
        <v>0.2102065613608749</v>
      </c>
      <c r="I651">
        <f t="shared" si="64"/>
        <v>2</v>
      </c>
      <c r="J651">
        <f>VLOOKUP(A651,'Housing Cost Calc'!$A$2:$C$827,3,FALSE)</f>
        <v>1727</v>
      </c>
      <c r="K651">
        <f t="shared" si="65"/>
        <v>0.30082122679850148</v>
      </c>
    </row>
    <row r="652" spans="1:11" ht="64" x14ac:dyDescent="0.2">
      <c r="A652" s="4" t="s">
        <v>3143</v>
      </c>
      <c r="B652">
        <v>108750</v>
      </c>
      <c r="C652">
        <v>2.4900000000000002</v>
      </c>
      <c r="D652">
        <f t="shared" si="60"/>
        <v>68917.512244536978</v>
      </c>
      <c r="E652">
        <f t="shared" si="61"/>
        <v>68.917512244536979</v>
      </c>
      <c r="F652" s="7">
        <v>0.79100850546780077</v>
      </c>
      <c r="G652">
        <f t="shared" si="62"/>
        <v>4</v>
      </c>
      <c r="H652" s="7">
        <f t="shared" si="63"/>
        <v>0.20899149453219923</v>
      </c>
      <c r="I652">
        <f t="shared" si="64"/>
        <v>2</v>
      </c>
      <c r="J652">
        <f>VLOOKUP(A652,'Housing Cost Calc'!$A$2:$C$827,3,FALSE)</f>
        <v>1577</v>
      </c>
      <c r="K652">
        <f t="shared" si="65"/>
        <v>0.27458913393235673</v>
      </c>
    </row>
    <row r="653" spans="1:11" ht="48" x14ac:dyDescent="0.2">
      <c r="A653" s="4" t="s">
        <v>3819</v>
      </c>
      <c r="B653">
        <v>118819</v>
      </c>
      <c r="C653">
        <v>2.97</v>
      </c>
      <c r="D653">
        <f t="shared" si="60"/>
        <v>68945.776676666865</v>
      </c>
      <c r="E653">
        <f t="shared" si="61"/>
        <v>68.945776676666867</v>
      </c>
      <c r="F653" s="7">
        <v>0.79222357229647633</v>
      </c>
      <c r="G653">
        <f t="shared" si="62"/>
        <v>4</v>
      </c>
      <c r="H653" s="7">
        <f t="shared" si="63"/>
        <v>0.20777642770352367</v>
      </c>
      <c r="I653">
        <f t="shared" si="64"/>
        <v>2</v>
      </c>
      <c r="J653">
        <f>VLOOKUP(A653,'Housing Cost Calc'!$A$2:$C$827,3,FALSE)</f>
        <v>2194</v>
      </c>
      <c r="K653">
        <f t="shared" si="65"/>
        <v>0.38186530443292716</v>
      </c>
    </row>
    <row r="654" spans="1:11" ht="48" x14ac:dyDescent="0.2">
      <c r="A654" s="4" t="s">
        <v>3763</v>
      </c>
      <c r="B654">
        <v>113814</v>
      </c>
      <c r="C654">
        <v>2.69</v>
      </c>
      <c r="D654">
        <f t="shared" si="60"/>
        <v>69393.620535346898</v>
      </c>
      <c r="E654">
        <f t="shared" si="61"/>
        <v>69.393620535346898</v>
      </c>
      <c r="F654" s="7">
        <v>0.79343863912515189</v>
      </c>
      <c r="G654">
        <f t="shared" si="62"/>
        <v>4</v>
      </c>
      <c r="H654" s="7">
        <f t="shared" si="63"/>
        <v>0.20656136087484811</v>
      </c>
      <c r="I654">
        <f t="shared" si="64"/>
        <v>2</v>
      </c>
      <c r="J654">
        <f>VLOOKUP(A654,'Housing Cost Calc'!$A$2:$C$827,3,FALSE)</f>
        <v>2062</v>
      </c>
      <c r="K654">
        <f t="shared" si="65"/>
        <v>0.35657456419061168</v>
      </c>
    </row>
    <row r="655" spans="1:11" ht="48" x14ac:dyDescent="0.2">
      <c r="A655" s="4" t="s">
        <v>3841</v>
      </c>
      <c r="B655">
        <v>113765</v>
      </c>
      <c r="C655">
        <v>2.68</v>
      </c>
      <c r="D655">
        <f t="shared" si="60"/>
        <v>69493.03418597531</v>
      </c>
      <c r="E655">
        <f t="shared" si="61"/>
        <v>69.493034185975304</v>
      </c>
      <c r="F655" s="7">
        <v>0.79465370595382745</v>
      </c>
      <c r="G655">
        <f t="shared" si="62"/>
        <v>4</v>
      </c>
      <c r="H655" s="7">
        <f t="shared" si="63"/>
        <v>0.20534629404617255</v>
      </c>
      <c r="I655">
        <f t="shared" si="64"/>
        <v>2</v>
      </c>
      <c r="J655">
        <f>VLOOKUP(A655,'Housing Cost Calc'!$A$2:$C$827,3,FALSE)</f>
        <v>2369</v>
      </c>
      <c r="K655">
        <f t="shared" si="65"/>
        <v>0.40907697200156468</v>
      </c>
    </row>
    <row r="656" spans="1:11" ht="48" x14ac:dyDescent="0.2">
      <c r="A656" s="4" t="s">
        <v>3199</v>
      </c>
      <c r="B656">
        <v>115625</v>
      </c>
      <c r="C656">
        <v>2.76</v>
      </c>
      <c r="D656">
        <f t="shared" si="60"/>
        <v>69598.071315210327</v>
      </c>
      <c r="E656">
        <f t="shared" si="61"/>
        <v>69.598071315210333</v>
      </c>
      <c r="F656" s="7">
        <v>0.79586877278250301</v>
      </c>
      <c r="G656">
        <f t="shared" si="62"/>
        <v>4</v>
      </c>
      <c r="H656" s="7">
        <f t="shared" si="63"/>
        <v>0.20413122721749699</v>
      </c>
      <c r="I656">
        <f t="shared" si="64"/>
        <v>2</v>
      </c>
      <c r="J656">
        <f>VLOOKUP(A656,'Housing Cost Calc'!$A$2:$C$827,3,FALSE)</f>
        <v>1667</v>
      </c>
      <c r="K656">
        <f t="shared" si="65"/>
        <v>0.28742175784443358</v>
      </c>
    </row>
    <row r="657" spans="1:11" ht="48" x14ac:dyDescent="0.2">
      <c r="A657" s="4" t="s">
        <v>3091</v>
      </c>
      <c r="B657">
        <v>109962</v>
      </c>
      <c r="C657">
        <v>2.4900000000000002</v>
      </c>
      <c r="D657">
        <f t="shared" si="60"/>
        <v>69685.586036172637</v>
      </c>
      <c r="E657">
        <f t="shared" si="61"/>
        <v>69.685586036172637</v>
      </c>
      <c r="F657" s="7">
        <v>0.79708383961117857</v>
      </c>
      <c r="G657">
        <f t="shared" si="62"/>
        <v>4</v>
      </c>
      <c r="H657" s="7">
        <f t="shared" si="63"/>
        <v>0.20291616038882143</v>
      </c>
      <c r="I657">
        <f t="shared" si="64"/>
        <v>2</v>
      </c>
      <c r="J657">
        <f>VLOOKUP(A657,'Housing Cost Calc'!$A$2:$C$827,3,FALSE)</f>
        <v>1517</v>
      </c>
      <c r="K657">
        <f t="shared" si="65"/>
        <v>0.26123049306854657</v>
      </c>
    </row>
    <row r="658" spans="1:11" ht="48" x14ac:dyDescent="0.2">
      <c r="A658" s="4" t="s">
        <v>3394</v>
      </c>
      <c r="B658">
        <v>100309</v>
      </c>
      <c r="C658">
        <v>2.0699999999999998</v>
      </c>
      <c r="D658">
        <f t="shared" si="60"/>
        <v>69719.574532170387</v>
      </c>
      <c r="E658">
        <f t="shared" si="61"/>
        <v>69.719574532170384</v>
      </c>
      <c r="F658" s="7">
        <v>0.79829890643985424</v>
      </c>
      <c r="G658">
        <f t="shared" si="62"/>
        <v>4</v>
      </c>
      <c r="H658" s="7">
        <f t="shared" si="63"/>
        <v>0.20170109356014576</v>
      </c>
      <c r="I658">
        <f t="shared" si="64"/>
        <v>2</v>
      </c>
      <c r="J658">
        <f>VLOOKUP(A658,'Housing Cost Calc'!$A$2:$C$827,3,FALSE)</f>
        <v>1797</v>
      </c>
      <c r="K658">
        <f t="shared" si="65"/>
        <v>0.30929620762458643</v>
      </c>
    </row>
    <row r="659" spans="1:11" ht="64" x14ac:dyDescent="0.2">
      <c r="A659" s="4" t="s">
        <v>3203</v>
      </c>
      <c r="B659">
        <v>109460</v>
      </c>
      <c r="C659">
        <v>2.46</v>
      </c>
      <c r="D659">
        <f t="shared" si="60"/>
        <v>69789.14701191301</v>
      </c>
      <c r="E659">
        <f t="shared" si="61"/>
        <v>69.789147011913016</v>
      </c>
      <c r="F659" s="7">
        <v>0.7995139732685298</v>
      </c>
      <c r="G659">
        <f t="shared" si="62"/>
        <v>4</v>
      </c>
      <c r="H659" s="7">
        <f t="shared" si="63"/>
        <v>0.2004860267314702</v>
      </c>
      <c r="I659">
        <f t="shared" si="64"/>
        <v>2</v>
      </c>
      <c r="J659">
        <f>VLOOKUP(A659,'Housing Cost Calc'!$A$2:$C$827,3,FALSE)</f>
        <v>1674</v>
      </c>
      <c r="K659">
        <f t="shared" si="65"/>
        <v>0.28783845139375291</v>
      </c>
    </row>
    <row r="660" spans="1:11" ht="64" x14ac:dyDescent="0.2">
      <c r="A660" s="4" t="s">
        <v>3141</v>
      </c>
      <c r="B660">
        <v>106111</v>
      </c>
      <c r="C660">
        <v>2.31</v>
      </c>
      <c r="D660">
        <f t="shared" si="60"/>
        <v>69815.912303876044</v>
      </c>
      <c r="E660">
        <f t="shared" si="61"/>
        <v>69.815912303876047</v>
      </c>
      <c r="F660" s="7">
        <v>0.80072904009720536</v>
      </c>
      <c r="G660">
        <f t="shared" si="62"/>
        <v>5</v>
      </c>
      <c r="H660" s="7">
        <f t="shared" si="63"/>
        <v>0.19927095990279464</v>
      </c>
      <c r="I660">
        <f t="shared" si="64"/>
        <v>1</v>
      </c>
      <c r="J660">
        <f>VLOOKUP(A660,'Housing Cost Calc'!$A$2:$C$827,3,FALSE)</f>
        <v>1589</v>
      </c>
      <c r="K660">
        <f t="shared" si="65"/>
        <v>0.27311825299948678</v>
      </c>
    </row>
    <row r="661" spans="1:11" ht="48" x14ac:dyDescent="0.2">
      <c r="A661" s="4" t="s">
        <v>3602</v>
      </c>
      <c r="B661">
        <v>116222</v>
      </c>
      <c r="C661">
        <v>2.77</v>
      </c>
      <c r="D661">
        <f t="shared" si="60"/>
        <v>69831.031975152713</v>
      </c>
      <c r="E661">
        <f t="shared" si="61"/>
        <v>69.831031975152712</v>
      </c>
      <c r="F661" s="7">
        <v>0.80194410692588092</v>
      </c>
      <c r="G661">
        <f t="shared" si="62"/>
        <v>5</v>
      </c>
      <c r="H661" s="7">
        <f t="shared" si="63"/>
        <v>0.19805589307411908</v>
      </c>
      <c r="I661">
        <f t="shared" si="64"/>
        <v>1</v>
      </c>
      <c r="J661">
        <f>VLOOKUP(A661,'Housing Cost Calc'!$A$2:$C$827,3,FALSE)</f>
        <v>1923</v>
      </c>
      <c r="K661">
        <f t="shared" si="65"/>
        <v>0.33045480422243945</v>
      </c>
    </row>
    <row r="662" spans="1:11" ht="48" x14ac:dyDescent="0.2">
      <c r="A662" s="4" t="s">
        <v>3181</v>
      </c>
      <c r="B662">
        <v>116250</v>
      </c>
      <c r="C662">
        <v>2.76</v>
      </c>
      <c r="D662">
        <f t="shared" si="60"/>
        <v>69974.277106103356</v>
      </c>
      <c r="E662">
        <f t="shared" si="61"/>
        <v>69.974277106103358</v>
      </c>
      <c r="F662" s="7">
        <v>0.80315917375455648</v>
      </c>
      <c r="G662">
        <f t="shared" si="62"/>
        <v>5</v>
      </c>
      <c r="H662" s="7">
        <f t="shared" si="63"/>
        <v>0.19684082624544352</v>
      </c>
      <c r="I662">
        <f t="shared" si="64"/>
        <v>1</v>
      </c>
      <c r="J662">
        <f>VLOOKUP(A662,'Housing Cost Calc'!$A$2:$C$827,3,FALSE)</f>
        <v>1652</v>
      </c>
      <c r="K662">
        <f t="shared" si="65"/>
        <v>0.28330410573503295</v>
      </c>
    </row>
    <row r="663" spans="1:11" ht="64" x14ac:dyDescent="0.2">
      <c r="A663" s="4" t="s">
        <v>3731</v>
      </c>
      <c r="B663">
        <v>122431</v>
      </c>
      <c r="C663">
        <v>3.06</v>
      </c>
      <c r="D663">
        <f t="shared" si="60"/>
        <v>69989.144258608329</v>
      </c>
      <c r="E663">
        <f t="shared" si="61"/>
        <v>69.989144258608334</v>
      </c>
      <c r="F663" s="7">
        <v>0.80437424058323204</v>
      </c>
      <c r="G663">
        <f t="shared" si="62"/>
        <v>5</v>
      </c>
      <c r="H663" s="7">
        <f t="shared" si="63"/>
        <v>0.19562575941676796</v>
      </c>
      <c r="I663">
        <f t="shared" si="64"/>
        <v>1</v>
      </c>
      <c r="J663">
        <f>VLOOKUP(A663,'Housing Cost Calc'!$A$2:$C$827,3,FALSE)</f>
        <v>2046</v>
      </c>
      <c r="K663">
        <f t="shared" si="65"/>
        <v>0.35079725949042767</v>
      </c>
    </row>
    <row r="664" spans="1:11" ht="64" x14ac:dyDescent="0.2">
      <c r="A664" s="4" t="s">
        <v>3211</v>
      </c>
      <c r="B664">
        <v>117635</v>
      </c>
      <c r="C664">
        <v>2.82</v>
      </c>
      <c r="D664">
        <f t="shared" si="60"/>
        <v>70050.62309572479</v>
      </c>
      <c r="E664">
        <f t="shared" si="61"/>
        <v>70.050623095724788</v>
      </c>
      <c r="F664" s="7">
        <v>0.80558930741190771</v>
      </c>
      <c r="G664">
        <f t="shared" si="62"/>
        <v>5</v>
      </c>
      <c r="H664" s="7">
        <f t="shared" si="63"/>
        <v>0.19441069258809229</v>
      </c>
      <c r="I664">
        <f t="shared" si="64"/>
        <v>1</v>
      </c>
      <c r="J664">
        <f>VLOOKUP(A664,'Housing Cost Calc'!$A$2:$C$827,3,FALSE)</f>
        <v>1688</v>
      </c>
      <c r="K664">
        <f t="shared" si="65"/>
        <v>0.28916231012420829</v>
      </c>
    </row>
    <row r="665" spans="1:11" ht="48" x14ac:dyDescent="0.2">
      <c r="A665" s="4" t="s">
        <v>3830</v>
      </c>
      <c r="B665">
        <v>120476</v>
      </c>
      <c r="C665">
        <v>2.93</v>
      </c>
      <c r="D665">
        <f t="shared" si="60"/>
        <v>70382.830709648726</v>
      </c>
      <c r="E665">
        <f t="shared" si="61"/>
        <v>70.382830709648729</v>
      </c>
      <c r="F665" s="7">
        <v>0.80680437424058327</v>
      </c>
      <c r="G665">
        <f t="shared" si="62"/>
        <v>5</v>
      </c>
      <c r="H665" s="7">
        <f t="shared" si="63"/>
        <v>0.19319562575941673</v>
      </c>
      <c r="I665">
        <f t="shared" si="64"/>
        <v>1</v>
      </c>
      <c r="J665">
        <f>VLOOKUP(A665,'Housing Cost Calc'!$A$2:$C$827,3,FALSE)</f>
        <v>2277</v>
      </c>
      <c r="K665">
        <f t="shared" si="65"/>
        <v>0.38821967977844024</v>
      </c>
    </row>
    <row r="666" spans="1:11" ht="64" x14ac:dyDescent="0.2">
      <c r="A666" s="4" t="s">
        <v>3233</v>
      </c>
      <c r="B666">
        <v>110625</v>
      </c>
      <c r="C666">
        <v>2.4700000000000002</v>
      </c>
      <c r="D666">
        <f t="shared" si="60"/>
        <v>70389.001904195407</v>
      </c>
      <c r="E666">
        <f t="shared" si="61"/>
        <v>70.38900190419541</v>
      </c>
      <c r="F666" s="7">
        <v>0.80801944106925883</v>
      </c>
      <c r="G666">
        <f t="shared" si="62"/>
        <v>5</v>
      </c>
      <c r="H666" s="7">
        <f t="shared" si="63"/>
        <v>0.19198055893074117</v>
      </c>
      <c r="I666">
        <f t="shared" si="64"/>
        <v>1</v>
      </c>
      <c r="J666">
        <f>VLOOKUP(A666,'Housing Cost Calc'!$A$2:$C$827,3,FALSE)</f>
        <v>1712</v>
      </c>
      <c r="K666">
        <f t="shared" si="65"/>
        <v>0.29186377763903926</v>
      </c>
    </row>
    <row r="667" spans="1:11" ht="64" x14ac:dyDescent="0.2">
      <c r="A667" s="4" t="s">
        <v>3412</v>
      </c>
      <c r="B667">
        <v>117401</v>
      </c>
      <c r="C667">
        <v>2.77</v>
      </c>
      <c r="D667">
        <f t="shared" si="60"/>
        <v>70539.424419773393</v>
      </c>
      <c r="E667">
        <f t="shared" si="61"/>
        <v>70.539424419773397</v>
      </c>
      <c r="F667" s="7">
        <v>0.80923450789793439</v>
      </c>
      <c r="G667">
        <f t="shared" si="62"/>
        <v>5</v>
      </c>
      <c r="H667" s="7">
        <f t="shared" si="63"/>
        <v>0.19076549210206561</v>
      </c>
      <c r="I667">
        <f t="shared" si="64"/>
        <v>1</v>
      </c>
      <c r="J667">
        <f>VLOOKUP(A667,'Housing Cost Calc'!$A$2:$C$827,3,FALSE)</f>
        <v>1833</v>
      </c>
      <c r="K667">
        <f t="shared" si="65"/>
        <v>0.31182562348544129</v>
      </c>
    </row>
    <row r="668" spans="1:11" ht="48" x14ac:dyDescent="0.2">
      <c r="A668" s="4" t="s">
        <v>3789</v>
      </c>
      <c r="B668">
        <v>121802</v>
      </c>
      <c r="C668">
        <v>2.97</v>
      </c>
      <c r="D668">
        <f t="shared" si="60"/>
        <v>70676.688835719688</v>
      </c>
      <c r="E668">
        <f t="shared" si="61"/>
        <v>70.676688835719688</v>
      </c>
      <c r="F668" s="7">
        <v>0.81044957472660994</v>
      </c>
      <c r="G668">
        <f t="shared" si="62"/>
        <v>5</v>
      </c>
      <c r="H668" s="7">
        <f t="shared" si="63"/>
        <v>0.18955042527339006</v>
      </c>
      <c r="I668">
        <f t="shared" si="64"/>
        <v>1</v>
      </c>
      <c r="J668">
        <f>VLOOKUP(A668,'Housing Cost Calc'!$A$2:$C$827,3,FALSE)</f>
        <v>2161</v>
      </c>
      <c r="K668">
        <f t="shared" si="65"/>
        <v>0.3669102277877806</v>
      </c>
    </row>
    <row r="669" spans="1:11" ht="64" x14ac:dyDescent="0.2">
      <c r="A669" s="4" t="s">
        <v>3697</v>
      </c>
      <c r="B669">
        <v>119042</v>
      </c>
      <c r="C669">
        <v>2.83</v>
      </c>
      <c r="D669">
        <f t="shared" si="60"/>
        <v>70763.123903581582</v>
      </c>
      <c r="E669">
        <f t="shared" si="61"/>
        <v>70.763123903581587</v>
      </c>
      <c r="F669" s="7">
        <v>0.8116646415552855</v>
      </c>
      <c r="G669">
        <f t="shared" si="62"/>
        <v>5</v>
      </c>
      <c r="H669" s="7">
        <f t="shared" si="63"/>
        <v>0.1883353584447145</v>
      </c>
      <c r="I669">
        <f t="shared" si="64"/>
        <v>1</v>
      </c>
      <c r="J669">
        <f>VLOOKUP(A669,'Housing Cost Calc'!$A$2:$C$827,3,FALSE)</f>
        <v>2032</v>
      </c>
      <c r="K669">
        <f t="shared" si="65"/>
        <v>0.34458625700618395</v>
      </c>
    </row>
    <row r="670" spans="1:11" ht="64" x14ac:dyDescent="0.2">
      <c r="A670" s="4" t="s">
        <v>3205</v>
      </c>
      <c r="B670">
        <v>114792</v>
      </c>
      <c r="C670">
        <v>2.63</v>
      </c>
      <c r="D670">
        <f t="shared" si="60"/>
        <v>70783.779542970384</v>
      </c>
      <c r="E670">
        <f t="shared" si="61"/>
        <v>70.783779542970379</v>
      </c>
      <c r="F670" s="7">
        <v>0.81287970838396106</v>
      </c>
      <c r="G670">
        <f t="shared" si="62"/>
        <v>5</v>
      </c>
      <c r="H670" s="7">
        <f t="shared" si="63"/>
        <v>0.18712029161603894</v>
      </c>
      <c r="I670">
        <f t="shared" si="64"/>
        <v>1</v>
      </c>
      <c r="J670">
        <f>VLOOKUP(A670,'Housing Cost Calc'!$A$2:$C$827,3,FALSE)</f>
        <v>1698</v>
      </c>
      <c r="K670">
        <f t="shared" si="65"/>
        <v>0.28786256020181056</v>
      </c>
    </row>
    <row r="671" spans="1:11" ht="48" x14ac:dyDescent="0.2">
      <c r="A671" s="4" t="s">
        <v>3370</v>
      </c>
      <c r="B671">
        <v>121296</v>
      </c>
      <c r="C671">
        <v>2.93</v>
      </c>
      <c r="D671">
        <f t="shared" si="60"/>
        <v>70861.879824675052</v>
      </c>
      <c r="E671">
        <f t="shared" si="61"/>
        <v>70.861879824675057</v>
      </c>
      <c r="F671" s="7">
        <v>0.81409477521263673</v>
      </c>
      <c r="G671">
        <f t="shared" si="62"/>
        <v>5</v>
      </c>
      <c r="H671" s="7">
        <f t="shared" si="63"/>
        <v>0.18590522478736327</v>
      </c>
      <c r="I671">
        <f t="shared" si="64"/>
        <v>1</v>
      </c>
      <c r="J671">
        <f>VLOOKUP(A671,'Housing Cost Calc'!$A$2:$C$827,3,FALSE)</f>
        <v>1813</v>
      </c>
      <c r="K671">
        <f t="shared" si="65"/>
        <v>0.30701979758126979</v>
      </c>
    </row>
    <row r="672" spans="1:11" ht="64" x14ac:dyDescent="0.2">
      <c r="A672" s="4" t="s">
        <v>3637</v>
      </c>
      <c r="B672">
        <v>114773</v>
      </c>
      <c r="C672">
        <v>2.62</v>
      </c>
      <c r="D672">
        <f t="shared" si="60"/>
        <v>70906.996201399932</v>
      </c>
      <c r="E672">
        <f t="shared" si="61"/>
        <v>70.906996201399934</v>
      </c>
      <c r="F672" s="7">
        <v>0.81530984204131229</v>
      </c>
      <c r="G672">
        <f t="shared" si="62"/>
        <v>5</v>
      </c>
      <c r="H672" s="7">
        <f t="shared" si="63"/>
        <v>0.18469015795868771</v>
      </c>
      <c r="I672">
        <f t="shared" si="64"/>
        <v>1</v>
      </c>
      <c r="J672">
        <f>VLOOKUP(A672,'Housing Cost Calc'!$A$2:$C$827,3,FALSE)</f>
        <v>1980</v>
      </c>
      <c r="K672">
        <f t="shared" si="65"/>
        <v>0.33508682179278243</v>
      </c>
    </row>
    <row r="673" spans="1:11" ht="48" x14ac:dyDescent="0.2">
      <c r="A673" s="4" t="s">
        <v>3836</v>
      </c>
      <c r="B673">
        <v>122097</v>
      </c>
      <c r="C673">
        <v>2.96</v>
      </c>
      <c r="D673">
        <f t="shared" si="60"/>
        <v>70967.439738520523</v>
      </c>
      <c r="E673">
        <f t="shared" si="61"/>
        <v>70.967439738520525</v>
      </c>
      <c r="F673" s="7">
        <v>0.81652490886998785</v>
      </c>
      <c r="G673">
        <f t="shared" si="62"/>
        <v>5</v>
      </c>
      <c r="H673" s="7">
        <f t="shared" si="63"/>
        <v>0.18347509113001215</v>
      </c>
      <c r="I673">
        <f t="shared" si="64"/>
        <v>1</v>
      </c>
      <c r="J673">
        <f>VLOOKUP(A673,'Housing Cost Calc'!$A$2:$C$827,3,FALSE)</f>
        <v>2348</v>
      </c>
      <c r="K673">
        <f t="shared" si="65"/>
        <v>0.39702714517833038</v>
      </c>
    </row>
    <row r="674" spans="1:11" ht="48" x14ac:dyDescent="0.2">
      <c r="A674" s="4" t="s">
        <v>3293</v>
      </c>
      <c r="B674">
        <v>122222</v>
      </c>
      <c r="C674">
        <v>2.96</v>
      </c>
      <c r="D674">
        <f t="shared" si="60"/>
        <v>71040.094512735406</v>
      </c>
      <c r="E674">
        <f t="shared" si="61"/>
        <v>71.040094512735408</v>
      </c>
      <c r="F674" s="7">
        <v>0.81773997569866341</v>
      </c>
      <c r="G674">
        <f t="shared" si="62"/>
        <v>5</v>
      </c>
      <c r="H674" s="7">
        <f t="shared" si="63"/>
        <v>0.18226002430133659</v>
      </c>
      <c r="I674">
        <f t="shared" si="64"/>
        <v>1</v>
      </c>
      <c r="J674">
        <f>VLOOKUP(A674,'Housing Cost Calc'!$A$2:$C$827,3,FALSE)</f>
        <v>1767</v>
      </c>
      <c r="K674">
        <f t="shared" si="65"/>
        <v>0.29847933262812232</v>
      </c>
    </row>
    <row r="675" spans="1:11" ht="64" x14ac:dyDescent="0.2">
      <c r="A675" s="4" t="s">
        <v>3215</v>
      </c>
      <c r="B675">
        <v>117895</v>
      </c>
      <c r="C675">
        <v>2.73</v>
      </c>
      <c r="D675">
        <f t="shared" si="60"/>
        <v>71353.299963988466</v>
      </c>
      <c r="E675">
        <f t="shared" si="61"/>
        <v>71.353299963988462</v>
      </c>
      <c r="F675" s="7">
        <v>0.81895504252733897</v>
      </c>
      <c r="G675">
        <f t="shared" si="62"/>
        <v>5</v>
      </c>
      <c r="H675" s="7">
        <f t="shared" si="63"/>
        <v>0.18104495747266103</v>
      </c>
      <c r="I675">
        <f t="shared" si="64"/>
        <v>1</v>
      </c>
      <c r="J675">
        <f>VLOOKUP(A675,'Housing Cost Calc'!$A$2:$C$827,3,FALSE)</f>
        <v>1722</v>
      </c>
      <c r="K675">
        <f t="shared" si="65"/>
        <v>0.28960118187146189</v>
      </c>
    </row>
    <row r="676" spans="1:11" ht="48" x14ac:dyDescent="0.2">
      <c r="A676" s="4" t="s">
        <v>3473</v>
      </c>
      <c r="B676">
        <v>111250</v>
      </c>
      <c r="C676">
        <v>2.4300000000000002</v>
      </c>
      <c r="D676">
        <f t="shared" si="60"/>
        <v>71366.908274828747</v>
      </c>
      <c r="E676">
        <f t="shared" si="61"/>
        <v>71.366908274828745</v>
      </c>
      <c r="F676" s="7">
        <v>0.82017010935601453</v>
      </c>
      <c r="G676">
        <f t="shared" si="62"/>
        <v>5</v>
      </c>
      <c r="H676" s="7">
        <f t="shared" si="63"/>
        <v>0.17982989064398547</v>
      </c>
      <c r="I676">
        <f t="shared" si="64"/>
        <v>1</v>
      </c>
      <c r="J676">
        <f>VLOOKUP(A676,'Housing Cost Calc'!$A$2:$C$827,3,FALSE)</f>
        <v>1890</v>
      </c>
      <c r="K676">
        <f t="shared" si="65"/>
        <v>0.31779434682333413</v>
      </c>
    </row>
    <row r="677" spans="1:11" ht="64" x14ac:dyDescent="0.2">
      <c r="A677" s="4" t="s">
        <v>3157</v>
      </c>
      <c r="B677">
        <v>118388</v>
      </c>
      <c r="C677">
        <v>2.75</v>
      </c>
      <c r="D677">
        <f t="shared" si="60"/>
        <v>71390.650123744563</v>
      </c>
      <c r="E677">
        <f t="shared" si="61"/>
        <v>71.390650123744564</v>
      </c>
      <c r="F677" s="7">
        <v>0.8213851761846902</v>
      </c>
      <c r="G677">
        <f t="shared" si="62"/>
        <v>5</v>
      </c>
      <c r="H677" s="7">
        <f t="shared" si="63"/>
        <v>0.1786148238153098</v>
      </c>
      <c r="I677">
        <f t="shared" si="64"/>
        <v>1</v>
      </c>
      <c r="J677">
        <f>VLOOKUP(A677,'Housing Cost Calc'!$A$2:$C$827,3,FALSE)</f>
        <v>1660</v>
      </c>
      <c r="K677">
        <f t="shared" si="65"/>
        <v>0.27902813555377048</v>
      </c>
    </row>
    <row r="678" spans="1:11" ht="64" x14ac:dyDescent="0.2">
      <c r="A678" s="4" t="s">
        <v>3667</v>
      </c>
      <c r="B678">
        <v>120893</v>
      </c>
      <c r="C678">
        <v>2.86</v>
      </c>
      <c r="D678">
        <f t="shared" si="60"/>
        <v>71485.529488308166</v>
      </c>
      <c r="E678">
        <f t="shared" si="61"/>
        <v>71.48552948830816</v>
      </c>
      <c r="F678" s="7">
        <v>0.82260024301336576</v>
      </c>
      <c r="G678">
        <f t="shared" si="62"/>
        <v>5</v>
      </c>
      <c r="H678" s="7">
        <f t="shared" si="63"/>
        <v>0.17739975698663424</v>
      </c>
      <c r="I678">
        <f t="shared" si="64"/>
        <v>1</v>
      </c>
      <c r="J678">
        <f>VLOOKUP(A678,'Housing Cost Calc'!$A$2:$C$827,3,FALSE)</f>
        <v>2028</v>
      </c>
      <c r="K678">
        <f t="shared" si="65"/>
        <v>0.34043253472690976</v>
      </c>
    </row>
    <row r="679" spans="1:11" ht="48" x14ac:dyDescent="0.2">
      <c r="A679" s="4" t="s">
        <v>3494</v>
      </c>
      <c r="B679">
        <v>108250</v>
      </c>
      <c r="C679">
        <v>2.27</v>
      </c>
      <c r="D679">
        <f t="shared" si="60"/>
        <v>71848.048480696962</v>
      </c>
      <c r="E679">
        <f t="shared" si="61"/>
        <v>71.84804848069696</v>
      </c>
      <c r="F679" s="7">
        <v>0.82381530984204132</v>
      </c>
      <c r="G679">
        <f t="shared" si="62"/>
        <v>5</v>
      </c>
      <c r="H679" s="7">
        <f t="shared" si="63"/>
        <v>0.17618469015795868</v>
      </c>
      <c r="I679">
        <f t="shared" si="64"/>
        <v>1</v>
      </c>
      <c r="J679">
        <f>VLOOKUP(A679,'Housing Cost Calc'!$A$2:$C$827,3,FALSE)</f>
        <v>1915</v>
      </c>
      <c r="K679">
        <f t="shared" si="65"/>
        <v>0.31984167261235935</v>
      </c>
    </row>
    <row r="680" spans="1:11" ht="48" x14ac:dyDescent="0.2">
      <c r="A680" s="4" t="s">
        <v>3782</v>
      </c>
      <c r="B680">
        <v>111983</v>
      </c>
      <c r="C680">
        <v>2.42</v>
      </c>
      <c r="D680">
        <f t="shared" si="60"/>
        <v>71985.39879783013</v>
      </c>
      <c r="E680">
        <f t="shared" si="61"/>
        <v>71.985398797830129</v>
      </c>
      <c r="F680" s="7">
        <v>0.82503037667071688</v>
      </c>
      <c r="G680">
        <f t="shared" si="62"/>
        <v>5</v>
      </c>
      <c r="H680" s="7">
        <f t="shared" si="63"/>
        <v>0.17496962332928312</v>
      </c>
      <c r="I680">
        <f t="shared" si="64"/>
        <v>1</v>
      </c>
      <c r="J680">
        <f>VLOOKUP(A680,'Housing Cost Calc'!$A$2:$C$827,3,FALSE)</f>
        <v>2174</v>
      </c>
      <c r="K680">
        <f t="shared" si="65"/>
        <v>0.36240682743548785</v>
      </c>
    </row>
    <row r="681" spans="1:11" ht="48" x14ac:dyDescent="0.2">
      <c r="A681" s="4" t="s">
        <v>3247</v>
      </c>
      <c r="B681">
        <v>118906</v>
      </c>
      <c r="C681">
        <v>2.72</v>
      </c>
      <c r="D681">
        <f t="shared" si="60"/>
        <v>72097.352576425517</v>
      </c>
      <c r="E681">
        <f t="shared" si="61"/>
        <v>72.097352576425521</v>
      </c>
      <c r="F681" s="7">
        <v>0.82624544349939244</v>
      </c>
      <c r="G681">
        <f t="shared" si="62"/>
        <v>5</v>
      </c>
      <c r="H681" s="7">
        <f t="shared" si="63"/>
        <v>0.17375455650060756</v>
      </c>
      <c r="I681">
        <f t="shared" si="64"/>
        <v>1</v>
      </c>
      <c r="J681">
        <f>VLOOKUP(A681,'Housing Cost Calc'!$A$2:$C$827,3,FALSE)</f>
        <v>1759</v>
      </c>
      <c r="K681">
        <f t="shared" si="65"/>
        <v>0.29277080566342351</v>
      </c>
    </row>
    <row r="682" spans="1:11" ht="64" x14ac:dyDescent="0.2">
      <c r="A682" s="4" t="s">
        <v>3253</v>
      </c>
      <c r="B682">
        <v>103558</v>
      </c>
      <c r="C682">
        <v>2.06</v>
      </c>
      <c r="D682">
        <f t="shared" si="60"/>
        <v>72152.27749401133</v>
      </c>
      <c r="E682">
        <f t="shared" si="61"/>
        <v>72.152277494011329</v>
      </c>
      <c r="F682" s="7">
        <v>0.827460510328068</v>
      </c>
      <c r="G682">
        <f t="shared" si="62"/>
        <v>5</v>
      </c>
      <c r="H682" s="7">
        <f t="shared" si="63"/>
        <v>0.172539489671932</v>
      </c>
      <c r="I682">
        <f t="shared" si="64"/>
        <v>1</v>
      </c>
      <c r="J682">
        <f>VLOOKUP(A682,'Housing Cost Calc'!$A$2:$C$827,3,FALSE)</f>
        <v>1763</v>
      </c>
      <c r="K682">
        <f t="shared" si="65"/>
        <v>0.29321319762575693</v>
      </c>
    </row>
    <row r="683" spans="1:11" ht="48" x14ac:dyDescent="0.2">
      <c r="A683" s="4" t="s">
        <v>3041</v>
      </c>
      <c r="B683">
        <v>105066</v>
      </c>
      <c r="C683">
        <v>2.12</v>
      </c>
      <c r="D683">
        <f t="shared" si="60"/>
        <v>72159.625059164799</v>
      </c>
      <c r="E683">
        <f t="shared" si="61"/>
        <v>72.159625059164796</v>
      </c>
      <c r="F683" s="7">
        <v>0.82867557715674367</v>
      </c>
      <c r="G683">
        <f t="shared" si="62"/>
        <v>5</v>
      </c>
      <c r="H683" s="7">
        <f t="shared" si="63"/>
        <v>0.17132442284325633</v>
      </c>
      <c r="I683">
        <f t="shared" si="64"/>
        <v>1</v>
      </c>
      <c r="J683">
        <f>VLOOKUP(A683,'Housing Cost Calc'!$A$2:$C$827,3,FALSE)</f>
        <v>1483</v>
      </c>
      <c r="K683">
        <f t="shared" si="65"/>
        <v>0.24661990670556816</v>
      </c>
    </row>
    <row r="684" spans="1:11" ht="64" x14ac:dyDescent="0.2">
      <c r="A684" s="4" t="s">
        <v>3131</v>
      </c>
      <c r="B684">
        <v>116000</v>
      </c>
      <c r="C684">
        <v>2.57</v>
      </c>
      <c r="D684">
        <f t="shared" si="60"/>
        <v>72358.811940009429</v>
      </c>
      <c r="E684">
        <f t="shared" si="61"/>
        <v>72.358811940009431</v>
      </c>
      <c r="F684" s="7">
        <v>0.82989064398541923</v>
      </c>
      <c r="G684">
        <f t="shared" si="62"/>
        <v>5</v>
      </c>
      <c r="H684" s="7">
        <f t="shared" si="63"/>
        <v>0.17010935601458077</v>
      </c>
      <c r="I684">
        <f t="shared" si="64"/>
        <v>1</v>
      </c>
      <c r="J684">
        <f>VLOOKUP(A684,'Housing Cost Calc'!$A$2:$C$827,3,FALSE)</f>
        <v>1628</v>
      </c>
      <c r="K684">
        <f t="shared" si="65"/>
        <v>0.269987849112237</v>
      </c>
    </row>
    <row r="685" spans="1:11" ht="48" x14ac:dyDescent="0.2">
      <c r="A685" s="4" t="s">
        <v>3055</v>
      </c>
      <c r="B685">
        <v>117009</v>
      </c>
      <c r="C685">
        <v>2.6</v>
      </c>
      <c r="D685">
        <f t="shared" si="60"/>
        <v>72565.901297743461</v>
      </c>
      <c r="E685">
        <f t="shared" si="61"/>
        <v>72.565901297743466</v>
      </c>
      <c r="F685" s="7">
        <v>0.83110571081409479</v>
      </c>
      <c r="G685">
        <f t="shared" si="62"/>
        <v>5</v>
      </c>
      <c r="H685" s="7">
        <f t="shared" si="63"/>
        <v>0.16889428918590521</v>
      </c>
      <c r="I685">
        <f t="shared" si="64"/>
        <v>1</v>
      </c>
      <c r="J685">
        <f>VLOOKUP(A685,'Housing Cost Calc'!$A$2:$C$827,3,FALSE)</f>
        <v>1522</v>
      </c>
      <c r="K685">
        <f t="shared" si="65"/>
        <v>0.25168846074220735</v>
      </c>
    </row>
    <row r="686" spans="1:11" ht="64" x14ac:dyDescent="0.2">
      <c r="A686" s="4" t="s">
        <v>3319</v>
      </c>
      <c r="B686">
        <v>119917</v>
      </c>
      <c r="C686">
        <v>2.73</v>
      </c>
      <c r="D686">
        <f t="shared" si="60"/>
        <v>72577.070035044788</v>
      </c>
      <c r="E686">
        <f t="shared" si="61"/>
        <v>72.577070035044784</v>
      </c>
      <c r="F686" s="7">
        <v>0.83232077764277035</v>
      </c>
      <c r="G686">
        <f t="shared" si="62"/>
        <v>5</v>
      </c>
      <c r="H686" s="7">
        <f t="shared" si="63"/>
        <v>0.16767922235722965</v>
      </c>
      <c r="I686">
        <f t="shared" si="64"/>
        <v>1</v>
      </c>
      <c r="J686">
        <f>VLOOKUP(A686,'Housing Cost Calc'!$A$2:$C$827,3,FALSE)</f>
        <v>1820</v>
      </c>
      <c r="K686">
        <f t="shared" si="65"/>
        <v>0.30092148924521572</v>
      </c>
    </row>
    <row r="687" spans="1:11" ht="48" x14ac:dyDescent="0.2">
      <c r="A687" s="4" t="s">
        <v>3155</v>
      </c>
      <c r="B687">
        <v>111809</v>
      </c>
      <c r="C687">
        <v>2.36</v>
      </c>
      <c r="D687">
        <f t="shared" si="60"/>
        <v>72781.45973927468</v>
      </c>
      <c r="E687">
        <f t="shared" si="61"/>
        <v>72.78145973927468</v>
      </c>
      <c r="F687" s="7">
        <v>0.83353584447144591</v>
      </c>
      <c r="G687">
        <f t="shared" si="62"/>
        <v>5</v>
      </c>
      <c r="H687" s="7">
        <f t="shared" si="63"/>
        <v>0.16646415552855409</v>
      </c>
      <c r="I687">
        <f t="shared" si="64"/>
        <v>1</v>
      </c>
      <c r="J687">
        <f>VLOOKUP(A687,'Housing Cost Calc'!$A$2:$C$827,3,FALSE)</f>
        <v>1678</v>
      </c>
      <c r="K687">
        <f t="shared" si="65"/>
        <v>0.27666386566212431</v>
      </c>
    </row>
    <row r="688" spans="1:11" ht="48" x14ac:dyDescent="0.2">
      <c r="A688" s="4" t="s">
        <v>3459</v>
      </c>
      <c r="B688">
        <v>117625</v>
      </c>
      <c r="C688">
        <v>2.6</v>
      </c>
      <c r="D688">
        <f t="shared" si="60"/>
        <v>72947.928280278211</v>
      </c>
      <c r="E688">
        <f t="shared" si="61"/>
        <v>72.947928280278205</v>
      </c>
      <c r="F688" s="7">
        <v>0.83475091130012147</v>
      </c>
      <c r="G688">
        <f t="shared" si="62"/>
        <v>5</v>
      </c>
      <c r="H688" s="7">
        <f t="shared" si="63"/>
        <v>0.16524908869987853</v>
      </c>
      <c r="I688">
        <f t="shared" si="64"/>
        <v>1</v>
      </c>
      <c r="J688">
        <f>VLOOKUP(A688,'Housing Cost Calc'!$A$2:$C$827,3,FALSE)</f>
        <v>1927</v>
      </c>
      <c r="K688">
        <f t="shared" si="65"/>
        <v>0.31699323812396291</v>
      </c>
    </row>
    <row r="689" spans="1:11" ht="48" x14ac:dyDescent="0.2">
      <c r="A689" s="4" t="s">
        <v>3089</v>
      </c>
      <c r="B689">
        <v>120833</v>
      </c>
      <c r="C689">
        <v>2.74</v>
      </c>
      <c r="D689">
        <f t="shared" si="60"/>
        <v>72997.884903365266</v>
      </c>
      <c r="E689">
        <f t="shared" si="61"/>
        <v>72.997884903365261</v>
      </c>
      <c r="F689" s="7">
        <v>0.83596597812879714</v>
      </c>
      <c r="G689">
        <f t="shared" si="62"/>
        <v>5</v>
      </c>
      <c r="H689" s="7">
        <f t="shared" si="63"/>
        <v>0.16403402187120286</v>
      </c>
      <c r="I689">
        <f t="shared" si="64"/>
        <v>1</v>
      </c>
      <c r="J689">
        <f>VLOOKUP(A689,'Housing Cost Calc'!$A$2:$C$827,3,FALSE)</f>
        <v>1589</v>
      </c>
      <c r="K689">
        <f t="shared" si="65"/>
        <v>0.261213047819704</v>
      </c>
    </row>
    <row r="690" spans="1:11" ht="48" x14ac:dyDescent="0.2">
      <c r="A690" s="4" t="s">
        <v>3806</v>
      </c>
      <c r="B690">
        <v>113594</v>
      </c>
      <c r="C690">
        <v>2.42</v>
      </c>
      <c r="D690">
        <f t="shared" si="60"/>
        <v>73020.988820095168</v>
      </c>
      <c r="E690">
        <f t="shared" si="61"/>
        <v>73.02098882009517</v>
      </c>
      <c r="F690" s="7">
        <v>0.8371810449574727</v>
      </c>
      <c r="G690">
        <f t="shared" si="62"/>
        <v>5</v>
      </c>
      <c r="H690" s="7">
        <f t="shared" si="63"/>
        <v>0.1628189550425273</v>
      </c>
      <c r="I690">
        <f t="shared" si="64"/>
        <v>1</v>
      </c>
      <c r="J690">
        <f>VLOOKUP(A690,'Housing Cost Calc'!$A$2:$C$827,3,FALSE)</f>
        <v>2278</v>
      </c>
      <c r="K690">
        <f t="shared" si="65"/>
        <v>0.37435811869582913</v>
      </c>
    </row>
    <row r="691" spans="1:11" ht="64" x14ac:dyDescent="0.2">
      <c r="A691" s="4" t="s">
        <v>3217</v>
      </c>
      <c r="B691">
        <v>124141</v>
      </c>
      <c r="C691">
        <v>2.89</v>
      </c>
      <c r="D691">
        <f t="shared" si="60"/>
        <v>73024.117647058825</v>
      </c>
      <c r="E691">
        <f t="shared" si="61"/>
        <v>73.02411764705883</v>
      </c>
      <c r="F691" s="7">
        <v>0.83839611178614826</v>
      </c>
      <c r="G691">
        <f t="shared" si="62"/>
        <v>5</v>
      </c>
      <c r="H691" s="7">
        <f t="shared" si="63"/>
        <v>0.16160388821385174</v>
      </c>
      <c r="I691">
        <f t="shared" si="64"/>
        <v>1</v>
      </c>
      <c r="J691">
        <f>VLOOKUP(A691,'Housing Cost Calc'!$A$2:$C$827,3,FALSE)</f>
        <v>1763</v>
      </c>
      <c r="K691">
        <f t="shared" si="65"/>
        <v>0.28971250432975404</v>
      </c>
    </row>
    <row r="692" spans="1:11" ht="64" x14ac:dyDescent="0.2">
      <c r="A692" s="4" t="s">
        <v>3442</v>
      </c>
      <c r="B692">
        <v>116402</v>
      </c>
      <c r="C692">
        <v>2.54</v>
      </c>
      <c r="D692">
        <f t="shared" si="60"/>
        <v>73037.110629691932</v>
      </c>
      <c r="E692">
        <f t="shared" si="61"/>
        <v>73.037110629691938</v>
      </c>
      <c r="F692" s="7">
        <v>0.83961117861482382</v>
      </c>
      <c r="G692">
        <f t="shared" si="62"/>
        <v>5</v>
      </c>
      <c r="H692" s="7">
        <f t="shared" si="63"/>
        <v>0.16038882138517618</v>
      </c>
      <c r="I692">
        <f t="shared" si="64"/>
        <v>1</v>
      </c>
      <c r="J692">
        <f>VLOOKUP(A692,'Housing Cost Calc'!$A$2:$C$827,3,FALSE)</f>
        <v>1912</v>
      </c>
      <c r="K692">
        <f t="shared" si="65"/>
        <v>0.31414167129815956</v>
      </c>
    </row>
    <row r="693" spans="1:11" ht="64" x14ac:dyDescent="0.2">
      <c r="A693" s="4" t="s">
        <v>3797</v>
      </c>
      <c r="B693">
        <v>122031</v>
      </c>
      <c r="C693">
        <v>2.76</v>
      </c>
      <c r="D693">
        <f t="shared" si="60"/>
        <v>73454.030189547513</v>
      </c>
      <c r="E693">
        <f t="shared" si="61"/>
        <v>73.45403018954751</v>
      </c>
      <c r="F693" s="7">
        <v>0.84082624544349938</v>
      </c>
      <c r="G693">
        <f t="shared" si="62"/>
        <v>5</v>
      </c>
      <c r="H693" s="7">
        <f t="shared" si="63"/>
        <v>0.15917375455650062</v>
      </c>
      <c r="I693">
        <f t="shared" si="64"/>
        <v>1</v>
      </c>
      <c r="J693">
        <f>VLOOKUP(A693,'Housing Cost Calc'!$A$2:$C$827,3,FALSE)</f>
        <v>2272</v>
      </c>
      <c r="K693">
        <f t="shared" si="65"/>
        <v>0.37117092050150924</v>
      </c>
    </row>
    <row r="694" spans="1:11" ht="48" x14ac:dyDescent="0.2">
      <c r="A694" s="4" t="s">
        <v>3059</v>
      </c>
      <c r="B694">
        <v>119861</v>
      </c>
      <c r="C694">
        <v>2.64</v>
      </c>
      <c r="D694">
        <f t="shared" si="60"/>
        <v>73769.346001369006</v>
      </c>
      <c r="E694">
        <f t="shared" si="61"/>
        <v>73.769346001369001</v>
      </c>
      <c r="F694" s="7">
        <v>0.84204131227217494</v>
      </c>
      <c r="G694">
        <f t="shared" si="62"/>
        <v>5</v>
      </c>
      <c r="H694" s="7">
        <f t="shared" si="63"/>
        <v>0.15795868772782506</v>
      </c>
      <c r="I694">
        <f t="shared" si="64"/>
        <v>1</v>
      </c>
      <c r="J694">
        <f>VLOOKUP(A694,'Housing Cost Calc'!$A$2:$C$827,3,FALSE)</f>
        <v>1552</v>
      </c>
      <c r="K694">
        <f t="shared" si="65"/>
        <v>0.25246258791089699</v>
      </c>
    </row>
    <row r="695" spans="1:11" ht="48" x14ac:dyDescent="0.2">
      <c r="A695" s="4" t="s">
        <v>3747</v>
      </c>
      <c r="B695">
        <v>123750</v>
      </c>
      <c r="C695">
        <v>2.79</v>
      </c>
      <c r="D695">
        <f t="shared" si="60"/>
        <v>74087.187086044651</v>
      </c>
      <c r="E695">
        <f t="shared" si="61"/>
        <v>74.087187086044651</v>
      </c>
      <c r="F695" s="7">
        <v>0.84325637910085049</v>
      </c>
      <c r="G695">
        <f t="shared" si="62"/>
        <v>5</v>
      </c>
      <c r="H695" s="7">
        <f t="shared" si="63"/>
        <v>0.15674362089914951</v>
      </c>
      <c r="I695">
        <f t="shared" si="64"/>
        <v>1</v>
      </c>
      <c r="J695">
        <f>VLOOKUP(A695,'Housing Cost Calc'!$A$2:$C$827,3,FALSE)</f>
        <v>2185</v>
      </c>
      <c r="K695">
        <f t="shared" si="65"/>
        <v>0.35390734931734102</v>
      </c>
    </row>
    <row r="696" spans="1:11" ht="48" x14ac:dyDescent="0.2">
      <c r="A696" s="4" t="s">
        <v>3822</v>
      </c>
      <c r="B696">
        <v>128667</v>
      </c>
      <c r="C696">
        <v>2.99</v>
      </c>
      <c r="D696">
        <f t="shared" si="60"/>
        <v>74410.047351300236</v>
      </c>
      <c r="E696">
        <f t="shared" si="61"/>
        <v>74.410047351300236</v>
      </c>
      <c r="F696" s="7">
        <v>0.84447144592952617</v>
      </c>
      <c r="G696">
        <f t="shared" si="62"/>
        <v>5</v>
      </c>
      <c r="H696" s="7">
        <f t="shared" si="63"/>
        <v>0.15552855407047383</v>
      </c>
      <c r="I696">
        <f t="shared" si="64"/>
        <v>1</v>
      </c>
      <c r="J696">
        <f>VLOOKUP(A696,'Housing Cost Calc'!$A$2:$C$827,3,FALSE)</f>
        <v>2371</v>
      </c>
      <c r="K696">
        <f t="shared" si="65"/>
        <v>0.3823677179732749</v>
      </c>
    </row>
    <row r="697" spans="1:11" ht="48" x14ac:dyDescent="0.2">
      <c r="A697" s="4" t="s">
        <v>3808</v>
      </c>
      <c r="B697">
        <v>129559</v>
      </c>
      <c r="C697">
        <v>3.03</v>
      </c>
      <c r="D697">
        <f t="shared" si="60"/>
        <v>74429.700770362339</v>
      </c>
      <c r="E697">
        <f t="shared" si="61"/>
        <v>74.429700770362345</v>
      </c>
      <c r="F697" s="7">
        <v>0.84568651275820172</v>
      </c>
      <c r="G697">
        <f t="shared" si="62"/>
        <v>5</v>
      </c>
      <c r="H697" s="7">
        <f t="shared" si="63"/>
        <v>0.15431348724179828</v>
      </c>
      <c r="I697">
        <f t="shared" si="64"/>
        <v>1</v>
      </c>
      <c r="J697">
        <f>VLOOKUP(A697,'Housing Cost Calc'!$A$2:$C$827,3,FALSE)</f>
        <v>2329</v>
      </c>
      <c r="K697">
        <f t="shared" si="65"/>
        <v>0.37549526211623308</v>
      </c>
    </row>
    <row r="698" spans="1:11" ht="64" x14ac:dyDescent="0.2">
      <c r="A698" s="4" t="s">
        <v>3329</v>
      </c>
      <c r="B698">
        <v>121250</v>
      </c>
      <c r="C698">
        <v>2.64</v>
      </c>
      <c r="D698">
        <f t="shared" si="60"/>
        <v>74624.216406220468</v>
      </c>
      <c r="E698">
        <f t="shared" si="61"/>
        <v>74.624216406220469</v>
      </c>
      <c r="F698" s="7">
        <v>0.84690157958687728</v>
      </c>
      <c r="G698">
        <f t="shared" si="62"/>
        <v>5</v>
      </c>
      <c r="H698" s="7">
        <f t="shared" si="63"/>
        <v>0.15309842041312272</v>
      </c>
      <c r="I698">
        <f t="shared" si="64"/>
        <v>1</v>
      </c>
      <c r="J698">
        <f>VLOOKUP(A698,'Housing Cost Calc'!$A$2:$C$827,3,FALSE)</f>
        <v>1878</v>
      </c>
      <c r="K698">
        <f t="shared" si="65"/>
        <v>0.30199312080309443</v>
      </c>
    </row>
    <row r="699" spans="1:11" ht="48" x14ac:dyDescent="0.2">
      <c r="A699" s="4" t="s">
        <v>3356</v>
      </c>
      <c r="B699">
        <v>119905</v>
      </c>
      <c r="C699">
        <v>2.58</v>
      </c>
      <c r="D699">
        <f t="shared" si="60"/>
        <v>74649.592347158192</v>
      </c>
      <c r="E699">
        <f t="shared" si="61"/>
        <v>74.64959234715819</v>
      </c>
      <c r="F699" s="7">
        <v>0.84811664641555284</v>
      </c>
      <c r="G699">
        <f t="shared" si="62"/>
        <v>5</v>
      </c>
      <c r="H699" s="7">
        <f t="shared" si="63"/>
        <v>0.15188335358444716</v>
      </c>
      <c r="I699">
        <f t="shared" si="64"/>
        <v>1</v>
      </c>
      <c r="J699">
        <f>VLOOKUP(A699,'Housing Cost Calc'!$A$2:$C$827,3,FALSE)</f>
        <v>1897</v>
      </c>
      <c r="K699">
        <f t="shared" si="65"/>
        <v>0.30494473290806384</v>
      </c>
    </row>
    <row r="700" spans="1:11" ht="64" x14ac:dyDescent="0.2">
      <c r="A700" s="4" t="s">
        <v>3516</v>
      </c>
      <c r="B700">
        <v>121889</v>
      </c>
      <c r="C700">
        <v>2.65</v>
      </c>
      <c r="D700">
        <f t="shared" si="60"/>
        <v>74875.817495773474</v>
      </c>
      <c r="E700">
        <f t="shared" si="61"/>
        <v>74.875817495773475</v>
      </c>
      <c r="F700" s="7">
        <v>0.8493317132442284</v>
      </c>
      <c r="G700">
        <f t="shared" si="62"/>
        <v>5</v>
      </c>
      <c r="H700" s="7">
        <f t="shared" si="63"/>
        <v>0.1506682867557716</v>
      </c>
      <c r="I700">
        <f t="shared" si="64"/>
        <v>1</v>
      </c>
      <c r="J700">
        <f>VLOOKUP(A700,'Housing Cost Calc'!$A$2:$C$827,3,FALSE)</f>
        <v>2003</v>
      </c>
      <c r="K700">
        <f t="shared" si="65"/>
        <v>0.32101152019284146</v>
      </c>
    </row>
    <row r="701" spans="1:11" ht="64" x14ac:dyDescent="0.2">
      <c r="A701" s="4" t="s">
        <v>3179</v>
      </c>
      <c r="B701">
        <v>121939</v>
      </c>
      <c r="C701">
        <v>2.63</v>
      </c>
      <c r="D701">
        <f t="shared" si="60"/>
        <v>75190.80853796663</v>
      </c>
      <c r="E701">
        <f t="shared" si="61"/>
        <v>75.190808537966632</v>
      </c>
      <c r="F701" s="7">
        <v>0.85054678007290396</v>
      </c>
      <c r="G701">
        <f t="shared" si="62"/>
        <v>5</v>
      </c>
      <c r="H701" s="7">
        <f t="shared" si="63"/>
        <v>0.14945321992709604</v>
      </c>
      <c r="I701">
        <f t="shared" si="64"/>
        <v>1</v>
      </c>
      <c r="J701">
        <f>VLOOKUP(A701,'Housing Cost Calc'!$A$2:$C$827,3,FALSE)</f>
        <v>1775</v>
      </c>
      <c r="K701">
        <f t="shared" si="65"/>
        <v>0.28327930519918321</v>
      </c>
    </row>
    <row r="702" spans="1:11" ht="48" x14ac:dyDescent="0.2">
      <c r="A702" s="4" t="s">
        <v>3645</v>
      </c>
      <c r="B702">
        <v>126422</v>
      </c>
      <c r="C702">
        <v>2.82</v>
      </c>
      <c r="D702">
        <f t="shared" si="60"/>
        <v>75283.205449124143</v>
      </c>
      <c r="E702">
        <f t="shared" si="61"/>
        <v>75.283205449124139</v>
      </c>
      <c r="F702" s="7">
        <v>0.85176184690157963</v>
      </c>
      <c r="G702">
        <f t="shared" si="62"/>
        <v>5</v>
      </c>
      <c r="H702" s="7">
        <f t="shared" si="63"/>
        <v>0.14823815309842037</v>
      </c>
      <c r="I702">
        <f t="shared" si="64"/>
        <v>1</v>
      </c>
      <c r="J702">
        <f>VLOOKUP(A702,'Housing Cost Calc'!$A$2:$C$827,3,FALSE)</f>
        <v>2107</v>
      </c>
      <c r="K702">
        <f t="shared" si="65"/>
        <v>0.33585179920489366</v>
      </c>
    </row>
    <row r="703" spans="1:11" ht="48" x14ac:dyDescent="0.2">
      <c r="A703" s="4" t="s">
        <v>3532</v>
      </c>
      <c r="B703">
        <v>104868</v>
      </c>
      <c r="C703">
        <v>1.94</v>
      </c>
      <c r="D703">
        <f t="shared" si="60"/>
        <v>75290.836177924968</v>
      </c>
      <c r="E703">
        <f t="shared" si="61"/>
        <v>75.290836177924973</v>
      </c>
      <c r="F703" s="7">
        <v>0.85297691373025519</v>
      </c>
      <c r="G703">
        <f t="shared" si="62"/>
        <v>5</v>
      </c>
      <c r="H703" s="7">
        <f t="shared" si="63"/>
        <v>0.14702308626974481</v>
      </c>
      <c r="I703">
        <f t="shared" si="64"/>
        <v>1</v>
      </c>
      <c r="J703">
        <f>VLOOKUP(A703,'Housing Cost Calc'!$A$2:$C$827,3,FALSE)</f>
        <v>2018</v>
      </c>
      <c r="K703">
        <f t="shared" si="65"/>
        <v>0.32163276740310731</v>
      </c>
    </row>
    <row r="704" spans="1:11" ht="48" x14ac:dyDescent="0.2">
      <c r="A704" s="4" t="s">
        <v>3563</v>
      </c>
      <c r="B704">
        <v>128056</v>
      </c>
      <c r="C704">
        <v>2.87</v>
      </c>
      <c r="D704">
        <f t="shared" si="60"/>
        <v>75589.066775743937</v>
      </c>
      <c r="E704">
        <f t="shared" si="61"/>
        <v>75.58906677574393</v>
      </c>
      <c r="F704" s="7">
        <v>0.85419198055893075</v>
      </c>
      <c r="G704">
        <f t="shared" si="62"/>
        <v>5</v>
      </c>
      <c r="H704" s="7">
        <f t="shared" si="63"/>
        <v>0.14580801944106925</v>
      </c>
      <c r="I704">
        <f t="shared" si="64"/>
        <v>1</v>
      </c>
      <c r="J704">
        <f>VLOOKUP(A704,'Housing Cost Calc'!$A$2:$C$827,3,FALSE)</f>
        <v>2056</v>
      </c>
      <c r="K704">
        <f t="shared" si="65"/>
        <v>0.32639640959183125</v>
      </c>
    </row>
    <row r="705" spans="1:11" ht="48" x14ac:dyDescent="0.2">
      <c r="A705" s="4" t="s">
        <v>3831</v>
      </c>
      <c r="B705">
        <v>126838</v>
      </c>
      <c r="C705">
        <v>2.81</v>
      </c>
      <c r="D705">
        <f t="shared" si="60"/>
        <v>75665.207158754449</v>
      </c>
      <c r="E705">
        <f t="shared" si="61"/>
        <v>75.665207158754455</v>
      </c>
      <c r="F705" s="7">
        <v>0.85540704738760631</v>
      </c>
      <c r="G705">
        <f t="shared" si="62"/>
        <v>5</v>
      </c>
      <c r="H705" s="7">
        <f t="shared" si="63"/>
        <v>0.14459295261239369</v>
      </c>
      <c r="I705">
        <f t="shared" si="64"/>
        <v>1</v>
      </c>
      <c r="J705">
        <f>VLOOKUP(A705,'Housing Cost Calc'!$A$2:$C$827,3,FALSE)</f>
        <v>2452</v>
      </c>
      <c r="K705">
        <f t="shared" si="65"/>
        <v>0.38887093691906516</v>
      </c>
    </row>
    <row r="706" spans="1:11" ht="48" x14ac:dyDescent="0.2">
      <c r="A706" s="4" t="s">
        <v>3057</v>
      </c>
      <c r="B706">
        <v>120745</v>
      </c>
      <c r="C706">
        <v>2.54</v>
      </c>
      <c r="D706">
        <f t="shared" ref="D706:D769" si="66">(B706/(C706)^0.5)</f>
        <v>75762.151191406956</v>
      </c>
      <c r="E706">
        <f t="shared" ref="E706:E769" si="67">D706/1000</f>
        <v>75.762151191406957</v>
      </c>
      <c r="F706" s="7">
        <v>0.85662211421628187</v>
      </c>
      <c r="G706">
        <f t="shared" si="62"/>
        <v>5</v>
      </c>
      <c r="H706" s="7">
        <f t="shared" si="63"/>
        <v>0.14337788578371813</v>
      </c>
      <c r="I706">
        <f t="shared" si="64"/>
        <v>1</v>
      </c>
      <c r="J706">
        <f>VLOOKUP(A706,'Housing Cost Calc'!$A$2:$C$827,3,FALSE)</f>
        <v>1590</v>
      </c>
      <c r="K706">
        <f t="shared" si="65"/>
        <v>0.25184078989251402</v>
      </c>
    </row>
    <row r="707" spans="1:11" ht="48" x14ac:dyDescent="0.2">
      <c r="A707" s="4" t="s">
        <v>3354</v>
      </c>
      <c r="B707">
        <v>123480</v>
      </c>
      <c r="C707">
        <v>2.64</v>
      </c>
      <c r="D707">
        <f t="shared" si="66"/>
        <v>75996.686530640029</v>
      </c>
      <c r="E707">
        <f t="shared" si="67"/>
        <v>75.996686530640034</v>
      </c>
      <c r="F707" s="7">
        <v>0.85783718104495743</v>
      </c>
      <c r="G707">
        <f t="shared" ref="G707:G770" si="68">IF(F707&lt;0.2,1,IF(F707&lt;0.4,2,IF(F707&lt;0.6,3,IF(F707&lt;0.8,4,5))))</f>
        <v>5</v>
      </c>
      <c r="H707" s="7">
        <f t="shared" ref="H707:H770" si="69">1-F707</f>
        <v>0.14216281895504257</v>
      </c>
      <c r="I707">
        <f t="shared" ref="I707:I770" si="70">6-G707</f>
        <v>1</v>
      </c>
      <c r="J707">
        <f>VLOOKUP(A707,'Housing Cost Calc'!$A$2:$C$827,3,FALSE)</f>
        <v>1929</v>
      </c>
      <c r="K707">
        <f t="shared" ref="K707:K770" si="71">(J707*12)/D707</f>
        <v>0.30459222706594302</v>
      </c>
    </row>
    <row r="708" spans="1:11" ht="48" x14ac:dyDescent="0.2">
      <c r="A708" s="4" t="s">
        <v>3475</v>
      </c>
      <c r="B708">
        <v>128750</v>
      </c>
      <c r="C708">
        <v>2.82</v>
      </c>
      <c r="D708">
        <f t="shared" si="66"/>
        <v>76669.509275084507</v>
      </c>
      <c r="E708">
        <f t="shared" si="67"/>
        <v>76.669509275084508</v>
      </c>
      <c r="F708" s="7">
        <v>0.8590522478736331</v>
      </c>
      <c r="G708">
        <f t="shared" si="68"/>
        <v>5</v>
      </c>
      <c r="H708" s="7">
        <f t="shared" si="69"/>
        <v>0.1409477521263669</v>
      </c>
      <c r="I708">
        <f t="shared" si="70"/>
        <v>1</v>
      </c>
      <c r="J708">
        <f>VLOOKUP(A708,'Housing Cost Calc'!$A$2:$C$827,3,FALSE)</f>
        <v>2032</v>
      </c>
      <c r="K708">
        <f t="shared" si="71"/>
        <v>0.31804038177043781</v>
      </c>
    </row>
    <row r="709" spans="1:11" ht="64" x14ac:dyDescent="0.2">
      <c r="A709" s="4" t="s">
        <v>3281</v>
      </c>
      <c r="B709">
        <v>126534</v>
      </c>
      <c r="C709">
        <v>2.68</v>
      </c>
      <c r="D709">
        <f t="shared" si="66"/>
        <v>77292.942360903617</v>
      </c>
      <c r="E709">
        <f t="shared" si="67"/>
        <v>77.292942360903623</v>
      </c>
      <c r="F709" s="7">
        <v>0.86026731470230866</v>
      </c>
      <c r="G709">
        <f t="shared" si="68"/>
        <v>5</v>
      </c>
      <c r="H709" s="7">
        <f t="shared" si="69"/>
        <v>0.13973268529769134</v>
      </c>
      <c r="I709">
        <f t="shared" si="70"/>
        <v>1</v>
      </c>
      <c r="J709">
        <f>VLOOKUP(A709,'Housing Cost Calc'!$A$2:$C$827,3,FALSE)</f>
        <v>1916</v>
      </c>
      <c r="K709">
        <f t="shared" si="71"/>
        <v>0.29746571029271401</v>
      </c>
    </row>
    <row r="710" spans="1:11" ht="48" x14ac:dyDescent="0.2">
      <c r="A710" s="4" t="s">
        <v>3448</v>
      </c>
      <c r="B710">
        <v>118971</v>
      </c>
      <c r="C710">
        <v>2.36</v>
      </c>
      <c r="D710">
        <f t="shared" si="66"/>
        <v>77443.524641497977</v>
      </c>
      <c r="E710">
        <f t="shared" si="67"/>
        <v>77.443524641497973</v>
      </c>
      <c r="F710" s="7">
        <v>0.86148238153098422</v>
      </c>
      <c r="G710">
        <f t="shared" si="68"/>
        <v>5</v>
      </c>
      <c r="H710" s="7">
        <f t="shared" si="69"/>
        <v>0.13851761846901578</v>
      </c>
      <c r="I710">
        <f t="shared" si="70"/>
        <v>1</v>
      </c>
      <c r="J710">
        <f>VLOOKUP(A710,'Housing Cost Calc'!$A$2:$C$827,3,FALSE)</f>
        <v>2036</v>
      </c>
      <c r="K710">
        <f t="shared" si="71"/>
        <v>0.31548150879109338</v>
      </c>
    </row>
    <row r="711" spans="1:11" ht="64" x14ac:dyDescent="0.2">
      <c r="A711" s="4" t="s">
        <v>3299</v>
      </c>
      <c r="B711">
        <v>132740</v>
      </c>
      <c r="C711">
        <v>2.91</v>
      </c>
      <c r="D711">
        <f t="shared" si="66"/>
        <v>77813.566074895294</v>
      </c>
      <c r="E711">
        <f t="shared" si="67"/>
        <v>77.813566074895292</v>
      </c>
      <c r="F711" s="7">
        <v>0.86269744835965978</v>
      </c>
      <c r="G711">
        <f t="shared" si="68"/>
        <v>5</v>
      </c>
      <c r="H711" s="7">
        <f t="shared" si="69"/>
        <v>0.13730255164034022</v>
      </c>
      <c r="I711">
        <f t="shared" si="70"/>
        <v>1</v>
      </c>
      <c r="J711">
        <f>VLOOKUP(A711,'Housing Cost Calc'!$A$2:$C$827,3,FALSE)</f>
        <v>1939</v>
      </c>
      <c r="K711">
        <f t="shared" si="71"/>
        <v>0.29902240924936702</v>
      </c>
    </row>
    <row r="712" spans="1:11" ht="64" x14ac:dyDescent="0.2">
      <c r="A712" s="4" t="s">
        <v>3498</v>
      </c>
      <c r="B712">
        <v>136103</v>
      </c>
      <c r="C712">
        <v>3.05</v>
      </c>
      <c r="D712">
        <f t="shared" si="66"/>
        <v>77932.351095120408</v>
      </c>
      <c r="E712">
        <f t="shared" si="67"/>
        <v>77.93235109512041</v>
      </c>
      <c r="F712" s="7">
        <v>0.86391251518833534</v>
      </c>
      <c r="G712">
        <f t="shared" si="68"/>
        <v>5</v>
      </c>
      <c r="H712" s="7">
        <f t="shared" si="69"/>
        <v>0.13608748481166466</v>
      </c>
      <c r="I712">
        <f t="shared" si="70"/>
        <v>1</v>
      </c>
      <c r="J712">
        <f>VLOOKUP(A712,'Housing Cost Calc'!$A$2:$C$827,3,FALSE)</f>
        <v>2080</v>
      </c>
      <c r="K712">
        <f t="shared" si="71"/>
        <v>0.32027777488112796</v>
      </c>
    </row>
    <row r="713" spans="1:11" ht="48" x14ac:dyDescent="0.2">
      <c r="A713" s="4" t="s">
        <v>3690</v>
      </c>
      <c r="B713">
        <v>129133</v>
      </c>
      <c r="C713">
        <v>2.73</v>
      </c>
      <c r="D713">
        <f t="shared" si="66"/>
        <v>78154.846976120461</v>
      </c>
      <c r="E713">
        <f t="shared" si="67"/>
        <v>78.154846976120467</v>
      </c>
      <c r="F713" s="7">
        <v>0.8651275820170109</v>
      </c>
      <c r="G713">
        <f t="shared" si="68"/>
        <v>5</v>
      </c>
      <c r="H713" s="7">
        <f t="shared" si="69"/>
        <v>0.1348724179829891</v>
      </c>
      <c r="I713">
        <f t="shared" si="70"/>
        <v>1</v>
      </c>
      <c r="J713">
        <f>VLOOKUP(A713,'Housing Cost Calc'!$A$2:$C$827,3,FALSE)</f>
        <v>2240</v>
      </c>
      <c r="K713">
        <f t="shared" si="71"/>
        <v>0.34393260354297606</v>
      </c>
    </row>
    <row r="714" spans="1:11" ht="48" x14ac:dyDescent="0.2">
      <c r="A714" s="4" t="s">
        <v>3824</v>
      </c>
      <c r="B714">
        <v>122633</v>
      </c>
      <c r="C714">
        <v>2.4300000000000002</v>
      </c>
      <c r="D714">
        <f t="shared" si="66"/>
        <v>78669.106179479306</v>
      </c>
      <c r="E714">
        <f t="shared" si="67"/>
        <v>78.6691061794793</v>
      </c>
      <c r="F714" s="7">
        <v>0.86634264884568646</v>
      </c>
      <c r="G714">
        <f t="shared" si="68"/>
        <v>5</v>
      </c>
      <c r="H714" s="7">
        <f t="shared" si="69"/>
        <v>0.13365735115431354</v>
      </c>
      <c r="I714">
        <f t="shared" si="70"/>
        <v>1</v>
      </c>
      <c r="J714">
        <f>VLOOKUP(A714,'Housing Cost Calc'!$A$2:$C$827,3,FALSE)</f>
        <v>2513</v>
      </c>
      <c r="K714">
        <f t="shared" si="71"/>
        <v>0.38332709578777618</v>
      </c>
    </row>
    <row r="715" spans="1:11" ht="48" x14ac:dyDescent="0.2">
      <c r="A715" s="4" t="s">
        <v>3833</v>
      </c>
      <c r="B715">
        <v>129821</v>
      </c>
      <c r="C715">
        <v>2.72</v>
      </c>
      <c r="D715">
        <f t="shared" si="66"/>
        <v>78715.543444604453</v>
      </c>
      <c r="E715">
        <f t="shared" si="67"/>
        <v>78.71554344460445</v>
      </c>
      <c r="F715" s="7">
        <v>0.86755771567436213</v>
      </c>
      <c r="G715">
        <f t="shared" si="68"/>
        <v>5</v>
      </c>
      <c r="H715" s="7">
        <f t="shared" si="69"/>
        <v>0.13244228432563787</v>
      </c>
      <c r="I715">
        <f t="shared" si="70"/>
        <v>1</v>
      </c>
      <c r="J715">
        <f>VLOOKUP(A715,'Housing Cost Calc'!$A$2:$C$827,3,FALSE)</f>
        <v>2593</v>
      </c>
      <c r="K715">
        <f t="shared" si="71"/>
        <v>0.39529676907963773</v>
      </c>
    </row>
    <row r="716" spans="1:11" ht="64" x14ac:dyDescent="0.2">
      <c r="A716" s="4" t="s">
        <v>3163</v>
      </c>
      <c r="B716">
        <v>128661</v>
      </c>
      <c r="C716">
        <v>2.64</v>
      </c>
      <c r="D716">
        <f t="shared" si="66"/>
        <v>79185.371604459637</v>
      </c>
      <c r="E716">
        <f t="shared" si="67"/>
        <v>79.185371604459633</v>
      </c>
      <c r="F716" s="7">
        <v>0.86877278250303769</v>
      </c>
      <c r="G716">
        <f t="shared" si="68"/>
        <v>5</v>
      </c>
      <c r="H716" s="7">
        <f t="shared" si="69"/>
        <v>0.13122721749696231</v>
      </c>
      <c r="I716">
        <f t="shared" si="70"/>
        <v>1</v>
      </c>
      <c r="J716">
        <f>VLOOKUP(A716,'Housing Cost Calc'!$A$2:$C$827,3,FALSE)</f>
        <v>1861</v>
      </c>
      <c r="K716">
        <f t="shared" si="71"/>
        <v>0.28202178694760693</v>
      </c>
    </row>
    <row r="717" spans="1:11" ht="64" x14ac:dyDescent="0.2">
      <c r="A717" s="4" t="s">
        <v>3336</v>
      </c>
      <c r="B717">
        <v>131563</v>
      </c>
      <c r="C717">
        <v>2.76</v>
      </c>
      <c r="D717">
        <f t="shared" si="66"/>
        <v>79191.619947615269</v>
      </c>
      <c r="E717">
        <f t="shared" si="67"/>
        <v>79.191619947615266</v>
      </c>
      <c r="F717" s="7">
        <v>0.86998784933171325</v>
      </c>
      <c r="G717">
        <f t="shared" si="68"/>
        <v>5</v>
      </c>
      <c r="H717" s="7">
        <f t="shared" si="69"/>
        <v>0.13001215066828675</v>
      </c>
      <c r="I717">
        <f t="shared" si="70"/>
        <v>1</v>
      </c>
      <c r="J717">
        <f>VLOOKUP(A717,'Housing Cost Calc'!$A$2:$C$827,3,FALSE)</f>
        <v>1998</v>
      </c>
      <c r="K717">
        <f t="shared" si="71"/>
        <v>0.30275930730877793</v>
      </c>
    </row>
    <row r="718" spans="1:11" ht="64" x14ac:dyDescent="0.2">
      <c r="A718" s="4" t="s">
        <v>3063</v>
      </c>
      <c r="B718">
        <v>130885</v>
      </c>
      <c r="C718">
        <v>2.73</v>
      </c>
      <c r="D718">
        <f t="shared" si="66"/>
        <v>79215.205613356215</v>
      </c>
      <c r="E718">
        <f t="shared" si="67"/>
        <v>79.215205613356218</v>
      </c>
      <c r="F718" s="7">
        <v>0.87120291616038881</v>
      </c>
      <c r="G718">
        <f t="shared" si="68"/>
        <v>5</v>
      </c>
      <c r="H718" s="7">
        <f t="shared" si="69"/>
        <v>0.12879708383961119</v>
      </c>
      <c r="I718">
        <f t="shared" si="70"/>
        <v>1</v>
      </c>
      <c r="J718">
        <f>VLOOKUP(A718,'Housing Cost Calc'!$A$2:$C$827,3,FALSE)</f>
        <v>1686</v>
      </c>
      <c r="K718">
        <f t="shared" si="71"/>
        <v>0.25540551013338214</v>
      </c>
    </row>
    <row r="719" spans="1:11" ht="64" x14ac:dyDescent="0.2">
      <c r="A719" s="4" t="s">
        <v>3576</v>
      </c>
      <c r="B719">
        <v>136053</v>
      </c>
      <c r="C719">
        <v>2.94</v>
      </c>
      <c r="D719">
        <f t="shared" si="66"/>
        <v>79347.720946399932</v>
      </c>
      <c r="E719">
        <f t="shared" si="67"/>
        <v>79.347720946399932</v>
      </c>
      <c r="F719" s="7">
        <v>0.87241798298906437</v>
      </c>
      <c r="G719">
        <f t="shared" si="68"/>
        <v>5</v>
      </c>
      <c r="H719" s="7">
        <f t="shared" si="69"/>
        <v>0.12758201701093563</v>
      </c>
      <c r="I719">
        <f t="shared" si="70"/>
        <v>1</v>
      </c>
      <c r="J719">
        <f>VLOOKUP(A719,'Housing Cost Calc'!$A$2:$C$827,3,FALSE)</f>
        <v>2168</v>
      </c>
      <c r="K719">
        <f t="shared" si="71"/>
        <v>0.32787331116383334</v>
      </c>
    </row>
    <row r="720" spans="1:11" ht="48" x14ac:dyDescent="0.2">
      <c r="A720" s="4" t="s">
        <v>3600</v>
      </c>
      <c r="B720">
        <v>130625</v>
      </c>
      <c r="C720">
        <v>2.7</v>
      </c>
      <c r="D720">
        <f t="shared" si="66"/>
        <v>79495.843415680356</v>
      </c>
      <c r="E720">
        <f t="shared" si="67"/>
        <v>79.495843415680355</v>
      </c>
      <c r="F720" s="7">
        <v>0.87363304981773993</v>
      </c>
      <c r="G720">
        <f t="shared" si="68"/>
        <v>5</v>
      </c>
      <c r="H720" s="7">
        <f t="shared" si="69"/>
        <v>0.12636695018226007</v>
      </c>
      <c r="I720">
        <f t="shared" si="70"/>
        <v>1</v>
      </c>
      <c r="J720">
        <f>VLOOKUP(A720,'Housing Cost Calc'!$A$2:$C$827,3,FALSE)</f>
        <v>2189</v>
      </c>
      <c r="K720">
        <f t="shared" si="71"/>
        <v>0.33043237069195874</v>
      </c>
    </row>
    <row r="721" spans="1:11" ht="48" x14ac:dyDescent="0.2">
      <c r="A721" s="4" t="s">
        <v>3713</v>
      </c>
      <c r="B721">
        <v>133988</v>
      </c>
      <c r="C721">
        <v>2.82</v>
      </c>
      <c r="D721">
        <f t="shared" si="66"/>
        <v>79788.692883495329</v>
      </c>
      <c r="E721">
        <f t="shared" si="67"/>
        <v>79.78869288349533</v>
      </c>
      <c r="F721" s="7">
        <v>0.8748481166464156</v>
      </c>
      <c r="G721">
        <f t="shared" si="68"/>
        <v>5</v>
      </c>
      <c r="H721" s="7">
        <f t="shared" si="69"/>
        <v>0.1251518833535844</v>
      </c>
      <c r="I721">
        <f t="shared" si="70"/>
        <v>1</v>
      </c>
      <c r="J721">
        <f>VLOOKUP(A721,'Housing Cost Calc'!$A$2:$C$827,3,FALSE)</f>
        <v>2313</v>
      </c>
      <c r="K721">
        <f t="shared" si="71"/>
        <v>0.34786883951750336</v>
      </c>
    </row>
    <row r="722" spans="1:11" ht="48" x14ac:dyDescent="0.2">
      <c r="A722" s="4" t="s">
        <v>3127</v>
      </c>
      <c r="B722">
        <v>133417</v>
      </c>
      <c r="C722">
        <v>2.79</v>
      </c>
      <c r="D722">
        <f t="shared" si="66"/>
        <v>79874.66860168743</v>
      </c>
      <c r="E722">
        <f t="shared" si="67"/>
        <v>79.874668601687432</v>
      </c>
      <c r="F722" s="7">
        <v>0.87606318347509116</v>
      </c>
      <c r="G722">
        <f t="shared" si="68"/>
        <v>5</v>
      </c>
      <c r="H722" s="7">
        <f t="shared" si="69"/>
        <v>0.12393681652490884</v>
      </c>
      <c r="I722">
        <f t="shared" si="70"/>
        <v>1</v>
      </c>
      <c r="J722">
        <f>VLOOKUP(A722,'Housing Cost Calc'!$A$2:$C$827,3,FALSE)</f>
        <v>1791</v>
      </c>
      <c r="K722">
        <f t="shared" si="71"/>
        <v>0.26907153890270991</v>
      </c>
    </row>
    <row r="723" spans="1:11" ht="48" x14ac:dyDescent="0.2">
      <c r="A723" s="4" t="s">
        <v>3030</v>
      </c>
      <c r="B723">
        <v>136855</v>
      </c>
      <c r="C723">
        <v>2.93</v>
      </c>
      <c r="D723">
        <f t="shared" si="66"/>
        <v>79951.544679180719</v>
      </c>
      <c r="E723">
        <f t="shared" si="67"/>
        <v>79.951544679180714</v>
      </c>
      <c r="F723" s="7">
        <v>0.87727825030376672</v>
      </c>
      <c r="G723">
        <f t="shared" si="68"/>
        <v>5</v>
      </c>
      <c r="H723" s="7">
        <f t="shared" si="69"/>
        <v>0.12272174969623328</v>
      </c>
      <c r="I723">
        <f t="shared" si="70"/>
        <v>1</v>
      </c>
      <c r="J723">
        <f>VLOOKUP(A723,'Housing Cost Calc'!$A$2:$C$827,3,FALSE)</f>
        <v>1528</v>
      </c>
      <c r="K723">
        <f t="shared" si="71"/>
        <v>0.22933890862992509</v>
      </c>
    </row>
    <row r="724" spans="1:11" ht="48" x14ac:dyDescent="0.2">
      <c r="A724" s="4" t="s">
        <v>3595</v>
      </c>
      <c r="B724">
        <v>130888</v>
      </c>
      <c r="C724">
        <v>2.67</v>
      </c>
      <c r="D724">
        <f t="shared" si="66"/>
        <v>80102.155151563144</v>
      </c>
      <c r="E724">
        <f t="shared" si="67"/>
        <v>80.102155151563139</v>
      </c>
      <c r="F724" s="7">
        <v>0.87849331713244228</v>
      </c>
      <c r="G724">
        <f t="shared" si="68"/>
        <v>5</v>
      </c>
      <c r="H724" s="7">
        <f t="shared" si="69"/>
        <v>0.12150668286755772</v>
      </c>
      <c r="I724">
        <f t="shared" si="70"/>
        <v>1</v>
      </c>
      <c r="J724">
        <f>VLOOKUP(A724,'Housing Cost Calc'!$A$2:$C$827,3,FALSE)</f>
        <v>2202</v>
      </c>
      <c r="K724">
        <f t="shared" si="71"/>
        <v>0.32987876480979239</v>
      </c>
    </row>
    <row r="725" spans="1:11" ht="64" x14ac:dyDescent="0.2">
      <c r="A725" s="4" t="s">
        <v>3790</v>
      </c>
      <c r="B725">
        <v>140337</v>
      </c>
      <c r="C725">
        <v>3.06</v>
      </c>
      <c r="D725">
        <f t="shared" si="66"/>
        <v>80225.32314381421</v>
      </c>
      <c r="E725">
        <f t="shared" si="67"/>
        <v>80.225323143814208</v>
      </c>
      <c r="F725" s="7">
        <v>0.87970838396111783</v>
      </c>
      <c r="G725">
        <f t="shared" si="68"/>
        <v>5</v>
      </c>
      <c r="H725" s="7">
        <f t="shared" si="69"/>
        <v>0.12029161603888217</v>
      </c>
      <c r="I725">
        <f t="shared" si="70"/>
        <v>1</v>
      </c>
      <c r="J725">
        <f>VLOOKUP(A725,'Housing Cost Calc'!$A$2:$C$827,3,FALSE)</f>
        <v>2456</v>
      </c>
      <c r="K725">
        <f t="shared" si="71"/>
        <v>0.36736530119258792</v>
      </c>
    </row>
    <row r="726" spans="1:11" ht="64" x14ac:dyDescent="0.2">
      <c r="A726" s="4" t="s">
        <v>3087</v>
      </c>
      <c r="B726">
        <v>123580</v>
      </c>
      <c r="C726">
        <v>2.37</v>
      </c>
      <c r="D726">
        <f t="shared" si="66"/>
        <v>80273.836188208341</v>
      </c>
      <c r="E726">
        <f t="shared" si="67"/>
        <v>80.273836188208335</v>
      </c>
      <c r="F726" s="7">
        <v>0.88092345078979339</v>
      </c>
      <c r="G726">
        <f t="shared" si="68"/>
        <v>5</v>
      </c>
      <c r="H726" s="7">
        <f t="shared" si="69"/>
        <v>0.11907654921020661</v>
      </c>
      <c r="I726">
        <f t="shared" si="70"/>
        <v>1</v>
      </c>
      <c r="J726">
        <f>VLOOKUP(A726,'Housing Cost Calc'!$A$2:$C$827,3,FALSE)</f>
        <v>1738</v>
      </c>
      <c r="K726">
        <f t="shared" si="71"/>
        <v>0.25981068042022387</v>
      </c>
    </row>
    <row r="727" spans="1:11" ht="48" x14ac:dyDescent="0.2">
      <c r="A727" s="4" t="s">
        <v>3099</v>
      </c>
      <c r="B727">
        <v>133984</v>
      </c>
      <c r="C727">
        <v>2.77</v>
      </c>
      <c r="D727">
        <f t="shared" si="66"/>
        <v>80503.183460608678</v>
      </c>
      <c r="E727">
        <f t="shared" si="67"/>
        <v>80.503183460608682</v>
      </c>
      <c r="F727" s="7">
        <v>0.88213851761846906</v>
      </c>
      <c r="G727">
        <f t="shared" si="68"/>
        <v>5</v>
      </c>
      <c r="H727" s="7">
        <f t="shared" si="69"/>
        <v>0.11786148238153094</v>
      </c>
      <c r="I727">
        <f t="shared" si="70"/>
        <v>1</v>
      </c>
      <c r="J727">
        <f>VLOOKUP(A727,'Housing Cost Calc'!$A$2:$C$827,3,FALSE)</f>
        <v>1768</v>
      </c>
      <c r="K727">
        <f t="shared" si="71"/>
        <v>0.26354237295946542</v>
      </c>
    </row>
    <row r="728" spans="1:11" ht="48" x14ac:dyDescent="0.2">
      <c r="A728" s="4" t="s">
        <v>3743</v>
      </c>
      <c r="B728">
        <v>129250</v>
      </c>
      <c r="C728">
        <v>2.57</v>
      </c>
      <c r="D728">
        <f t="shared" si="66"/>
        <v>80623.934855570842</v>
      </c>
      <c r="E728">
        <f t="shared" si="67"/>
        <v>80.623934855570837</v>
      </c>
      <c r="F728" s="7">
        <v>0.88335358444714462</v>
      </c>
      <c r="G728">
        <f t="shared" si="68"/>
        <v>5</v>
      </c>
      <c r="H728" s="7">
        <f t="shared" si="69"/>
        <v>0.11664641555285538</v>
      </c>
      <c r="I728">
        <f t="shared" si="70"/>
        <v>1</v>
      </c>
      <c r="J728">
        <f>VLOOKUP(A728,'Housing Cost Calc'!$A$2:$C$827,3,FALSE)</f>
        <v>2370</v>
      </c>
      <c r="K728">
        <f t="shared" si="71"/>
        <v>0.35274884624457015</v>
      </c>
    </row>
    <row r="729" spans="1:11" ht="48" x14ac:dyDescent="0.2">
      <c r="A729" s="4" t="s">
        <v>3193</v>
      </c>
      <c r="B729">
        <v>126738</v>
      </c>
      <c r="C729">
        <v>2.46</v>
      </c>
      <c r="D729">
        <f t="shared" si="66"/>
        <v>80805.19746022136</v>
      </c>
      <c r="E729">
        <f t="shared" si="67"/>
        <v>80.805197460221365</v>
      </c>
      <c r="F729" s="7">
        <v>0.88456865127582018</v>
      </c>
      <c r="G729">
        <f t="shared" si="68"/>
        <v>5</v>
      </c>
      <c r="H729" s="7">
        <f t="shared" si="69"/>
        <v>0.11543134872417982</v>
      </c>
      <c r="I729">
        <f t="shared" si="70"/>
        <v>1</v>
      </c>
      <c r="J729">
        <f>VLOOKUP(A729,'Housing Cost Calc'!$A$2:$C$827,3,FALSE)</f>
        <v>1920</v>
      </c>
      <c r="K729">
        <f t="shared" si="71"/>
        <v>0.28513017385227096</v>
      </c>
    </row>
    <row r="730" spans="1:11" ht="64" x14ac:dyDescent="0.2">
      <c r="A730" s="4" t="s">
        <v>3644</v>
      </c>
      <c r="B730">
        <v>137361</v>
      </c>
      <c r="C730">
        <v>2.88</v>
      </c>
      <c r="D730">
        <f t="shared" si="66"/>
        <v>80940.745475471136</v>
      </c>
      <c r="E730">
        <f t="shared" si="67"/>
        <v>80.940745475471132</v>
      </c>
      <c r="F730" s="7">
        <v>0.88578371810449574</v>
      </c>
      <c r="G730">
        <f t="shared" si="68"/>
        <v>5</v>
      </c>
      <c r="H730" s="7">
        <f t="shared" si="69"/>
        <v>0.11421628189550426</v>
      </c>
      <c r="I730">
        <f t="shared" si="70"/>
        <v>1</v>
      </c>
      <c r="J730">
        <f>VLOOKUP(A730,'Housing Cost Calc'!$A$2:$C$827,3,FALSE)</f>
        <v>2262</v>
      </c>
      <c r="K730">
        <f t="shared" si="71"/>
        <v>0.33535643686684247</v>
      </c>
    </row>
    <row r="731" spans="1:11" ht="48" x14ac:dyDescent="0.2">
      <c r="A731" s="4" t="s">
        <v>3726</v>
      </c>
      <c r="B731">
        <v>138169</v>
      </c>
      <c r="C731">
        <v>2.91</v>
      </c>
      <c r="D731">
        <f t="shared" si="66"/>
        <v>80996.102237473315</v>
      </c>
      <c r="E731">
        <f t="shared" si="67"/>
        <v>80.996102237473309</v>
      </c>
      <c r="F731" s="7">
        <v>0.8869987849331713</v>
      </c>
      <c r="G731">
        <f t="shared" si="68"/>
        <v>5</v>
      </c>
      <c r="H731" s="7">
        <f t="shared" si="69"/>
        <v>0.1130012150668287</v>
      </c>
      <c r="I731">
        <f t="shared" si="70"/>
        <v>1</v>
      </c>
      <c r="J731">
        <f>VLOOKUP(A731,'Housing Cost Calc'!$A$2:$C$827,3,FALSE)</f>
        <v>2364</v>
      </c>
      <c r="K731">
        <f t="shared" si="71"/>
        <v>0.35023907591043785</v>
      </c>
    </row>
    <row r="732" spans="1:11" ht="48" x14ac:dyDescent="0.2">
      <c r="A732" s="4" t="s">
        <v>3717</v>
      </c>
      <c r="B732">
        <v>131897</v>
      </c>
      <c r="C732">
        <v>2.65</v>
      </c>
      <c r="D732">
        <f t="shared" si="66"/>
        <v>81023.683025047663</v>
      </c>
      <c r="E732">
        <f t="shared" si="67"/>
        <v>81.02368302504766</v>
      </c>
      <c r="F732" s="7">
        <v>0.88821385176184686</v>
      </c>
      <c r="G732">
        <f t="shared" si="68"/>
        <v>5</v>
      </c>
      <c r="H732" s="7">
        <f t="shared" si="69"/>
        <v>0.11178614823815314</v>
      </c>
      <c r="I732">
        <f t="shared" si="70"/>
        <v>1</v>
      </c>
      <c r="J732">
        <f>VLOOKUP(A732,'Housing Cost Calc'!$A$2:$C$827,3,FALSE)</f>
        <v>2349</v>
      </c>
      <c r="K732">
        <f t="shared" si="71"/>
        <v>0.34789828044827292</v>
      </c>
    </row>
    <row r="733" spans="1:11" ht="48" x14ac:dyDescent="0.2">
      <c r="A733" s="4" t="s">
        <v>3696</v>
      </c>
      <c r="B733">
        <v>135197</v>
      </c>
      <c r="C733">
        <v>2.78</v>
      </c>
      <c r="D733">
        <f t="shared" si="66"/>
        <v>81085.772175398175</v>
      </c>
      <c r="E733">
        <f t="shared" si="67"/>
        <v>81.085772175398176</v>
      </c>
      <c r="F733" s="7">
        <v>0.88942891859052253</v>
      </c>
      <c r="G733">
        <f t="shared" si="68"/>
        <v>5</v>
      </c>
      <c r="H733" s="7">
        <f t="shared" si="69"/>
        <v>0.11057108140947747</v>
      </c>
      <c r="I733">
        <f t="shared" si="70"/>
        <v>1</v>
      </c>
      <c r="J733">
        <f>VLOOKUP(A733,'Housing Cost Calc'!$A$2:$C$827,3,FALSE)</f>
        <v>2328</v>
      </c>
      <c r="K733">
        <f t="shared" si="71"/>
        <v>0.34452406692965948</v>
      </c>
    </row>
    <row r="734" spans="1:11" ht="48" x14ac:dyDescent="0.2">
      <c r="A734" s="4" t="s">
        <v>3846</v>
      </c>
      <c r="B734">
        <v>133482</v>
      </c>
      <c r="C734">
        <v>2.7</v>
      </c>
      <c r="D734">
        <f t="shared" si="66"/>
        <v>81234.558245449531</v>
      </c>
      <c r="E734">
        <f t="shared" si="67"/>
        <v>81.234558245449534</v>
      </c>
      <c r="F734" s="7">
        <v>0.89064398541919809</v>
      </c>
      <c r="G734">
        <f t="shared" si="68"/>
        <v>5</v>
      </c>
      <c r="H734" s="7">
        <f t="shared" si="69"/>
        <v>0.10935601458080191</v>
      </c>
      <c r="I734">
        <f t="shared" si="70"/>
        <v>1</v>
      </c>
      <c r="J734">
        <f>VLOOKUP(A734,'Housing Cost Calc'!$A$2:$C$827,3,FALSE)</f>
        <v>2844</v>
      </c>
      <c r="K734">
        <f t="shared" si="71"/>
        <v>0.42011676726157032</v>
      </c>
    </row>
    <row r="735" spans="1:11" ht="48" x14ac:dyDescent="0.2">
      <c r="A735" s="4" t="s">
        <v>3802</v>
      </c>
      <c r="B735">
        <v>139313</v>
      </c>
      <c r="C735">
        <v>2.93</v>
      </c>
      <c r="D735">
        <f t="shared" si="66"/>
        <v>81387.523611784025</v>
      </c>
      <c r="E735">
        <f t="shared" si="67"/>
        <v>81.387523611784019</v>
      </c>
      <c r="F735" s="7">
        <v>0.89185905224787365</v>
      </c>
      <c r="G735">
        <f t="shared" si="68"/>
        <v>5</v>
      </c>
      <c r="H735" s="7">
        <f t="shared" si="69"/>
        <v>0.10814094775212635</v>
      </c>
      <c r="I735">
        <f t="shared" si="70"/>
        <v>1</v>
      </c>
      <c r="J735">
        <f>VLOOKUP(A735,'Housing Cost Calc'!$A$2:$C$827,3,FALSE)</f>
        <v>2531</v>
      </c>
      <c r="K735">
        <f t="shared" si="71"/>
        <v>0.37317759101350106</v>
      </c>
    </row>
    <row r="736" spans="1:11" ht="64" x14ac:dyDescent="0.2">
      <c r="A736" s="4" t="s">
        <v>3237</v>
      </c>
      <c r="B736">
        <v>136719</v>
      </c>
      <c r="C736">
        <v>2.81</v>
      </c>
      <c r="D736">
        <f t="shared" si="66"/>
        <v>81559.717573107031</v>
      </c>
      <c r="E736">
        <f t="shared" si="67"/>
        <v>81.559717573107037</v>
      </c>
      <c r="F736" s="7">
        <v>0.89307411907654921</v>
      </c>
      <c r="G736">
        <f t="shared" si="68"/>
        <v>5</v>
      </c>
      <c r="H736" s="7">
        <f t="shared" si="69"/>
        <v>0.10692588092345079</v>
      </c>
      <c r="I736">
        <f t="shared" si="70"/>
        <v>1</v>
      </c>
      <c r="J736">
        <f>VLOOKUP(A736,'Housing Cost Calc'!$A$2:$C$827,3,FALSE)</f>
        <v>1985</v>
      </c>
      <c r="K736">
        <f t="shared" si="71"/>
        <v>0.29205594022133119</v>
      </c>
    </row>
    <row r="737" spans="1:11" ht="48" x14ac:dyDescent="0.2">
      <c r="A737" s="4" t="s">
        <v>3804</v>
      </c>
      <c r="B737">
        <v>144519</v>
      </c>
      <c r="C737">
        <v>3.07</v>
      </c>
      <c r="D737">
        <f t="shared" si="66"/>
        <v>82481.349902623188</v>
      </c>
      <c r="E737">
        <f t="shared" si="67"/>
        <v>82.481349902623194</v>
      </c>
      <c r="F737" s="7">
        <v>0.89428918590522477</v>
      </c>
      <c r="G737">
        <f t="shared" si="68"/>
        <v>5</v>
      </c>
      <c r="H737" s="7">
        <f t="shared" si="69"/>
        <v>0.10571081409477523</v>
      </c>
      <c r="I737">
        <f t="shared" si="70"/>
        <v>1</v>
      </c>
      <c r="J737">
        <f>VLOOKUP(A737,'Housing Cost Calc'!$A$2:$C$827,3,FALSE)</f>
        <v>2570</v>
      </c>
      <c r="K737">
        <f t="shared" si="71"/>
        <v>0.3739027069320453</v>
      </c>
    </row>
    <row r="738" spans="1:11" ht="64" x14ac:dyDescent="0.2">
      <c r="A738" s="4" t="s">
        <v>3024</v>
      </c>
      <c r="B738">
        <v>119375</v>
      </c>
      <c r="C738">
        <v>2.09</v>
      </c>
      <c r="D738">
        <f t="shared" si="66"/>
        <v>82573.414124012663</v>
      </c>
      <c r="E738">
        <f t="shared" si="67"/>
        <v>82.573414124012658</v>
      </c>
      <c r="F738" s="7">
        <v>0.89550425273390033</v>
      </c>
      <c r="G738">
        <f t="shared" si="68"/>
        <v>5</v>
      </c>
      <c r="H738" s="7">
        <f t="shared" si="69"/>
        <v>0.10449574726609967</v>
      </c>
      <c r="I738">
        <f t="shared" si="70"/>
        <v>1</v>
      </c>
      <c r="J738">
        <f>VLOOKUP(A738,'Housing Cost Calc'!$A$2:$C$827,3,FALSE)</f>
        <v>1488</v>
      </c>
      <c r="K738">
        <f t="shared" si="71"/>
        <v>0.21624393504164685</v>
      </c>
    </row>
    <row r="739" spans="1:11" ht="48" x14ac:dyDescent="0.2">
      <c r="A739" s="4" t="s">
        <v>3832</v>
      </c>
      <c r="B739">
        <v>140278</v>
      </c>
      <c r="C739">
        <v>2.88</v>
      </c>
      <c r="D739">
        <f t="shared" si="66"/>
        <v>82659.604209405428</v>
      </c>
      <c r="E739">
        <f t="shared" si="67"/>
        <v>82.65960420940543</v>
      </c>
      <c r="F739" s="7">
        <v>0.89671931956257589</v>
      </c>
      <c r="G739">
        <f t="shared" si="68"/>
        <v>5</v>
      </c>
      <c r="H739" s="7">
        <f t="shared" si="69"/>
        <v>0.10328068043742411</v>
      </c>
      <c r="I739">
        <f t="shared" si="70"/>
        <v>1</v>
      </c>
      <c r="J739">
        <f>VLOOKUP(A739,'Housing Cost Calc'!$A$2:$C$827,3,FALSE)</f>
        <v>2698</v>
      </c>
      <c r="K739">
        <f t="shared" si="71"/>
        <v>0.39167862355087463</v>
      </c>
    </row>
    <row r="740" spans="1:11" ht="48" x14ac:dyDescent="0.2">
      <c r="A740" s="4" t="s">
        <v>3787</v>
      </c>
      <c r="B740">
        <v>131992</v>
      </c>
      <c r="C740">
        <v>2.54</v>
      </c>
      <c r="D740">
        <f t="shared" si="66"/>
        <v>82819.146631795826</v>
      </c>
      <c r="E740">
        <f t="shared" si="67"/>
        <v>82.819146631795832</v>
      </c>
      <c r="F740" s="7">
        <v>0.89793438639125156</v>
      </c>
      <c r="G740">
        <f t="shared" si="68"/>
        <v>5</v>
      </c>
      <c r="H740" s="7">
        <f t="shared" si="69"/>
        <v>0.10206561360874844</v>
      </c>
      <c r="I740">
        <f t="shared" si="70"/>
        <v>1</v>
      </c>
      <c r="J740">
        <f>VLOOKUP(A740,'Housing Cost Calc'!$A$2:$C$827,3,FALSE)</f>
        <v>2518</v>
      </c>
      <c r="K740">
        <f t="shared" si="71"/>
        <v>0.36484317007438843</v>
      </c>
    </row>
    <row r="741" spans="1:11" ht="48" x14ac:dyDescent="0.2">
      <c r="A741" s="4" t="s">
        <v>3191</v>
      </c>
      <c r="B741">
        <v>131583</v>
      </c>
      <c r="C741">
        <v>2.52</v>
      </c>
      <c r="D741">
        <f t="shared" si="66"/>
        <v>82889.498753288572</v>
      </c>
      <c r="E741">
        <f t="shared" si="67"/>
        <v>82.889498753288578</v>
      </c>
      <c r="F741" s="7">
        <v>0.89914945321992712</v>
      </c>
      <c r="G741">
        <f t="shared" si="68"/>
        <v>5</v>
      </c>
      <c r="H741" s="7">
        <f t="shared" si="69"/>
        <v>0.10085054678007288</v>
      </c>
      <c r="I741">
        <f t="shared" si="70"/>
        <v>1</v>
      </c>
      <c r="J741">
        <f>VLOOKUP(A741,'Housing Cost Calc'!$A$2:$C$827,3,FALSE)</f>
        <v>1968</v>
      </c>
      <c r="K741">
        <f t="shared" si="71"/>
        <v>0.28490943189667983</v>
      </c>
    </row>
    <row r="742" spans="1:11" ht="48" x14ac:dyDescent="0.2">
      <c r="A742" s="4" t="s">
        <v>3709</v>
      </c>
      <c r="B742">
        <v>128623</v>
      </c>
      <c r="C742">
        <v>2.35</v>
      </c>
      <c r="D742">
        <f t="shared" si="66"/>
        <v>83904.393740352883</v>
      </c>
      <c r="E742">
        <f t="shared" si="67"/>
        <v>83.904393740352887</v>
      </c>
      <c r="F742" s="7">
        <v>0.90036452004860268</v>
      </c>
      <c r="G742">
        <f t="shared" si="68"/>
        <v>5</v>
      </c>
      <c r="H742" s="7">
        <f t="shared" si="69"/>
        <v>9.9635479951397321E-2</v>
      </c>
      <c r="I742">
        <f t="shared" si="70"/>
        <v>1</v>
      </c>
      <c r="J742">
        <f>VLOOKUP(A742,'Housing Cost Calc'!$A$2:$C$827,3,FALSE)</f>
        <v>2425</v>
      </c>
      <c r="K742">
        <f t="shared" si="71"/>
        <v>0.34682331523724103</v>
      </c>
    </row>
    <row r="743" spans="1:11" ht="48" x14ac:dyDescent="0.2">
      <c r="A743" s="4" t="s">
        <v>3315</v>
      </c>
      <c r="B743">
        <v>130694</v>
      </c>
      <c r="C743">
        <v>2.41</v>
      </c>
      <c r="D743">
        <f t="shared" si="66"/>
        <v>84187.40613083019</v>
      </c>
      <c r="E743">
        <f t="shared" si="67"/>
        <v>84.187406130830183</v>
      </c>
      <c r="F743" s="7">
        <v>0.90157958687727824</v>
      </c>
      <c r="G743">
        <f t="shared" si="68"/>
        <v>5</v>
      </c>
      <c r="H743" s="7">
        <f t="shared" si="69"/>
        <v>9.8420413122721762E-2</v>
      </c>
      <c r="I743">
        <f t="shared" si="70"/>
        <v>1</v>
      </c>
      <c r="J743">
        <f>VLOOKUP(A743,'Housing Cost Calc'!$A$2:$C$827,3,FALSE)</f>
        <v>2109</v>
      </c>
      <c r="K743">
        <f t="shared" si="71"/>
        <v>0.30061503451799521</v>
      </c>
    </row>
    <row r="744" spans="1:11" ht="48" x14ac:dyDescent="0.2">
      <c r="A744" s="4" t="s">
        <v>3613</v>
      </c>
      <c r="B744">
        <v>140625</v>
      </c>
      <c r="C744">
        <v>2.78</v>
      </c>
      <c r="D744">
        <f t="shared" si="66"/>
        <v>84341.270236509445</v>
      </c>
      <c r="E744">
        <f t="shared" si="67"/>
        <v>84.341270236509445</v>
      </c>
      <c r="F744" s="7">
        <v>0.9027946537059538</v>
      </c>
      <c r="G744">
        <f t="shared" si="68"/>
        <v>5</v>
      </c>
      <c r="H744" s="7">
        <f t="shared" si="69"/>
        <v>9.7205346294046202E-2</v>
      </c>
      <c r="I744">
        <f t="shared" si="70"/>
        <v>1</v>
      </c>
      <c r="J744">
        <f>VLOOKUP(A744,'Housing Cost Calc'!$A$2:$C$827,3,FALSE)</f>
        <v>2333</v>
      </c>
      <c r="K744">
        <f t="shared" si="71"/>
        <v>0.3319371396884791</v>
      </c>
    </row>
    <row r="745" spans="1:11" ht="48" x14ac:dyDescent="0.2">
      <c r="A745" s="4" t="s">
        <v>3209</v>
      </c>
      <c r="B745">
        <v>140000</v>
      </c>
      <c r="C745">
        <v>2.74</v>
      </c>
      <c r="D745">
        <f t="shared" si="66"/>
        <v>84577.09306622477</v>
      </c>
      <c r="E745">
        <f t="shared" si="67"/>
        <v>84.577093066224776</v>
      </c>
      <c r="F745" s="7">
        <v>0.90400972053462936</v>
      </c>
      <c r="G745">
        <f t="shared" si="68"/>
        <v>5</v>
      </c>
      <c r="H745" s="7">
        <f t="shared" si="69"/>
        <v>9.5990279465370643E-2</v>
      </c>
      <c r="I745">
        <f t="shared" si="70"/>
        <v>1</v>
      </c>
      <c r="J745">
        <f>VLOOKUP(A745,'Housing Cost Calc'!$A$2:$C$827,3,FALSE)</f>
        <v>2038</v>
      </c>
      <c r="K745">
        <f t="shared" si="71"/>
        <v>0.2891563083263064</v>
      </c>
    </row>
    <row r="746" spans="1:11" ht="48" x14ac:dyDescent="0.2">
      <c r="A746" s="4" t="s">
        <v>3668</v>
      </c>
      <c r="B746">
        <v>136495</v>
      </c>
      <c r="C746">
        <v>2.6</v>
      </c>
      <c r="D746">
        <f t="shared" si="66"/>
        <v>84650.60548877003</v>
      </c>
      <c r="E746">
        <f t="shared" si="67"/>
        <v>84.650605488770026</v>
      </c>
      <c r="F746" s="7">
        <v>0.90522478736330503</v>
      </c>
      <c r="G746">
        <f t="shared" si="68"/>
        <v>5</v>
      </c>
      <c r="H746" s="7">
        <f t="shared" si="69"/>
        <v>9.4775212636694972E-2</v>
      </c>
      <c r="I746">
        <f t="shared" si="70"/>
        <v>1</v>
      </c>
      <c r="J746">
        <f>VLOOKUP(A746,'Housing Cost Calc'!$A$2:$C$827,3,FALSE)</f>
        <v>2403</v>
      </c>
      <c r="K746">
        <f t="shared" si="71"/>
        <v>0.3406472976005524</v>
      </c>
    </row>
    <row r="747" spans="1:11" ht="48" x14ac:dyDescent="0.2">
      <c r="A747" s="4" t="s">
        <v>3461</v>
      </c>
      <c r="B747">
        <v>149107</v>
      </c>
      <c r="C747">
        <v>3.1</v>
      </c>
      <c r="D747">
        <f t="shared" si="66"/>
        <v>84687.085219077097</v>
      </c>
      <c r="E747">
        <f t="shared" si="67"/>
        <v>84.68708521907709</v>
      </c>
      <c r="F747" s="7">
        <v>0.90643985419198059</v>
      </c>
      <c r="G747">
        <f t="shared" si="68"/>
        <v>5</v>
      </c>
      <c r="H747" s="7">
        <f t="shared" si="69"/>
        <v>9.3560145808019413E-2</v>
      </c>
      <c r="I747">
        <f t="shared" si="70"/>
        <v>1</v>
      </c>
      <c r="J747">
        <f>VLOOKUP(A747,'Housing Cost Calc'!$A$2:$C$827,3,FALSE)</f>
        <v>2238</v>
      </c>
      <c r="K747">
        <f t="shared" si="71"/>
        <v>0.31712037237468016</v>
      </c>
    </row>
    <row r="748" spans="1:11" ht="48" x14ac:dyDescent="0.2">
      <c r="A748" s="4" t="s">
        <v>3850</v>
      </c>
      <c r="B748">
        <v>145625</v>
      </c>
      <c r="C748">
        <v>2.95</v>
      </c>
      <c r="D748">
        <f t="shared" si="66"/>
        <v>84786.152980826635</v>
      </c>
      <c r="E748">
        <f t="shared" si="67"/>
        <v>84.786152980826628</v>
      </c>
      <c r="F748" s="7">
        <v>0.90765492102065615</v>
      </c>
      <c r="G748">
        <f t="shared" si="68"/>
        <v>5</v>
      </c>
      <c r="H748" s="7">
        <f t="shared" si="69"/>
        <v>9.2345078979343853E-2</v>
      </c>
      <c r="I748">
        <f t="shared" si="70"/>
        <v>1</v>
      </c>
      <c r="J748">
        <f>VLOOKUP(A748,'Housing Cost Calc'!$A$2:$C$827,3,FALSE)</f>
        <v>3144</v>
      </c>
      <c r="K748">
        <f t="shared" si="71"/>
        <v>0.44497832102998863</v>
      </c>
    </row>
    <row r="749" spans="1:11" ht="48" x14ac:dyDescent="0.2">
      <c r="A749" s="4" t="s">
        <v>3520</v>
      </c>
      <c r="B749">
        <v>130962</v>
      </c>
      <c r="C749">
        <v>2.36</v>
      </c>
      <c r="D749">
        <f t="shared" si="66"/>
        <v>85249.000799353278</v>
      </c>
      <c r="E749">
        <f t="shared" si="67"/>
        <v>85.249000799353283</v>
      </c>
      <c r="F749" s="7">
        <v>0.90886998784933171</v>
      </c>
      <c r="G749">
        <f t="shared" si="68"/>
        <v>5</v>
      </c>
      <c r="H749" s="7">
        <f t="shared" si="69"/>
        <v>9.1130012150668294E-2</v>
      </c>
      <c r="I749">
        <f t="shared" si="70"/>
        <v>1</v>
      </c>
      <c r="J749">
        <f>VLOOKUP(A749,'Housing Cost Calc'!$A$2:$C$827,3,FALSE)</f>
        <v>2282</v>
      </c>
      <c r="K749">
        <f t="shared" si="71"/>
        <v>0.32122370635701036</v>
      </c>
    </row>
    <row r="750" spans="1:11" ht="48" x14ac:dyDescent="0.2">
      <c r="A750" s="4" t="s">
        <v>3559</v>
      </c>
      <c r="B750">
        <v>139000</v>
      </c>
      <c r="C750">
        <v>2.65</v>
      </c>
      <c r="D750">
        <f t="shared" si="66"/>
        <v>85387.021239919224</v>
      </c>
      <c r="E750">
        <f t="shared" si="67"/>
        <v>85.387021239919221</v>
      </c>
      <c r="F750" s="7">
        <v>0.91008505467800727</v>
      </c>
      <c r="G750">
        <f t="shared" si="68"/>
        <v>5</v>
      </c>
      <c r="H750" s="7">
        <f t="shared" si="69"/>
        <v>8.9914945321992734E-2</v>
      </c>
      <c r="I750">
        <f t="shared" si="70"/>
        <v>1</v>
      </c>
      <c r="J750">
        <f>VLOOKUP(A750,'Housing Cost Calc'!$A$2:$C$827,3,FALSE)</f>
        <v>2313</v>
      </c>
      <c r="K750">
        <f t="shared" si="71"/>
        <v>0.32506111112614633</v>
      </c>
    </row>
    <row r="751" spans="1:11" ht="48" x14ac:dyDescent="0.2">
      <c r="A751" s="4" t="s">
        <v>3777</v>
      </c>
      <c r="B751">
        <v>138686</v>
      </c>
      <c r="C751">
        <v>2.61</v>
      </c>
      <c r="D751">
        <f t="shared" si="66"/>
        <v>85844.478901408715</v>
      </c>
      <c r="E751">
        <f t="shared" si="67"/>
        <v>85.844478901408721</v>
      </c>
      <c r="F751" s="7">
        <v>0.91130012150668283</v>
      </c>
      <c r="G751">
        <f t="shared" si="68"/>
        <v>5</v>
      </c>
      <c r="H751" s="7">
        <f t="shared" si="69"/>
        <v>8.8699878493317175E-2</v>
      </c>
      <c r="I751">
        <f t="shared" si="70"/>
        <v>1</v>
      </c>
      <c r="J751">
        <f>VLOOKUP(A751,'Housing Cost Calc'!$A$2:$C$827,3,FALSE)</f>
        <v>2581</v>
      </c>
      <c r="K751">
        <f t="shared" si="71"/>
        <v>0.36079198565082965</v>
      </c>
    </row>
    <row r="752" spans="1:11" ht="48" x14ac:dyDescent="0.2">
      <c r="A752" s="4" t="s">
        <v>3816</v>
      </c>
      <c r="B752">
        <v>145125</v>
      </c>
      <c r="C752">
        <v>2.84</v>
      </c>
      <c r="D752">
        <f t="shared" si="66"/>
        <v>86115.844072691485</v>
      </c>
      <c r="E752">
        <f t="shared" si="67"/>
        <v>86.115844072691488</v>
      </c>
      <c r="F752" s="7">
        <v>0.9125151883353585</v>
      </c>
      <c r="G752">
        <f t="shared" si="68"/>
        <v>5</v>
      </c>
      <c r="H752" s="7">
        <f t="shared" si="69"/>
        <v>8.7484811664641504E-2</v>
      </c>
      <c r="I752">
        <f t="shared" si="70"/>
        <v>1</v>
      </c>
      <c r="J752">
        <f>VLOOKUP(A752,'Housing Cost Calc'!$A$2:$C$827,3,FALSE)</f>
        <v>2718</v>
      </c>
      <c r="K752">
        <f t="shared" si="71"/>
        <v>0.37874563445570386</v>
      </c>
    </row>
    <row r="753" spans="1:11" ht="48" x14ac:dyDescent="0.2">
      <c r="A753" s="4" t="s">
        <v>3117</v>
      </c>
      <c r="B753">
        <v>142566</v>
      </c>
      <c r="C753">
        <v>2.74</v>
      </c>
      <c r="D753">
        <f t="shared" si="66"/>
        <v>86127.270357710004</v>
      </c>
      <c r="E753">
        <f t="shared" si="67"/>
        <v>86.127270357710003</v>
      </c>
      <c r="F753" s="7">
        <v>0.91373025516403406</v>
      </c>
      <c r="G753">
        <f t="shared" si="68"/>
        <v>5</v>
      </c>
      <c r="H753" s="7">
        <f t="shared" si="69"/>
        <v>8.6269744835965945E-2</v>
      </c>
      <c r="I753">
        <f t="shared" si="70"/>
        <v>1</v>
      </c>
      <c r="J753">
        <f>VLOOKUP(A753,'Housing Cost Calc'!$A$2:$C$827,3,FALSE)</f>
        <v>1910</v>
      </c>
      <c r="K753">
        <f t="shared" si="71"/>
        <v>0.26611780339498742</v>
      </c>
    </row>
    <row r="754" spans="1:11" ht="48" x14ac:dyDescent="0.2">
      <c r="A754" s="4" t="s">
        <v>3137</v>
      </c>
      <c r="B754">
        <v>141914</v>
      </c>
      <c r="C754">
        <v>2.69</v>
      </c>
      <c r="D754">
        <f t="shared" si="66"/>
        <v>86526.492915223251</v>
      </c>
      <c r="E754">
        <f t="shared" si="67"/>
        <v>86.526492915223244</v>
      </c>
      <c r="F754" s="7">
        <v>0.91494532199270961</v>
      </c>
      <c r="G754">
        <f t="shared" si="68"/>
        <v>5</v>
      </c>
      <c r="H754" s="7">
        <f t="shared" si="69"/>
        <v>8.5054678007290385E-2</v>
      </c>
      <c r="I754">
        <f t="shared" si="70"/>
        <v>1</v>
      </c>
      <c r="J754">
        <f>VLOOKUP(A754,'Housing Cost Calc'!$A$2:$C$827,3,FALSE)</f>
        <v>1960</v>
      </c>
      <c r="K754">
        <f t="shared" si="71"/>
        <v>0.27182426107393926</v>
      </c>
    </row>
    <row r="755" spans="1:11" ht="48" x14ac:dyDescent="0.2">
      <c r="A755" s="4" t="s">
        <v>3627</v>
      </c>
      <c r="B755">
        <v>143141</v>
      </c>
      <c r="C755">
        <v>2.73</v>
      </c>
      <c r="D755">
        <f t="shared" si="66"/>
        <v>86632.874253745045</v>
      </c>
      <c r="E755">
        <f t="shared" si="67"/>
        <v>86.632874253745044</v>
      </c>
      <c r="F755" s="7">
        <v>0.91616038882138517</v>
      </c>
      <c r="G755">
        <f t="shared" si="68"/>
        <v>5</v>
      </c>
      <c r="H755" s="7">
        <f t="shared" si="69"/>
        <v>8.3839611178614826E-2</v>
      </c>
      <c r="I755">
        <f t="shared" si="70"/>
        <v>1</v>
      </c>
      <c r="J755">
        <f>VLOOKUP(A755,'Housing Cost Calc'!$A$2:$C$827,3,FALSE)</f>
        <v>2407</v>
      </c>
      <c r="K755">
        <f t="shared" si="71"/>
        <v>0.33340692258921995</v>
      </c>
    </row>
    <row r="756" spans="1:11" ht="48" x14ac:dyDescent="0.2">
      <c r="A756" s="4" t="s">
        <v>3848</v>
      </c>
      <c r="B756">
        <v>138542</v>
      </c>
      <c r="C756">
        <v>2.5099999999999998</v>
      </c>
      <c r="D756">
        <f t="shared" si="66"/>
        <v>87446.934993975854</v>
      </c>
      <c r="E756">
        <f t="shared" si="67"/>
        <v>87.446934993975859</v>
      </c>
      <c r="F756" s="7">
        <v>0.91737545565006073</v>
      </c>
      <c r="G756">
        <f t="shared" si="68"/>
        <v>5</v>
      </c>
      <c r="H756" s="7">
        <f t="shared" si="69"/>
        <v>8.2624544349939266E-2</v>
      </c>
      <c r="I756">
        <f t="shared" si="70"/>
        <v>1</v>
      </c>
      <c r="J756">
        <f>VLOOKUP(A756,'Housing Cost Calc'!$A$2:$C$827,3,FALSE)</f>
        <v>3132</v>
      </c>
      <c r="K756">
        <f t="shared" si="71"/>
        <v>0.42979207907731848</v>
      </c>
    </row>
    <row r="757" spans="1:11" ht="48" x14ac:dyDescent="0.2">
      <c r="A757" s="4" t="s">
        <v>3813</v>
      </c>
      <c r="B757">
        <v>143182</v>
      </c>
      <c r="C757">
        <v>2.64</v>
      </c>
      <c r="D757">
        <f t="shared" si="66"/>
        <v>88122.429307014099</v>
      </c>
      <c r="E757">
        <f t="shared" si="67"/>
        <v>88.122429307014102</v>
      </c>
      <c r="F757" s="7">
        <v>0.91859052247873629</v>
      </c>
      <c r="G757">
        <f t="shared" si="68"/>
        <v>5</v>
      </c>
      <c r="H757" s="7">
        <f t="shared" si="69"/>
        <v>8.1409477521263707E-2</v>
      </c>
      <c r="I757">
        <f t="shared" si="70"/>
        <v>1</v>
      </c>
      <c r="J757">
        <f>VLOOKUP(A757,'Housing Cost Calc'!$A$2:$C$827,3,FALSE)</f>
        <v>2775</v>
      </c>
      <c r="K757">
        <f t="shared" si="71"/>
        <v>0.37788336365517661</v>
      </c>
    </row>
    <row r="758" spans="1:11" ht="64" x14ac:dyDescent="0.2">
      <c r="A758" s="4" t="s">
        <v>3069</v>
      </c>
      <c r="B758">
        <v>139236</v>
      </c>
      <c r="C758">
        <v>2.4900000000000002</v>
      </c>
      <c r="D758">
        <f t="shared" si="66"/>
        <v>88237.229746026205</v>
      </c>
      <c r="E758">
        <f t="shared" si="67"/>
        <v>88.237229746026202</v>
      </c>
      <c r="F758" s="7">
        <v>0.91980558930741185</v>
      </c>
      <c r="G758">
        <f t="shared" si="68"/>
        <v>5</v>
      </c>
      <c r="H758" s="7">
        <f t="shared" si="69"/>
        <v>8.0194410692588147E-2</v>
      </c>
      <c r="I758">
        <f t="shared" si="70"/>
        <v>1</v>
      </c>
      <c r="J758">
        <f>VLOOKUP(A758,'Housing Cost Calc'!$A$2:$C$827,3,FALSE)</f>
        <v>1892</v>
      </c>
      <c r="K758">
        <f t="shared" si="71"/>
        <v>0.25730635543918445</v>
      </c>
    </row>
    <row r="759" spans="1:11" ht="48" x14ac:dyDescent="0.2">
      <c r="A759" s="4" t="s">
        <v>3827</v>
      </c>
      <c r="B759">
        <v>144375</v>
      </c>
      <c r="C759">
        <v>2.65</v>
      </c>
      <c r="D759">
        <f t="shared" si="66"/>
        <v>88688.857492901705</v>
      </c>
      <c r="E759">
        <f t="shared" si="67"/>
        <v>88.688857492901704</v>
      </c>
      <c r="F759" s="7">
        <v>0.92102065613608752</v>
      </c>
      <c r="G759">
        <f t="shared" si="68"/>
        <v>5</v>
      </c>
      <c r="H759" s="7">
        <f t="shared" si="69"/>
        <v>7.8979343863912477E-2</v>
      </c>
      <c r="I759">
        <f t="shared" si="70"/>
        <v>1</v>
      </c>
      <c r="J759">
        <f>VLOOKUP(A759,'Housing Cost Calc'!$A$2:$C$827,3,FALSE)</f>
        <v>2854</v>
      </c>
      <c r="K759">
        <f t="shared" si="71"/>
        <v>0.38615899413002441</v>
      </c>
    </row>
    <row r="760" spans="1:11" ht="64" x14ac:dyDescent="0.2">
      <c r="A760" s="4" t="s">
        <v>3486</v>
      </c>
      <c r="B760">
        <v>147778</v>
      </c>
      <c r="C760">
        <v>2.77</v>
      </c>
      <c r="D760">
        <f t="shared" si="66"/>
        <v>88791.194810140238</v>
      </c>
      <c r="E760">
        <f t="shared" si="67"/>
        <v>88.79119481014024</v>
      </c>
      <c r="F760" s="7">
        <v>0.92223572296476308</v>
      </c>
      <c r="G760">
        <f t="shared" si="68"/>
        <v>5</v>
      </c>
      <c r="H760" s="7">
        <f t="shared" si="69"/>
        <v>7.7764277035236917E-2</v>
      </c>
      <c r="I760">
        <f t="shared" si="70"/>
        <v>1</v>
      </c>
      <c r="J760">
        <f>VLOOKUP(A760,'Housing Cost Calc'!$A$2:$C$827,3,FALSE)</f>
        <v>2361</v>
      </c>
      <c r="K760">
        <f t="shared" si="71"/>
        <v>0.3190856938076071</v>
      </c>
    </row>
    <row r="761" spans="1:11" ht="48" x14ac:dyDescent="0.2">
      <c r="A761" s="4" t="s">
        <v>3766</v>
      </c>
      <c r="B761">
        <v>148804</v>
      </c>
      <c r="C761">
        <v>2.76</v>
      </c>
      <c r="D761">
        <f t="shared" si="66"/>
        <v>89569.482412874</v>
      </c>
      <c r="E761">
        <f t="shared" si="67"/>
        <v>89.569482412873995</v>
      </c>
      <c r="F761" s="7">
        <v>0.92345078979343864</v>
      </c>
      <c r="G761">
        <f t="shared" si="68"/>
        <v>5</v>
      </c>
      <c r="H761" s="7">
        <f t="shared" si="69"/>
        <v>7.6549210206561358E-2</v>
      </c>
      <c r="I761">
        <f t="shared" si="70"/>
        <v>1</v>
      </c>
      <c r="J761">
        <f>VLOOKUP(A761,'Housing Cost Calc'!$A$2:$C$827,3,FALSE)</f>
        <v>2670</v>
      </c>
      <c r="K761">
        <f t="shared" si="71"/>
        <v>0.35771112143207862</v>
      </c>
    </row>
    <row r="762" spans="1:11" ht="48" x14ac:dyDescent="0.2">
      <c r="A762" s="4" t="s">
        <v>3073</v>
      </c>
      <c r="B762">
        <v>138542</v>
      </c>
      <c r="C762">
        <v>2.35</v>
      </c>
      <c r="D762">
        <f t="shared" si="66"/>
        <v>90374.835896969977</v>
      </c>
      <c r="E762">
        <f t="shared" si="67"/>
        <v>90.374835896969984</v>
      </c>
      <c r="F762" s="7">
        <v>0.9246658566221142</v>
      </c>
      <c r="G762">
        <f t="shared" si="68"/>
        <v>5</v>
      </c>
      <c r="H762" s="7">
        <f t="shared" si="69"/>
        <v>7.5334143377885798E-2</v>
      </c>
      <c r="I762">
        <f t="shared" si="70"/>
        <v>1</v>
      </c>
      <c r="J762">
        <f>VLOOKUP(A762,'Housing Cost Calc'!$A$2:$C$827,3,FALSE)</f>
        <v>1949</v>
      </c>
      <c r="K762">
        <f t="shared" si="71"/>
        <v>0.25878885165183613</v>
      </c>
    </row>
    <row r="763" spans="1:11" ht="64" x14ac:dyDescent="0.2">
      <c r="A763" s="4" t="s">
        <v>3604</v>
      </c>
      <c r="B763">
        <v>153267</v>
      </c>
      <c r="C763">
        <v>2.87</v>
      </c>
      <c r="D763">
        <f t="shared" si="66"/>
        <v>90470.649540185113</v>
      </c>
      <c r="E763">
        <f t="shared" si="67"/>
        <v>90.470649540185107</v>
      </c>
      <c r="F763" s="7">
        <v>0.92588092345078976</v>
      </c>
      <c r="G763">
        <f t="shared" si="68"/>
        <v>5</v>
      </c>
      <c r="H763" s="7">
        <f t="shared" si="69"/>
        <v>7.4119076549210239E-2</v>
      </c>
      <c r="I763">
        <f t="shared" si="70"/>
        <v>1</v>
      </c>
      <c r="J763">
        <f>VLOOKUP(A763,'Housing Cost Calc'!$A$2:$C$827,3,FALSE)</f>
        <v>2492</v>
      </c>
      <c r="K763">
        <f t="shared" si="71"/>
        <v>0.33053813752842892</v>
      </c>
    </row>
    <row r="764" spans="1:11" ht="48" x14ac:dyDescent="0.2">
      <c r="A764" s="4" t="s">
        <v>3618</v>
      </c>
      <c r="B764">
        <v>163315</v>
      </c>
      <c r="C764">
        <v>3.16</v>
      </c>
      <c r="D764">
        <f t="shared" si="66"/>
        <v>91871.865269866801</v>
      </c>
      <c r="E764">
        <f t="shared" si="67"/>
        <v>91.871865269866802</v>
      </c>
      <c r="F764" s="7">
        <v>0.92709599027946532</v>
      </c>
      <c r="G764">
        <f t="shared" si="68"/>
        <v>5</v>
      </c>
      <c r="H764" s="7">
        <f t="shared" si="69"/>
        <v>7.2904009720534679E-2</v>
      </c>
      <c r="I764">
        <f t="shared" si="70"/>
        <v>1</v>
      </c>
      <c r="J764">
        <f>VLOOKUP(A764,'Housing Cost Calc'!$A$2:$C$827,3,FALSE)</f>
        <v>2544</v>
      </c>
      <c r="K764">
        <f t="shared" si="71"/>
        <v>0.33228888855501365</v>
      </c>
    </row>
    <row r="765" spans="1:11" ht="48" x14ac:dyDescent="0.2">
      <c r="A765" s="4" t="s">
        <v>3528</v>
      </c>
      <c r="B765">
        <v>152708</v>
      </c>
      <c r="C765">
        <v>2.75</v>
      </c>
      <c r="D765">
        <f t="shared" si="66"/>
        <v>92086.388815562255</v>
      </c>
      <c r="E765">
        <f t="shared" si="67"/>
        <v>92.086388815562259</v>
      </c>
      <c r="F765" s="7">
        <v>0.92831105710814099</v>
      </c>
      <c r="G765">
        <f t="shared" si="68"/>
        <v>5</v>
      </c>
      <c r="H765" s="7">
        <f t="shared" si="69"/>
        <v>7.1688942891859009E-2</v>
      </c>
      <c r="I765">
        <f t="shared" si="70"/>
        <v>1</v>
      </c>
      <c r="J765">
        <f>VLOOKUP(A765,'Housing Cost Calc'!$A$2:$C$827,3,FALSE)</f>
        <v>2467</v>
      </c>
      <c r="K765">
        <f t="shared" si="71"/>
        <v>0.32148073543521377</v>
      </c>
    </row>
    <row r="766" spans="1:11" ht="48" x14ac:dyDescent="0.2">
      <c r="A766" s="4" t="s">
        <v>3289</v>
      </c>
      <c r="B766">
        <v>144250</v>
      </c>
      <c r="C766">
        <v>2.4500000000000002</v>
      </c>
      <c r="D766">
        <f t="shared" si="66"/>
        <v>92157.944501241334</v>
      </c>
      <c r="E766">
        <f t="shared" si="67"/>
        <v>92.157944501241332</v>
      </c>
      <c r="F766" s="7">
        <v>0.92952612393681655</v>
      </c>
      <c r="G766">
        <f t="shared" si="68"/>
        <v>5</v>
      </c>
      <c r="H766" s="7">
        <f t="shared" si="69"/>
        <v>7.0473876063183449E-2</v>
      </c>
      <c r="I766">
        <f t="shared" si="70"/>
        <v>1</v>
      </c>
      <c r="J766">
        <f>VLOOKUP(A766,'Housing Cost Calc'!$A$2:$C$827,3,FALSE)</f>
        <v>2291</v>
      </c>
      <c r="K766">
        <f t="shared" si="71"/>
        <v>0.29831394513828041</v>
      </c>
    </row>
    <row r="767" spans="1:11" ht="64" x14ac:dyDescent="0.2">
      <c r="A767" s="4" t="s">
        <v>3065</v>
      </c>
      <c r="B767">
        <v>144886</v>
      </c>
      <c r="C767">
        <v>2.46</v>
      </c>
      <c r="D767">
        <f t="shared" si="66"/>
        <v>92375.939648894826</v>
      </c>
      <c r="E767">
        <f t="shared" si="67"/>
        <v>92.375939648894828</v>
      </c>
      <c r="F767" s="7">
        <v>0.93074119076549211</v>
      </c>
      <c r="G767">
        <f t="shared" si="68"/>
        <v>5</v>
      </c>
      <c r="H767" s="7">
        <f t="shared" si="69"/>
        <v>6.925880923450789E-2</v>
      </c>
      <c r="I767">
        <f t="shared" si="70"/>
        <v>1</v>
      </c>
      <c r="J767">
        <f>VLOOKUP(A767,'Housing Cost Calc'!$A$2:$C$827,3,FALSE)</f>
        <v>1967</v>
      </c>
      <c r="K767">
        <f t="shared" si="71"/>
        <v>0.25552108146033237</v>
      </c>
    </row>
    <row r="768" spans="1:11" ht="64" x14ac:dyDescent="0.2">
      <c r="A768" s="4" t="s">
        <v>3241</v>
      </c>
      <c r="B768">
        <v>153878</v>
      </c>
      <c r="C768">
        <v>2.77</v>
      </c>
      <c r="D768">
        <f t="shared" si="66"/>
        <v>92456.329595709496</v>
      </c>
      <c r="E768">
        <f t="shared" si="67"/>
        <v>92.456329595709491</v>
      </c>
      <c r="F768" s="7">
        <v>0.93195625759416767</v>
      </c>
      <c r="G768">
        <f t="shared" si="68"/>
        <v>5</v>
      </c>
      <c r="H768" s="7">
        <f t="shared" si="69"/>
        <v>6.804374240583233E-2</v>
      </c>
      <c r="I768">
        <f t="shared" si="70"/>
        <v>1</v>
      </c>
      <c r="J768">
        <f>VLOOKUP(A768,'Housing Cost Calc'!$A$2:$C$827,3,FALSE)</f>
        <v>2253</v>
      </c>
      <c r="K768">
        <f t="shared" si="71"/>
        <v>0.29241913580413886</v>
      </c>
    </row>
    <row r="769" spans="1:11" ht="48" x14ac:dyDescent="0.2">
      <c r="A769" s="4" t="s">
        <v>3440</v>
      </c>
      <c r="B769">
        <v>141765</v>
      </c>
      <c r="C769">
        <v>2.34</v>
      </c>
      <c r="D769">
        <f t="shared" si="66"/>
        <v>92674.67965954887</v>
      </c>
      <c r="E769">
        <f t="shared" si="67"/>
        <v>92.674679659548872</v>
      </c>
      <c r="F769" s="7">
        <v>0.93317132442284323</v>
      </c>
      <c r="G769">
        <f t="shared" si="68"/>
        <v>5</v>
      </c>
      <c r="H769" s="7">
        <f t="shared" si="69"/>
        <v>6.6828675577156771E-2</v>
      </c>
      <c r="I769">
        <f t="shared" si="70"/>
        <v>1</v>
      </c>
      <c r="J769">
        <f>VLOOKUP(A769,'Housing Cost Calc'!$A$2:$C$827,3,FALSE)</f>
        <v>2426</v>
      </c>
      <c r="K769">
        <f t="shared" si="71"/>
        <v>0.3141311101041438</v>
      </c>
    </row>
    <row r="770" spans="1:11" ht="48" x14ac:dyDescent="0.2">
      <c r="A770" s="4" t="s">
        <v>3678</v>
      </c>
      <c r="B770">
        <v>163438</v>
      </c>
      <c r="C770">
        <v>2.99</v>
      </c>
      <c r="D770">
        <f t="shared" ref="D770:D833" si="72">(B770/(C770)^0.5)</f>
        <v>94518.635850698367</v>
      </c>
      <c r="E770">
        <f t="shared" ref="E770:E833" si="73">D770/1000</f>
        <v>94.518635850698374</v>
      </c>
      <c r="F770" s="7">
        <v>0.93438639125151879</v>
      </c>
      <c r="G770">
        <f t="shared" si="68"/>
        <v>5</v>
      </c>
      <c r="H770" s="7">
        <f t="shared" si="69"/>
        <v>6.5613608748481211E-2</v>
      </c>
      <c r="I770">
        <f t="shared" si="70"/>
        <v>1</v>
      </c>
      <c r="J770">
        <f>VLOOKUP(A770,'Housing Cost Calc'!$A$2:$C$827,3,FALSE)</f>
        <v>2692</v>
      </c>
      <c r="K770">
        <f t="shared" si="71"/>
        <v>0.34177387040400581</v>
      </c>
    </row>
    <row r="771" spans="1:11" ht="64" x14ac:dyDescent="0.2">
      <c r="A771" s="4" t="s">
        <v>3263</v>
      </c>
      <c r="B771">
        <v>169688</v>
      </c>
      <c r="C771">
        <v>3.17</v>
      </c>
      <c r="D771">
        <f t="shared" si="72"/>
        <v>95306.275912928046</v>
      </c>
      <c r="E771">
        <f t="shared" si="73"/>
        <v>95.306275912928044</v>
      </c>
      <c r="F771" s="7">
        <v>0.93560145808019446</v>
      </c>
      <c r="G771">
        <f t="shared" ref="G771:G834" si="74">IF(F771&lt;0.2,1,IF(F771&lt;0.4,2,IF(F771&lt;0.6,3,IF(F771&lt;0.8,4,5))))</f>
        <v>5</v>
      </c>
      <c r="H771" s="7">
        <f t="shared" ref="H771:H834" si="75">1-F771</f>
        <v>6.4398541919805541E-2</v>
      </c>
      <c r="I771">
        <f t="shared" ref="I771:I834" si="76">6-G771</f>
        <v>1</v>
      </c>
      <c r="J771">
        <f>VLOOKUP(A771,'Housing Cost Calc'!$A$2:$C$827,3,FALSE)</f>
        <v>2347</v>
      </c>
      <c r="K771">
        <f t="shared" ref="K771:K834" si="77">(J771*12)/D771</f>
        <v>0.29551044493366496</v>
      </c>
    </row>
    <row r="772" spans="1:11" ht="64" x14ac:dyDescent="0.2">
      <c r="A772" s="4" t="s">
        <v>3838</v>
      </c>
      <c r="B772">
        <v>166677</v>
      </c>
      <c r="C772">
        <v>3.05</v>
      </c>
      <c r="D772">
        <f t="shared" si="72"/>
        <v>95438.972568432611</v>
      </c>
      <c r="E772">
        <f t="shared" si="73"/>
        <v>95.438972568432618</v>
      </c>
      <c r="F772" s="7">
        <v>0.93681652490887002</v>
      </c>
      <c r="G772">
        <f t="shared" si="74"/>
        <v>5</v>
      </c>
      <c r="H772" s="7">
        <f t="shared" si="75"/>
        <v>6.3183475091129981E-2</v>
      </c>
      <c r="I772">
        <f t="shared" si="76"/>
        <v>1</v>
      </c>
      <c r="J772">
        <f>VLOOKUP(A772,'Housing Cost Calc'!$A$2:$C$827,3,FALSE)</f>
        <v>3214</v>
      </c>
      <c r="K772">
        <f t="shared" si="77"/>
        <v>0.40411164288619711</v>
      </c>
    </row>
    <row r="773" spans="1:11" ht="48" x14ac:dyDescent="0.2">
      <c r="A773" s="4" t="s">
        <v>3794</v>
      </c>
      <c r="B773">
        <v>159338</v>
      </c>
      <c r="C773">
        <v>2.75</v>
      </c>
      <c r="D773">
        <f t="shared" si="72"/>
        <v>96084.429244663406</v>
      </c>
      <c r="E773">
        <f t="shared" si="73"/>
        <v>96.084429244663411</v>
      </c>
      <c r="F773" s="7">
        <v>0.93803159173754558</v>
      </c>
      <c r="G773">
        <f t="shared" si="74"/>
        <v>5</v>
      </c>
      <c r="H773" s="7">
        <f t="shared" si="75"/>
        <v>6.1968408262454422E-2</v>
      </c>
      <c r="I773">
        <f t="shared" si="76"/>
        <v>1</v>
      </c>
      <c r="J773">
        <f>VLOOKUP(A773,'Housing Cost Calc'!$A$2:$C$827,3,FALSE)</f>
        <v>2946</v>
      </c>
      <c r="K773">
        <f t="shared" si="77"/>
        <v>0.36792641927426001</v>
      </c>
    </row>
    <row r="774" spans="1:11" ht="48" x14ac:dyDescent="0.2">
      <c r="A774" s="4" t="s">
        <v>3340</v>
      </c>
      <c r="B774">
        <v>164063</v>
      </c>
      <c r="C774">
        <v>2.89</v>
      </c>
      <c r="D774">
        <f t="shared" si="72"/>
        <v>96507.647058823539</v>
      </c>
      <c r="E774">
        <f t="shared" si="73"/>
        <v>96.507647058823537</v>
      </c>
      <c r="F774" s="7">
        <v>0.93924665856622114</v>
      </c>
      <c r="G774">
        <f t="shared" si="74"/>
        <v>5</v>
      </c>
      <c r="H774" s="7">
        <f t="shared" si="75"/>
        <v>6.0753341433778862E-2</v>
      </c>
      <c r="I774">
        <f t="shared" si="76"/>
        <v>1</v>
      </c>
      <c r="J774">
        <f>VLOOKUP(A774,'Housing Cost Calc'!$A$2:$C$827,3,FALSE)</f>
        <v>2436</v>
      </c>
      <c r="K774">
        <f t="shared" si="77"/>
        <v>0.30289827688144183</v>
      </c>
    </row>
    <row r="775" spans="1:11" ht="64" x14ac:dyDescent="0.2">
      <c r="A775" s="4" t="s">
        <v>3267</v>
      </c>
      <c r="B775">
        <v>168672</v>
      </c>
      <c r="C775">
        <v>3.01</v>
      </c>
      <c r="D775">
        <f t="shared" si="72"/>
        <v>97220.924535008729</v>
      </c>
      <c r="E775">
        <f t="shared" si="73"/>
        <v>97.220924535008734</v>
      </c>
      <c r="F775" s="7">
        <v>0.9404617253948967</v>
      </c>
      <c r="G775">
        <f t="shared" si="74"/>
        <v>5</v>
      </c>
      <c r="H775" s="7">
        <f t="shared" si="75"/>
        <v>5.9538274605103303E-2</v>
      </c>
      <c r="I775">
        <f t="shared" si="76"/>
        <v>1</v>
      </c>
      <c r="J775">
        <f>VLOOKUP(A775,'Housing Cost Calc'!$A$2:$C$827,3,FALSE)</f>
        <v>2397</v>
      </c>
      <c r="K775">
        <f t="shared" si="77"/>
        <v>0.29586223477685852</v>
      </c>
    </row>
    <row r="776" spans="1:11" ht="48" x14ac:dyDescent="0.2">
      <c r="A776" s="4" t="s">
        <v>3703</v>
      </c>
      <c r="B776">
        <v>166908</v>
      </c>
      <c r="C776">
        <v>2.89</v>
      </c>
      <c r="D776">
        <f t="shared" si="72"/>
        <v>98181.176470588238</v>
      </c>
      <c r="E776">
        <f t="shared" si="73"/>
        <v>98.181176470588241</v>
      </c>
      <c r="F776" s="7">
        <v>0.94167679222357226</v>
      </c>
      <c r="G776">
        <f t="shared" si="74"/>
        <v>5</v>
      </c>
      <c r="H776" s="7">
        <f t="shared" si="75"/>
        <v>5.8323207776427743E-2</v>
      </c>
      <c r="I776">
        <f t="shared" si="76"/>
        <v>1</v>
      </c>
      <c r="J776">
        <f>VLOOKUP(A776,'Housing Cost Calc'!$A$2:$C$827,3,FALSE)</f>
        <v>2824</v>
      </c>
      <c r="K776">
        <f t="shared" si="77"/>
        <v>0.34515781148896396</v>
      </c>
    </row>
    <row r="777" spans="1:11" ht="48" x14ac:dyDescent="0.2">
      <c r="A777" s="4" t="s">
        <v>3522</v>
      </c>
      <c r="B777">
        <v>167400</v>
      </c>
      <c r="C777">
        <v>2.88</v>
      </c>
      <c r="D777">
        <f t="shared" si="72"/>
        <v>98641.395975523381</v>
      </c>
      <c r="E777">
        <f t="shared" si="73"/>
        <v>98.64139597552338</v>
      </c>
      <c r="F777" s="7">
        <v>0.94289185905224793</v>
      </c>
      <c r="G777">
        <f t="shared" si="74"/>
        <v>5</v>
      </c>
      <c r="H777" s="7">
        <f t="shared" si="75"/>
        <v>5.7108140947752073E-2</v>
      </c>
      <c r="I777">
        <f t="shared" si="76"/>
        <v>1</v>
      </c>
      <c r="J777">
        <f>VLOOKUP(A777,'Housing Cost Calc'!$A$2:$C$827,3,FALSE)</f>
        <v>2642</v>
      </c>
      <c r="K777">
        <f t="shared" si="77"/>
        <v>0.32140664359481436</v>
      </c>
    </row>
    <row r="778" spans="1:11" ht="48" x14ac:dyDescent="0.2">
      <c r="A778" s="4" t="s">
        <v>3837</v>
      </c>
      <c r="B778">
        <v>170972</v>
      </c>
      <c r="C778">
        <v>2.98</v>
      </c>
      <c r="D778">
        <f t="shared" si="72"/>
        <v>99041.420363658995</v>
      </c>
      <c r="E778">
        <f t="shared" si="73"/>
        <v>99.041420363659</v>
      </c>
      <c r="F778" s="7">
        <v>0.94410692588092349</v>
      </c>
      <c r="G778">
        <f t="shared" si="74"/>
        <v>5</v>
      </c>
      <c r="H778" s="7">
        <f t="shared" si="75"/>
        <v>5.5893074119076513E-2</v>
      </c>
      <c r="I778">
        <f t="shared" si="76"/>
        <v>1</v>
      </c>
      <c r="J778">
        <f>VLOOKUP(A778,'Housing Cost Calc'!$A$2:$C$827,3,FALSE)</f>
        <v>3328</v>
      </c>
      <c r="K778">
        <f t="shared" si="77"/>
        <v>0.40322523499121393</v>
      </c>
    </row>
    <row r="779" spans="1:11" ht="48" x14ac:dyDescent="0.2">
      <c r="A779" s="4" t="s">
        <v>3432</v>
      </c>
      <c r="B779">
        <v>168846</v>
      </c>
      <c r="C779">
        <v>2.8</v>
      </c>
      <c r="D779">
        <f t="shared" si="72"/>
        <v>100904.78488583751</v>
      </c>
      <c r="E779">
        <f t="shared" si="73"/>
        <v>100.9047848858375</v>
      </c>
      <c r="F779" s="7">
        <v>0.94532199270959905</v>
      </c>
      <c r="G779">
        <f t="shared" si="74"/>
        <v>5</v>
      </c>
      <c r="H779" s="7">
        <f t="shared" si="75"/>
        <v>5.4678007290400954E-2</v>
      </c>
      <c r="I779">
        <f t="shared" si="76"/>
        <v>1</v>
      </c>
      <c r="J779">
        <f>VLOOKUP(A779,'Housing Cost Calc'!$A$2:$C$827,3,FALSE)</f>
        <v>2638</v>
      </c>
      <c r="K779">
        <f t="shared" si="77"/>
        <v>0.31372149532666094</v>
      </c>
    </row>
    <row r="780" spans="1:11" ht="48" x14ac:dyDescent="0.2">
      <c r="A780" s="4" t="s">
        <v>3691</v>
      </c>
      <c r="B780">
        <v>169810</v>
      </c>
      <c r="C780">
        <v>2.77</v>
      </c>
      <c r="D780">
        <f t="shared" si="72"/>
        <v>102028.94064549467</v>
      </c>
      <c r="E780">
        <f t="shared" si="73"/>
        <v>102.02894064549467</v>
      </c>
      <c r="F780" s="7">
        <v>0.94653705953827461</v>
      </c>
      <c r="G780">
        <f t="shared" si="74"/>
        <v>5</v>
      </c>
      <c r="H780" s="7">
        <f t="shared" si="75"/>
        <v>5.3462940461725394E-2</v>
      </c>
      <c r="I780">
        <f t="shared" si="76"/>
        <v>1</v>
      </c>
      <c r="J780">
        <f>VLOOKUP(A780,'Housing Cost Calc'!$A$2:$C$827,3,FALSE)</f>
        <v>2925</v>
      </c>
      <c r="K780">
        <f t="shared" si="77"/>
        <v>0.34402003762792105</v>
      </c>
    </row>
    <row r="781" spans="1:11" ht="48" x14ac:dyDescent="0.2">
      <c r="A781" s="4" t="s">
        <v>3307</v>
      </c>
      <c r="B781">
        <v>152321</v>
      </c>
      <c r="C781">
        <v>2.2000000000000002</v>
      </c>
      <c r="D781">
        <f t="shared" si="72"/>
        <v>102694.79725026349</v>
      </c>
      <c r="E781">
        <f t="shared" si="73"/>
        <v>102.69479725026349</v>
      </c>
      <c r="F781" s="7">
        <v>0.94775212636695016</v>
      </c>
      <c r="G781">
        <f t="shared" si="74"/>
        <v>5</v>
      </c>
      <c r="H781" s="7">
        <f t="shared" si="75"/>
        <v>5.2247873633049835E-2</v>
      </c>
      <c r="I781">
        <f t="shared" si="76"/>
        <v>1</v>
      </c>
      <c r="J781">
        <f>VLOOKUP(A781,'Housing Cost Calc'!$A$2:$C$827,3,FALSE)</f>
        <v>2569</v>
      </c>
      <c r="K781">
        <f t="shared" si="77"/>
        <v>0.30019047532537879</v>
      </c>
    </row>
    <row r="782" spans="1:11" ht="48" x14ac:dyDescent="0.2">
      <c r="A782" s="4" t="s">
        <v>3581</v>
      </c>
      <c r="B782">
        <v>175000</v>
      </c>
      <c r="C782">
        <v>2.87</v>
      </c>
      <c r="D782">
        <f t="shared" si="72"/>
        <v>103299.23381766718</v>
      </c>
      <c r="E782">
        <f t="shared" si="73"/>
        <v>103.29923381766717</v>
      </c>
      <c r="F782" s="7">
        <v>0.94896719319562572</v>
      </c>
      <c r="G782">
        <f t="shared" si="74"/>
        <v>5</v>
      </c>
      <c r="H782" s="7">
        <f t="shared" si="75"/>
        <v>5.1032806804374276E-2</v>
      </c>
      <c r="I782">
        <f t="shared" si="76"/>
        <v>1</v>
      </c>
      <c r="J782">
        <f>VLOOKUP(A782,'Housing Cost Calc'!$A$2:$C$827,3,FALSE)</f>
        <v>2833</v>
      </c>
      <c r="K782">
        <f t="shared" si="77"/>
        <v>0.32910215055424441</v>
      </c>
    </row>
    <row r="783" spans="1:11" ht="64" x14ac:dyDescent="0.2">
      <c r="A783" s="4" t="s">
        <v>3817</v>
      </c>
      <c r="B783">
        <v>176875</v>
      </c>
      <c r="C783">
        <v>2.93</v>
      </c>
      <c r="D783">
        <f t="shared" si="72"/>
        <v>103331.4783174169</v>
      </c>
      <c r="E783">
        <f t="shared" si="73"/>
        <v>103.3314783174169</v>
      </c>
      <c r="F783" s="7">
        <v>0.95018226002430128</v>
      </c>
      <c r="G783">
        <f t="shared" si="74"/>
        <v>5</v>
      </c>
      <c r="H783" s="7">
        <f t="shared" si="75"/>
        <v>4.9817739975698716E-2</v>
      </c>
      <c r="I783">
        <f t="shared" si="76"/>
        <v>1</v>
      </c>
      <c r="J783">
        <f>VLOOKUP(A783,'Housing Cost Calc'!$A$2:$C$827,3,FALSE)</f>
        <v>3267</v>
      </c>
      <c r="K783">
        <f t="shared" si="77"/>
        <v>0.37940035929392119</v>
      </c>
    </row>
    <row r="784" spans="1:11" ht="48" x14ac:dyDescent="0.2">
      <c r="A784" s="4" t="s">
        <v>3037</v>
      </c>
      <c r="B784">
        <v>172031</v>
      </c>
      <c r="C784">
        <v>2.77</v>
      </c>
      <c r="D784">
        <f t="shared" si="72"/>
        <v>103363.41021250277</v>
      </c>
      <c r="E784">
        <f t="shared" si="73"/>
        <v>103.36341021250277</v>
      </c>
      <c r="F784" s="7">
        <v>0.95139732685297695</v>
      </c>
      <c r="G784">
        <f t="shared" si="74"/>
        <v>5</v>
      </c>
      <c r="H784" s="7">
        <f t="shared" si="75"/>
        <v>4.8602673147023046E-2</v>
      </c>
      <c r="I784">
        <f t="shared" si="76"/>
        <v>1</v>
      </c>
      <c r="J784">
        <f>VLOOKUP(A784,'Housing Cost Calc'!$A$2:$C$827,3,FALSE)</f>
        <v>2065</v>
      </c>
      <c r="K784">
        <f t="shared" si="77"/>
        <v>0.23973667228137396</v>
      </c>
    </row>
    <row r="785" spans="1:11" ht="48" x14ac:dyDescent="0.2">
      <c r="A785" s="4" t="s">
        <v>3740</v>
      </c>
      <c r="B785">
        <v>171250</v>
      </c>
      <c r="C785">
        <v>2.73</v>
      </c>
      <c r="D785">
        <f t="shared" si="72"/>
        <v>103645.21496953242</v>
      </c>
      <c r="E785">
        <f t="shared" si="73"/>
        <v>103.64521496953242</v>
      </c>
      <c r="F785" s="7">
        <v>0.95261239368165251</v>
      </c>
      <c r="G785">
        <f t="shared" si="74"/>
        <v>5</v>
      </c>
      <c r="H785" s="7">
        <f t="shared" si="75"/>
        <v>4.7387606318347486E-2</v>
      </c>
      <c r="I785">
        <f t="shared" si="76"/>
        <v>1</v>
      </c>
      <c r="J785">
        <f>VLOOKUP(A785,'Housing Cost Calc'!$A$2:$C$827,3,FALSE)</f>
        <v>3043</v>
      </c>
      <c r="K785">
        <f t="shared" si="77"/>
        <v>0.35231727784764838</v>
      </c>
    </row>
    <row r="786" spans="1:11" ht="48" x14ac:dyDescent="0.2">
      <c r="A786" s="4" t="s">
        <v>3597</v>
      </c>
      <c r="B786">
        <v>180694</v>
      </c>
      <c r="C786">
        <v>3.01</v>
      </c>
      <c r="D786">
        <f t="shared" si="72"/>
        <v>104150.29013664904</v>
      </c>
      <c r="E786">
        <f t="shared" si="73"/>
        <v>104.15029013664903</v>
      </c>
      <c r="F786" s="7">
        <v>0.95382746051032807</v>
      </c>
      <c r="G786">
        <f t="shared" si="74"/>
        <v>5</v>
      </c>
      <c r="H786" s="7">
        <f t="shared" si="75"/>
        <v>4.6172539489671927E-2</v>
      </c>
      <c r="I786">
        <f t="shared" si="76"/>
        <v>1</v>
      </c>
      <c r="J786">
        <f>VLOOKUP(A786,'Housing Cost Calc'!$A$2:$C$827,3,FALSE)</f>
        <v>2864</v>
      </c>
      <c r="K786">
        <f t="shared" si="77"/>
        <v>0.3299846784383213</v>
      </c>
    </row>
    <row r="787" spans="1:11" ht="64" x14ac:dyDescent="0.2">
      <c r="A787" s="4" t="s">
        <v>3109</v>
      </c>
      <c r="B787">
        <v>174375</v>
      </c>
      <c r="C787">
        <v>2.7</v>
      </c>
      <c r="D787">
        <f t="shared" si="72"/>
        <v>106121.24551662593</v>
      </c>
      <c r="E787">
        <f t="shared" si="73"/>
        <v>106.12124551662593</v>
      </c>
      <c r="F787" s="7">
        <v>0.95504252733900363</v>
      </c>
      <c r="G787">
        <f t="shared" si="74"/>
        <v>5</v>
      </c>
      <c r="H787" s="7">
        <f t="shared" si="75"/>
        <v>4.4957472660996367E-2</v>
      </c>
      <c r="I787">
        <f t="shared" si="76"/>
        <v>1</v>
      </c>
      <c r="J787">
        <f>VLOOKUP(A787,'Housing Cost Calc'!$A$2:$C$827,3,FALSE)</f>
        <v>2346</v>
      </c>
      <c r="K787">
        <f t="shared" si="77"/>
        <v>0.26528146991630858</v>
      </c>
    </row>
    <row r="788" spans="1:11" ht="48" x14ac:dyDescent="0.2">
      <c r="A788" s="4" t="s">
        <v>3614</v>
      </c>
      <c r="B788">
        <v>177361</v>
      </c>
      <c r="C788">
        <v>2.78</v>
      </c>
      <c r="D788">
        <f t="shared" si="72"/>
        <v>106374.05888296926</v>
      </c>
      <c r="E788">
        <f t="shared" si="73"/>
        <v>106.37405888296925</v>
      </c>
      <c r="F788" s="7">
        <v>0.95625759416767919</v>
      </c>
      <c r="G788">
        <f t="shared" si="74"/>
        <v>5</v>
      </c>
      <c r="H788" s="7">
        <f t="shared" si="75"/>
        <v>4.3742405832320808E-2</v>
      </c>
      <c r="I788">
        <f t="shared" si="76"/>
        <v>1</v>
      </c>
      <c r="J788">
        <f>VLOOKUP(A788,'Housing Cost Calc'!$A$2:$C$827,3,FALSE)</f>
        <v>2944</v>
      </c>
      <c r="K788">
        <f t="shared" si="77"/>
        <v>0.33211104634887723</v>
      </c>
    </row>
    <row r="789" spans="1:11" ht="48" x14ac:dyDescent="0.2">
      <c r="A789" s="4" t="s">
        <v>3321</v>
      </c>
      <c r="B789">
        <v>178696</v>
      </c>
      <c r="C789">
        <v>2.81</v>
      </c>
      <c r="D789">
        <f t="shared" si="72"/>
        <v>106601.0963468423</v>
      </c>
      <c r="E789">
        <f t="shared" si="73"/>
        <v>106.6010963468423</v>
      </c>
      <c r="F789" s="7">
        <v>0.95747266099635475</v>
      </c>
      <c r="G789">
        <f t="shared" si="74"/>
        <v>5</v>
      </c>
      <c r="H789" s="7">
        <f t="shared" si="75"/>
        <v>4.2527339003645248E-2</v>
      </c>
      <c r="I789">
        <f t="shared" si="76"/>
        <v>1</v>
      </c>
      <c r="J789">
        <f>VLOOKUP(A789,'Housing Cost Calc'!$A$2:$C$827,3,FALSE)</f>
        <v>2676</v>
      </c>
      <c r="K789">
        <f t="shared" si="77"/>
        <v>0.30123517581394188</v>
      </c>
    </row>
    <row r="790" spans="1:11" ht="48" x14ac:dyDescent="0.2">
      <c r="A790" s="4" t="s">
        <v>3840</v>
      </c>
      <c r="B790">
        <v>192222</v>
      </c>
      <c r="C790">
        <v>3.19</v>
      </c>
      <c r="D790">
        <f t="shared" si="72"/>
        <v>107623.65824095623</v>
      </c>
      <c r="E790">
        <f t="shared" si="73"/>
        <v>107.62365824095623</v>
      </c>
      <c r="F790" s="7">
        <v>0.95868772782503042</v>
      </c>
      <c r="G790">
        <f t="shared" si="74"/>
        <v>5</v>
      </c>
      <c r="H790" s="7">
        <f t="shared" si="75"/>
        <v>4.1312272174969578E-2</v>
      </c>
      <c r="I790">
        <f t="shared" si="76"/>
        <v>1</v>
      </c>
      <c r="J790">
        <f>VLOOKUP(A790,'Housing Cost Calc'!$A$2:$C$827,3,FALSE)</f>
        <v>3654</v>
      </c>
      <c r="K790">
        <f t="shared" si="77"/>
        <v>0.40741971344097672</v>
      </c>
    </row>
    <row r="791" spans="1:11" ht="48" x14ac:dyDescent="0.2">
      <c r="A791" s="4" t="s">
        <v>3662</v>
      </c>
      <c r="B791">
        <v>175972</v>
      </c>
      <c r="C791">
        <v>2.66</v>
      </c>
      <c r="D791">
        <f t="shared" si="72"/>
        <v>107895.35584784839</v>
      </c>
      <c r="E791">
        <f t="shared" si="73"/>
        <v>107.89535584784839</v>
      </c>
      <c r="F791" s="7">
        <v>0.95990279465370598</v>
      </c>
      <c r="G791">
        <f t="shared" si="74"/>
        <v>5</v>
      </c>
      <c r="H791" s="7">
        <f t="shared" si="75"/>
        <v>4.0097205346294018E-2</v>
      </c>
      <c r="I791">
        <f t="shared" si="76"/>
        <v>1</v>
      </c>
      <c r="J791">
        <f>VLOOKUP(A791,'Housing Cost Calc'!$A$2:$C$827,3,FALSE)</f>
        <v>3048</v>
      </c>
      <c r="K791">
        <f t="shared" si="77"/>
        <v>0.33899512831283168</v>
      </c>
    </row>
    <row r="792" spans="1:11" ht="48" x14ac:dyDescent="0.2">
      <c r="A792" s="4" t="s">
        <v>3115</v>
      </c>
      <c r="B792">
        <v>179821</v>
      </c>
      <c r="C792">
        <v>2.76</v>
      </c>
      <c r="D792">
        <f t="shared" si="72"/>
        <v>108239.52243868052</v>
      </c>
      <c r="E792">
        <f t="shared" si="73"/>
        <v>108.23952243868052</v>
      </c>
      <c r="F792" s="7">
        <v>0.96111786148238154</v>
      </c>
      <c r="G792">
        <f t="shared" si="74"/>
        <v>5</v>
      </c>
      <c r="H792" s="7">
        <f t="shared" si="75"/>
        <v>3.8882138517618459E-2</v>
      </c>
      <c r="I792">
        <f t="shared" si="76"/>
        <v>1</v>
      </c>
      <c r="J792">
        <f>VLOOKUP(A792,'Housing Cost Calc'!$A$2:$C$827,3,FALSE)</f>
        <v>2397</v>
      </c>
      <c r="K792">
        <f t="shared" si="77"/>
        <v>0.26574396626976327</v>
      </c>
    </row>
    <row r="793" spans="1:11" ht="48" x14ac:dyDescent="0.2">
      <c r="A793" s="4" t="s">
        <v>3723</v>
      </c>
      <c r="B793">
        <v>191524</v>
      </c>
      <c r="C793">
        <v>3.04</v>
      </c>
      <c r="D793">
        <f t="shared" si="72"/>
        <v>109846.54753456368</v>
      </c>
      <c r="E793">
        <f t="shared" si="73"/>
        <v>109.84654753456368</v>
      </c>
      <c r="F793" s="7">
        <v>0.9623329283110571</v>
      </c>
      <c r="G793">
        <f t="shared" si="74"/>
        <v>5</v>
      </c>
      <c r="H793" s="7">
        <f t="shared" si="75"/>
        <v>3.7667071688942899E-2</v>
      </c>
      <c r="I793">
        <f t="shared" si="76"/>
        <v>1</v>
      </c>
      <c r="J793">
        <f>VLOOKUP(A793,'Housing Cost Calc'!$A$2:$C$827,3,FALSE)</f>
        <v>3201</v>
      </c>
      <c r="K793">
        <f t="shared" si="77"/>
        <v>0.34968782234975115</v>
      </c>
    </row>
    <row r="794" spans="1:11" ht="64" x14ac:dyDescent="0.2">
      <c r="A794" s="4" t="s">
        <v>3167</v>
      </c>
      <c r="B794">
        <v>195357</v>
      </c>
      <c r="C794">
        <v>3.16</v>
      </c>
      <c r="D794">
        <f t="shared" si="72"/>
        <v>109896.89853060263</v>
      </c>
      <c r="E794">
        <f t="shared" si="73"/>
        <v>109.89689853060263</v>
      </c>
      <c r="F794" s="7">
        <v>0.96354799513973266</v>
      </c>
      <c r="G794">
        <f t="shared" si="74"/>
        <v>5</v>
      </c>
      <c r="H794" s="7">
        <f t="shared" si="75"/>
        <v>3.645200486026734E-2</v>
      </c>
      <c r="I794">
        <f t="shared" si="76"/>
        <v>1</v>
      </c>
      <c r="J794">
        <f>VLOOKUP(A794,'Housing Cost Calc'!$A$2:$C$827,3,FALSE)</f>
        <v>2589</v>
      </c>
      <c r="K794">
        <f t="shared" si="77"/>
        <v>0.28270133566461475</v>
      </c>
    </row>
    <row r="795" spans="1:11" ht="48" x14ac:dyDescent="0.2">
      <c r="A795" s="4" t="s">
        <v>3463</v>
      </c>
      <c r="B795">
        <v>186324</v>
      </c>
      <c r="C795">
        <v>2.77</v>
      </c>
      <c r="D795">
        <f t="shared" si="72"/>
        <v>111951.24160432926</v>
      </c>
      <c r="E795">
        <f t="shared" si="73"/>
        <v>111.95124160432925</v>
      </c>
      <c r="F795" s="7">
        <v>0.96476306196840822</v>
      </c>
      <c r="G795">
        <f t="shared" si="74"/>
        <v>5</v>
      </c>
      <c r="H795" s="7">
        <f t="shared" si="75"/>
        <v>3.523693803159178E-2</v>
      </c>
      <c r="I795">
        <f t="shared" si="76"/>
        <v>1</v>
      </c>
      <c r="J795">
        <f>VLOOKUP(A795,'Housing Cost Calc'!$A$2:$C$827,3,FALSE)</f>
        <v>2959</v>
      </c>
      <c r="K795">
        <f t="shared" si="77"/>
        <v>0.31717379361897913</v>
      </c>
    </row>
    <row r="796" spans="1:11" ht="48" x14ac:dyDescent="0.2">
      <c r="A796" s="4" t="s">
        <v>3733</v>
      </c>
      <c r="B796">
        <v>195250</v>
      </c>
      <c r="C796">
        <v>2.92</v>
      </c>
      <c r="D796">
        <f t="shared" si="72"/>
        <v>114261.41995022247</v>
      </c>
      <c r="E796">
        <f t="shared" si="73"/>
        <v>114.26141995022246</v>
      </c>
      <c r="F796" s="7">
        <v>0.96597812879708389</v>
      </c>
      <c r="G796">
        <f t="shared" si="74"/>
        <v>5</v>
      </c>
      <c r="H796" s="7">
        <f t="shared" si="75"/>
        <v>3.402187120291611E-2</v>
      </c>
      <c r="I796">
        <f t="shared" si="76"/>
        <v>1</v>
      </c>
      <c r="J796">
        <f>VLOOKUP(A796,'Housing Cost Calc'!$A$2:$C$827,3,FALSE)</f>
        <v>3341</v>
      </c>
      <c r="K796">
        <f t="shared" si="77"/>
        <v>0.35087958838132699</v>
      </c>
    </row>
    <row r="797" spans="1:11" ht="48" x14ac:dyDescent="0.2">
      <c r="A797" s="4" t="s">
        <v>3845</v>
      </c>
      <c r="B797">
        <v>189712</v>
      </c>
      <c r="C797">
        <v>2.71</v>
      </c>
      <c r="D797">
        <f t="shared" si="72"/>
        <v>115241.83291295107</v>
      </c>
      <c r="E797">
        <f t="shared" si="73"/>
        <v>115.24183291295107</v>
      </c>
      <c r="F797" s="7">
        <v>0.96719319562575945</v>
      </c>
      <c r="G797">
        <f t="shared" si="74"/>
        <v>5</v>
      </c>
      <c r="H797" s="7">
        <f t="shared" si="75"/>
        <v>3.280680437424055E-2</v>
      </c>
      <c r="I797">
        <f t="shared" si="76"/>
        <v>1</v>
      </c>
      <c r="J797">
        <f>VLOOKUP(A797,'Housing Cost Calc'!$A$2:$C$827,3,FALSE)</f>
        <v>4000</v>
      </c>
      <c r="K797">
        <f t="shared" si="77"/>
        <v>0.41651541620530474</v>
      </c>
    </row>
    <row r="798" spans="1:11" ht="48" x14ac:dyDescent="0.2">
      <c r="A798" s="4" t="s">
        <v>3695</v>
      </c>
      <c r="B798">
        <v>196250</v>
      </c>
      <c r="C798">
        <v>2.86</v>
      </c>
      <c r="D798">
        <f t="shared" si="72"/>
        <v>116045.05771285747</v>
      </c>
      <c r="E798">
        <f t="shared" si="73"/>
        <v>116.04505771285747</v>
      </c>
      <c r="F798" s="7">
        <v>0.96840826245443501</v>
      </c>
      <c r="G798">
        <f t="shared" si="74"/>
        <v>5</v>
      </c>
      <c r="H798" s="7">
        <f t="shared" si="75"/>
        <v>3.1591737545564991E-2</v>
      </c>
      <c r="I798">
        <f t="shared" si="76"/>
        <v>1</v>
      </c>
      <c r="J798">
        <f>VLOOKUP(A798,'Housing Cost Calc'!$A$2:$C$827,3,FALSE)</f>
        <v>3331</v>
      </c>
      <c r="K798">
        <f t="shared" si="77"/>
        <v>0.34445241174257452</v>
      </c>
    </row>
    <row r="799" spans="1:11" ht="48" x14ac:dyDescent="0.2">
      <c r="A799" s="4" t="s">
        <v>3081</v>
      </c>
      <c r="B799">
        <v>174712</v>
      </c>
      <c r="C799">
        <v>2.2400000000000002</v>
      </c>
      <c r="D799">
        <f t="shared" si="72"/>
        <v>116734.36524250872</v>
      </c>
      <c r="E799">
        <f t="shared" si="73"/>
        <v>116.73436524250872</v>
      </c>
      <c r="F799" s="7">
        <v>0.96962332928311057</v>
      </c>
      <c r="G799">
        <f t="shared" si="74"/>
        <v>5</v>
      </c>
      <c r="H799" s="7">
        <f t="shared" si="75"/>
        <v>3.0376670716889431E-2</v>
      </c>
      <c r="I799">
        <f t="shared" si="76"/>
        <v>1</v>
      </c>
      <c r="J799">
        <f>VLOOKUP(A799,'Housing Cost Calc'!$A$2:$C$827,3,FALSE)</f>
        <v>2525</v>
      </c>
      <c r="K799">
        <f t="shared" si="77"/>
        <v>0.25956366779442835</v>
      </c>
    </row>
    <row r="800" spans="1:11" ht="48" x14ac:dyDescent="0.2">
      <c r="A800" s="4" t="s">
        <v>3715</v>
      </c>
      <c r="B800">
        <v>198281</v>
      </c>
      <c r="C800">
        <v>2.83</v>
      </c>
      <c r="D800">
        <f t="shared" si="72"/>
        <v>117865.82022081333</v>
      </c>
      <c r="E800">
        <f t="shared" si="73"/>
        <v>117.86582022081333</v>
      </c>
      <c r="F800" s="7">
        <v>0.97083839611178613</v>
      </c>
      <c r="G800">
        <f t="shared" si="74"/>
        <v>5</v>
      </c>
      <c r="H800" s="7">
        <f t="shared" si="75"/>
        <v>2.9161603888213872E-2</v>
      </c>
      <c r="I800">
        <f t="shared" si="76"/>
        <v>1</v>
      </c>
      <c r="J800">
        <f>VLOOKUP(A800,'Housing Cost Calc'!$A$2:$C$827,3,FALSE)</f>
        <v>3417</v>
      </c>
      <c r="K800">
        <f t="shared" si="77"/>
        <v>0.34788711369574221</v>
      </c>
    </row>
    <row r="801" spans="1:11" ht="48" x14ac:dyDescent="0.2">
      <c r="A801" s="4" t="s">
        <v>3839</v>
      </c>
      <c r="B801">
        <v>202500</v>
      </c>
      <c r="C801">
        <v>2.93</v>
      </c>
      <c r="D801">
        <f t="shared" si="72"/>
        <v>118301.76316198966</v>
      </c>
      <c r="E801">
        <f t="shared" si="73"/>
        <v>118.30176316198965</v>
      </c>
      <c r="F801" s="7">
        <v>0.97205346294046169</v>
      </c>
      <c r="G801">
        <f t="shared" si="74"/>
        <v>5</v>
      </c>
      <c r="H801" s="7">
        <f t="shared" si="75"/>
        <v>2.7946537059538312E-2</v>
      </c>
      <c r="I801">
        <f t="shared" si="76"/>
        <v>1</v>
      </c>
      <c r="J801">
        <f>VLOOKUP(A801,'Housing Cost Calc'!$A$2:$C$827,3,FALSE)</f>
        <v>4000</v>
      </c>
      <c r="K801">
        <f t="shared" si="77"/>
        <v>0.4057420508118208</v>
      </c>
    </row>
    <row r="802" spans="1:11" ht="48" x14ac:dyDescent="0.2">
      <c r="A802" s="4" t="s">
        <v>3653</v>
      </c>
      <c r="B802">
        <v>216500</v>
      </c>
      <c r="C802">
        <v>3.17</v>
      </c>
      <c r="D802">
        <f t="shared" si="72"/>
        <v>121598.51453932465</v>
      </c>
      <c r="E802">
        <f t="shared" si="73"/>
        <v>121.59851453932465</v>
      </c>
      <c r="F802" s="7">
        <v>0.97326852976913725</v>
      </c>
      <c r="G802">
        <f t="shared" si="74"/>
        <v>5</v>
      </c>
      <c r="H802" s="7">
        <f t="shared" si="75"/>
        <v>2.6731470230862753E-2</v>
      </c>
      <c r="I802">
        <f t="shared" si="76"/>
        <v>1</v>
      </c>
      <c r="J802">
        <f>VLOOKUP(A802,'Housing Cost Calc'!$A$2:$C$827,3,FALSE)</f>
        <v>3418</v>
      </c>
      <c r="K802">
        <f t="shared" si="77"/>
        <v>0.33730675210457056</v>
      </c>
    </row>
    <row r="803" spans="1:11" ht="64" x14ac:dyDescent="0.2">
      <c r="A803" s="4" t="s">
        <v>3829</v>
      </c>
      <c r="B803">
        <v>219792</v>
      </c>
      <c r="C803">
        <v>3.15</v>
      </c>
      <c r="D803">
        <f t="shared" si="72"/>
        <v>123838.76263686008</v>
      </c>
      <c r="E803">
        <f t="shared" si="73"/>
        <v>123.83876263686008</v>
      </c>
      <c r="F803" s="7">
        <v>0.97448359659781292</v>
      </c>
      <c r="G803">
        <f t="shared" si="74"/>
        <v>5</v>
      </c>
      <c r="H803" s="7">
        <f t="shared" si="75"/>
        <v>2.5516403402187082E-2</v>
      </c>
      <c r="I803">
        <f t="shared" si="76"/>
        <v>1</v>
      </c>
      <c r="J803">
        <f>VLOOKUP(A803,'Housing Cost Calc'!$A$2:$C$827,3,FALSE)</f>
        <v>4000</v>
      </c>
      <c r="K803">
        <f t="shared" si="77"/>
        <v>0.3876007719873083</v>
      </c>
    </row>
    <row r="804" spans="1:11" ht="48" x14ac:dyDescent="0.2">
      <c r="A804" s="4" t="s">
        <v>3798</v>
      </c>
      <c r="B804">
        <v>229531</v>
      </c>
      <c r="C804">
        <v>3.25</v>
      </c>
      <c r="D804">
        <f t="shared" si="72"/>
        <v>127320.89073977307</v>
      </c>
      <c r="E804">
        <f t="shared" si="73"/>
        <v>127.32089073977306</v>
      </c>
      <c r="F804" s="7">
        <v>0.97569866342648848</v>
      </c>
      <c r="G804">
        <f t="shared" si="74"/>
        <v>5</v>
      </c>
      <c r="H804" s="7">
        <f t="shared" si="75"/>
        <v>2.4301336573511523E-2</v>
      </c>
      <c r="I804">
        <f t="shared" si="76"/>
        <v>1</v>
      </c>
      <c r="J804">
        <f>VLOOKUP(A804,'Housing Cost Calc'!$A$2:$C$827,3,FALSE)</f>
        <v>3941</v>
      </c>
      <c r="K804">
        <f t="shared" si="77"/>
        <v>0.37143943719855482</v>
      </c>
    </row>
    <row r="805" spans="1:11" ht="64" x14ac:dyDescent="0.2">
      <c r="A805" s="4" t="s">
        <v>3297</v>
      </c>
      <c r="B805">
        <v>222839</v>
      </c>
      <c r="C805">
        <v>2.91</v>
      </c>
      <c r="D805">
        <f t="shared" si="72"/>
        <v>130630.53526113901</v>
      </c>
      <c r="E805">
        <f t="shared" si="73"/>
        <v>130.63053526113902</v>
      </c>
      <c r="F805" s="7">
        <v>0.97691373025516404</v>
      </c>
      <c r="G805">
        <f t="shared" si="74"/>
        <v>5</v>
      </c>
      <c r="H805" s="7">
        <f t="shared" si="75"/>
        <v>2.3086269744835963E-2</v>
      </c>
      <c r="I805">
        <f t="shared" si="76"/>
        <v>1</v>
      </c>
      <c r="J805">
        <f>VLOOKUP(A805,'Housing Cost Calc'!$A$2:$C$827,3,FALSE)</f>
        <v>3250</v>
      </c>
      <c r="K805">
        <f t="shared" si="77"/>
        <v>0.29855194210171798</v>
      </c>
    </row>
    <row r="806" spans="1:11" ht="48" x14ac:dyDescent="0.2">
      <c r="A806" s="4" t="s">
        <v>3348</v>
      </c>
      <c r="B806">
        <v>236000</v>
      </c>
      <c r="C806">
        <v>3.19</v>
      </c>
      <c r="D806">
        <f t="shared" si="72"/>
        <v>132134.63258558162</v>
      </c>
      <c r="E806">
        <f t="shared" si="73"/>
        <v>132.13463258558161</v>
      </c>
      <c r="F806" s="7">
        <v>0.9781287970838396</v>
      </c>
      <c r="G806">
        <f t="shared" si="74"/>
        <v>5</v>
      </c>
      <c r="H806" s="7">
        <f t="shared" si="75"/>
        <v>2.1871202916160404E-2</v>
      </c>
      <c r="I806">
        <f t="shared" si="76"/>
        <v>1</v>
      </c>
      <c r="J806">
        <f>VLOOKUP(A806,'Housing Cost Calc'!$A$2:$C$827,3,FALSE)</f>
        <v>3348</v>
      </c>
      <c r="K806">
        <f t="shared" si="77"/>
        <v>0.3040535188530426</v>
      </c>
    </row>
    <row r="807" spans="1:11" ht="48" x14ac:dyDescent="0.2">
      <c r="A807" s="4" t="s">
        <v>3745</v>
      </c>
      <c r="B807">
        <v>250000</v>
      </c>
      <c r="C807">
        <v>3.39</v>
      </c>
      <c r="D807">
        <f t="shared" si="72"/>
        <v>135781.36164839211</v>
      </c>
      <c r="E807">
        <f t="shared" si="73"/>
        <v>135.78136164839211</v>
      </c>
      <c r="F807" s="7">
        <v>0.97934386391251516</v>
      </c>
      <c r="G807">
        <f t="shared" si="74"/>
        <v>5</v>
      </c>
      <c r="H807" s="7">
        <f t="shared" si="75"/>
        <v>2.0656136087484844E-2</v>
      </c>
      <c r="I807">
        <f t="shared" si="76"/>
        <v>1</v>
      </c>
      <c r="J807">
        <f>VLOOKUP(A807,'Housing Cost Calc'!$A$2:$C$827,3,FALSE)</f>
        <v>4000</v>
      </c>
      <c r="K807">
        <f t="shared" si="77"/>
        <v>0.35350949067882181</v>
      </c>
    </row>
    <row r="808" spans="1:11" ht="48" x14ac:dyDescent="0.2">
      <c r="A808" s="4" t="s">
        <v>3197</v>
      </c>
      <c r="B808">
        <v>219783</v>
      </c>
      <c r="C808">
        <v>2.57</v>
      </c>
      <c r="D808">
        <f t="shared" si="72"/>
        <v>137096.86866044044</v>
      </c>
      <c r="E808">
        <f t="shared" si="73"/>
        <v>137.09686866044044</v>
      </c>
      <c r="F808" s="7">
        <v>0.98055893074119072</v>
      </c>
      <c r="G808">
        <f t="shared" si="74"/>
        <v>5</v>
      </c>
      <c r="H808" s="7">
        <f t="shared" si="75"/>
        <v>1.9441069258809285E-2</v>
      </c>
      <c r="I808">
        <f t="shared" si="76"/>
        <v>1</v>
      </c>
      <c r="J808">
        <f>VLOOKUP(A808,'Housing Cost Calc'!$A$2:$C$827,3,FALSE)</f>
        <v>3273</v>
      </c>
      <c r="K808">
        <f t="shared" si="77"/>
        <v>0.28648356730362845</v>
      </c>
    </row>
    <row r="809" spans="1:11" ht="48" x14ac:dyDescent="0.2">
      <c r="A809" s="4" t="s">
        <v>3725</v>
      </c>
      <c r="B809">
        <v>250000</v>
      </c>
      <c r="C809">
        <v>3.32</v>
      </c>
      <c r="D809">
        <f t="shared" si="72"/>
        <v>137205.32498711292</v>
      </c>
      <c r="E809">
        <f t="shared" si="73"/>
        <v>137.20532498711293</v>
      </c>
      <c r="F809" s="7">
        <v>0.98177399756986639</v>
      </c>
      <c r="G809">
        <f t="shared" si="74"/>
        <v>5</v>
      </c>
      <c r="H809" s="7">
        <f t="shared" si="75"/>
        <v>1.8226002430133614E-2</v>
      </c>
      <c r="I809">
        <f t="shared" si="76"/>
        <v>1</v>
      </c>
      <c r="J809">
        <f>VLOOKUP(A809,'Housing Cost Calc'!$A$2:$C$827,3,FALSE)</f>
        <v>4000</v>
      </c>
      <c r="K809">
        <f t="shared" si="77"/>
        <v>0.34984064943914112</v>
      </c>
    </row>
    <row r="810" spans="1:11" ht="48" x14ac:dyDescent="0.2">
      <c r="A810" s="4" t="s">
        <v>3591</v>
      </c>
      <c r="B810">
        <v>242500</v>
      </c>
      <c r="C810">
        <v>3.12</v>
      </c>
      <c r="D810">
        <f t="shared" si="72"/>
        <v>137288.59039003224</v>
      </c>
      <c r="E810">
        <f t="shared" si="73"/>
        <v>137.28859039003225</v>
      </c>
      <c r="F810" s="7">
        <v>0.98298906439854195</v>
      </c>
      <c r="G810">
        <f t="shared" si="74"/>
        <v>5</v>
      </c>
      <c r="H810" s="7">
        <f t="shared" si="75"/>
        <v>1.7010935601458055E-2</v>
      </c>
      <c r="I810">
        <f t="shared" si="76"/>
        <v>1</v>
      </c>
      <c r="J810">
        <f>VLOOKUP(A810,'Housing Cost Calc'!$A$2:$C$827,3,FALSE)</f>
        <v>3773</v>
      </c>
      <c r="K810">
        <f t="shared" si="77"/>
        <v>0.32978705565679139</v>
      </c>
    </row>
    <row r="811" spans="1:11" ht="48" x14ac:dyDescent="0.2">
      <c r="A811" s="4" t="s">
        <v>3719</v>
      </c>
      <c r="B811">
        <v>250000</v>
      </c>
      <c r="C811">
        <v>3.3</v>
      </c>
      <c r="D811">
        <f t="shared" si="72"/>
        <v>137620.47064079507</v>
      </c>
      <c r="E811">
        <f t="shared" si="73"/>
        <v>137.62047064079508</v>
      </c>
      <c r="F811" s="7">
        <v>0.9842041312272175</v>
      </c>
      <c r="G811">
        <f t="shared" si="74"/>
        <v>5</v>
      </c>
      <c r="H811" s="7">
        <f t="shared" si="75"/>
        <v>1.5795868772782495E-2</v>
      </c>
      <c r="I811">
        <f t="shared" si="76"/>
        <v>1</v>
      </c>
      <c r="J811">
        <f>VLOOKUP(A811,'Housing Cost Calc'!$A$2:$C$827,3,FALSE)</f>
        <v>4000</v>
      </c>
      <c r="K811">
        <f t="shared" si="77"/>
        <v>0.34878532079203106</v>
      </c>
    </row>
    <row r="812" spans="1:11" ht="48" x14ac:dyDescent="0.2">
      <c r="A812" s="4" t="s">
        <v>3467</v>
      </c>
      <c r="B812">
        <v>233750</v>
      </c>
      <c r="C812">
        <v>2.88</v>
      </c>
      <c r="D812">
        <f t="shared" si="72"/>
        <v>137738.50841862956</v>
      </c>
      <c r="E812">
        <f t="shared" si="73"/>
        <v>137.73850841862955</v>
      </c>
      <c r="F812" s="7">
        <v>0.98541919805589306</v>
      </c>
      <c r="G812">
        <f t="shared" si="74"/>
        <v>5</v>
      </c>
      <c r="H812" s="7">
        <f t="shared" si="75"/>
        <v>1.4580801944106936E-2</v>
      </c>
      <c r="I812">
        <f t="shared" si="76"/>
        <v>1</v>
      </c>
      <c r="J812">
        <f>VLOOKUP(A812,'Housing Cost Calc'!$A$2:$C$827,3,FALSE)</f>
        <v>3644</v>
      </c>
      <c r="K812">
        <f t="shared" si="77"/>
        <v>0.3174711306376079</v>
      </c>
    </row>
    <row r="813" spans="1:11" ht="48" x14ac:dyDescent="0.2">
      <c r="A813" s="4" t="s">
        <v>3686</v>
      </c>
      <c r="B813">
        <v>250000</v>
      </c>
      <c r="C813">
        <v>3.2</v>
      </c>
      <c r="D813">
        <f t="shared" si="72"/>
        <v>139754.24859373685</v>
      </c>
      <c r="E813">
        <f t="shared" si="73"/>
        <v>139.75424859373686</v>
      </c>
      <c r="F813" s="7">
        <v>0.98663426488456862</v>
      </c>
      <c r="G813">
        <f t="shared" si="74"/>
        <v>5</v>
      </c>
      <c r="H813" s="7">
        <f t="shared" si="75"/>
        <v>1.3365735115431376E-2</v>
      </c>
      <c r="I813">
        <f t="shared" si="76"/>
        <v>1</v>
      </c>
      <c r="J813">
        <f>VLOOKUP(A813,'Housing Cost Calc'!$A$2:$C$827,3,FALSE)</f>
        <v>4000</v>
      </c>
      <c r="K813">
        <f t="shared" si="77"/>
        <v>0.34346004134396774</v>
      </c>
    </row>
    <row r="814" spans="1:11" ht="64" x14ac:dyDescent="0.2">
      <c r="A814" s="4" t="s">
        <v>3674</v>
      </c>
      <c r="B814">
        <v>250000</v>
      </c>
      <c r="C814">
        <v>3.16</v>
      </c>
      <c r="D814">
        <f t="shared" si="72"/>
        <v>140635.98761575299</v>
      </c>
      <c r="E814">
        <f t="shared" si="73"/>
        <v>140.63598761575298</v>
      </c>
      <c r="F814" s="7">
        <v>0.98784933171324418</v>
      </c>
      <c r="G814">
        <f t="shared" si="74"/>
        <v>5</v>
      </c>
      <c r="H814" s="7">
        <f t="shared" si="75"/>
        <v>1.2150668286755817E-2</v>
      </c>
      <c r="I814">
        <f t="shared" si="76"/>
        <v>1</v>
      </c>
      <c r="J814">
        <f>VLOOKUP(A814,'Housing Cost Calc'!$A$2:$C$827,3,FALSE)</f>
        <v>4000</v>
      </c>
      <c r="K814">
        <f t="shared" si="77"/>
        <v>0.34130666562491857</v>
      </c>
    </row>
    <row r="815" spans="1:11" ht="64" x14ac:dyDescent="0.2">
      <c r="A815" s="4" t="s">
        <v>3313</v>
      </c>
      <c r="B815">
        <v>250000</v>
      </c>
      <c r="C815">
        <v>3.16</v>
      </c>
      <c r="D815">
        <f t="shared" si="72"/>
        <v>140635.98761575299</v>
      </c>
      <c r="E815">
        <f t="shared" si="73"/>
        <v>140.63598761575298</v>
      </c>
      <c r="F815" s="7">
        <v>0.98784933171324418</v>
      </c>
      <c r="G815">
        <f t="shared" si="74"/>
        <v>5</v>
      </c>
      <c r="H815" s="7">
        <f t="shared" si="75"/>
        <v>1.2150668286755817E-2</v>
      </c>
      <c r="I815">
        <f t="shared" si="76"/>
        <v>1</v>
      </c>
      <c r="J815">
        <f>VLOOKUP(A815,'Housing Cost Calc'!$A$2:$C$827,3,FALSE)</f>
        <v>3523</v>
      </c>
      <c r="K815">
        <f t="shared" si="77"/>
        <v>0.30060584574914706</v>
      </c>
    </row>
    <row r="816" spans="1:11" ht="48" x14ac:dyDescent="0.2">
      <c r="A816" s="4" t="s">
        <v>3350</v>
      </c>
      <c r="B816">
        <v>250000</v>
      </c>
      <c r="C816">
        <v>3.16</v>
      </c>
      <c r="D816">
        <f t="shared" si="72"/>
        <v>140635.98761575299</v>
      </c>
      <c r="E816">
        <f t="shared" si="73"/>
        <v>140.63598761575298</v>
      </c>
      <c r="F816" s="7">
        <v>0.98784933171324418</v>
      </c>
      <c r="G816">
        <f t="shared" si="74"/>
        <v>5</v>
      </c>
      <c r="H816" s="7">
        <f t="shared" si="75"/>
        <v>1.2150668286755817E-2</v>
      </c>
      <c r="I816">
        <f t="shared" si="76"/>
        <v>1</v>
      </c>
      <c r="J816">
        <f>VLOOKUP(A816,'Housing Cost Calc'!$A$2:$C$827,3,FALSE)</f>
        <v>3565</v>
      </c>
      <c r="K816">
        <f t="shared" si="77"/>
        <v>0.30418956573820871</v>
      </c>
    </row>
    <row r="817" spans="1:11" ht="48" x14ac:dyDescent="0.2">
      <c r="A817" s="4" t="s">
        <v>3504</v>
      </c>
      <c r="B817">
        <v>228558</v>
      </c>
      <c r="C817">
        <v>2.64</v>
      </c>
      <c r="D817">
        <f t="shared" si="72"/>
        <v>140667.72497627165</v>
      </c>
      <c r="E817">
        <f t="shared" si="73"/>
        <v>140.66772497627164</v>
      </c>
      <c r="F817" s="7">
        <v>0.99149453219927097</v>
      </c>
      <c r="G817">
        <f t="shared" si="74"/>
        <v>5</v>
      </c>
      <c r="H817" s="7">
        <f t="shared" si="75"/>
        <v>8.5054678007290274E-3</v>
      </c>
      <c r="I817">
        <f t="shared" si="76"/>
        <v>1</v>
      </c>
      <c r="J817">
        <f>VLOOKUP(A817,'Housing Cost Calc'!$A$2:$C$827,3,FALSE)</f>
        <v>3756</v>
      </c>
      <c r="K817">
        <f t="shared" si="77"/>
        <v>0.32041465096277705</v>
      </c>
    </row>
    <row r="818" spans="1:11" ht="48" x14ac:dyDescent="0.2">
      <c r="A818" s="4" t="s">
        <v>3469</v>
      </c>
      <c r="B818">
        <v>247361</v>
      </c>
      <c r="C818">
        <v>3.05</v>
      </c>
      <c r="D818">
        <f t="shared" si="72"/>
        <v>141638.49657421277</v>
      </c>
      <c r="E818">
        <f t="shared" si="73"/>
        <v>141.63849657421278</v>
      </c>
      <c r="F818" s="7">
        <v>0.99270959902794653</v>
      </c>
      <c r="G818">
        <f t="shared" si="74"/>
        <v>5</v>
      </c>
      <c r="H818" s="7">
        <f t="shared" si="75"/>
        <v>7.2904009720534679E-3</v>
      </c>
      <c r="I818">
        <f t="shared" si="76"/>
        <v>1</v>
      </c>
      <c r="J818">
        <f>VLOOKUP(A818,'Housing Cost Calc'!$A$2:$C$827,3,FALSE)</f>
        <v>3750</v>
      </c>
      <c r="K818">
        <f t="shared" si="77"/>
        <v>0.31771023477661559</v>
      </c>
    </row>
    <row r="819" spans="1:11" ht="48" x14ac:dyDescent="0.2">
      <c r="A819" s="4" t="s">
        <v>3360</v>
      </c>
      <c r="B819">
        <v>242125</v>
      </c>
      <c r="C819">
        <v>2.92</v>
      </c>
      <c r="D819">
        <f t="shared" si="72"/>
        <v>141692.93882431556</v>
      </c>
      <c r="E819">
        <f t="shared" si="73"/>
        <v>141.69293882431555</v>
      </c>
      <c r="F819" s="7">
        <v>0.99392466585662209</v>
      </c>
      <c r="G819">
        <f t="shared" si="74"/>
        <v>5</v>
      </c>
      <c r="H819" s="7">
        <f t="shared" si="75"/>
        <v>6.0753341433779084E-3</v>
      </c>
      <c r="I819">
        <f t="shared" si="76"/>
        <v>1</v>
      </c>
      <c r="J819">
        <f>VLOOKUP(A819,'Housing Cost Calc'!$A$2:$C$827,3,FALSE)</f>
        <v>3609</v>
      </c>
      <c r="K819">
        <f t="shared" si="77"/>
        <v>0.30564684704364414</v>
      </c>
    </row>
    <row r="820" spans="1:11" ht="48" x14ac:dyDescent="0.2">
      <c r="A820" s="4" t="s">
        <v>3657</v>
      </c>
      <c r="B820">
        <v>250000</v>
      </c>
      <c r="C820">
        <v>3.1</v>
      </c>
      <c r="D820">
        <f t="shared" si="72"/>
        <v>141990.45856176619</v>
      </c>
      <c r="E820">
        <f t="shared" si="73"/>
        <v>141.99045856176619</v>
      </c>
      <c r="F820" s="7">
        <v>0.99513973268529765</v>
      </c>
      <c r="G820">
        <f t="shared" si="74"/>
        <v>5</v>
      </c>
      <c r="H820" s="7">
        <f t="shared" si="75"/>
        <v>4.860267314702349E-3</v>
      </c>
      <c r="I820">
        <f t="shared" si="76"/>
        <v>1</v>
      </c>
      <c r="J820">
        <f>VLOOKUP(A820,'Housing Cost Calc'!$A$2:$C$827,3,FALSE)</f>
        <v>4000</v>
      </c>
      <c r="K820">
        <f t="shared" si="77"/>
        <v>0.338050883743853</v>
      </c>
    </row>
    <row r="821" spans="1:11" ht="48" x14ac:dyDescent="0.2">
      <c r="A821" s="4" t="s">
        <v>3642</v>
      </c>
      <c r="B821">
        <v>250000</v>
      </c>
      <c r="C821">
        <v>3.05</v>
      </c>
      <c r="D821">
        <f t="shared" si="72"/>
        <v>143149.58357846705</v>
      </c>
      <c r="E821">
        <f t="shared" si="73"/>
        <v>143.14958357846706</v>
      </c>
      <c r="F821" s="7">
        <v>0.99635479951397332</v>
      </c>
      <c r="G821">
        <f t="shared" si="74"/>
        <v>5</v>
      </c>
      <c r="H821" s="7">
        <f t="shared" si="75"/>
        <v>3.6452004860266785E-3</v>
      </c>
      <c r="I821">
        <f t="shared" si="76"/>
        <v>1</v>
      </c>
      <c r="J821">
        <f>VLOOKUP(A821,'Housing Cost Calc'!$A$2:$C$827,3,FALSE)</f>
        <v>4000</v>
      </c>
      <c r="K821">
        <f t="shared" si="77"/>
        <v>0.33531358457420124</v>
      </c>
    </row>
    <row r="822" spans="1:11" ht="48" x14ac:dyDescent="0.2">
      <c r="A822" s="4" t="s">
        <v>3149</v>
      </c>
      <c r="B822">
        <v>238068</v>
      </c>
      <c r="C822">
        <v>2.76</v>
      </c>
      <c r="D822">
        <f t="shared" si="72"/>
        <v>143300.09636211451</v>
      </c>
      <c r="E822">
        <f t="shared" si="73"/>
        <v>143.30009636211452</v>
      </c>
      <c r="F822" s="7">
        <v>0.99756986634264888</v>
      </c>
      <c r="G822">
        <f t="shared" si="74"/>
        <v>5</v>
      </c>
      <c r="H822" s="7">
        <f t="shared" si="75"/>
        <v>2.430133657351119E-3</v>
      </c>
      <c r="I822">
        <f t="shared" si="76"/>
        <v>1</v>
      </c>
      <c r="J822">
        <f>VLOOKUP(A822,'Housing Cost Calc'!$A$2:$C$827,3,FALSE)</f>
        <v>3293</v>
      </c>
      <c r="K822">
        <f t="shared" si="77"/>
        <v>0.27575696739340916</v>
      </c>
    </row>
    <row r="823" spans="1:11" ht="48" x14ac:dyDescent="0.2">
      <c r="A823" s="4" t="s">
        <v>3255</v>
      </c>
      <c r="B823">
        <v>238750</v>
      </c>
      <c r="C823">
        <v>2.72</v>
      </c>
      <c r="D823">
        <f t="shared" si="72"/>
        <v>144763.45119356122</v>
      </c>
      <c r="E823">
        <f t="shared" si="73"/>
        <v>144.76345119356122</v>
      </c>
      <c r="F823" s="7">
        <v>0.99878493317132444</v>
      </c>
      <c r="G823">
        <f t="shared" si="74"/>
        <v>5</v>
      </c>
      <c r="H823" s="7">
        <f t="shared" si="75"/>
        <v>1.2150668286755595E-3</v>
      </c>
      <c r="I823">
        <f t="shared" si="76"/>
        <v>1</v>
      </c>
      <c r="J823">
        <f>VLOOKUP(A823,'Housing Cost Calc'!$A$2:$C$827,3,FALSE)</f>
        <v>3541</v>
      </c>
      <c r="K823">
        <f t="shared" si="77"/>
        <v>0.29352712752878851</v>
      </c>
    </row>
    <row r="824" spans="1:11" ht="48" x14ac:dyDescent="0.2">
      <c r="A824" s="4" t="s">
        <v>3404</v>
      </c>
      <c r="B824">
        <v>247169</v>
      </c>
      <c r="C824">
        <v>2.83</v>
      </c>
      <c r="D824">
        <f t="shared" si="72"/>
        <v>146926.71974701667</v>
      </c>
      <c r="E824">
        <f t="shared" si="73"/>
        <v>146.92671974701668</v>
      </c>
      <c r="F824" s="7">
        <v>1</v>
      </c>
      <c r="G824">
        <f t="shared" si="74"/>
        <v>5</v>
      </c>
      <c r="H824" s="7">
        <f t="shared" si="75"/>
        <v>0</v>
      </c>
      <c r="I824">
        <f t="shared" si="76"/>
        <v>1</v>
      </c>
      <c r="J824">
        <f>VLOOKUP(A824,'Housing Cost Calc'!$A$2:$C$827,3,FALSE)</f>
        <v>3810</v>
      </c>
      <c r="K824">
        <f t="shared" si="77"/>
        <v>0.31117553075929433</v>
      </c>
    </row>
    <row r="825" spans="1:11" ht="48" x14ac:dyDescent="0.2">
      <c r="A825" s="4" t="s">
        <v>3851</v>
      </c>
      <c r="B825" t="s">
        <v>3876</v>
      </c>
      <c r="C825">
        <v>6.5</v>
      </c>
      <c r="D825" t="e">
        <f t="shared" si="72"/>
        <v>#VALUE!</v>
      </c>
      <c r="E825" t="e">
        <f t="shared" si="73"/>
        <v>#VALUE!</v>
      </c>
      <c r="G825">
        <f t="shared" si="74"/>
        <v>1</v>
      </c>
      <c r="H825" s="7">
        <f t="shared" si="75"/>
        <v>1</v>
      </c>
      <c r="I825">
        <f t="shared" si="76"/>
        <v>5</v>
      </c>
      <c r="J825" t="e">
        <f>VLOOKUP(A825,'Housing Cost Calc'!$A$2:$C$827,3,FALSE)</f>
        <v>#N/A</v>
      </c>
      <c r="K825" t="e">
        <f t="shared" si="77"/>
        <v>#N/A</v>
      </c>
    </row>
    <row r="826" spans="1:11" ht="48" x14ac:dyDescent="0.2">
      <c r="A826" s="4" t="s">
        <v>3852</v>
      </c>
      <c r="B826" t="s">
        <v>3876</v>
      </c>
      <c r="C826">
        <v>0</v>
      </c>
      <c r="D826" t="e">
        <f t="shared" si="72"/>
        <v>#VALUE!</v>
      </c>
      <c r="E826" t="e">
        <f t="shared" si="73"/>
        <v>#VALUE!</v>
      </c>
      <c r="G826">
        <f t="shared" si="74"/>
        <v>1</v>
      </c>
      <c r="H826" s="7">
        <f t="shared" si="75"/>
        <v>1</v>
      </c>
      <c r="I826">
        <f t="shared" si="76"/>
        <v>5</v>
      </c>
      <c r="J826" t="e">
        <f>VLOOKUP(A826,'Housing Cost Calc'!$A$2:$C$827,3,FALSE)</f>
        <v>#N/A</v>
      </c>
      <c r="K826" t="e">
        <f t="shared" si="77"/>
        <v>#N/A</v>
      </c>
    </row>
    <row r="827" spans="1:11" ht="48" x14ac:dyDescent="0.2">
      <c r="A827" s="4" t="s">
        <v>3853</v>
      </c>
      <c r="B827" t="s">
        <v>3876</v>
      </c>
      <c r="C827">
        <v>0</v>
      </c>
      <c r="D827" t="e">
        <f t="shared" si="72"/>
        <v>#VALUE!</v>
      </c>
      <c r="E827" t="e">
        <f t="shared" si="73"/>
        <v>#VALUE!</v>
      </c>
      <c r="G827">
        <f t="shared" si="74"/>
        <v>1</v>
      </c>
      <c r="H827" s="7">
        <f t="shared" si="75"/>
        <v>1</v>
      </c>
      <c r="I827">
        <f t="shared" si="76"/>
        <v>5</v>
      </c>
      <c r="J827" t="e">
        <f>VLOOKUP(A827,'Housing Cost Calc'!$A$2:$C$827,3,FALSE)</f>
        <v>#N/A</v>
      </c>
      <c r="K827" t="e">
        <f t="shared" si="77"/>
        <v>#N/A</v>
      </c>
    </row>
    <row r="828" spans="1:11" ht="48" x14ac:dyDescent="0.2">
      <c r="A828" s="4" t="s">
        <v>3854</v>
      </c>
      <c r="B828" t="s">
        <v>3876</v>
      </c>
      <c r="C828">
        <v>0</v>
      </c>
      <c r="D828" t="e">
        <f t="shared" si="72"/>
        <v>#VALUE!</v>
      </c>
      <c r="E828" t="e">
        <f t="shared" si="73"/>
        <v>#VALUE!</v>
      </c>
      <c r="G828">
        <f t="shared" si="74"/>
        <v>1</v>
      </c>
      <c r="H828" s="7">
        <f t="shared" si="75"/>
        <v>1</v>
      </c>
      <c r="I828">
        <f t="shared" si="76"/>
        <v>5</v>
      </c>
      <c r="J828" t="e">
        <f>VLOOKUP(A828,'Housing Cost Calc'!$A$2:$C$827,3,FALSE)</f>
        <v>#N/A</v>
      </c>
      <c r="K828" t="e">
        <f t="shared" si="77"/>
        <v>#N/A</v>
      </c>
    </row>
    <row r="829" spans="1:11" ht="48" x14ac:dyDescent="0.2">
      <c r="A829" s="4" t="s">
        <v>3855</v>
      </c>
      <c r="B829" t="s">
        <v>3876</v>
      </c>
      <c r="C829">
        <v>0</v>
      </c>
      <c r="D829" t="e">
        <f t="shared" si="72"/>
        <v>#VALUE!</v>
      </c>
      <c r="E829" t="e">
        <f t="shared" si="73"/>
        <v>#VALUE!</v>
      </c>
      <c r="G829">
        <f t="shared" si="74"/>
        <v>1</v>
      </c>
      <c r="H829" s="7">
        <f t="shared" si="75"/>
        <v>1</v>
      </c>
      <c r="I829">
        <f t="shared" si="76"/>
        <v>5</v>
      </c>
      <c r="J829" t="e">
        <f>VLOOKUP(A829,'Housing Cost Calc'!$A$2:$C$827,3,FALSE)</f>
        <v>#N/A</v>
      </c>
      <c r="K829" t="e">
        <f t="shared" si="77"/>
        <v>#N/A</v>
      </c>
    </row>
    <row r="830" spans="1:11" ht="64" x14ac:dyDescent="0.2">
      <c r="A830" s="4" t="s">
        <v>3856</v>
      </c>
      <c r="B830" t="s">
        <v>3876</v>
      </c>
      <c r="C830">
        <v>0</v>
      </c>
      <c r="D830" t="e">
        <f t="shared" si="72"/>
        <v>#VALUE!</v>
      </c>
      <c r="E830" t="e">
        <f t="shared" si="73"/>
        <v>#VALUE!</v>
      </c>
      <c r="G830">
        <f t="shared" si="74"/>
        <v>1</v>
      </c>
      <c r="H830" s="7">
        <f t="shared" si="75"/>
        <v>1</v>
      </c>
      <c r="I830">
        <f t="shared" si="76"/>
        <v>5</v>
      </c>
      <c r="J830" t="e">
        <f>VLOOKUP(A830,'Housing Cost Calc'!$A$2:$C$827,3,FALSE)</f>
        <v>#N/A</v>
      </c>
      <c r="K830" t="e">
        <f t="shared" si="77"/>
        <v>#N/A</v>
      </c>
    </row>
    <row r="831" spans="1:11" ht="48" x14ac:dyDescent="0.2">
      <c r="A831" s="4" t="s">
        <v>3857</v>
      </c>
      <c r="B831" t="s">
        <v>3876</v>
      </c>
      <c r="C831">
        <v>0</v>
      </c>
      <c r="D831" t="e">
        <f t="shared" si="72"/>
        <v>#VALUE!</v>
      </c>
      <c r="E831" t="e">
        <f t="shared" si="73"/>
        <v>#VALUE!</v>
      </c>
      <c r="G831">
        <f t="shared" si="74"/>
        <v>1</v>
      </c>
      <c r="H831" s="7">
        <f t="shared" si="75"/>
        <v>1</v>
      </c>
      <c r="I831">
        <f t="shared" si="76"/>
        <v>5</v>
      </c>
      <c r="J831" t="e">
        <f>VLOOKUP(A831,'Housing Cost Calc'!$A$2:$C$827,3,FALSE)</f>
        <v>#N/A</v>
      </c>
      <c r="K831" t="e">
        <f t="shared" si="77"/>
        <v>#N/A</v>
      </c>
    </row>
    <row r="832" spans="1:11" ht="48" x14ac:dyDescent="0.2">
      <c r="A832" s="4" t="s">
        <v>3858</v>
      </c>
      <c r="B832" t="s">
        <v>3876</v>
      </c>
      <c r="C832">
        <v>0</v>
      </c>
      <c r="D832" t="e">
        <f t="shared" si="72"/>
        <v>#VALUE!</v>
      </c>
      <c r="E832" t="e">
        <f t="shared" si="73"/>
        <v>#VALUE!</v>
      </c>
      <c r="G832">
        <f t="shared" si="74"/>
        <v>1</v>
      </c>
      <c r="H832" s="7">
        <f t="shared" si="75"/>
        <v>1</v>
      </c>
      <c r="I832">
        <f t="shared" si="76"/>
        <v>5</v>
      </c>
      <c r="J832" t="e">
        <f>VLOOKUP(A832,'Housing Cost Calc'!$A$2:$C$827,3,FALSE)</f>
        <v>#N/A</v>
      </c>
      <c r="K832" t="e">
        <f t="shared" si="77"/>
        <v>#N/A</v>
      </c>
    </row>
    <row r="833" spans="1:11" ht="48" x14ac:dyDescent="0.2">
      <c r="A833" s="4" t="s">
        <v>3859</v>
      </c>
      <c r="B833" t="s">
        <v>3876</v>
      </c>
      <c r="C833">
        <v>0</v>
      </c>
      <c r="D833" t="e">
        <f t="shared" si="72"/>
        <v>#VALUE!</v>
      </c>
      <c r="E833" t="e">
        <f t="shared" si="73"/>
        <v>#VALUE!</v>
      </c>
      <c r="G833">
        <f t="shared" si="74"/>
        <v>1</v>
      </c>
      <c r="H833" s="7">
        <f t="shared" si="75"/>
        <v>1</v>
      </c>
      <c r="I833">
        <f t="shared" si="76"/>
        <v>5</v>
      </c>
      <c r="J833" t="e">
        <f>VLOOKUP(A833,'Housing Cost Calc'!$A$2:$C$827,3,FALSE)</f>
        <v>#N/A</v>
      </c>
      <c r="K833" t="e">
        <f t="shared" si="77"/>
        <v>#N/A</v>
      </c>
    </row>
    <row r="834" spans="1:11" ht="64" x14ac:dyDescent="0.2">
      <c r="A834" s="4" t="s">
        <v>3860</v>
      </c>
      <c r="B834" t="s">
        <v>3876</v>
      </c>
      <c r="C834">
        <v>0</v>
      </c>
      <c r="D834" t="e">
        <f t="shared" ref="D834:D835" si="78">(B834/(C834)^0.5)</f>
        <v>#VALUE!</v>
      </c>
      <c r="E834" t="e">
        <f t="shared" ref="E834" si="79">D834/1000</f>
        <v>#VALUE!</v>
      </c>
      <c r="G834">
        <f t="shared" si="74"/>
        <v>1</v>
      </c>
      <c r="H834" s="7">
        <f t="shared" si="75"/>
        <v>1</v>
      </c>
      <c r="I834">
        <f t="shared" si="76"/>
        <v>5</v>
      </c>
      <c r="J834" t="e">
        <f>VLOOKUP(A834,'Housing Cost Calc'!$A$2:$C$827,3,FALSE)</f>
        <v>#N/A</v>
      </c>
      <c r="K834" t="e">
        <f t="shared" si="77"/>
        <v>#N/A</v>
      </c>
    </row>
    <row r="835" spans="1:11" x14ac:dyDescent="0.2">
      <c r="C835">
        <v>8878.9400000000296</v>
      </c>
      <c r="D835">
        <f t="shared" si="78"/>
        <v>0</v>
      </c>
      <c r="G835">
        <f t="shared" ref="G835" si="80">IF(F835&lt;0.2,1,IF(F835&lt;0.4,2,IF(F835&lt;0.6,3,IF(F835&lt;0.8,4,5))))</f>
        <v>1</v>
      </c>
      <c r="H835" s="7">
        <f t="shared" ref="H835" si="81">1-F835</f>
        <v>1</v>
      </c>
      <c r="I835">
        <f t="shared" ref="I835" si="82">6-G835</f>
        <v>5</v>
      </c>
      <c r="J835" t="e">
        <f>VLOOKUP(A835,'Housing Cost Calc'!$A$2:$C$827,3,FALSE)</f>
        <v>#N/A</v>
      </c>
      <c r="K835" t="e">
        <f t="shared" ref="K835" si="83">(J835*12)/D835</f>
        <v>#N/A</v>
      </c>
    </row>
  </sheetData>
  <sortState xmlns:xlrd2="http://schemas.microsoft.com/office/spreadsheetml/2017/richdata2" ref="A2:J835">
    <sortCondition ref="E2:E8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B2F7BD22DB32E54A9D444E2614F545ED" ma:contentTypeVersion="18" ma:contentTypeDescription="Create a new document." ma:contentTypeScope="" ma:versionID="079b1958f8586cef283cdfc34696fbdf">
  <xsd:schema xmlns:xsd="http://www.w3.org/2001/XMLSchema" xmlns:xs="http://www.w3.org/2001/XMLSchema" xmlns:p="http://schemas.microsoft.com/office/2006/metadata/properties" xmlns:ns1="http://schemas.microsoft.com/sharepoint/v3" xmlns:ns2="92309ddc-3b1e-489e-97ba-af20c2443f26" xmlns:ns3="63fa969c-ac95-4033-87e0-78467e37564b" targetNamespace="http://schemas.microsoft.com/office/2006/metadata/properties" ma:root="true" ma:fieldsID="b9dc8fb8e1d3e7c1995295ba292d657f" ns1:_="" ns2:_="" ns3:_="">
    <xsd:import namespace="http://schemas.microsoft.com/sharepoint/v3"/>
    <xsd:import namespace="92309ddc-3b1e-489e-97ba-af20c2443f26"/>
    <xsd:import namespace="63fa969c-ac95-4033-87e0-78467e3756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DateTaken" minOccurs="0"/>
                <xsd:element ref="ns3:MediaServiceLocation" minOccurs="0"/>
                <xsd:element ref="ns3:MediaLengthInSecond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309ddc-3b1e-489e-97ba-af20c2443f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8fafc10-690a-41e8-a9a2-4112e8089110}" ma:internalName="TaxCatchAll" ma:showField="CatchAllData" ma:web="92309ddc-3b1e-489e-97ba-af20c2443f2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3fa969c-ac95-4033-87e0-78467e3756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9be3ee5-5d72-4a78-bfe6-04ec158992b3"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63fa969c-ac95-4033-87e0-78467e37564b">
      <Terms xmlns="http://schemas.microsoft.com/office/infopath/2007/PartnerControls"/>
    </lcf76f155ced4ddcb4097134ff3c332f>
    <_ip_UnifiedCompliancePolicyProperties xmlns="http://schemas.microsoft.com/sharepoint/v3" xsi:nil="true"/>
    <TaxCatchAll xmlns="92309ddc-3b1e-489e-97ba-af20c2443f26" xsi:nil="true"/>
  </documentManagement>
</p:properties>
</file>

<file path=customXml/itemProps1.xml><?xml version="1.0" encoding="utf-8"?>
<ds:datastoreItem xmlns:ds="http://schemas.openxmlformats.org/officeDocument/2006/customXml" ds:itemID="{E7662504-4680-46B0-A053-1A7E0E566DC8}">
  <ds:schemaRefs>
    <ds:schemaRef ds:uri="http://schemas.microsoft.com/DataMashup"/>
  </ds:schemaRefs>
</ds:datastoreItem>
</file>

<file path=customXml/itemProps2.xml><?xml version="1.0" encoding="utf-8"?>
<ds:datastoreItem xmlns:ds="http://schemas.openxmlformats.org/officeDocument/2006/customXml" ds:itemID="{9B190657-A7F2-43EF-85DB-98ADCCBB50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309ddc-3b1e-489e-97ba-af20c2443f26"/>
    <ds:schemaRef ds:uri="63fa969c-ac95-4033-87e0-78467e3756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0E0F6A8-1889-40F4-9B7F-4FBD62322DF6}">
  <ds:schemaRefs>
    <ds:schemaRef ds:uri="http://schemas.microsoft.com/sharepoint/v3/contenttype/forms"/>
  </ds:schemaRefs>
</ds:datastoreItem>
</file>

<file path=customXml/itemProps4.xml><?xml version="1.0" encoding="utf-8"?>
<ds:datastoreItem xmlns:ds="http://schemas.openxmlformats.org/officeDocument/2006/customXml" ds:itemID="{88737439-8ED8-4C7C-8533-25CE3907819A}">
  <ds:schemaRefs>
    <ds:schemaRef ds:uri="http://schemas.openxmlformats.org/package/2006/metadata/core-properties"/>
    <ds:schemaRef ds:uri="http://purl.org/dc/elements/1.1/"/>
    <ds:schemaRef ds:uri="http://purl.org/dc/dcmitype/"/>
    <ds:schemaRef ds:uri="http://purl.org/dc/terms/"/>
    <ds:schemaRef ds:uri="92309ddc-3b1e-489e-97ba-af20c2443f26"/>
    <ds:schemaRef ds:uri="http://schemas.microsoft.com/office/2006/documentManagement/types"/>
    <ds:schemaRef ds:uri="http://schemas.microsoft.com/office/infopath/2007/PartnerControls"/>
    <ds:schemaRef ds:uri="63fa969c-ac95-4033-87e0-78467e37564b"/>
    <ds:schemaRef ds:uri="http://schemas.microsoft.com/sharepoint/v3"/>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6</vt:i4>
      </vt:variant>
    </vt:vector>
  </HeadingPairs>
  <TitlesOfParts>
    <vt:vector size="30" baseType="lpstr">
      <vt:lpstr>Information</vt:lpstr>
      <vt:lpstr>Tables</vt:lpstr>
      <vt:lpstr>Income and Housing Data</vt:lpstr>
      <vt:lpstr>Population and Diversity Data</vt:lpstr>
      <vt:lpstr>Eversource&gt;&gt;</vt:lpstr>
      <vt:lpstr>ES Energy Burden</vt:lpstr>
      <vt:lpstr>CLM From Eversource</vt:lpstr>
      <vt:lpstr>ESSmallLoadPivot</vt:lpstr>
      <vt:lpstr>2.) Small Load</vt:lpstr>
      <vt:lpstr>3.) Large Load</vt:lpstr>
      <vt:lpstr>HES Report ES</vt:lpstr>
      <vt:lpstr>ES shutoff</vt:lpstr>
      <vt:lpstr>UI &gt;&gt;&gt;</vt:lpstr>
      <vt:lpstr>CLM from UI</vt:lpstr>
      <vt:lpstr>UI EnergyBurden</vt:lpstr>
      <vt:lpstr>Small Load</vt:lpstr>
      <vt:lpstr>Large Load</vt:lpstr>
      <vt:lpstr>HES Report UI</vt:lpstr>
      <vt:lpstr>Shutoff Data</vt:lpstr>
      <vt:lpstr>Calculation Sheets &gt;&gt;&gt;</vt:lpstr>
      <vt:lpstr>Housing Cost Calc</vt:lpstr>
      <vt:lpstr>Income Percentile Calc</vt:lpstr>
      <vt:lpstr>Energy Burden Calc</vt:lpstr>
      <vt:lpstr>Income and Housing Calcs</vt:lpstr>
      <vt:lpstr>'2.) Small Load'!Print_Area</vt:lpstr>
      <vt:lpstr>'3.) Large Load'!Print_Area</vt:lpstr>
      <vt:lpstr>'HES Report ES'!Print_Area</vt:lpstr>
      <vt:lpstr>'2.) Small Load'!Print_Titles</vt:lpstr>
      <vt:lpstr>'3.) Large Load'!Print_Titles</vt:lpstr>
      <vt:lpstr>'HES Report 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2022-06-27T15:19:19Z</dcterms:created>
  <dcterms:modified xsi:type="dcterms:W3CDTF">2024-03-21T16:08:25Z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0x010100B2F7BD22DB32E54A9D444E2614F545ED</vt:lpwstr>
  </property>
  <property fmtid="{D5CDD505-2E9C-101B-9397-08002B2CF9AE}" pid="3" name="MediaServiceImageTags">
    <vt:lpwstr/>
  </property>
</Properties>
</file>